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0-Mayis\POA\POA2021\Seg Trimestre 1 2021\Publicación\"/>
    </mc:Choice>
  </mc:AlternateContent>
  <xr:revisionPtr revIDLastSave="0" documentId="13_ncr:1_{3C12DCBB-4990-4E8B-AF37-5029E09D54BB}" xr6:coauthVersionLast="46" xr6:coauthVersionMax="46" xr10:uidLastSave="{00000000-0000-0000-0000-000000000000}"/>
  <workbookProtection workbookAlgorithmName="SHA-512" workbookHashValue="tHlqYp2dj+shczAlzG1Z7Y31CN7O2jrQi1MbUCDXL+0DOlg83LAr3FQyHUXxerNAI+FmCU1Wcuwhr+Zw8e4sMg==" workbookSaltValue="bOVXZa4aWRfDmjkRW3qnDg==" workbookSpinCount="100000" lockStructure="1"/>
  <bookViews>
    <workbookView xWindow="-108" yWindow="-108" windowWidth="23256" windowHeight="12576" firstSheet="3" activeTab="3" xr2:uid="{00000000-000D-0000-FFFF-FFFF00000000}"/>
  </bookViews>
  <sheets>
    <sheet name="01-PL-09 POA 2021 (Pág 1 de 2)" sheetId="49" state="hidden" r:id="rId1"/>
    <sheet name="01-PL-09 POA 2021 (Pág 2 de 2)" sheetId="57" state="hidden" r:id="rId2"/>
    <sheet name="Listas1" sheetId="61" state="hidden" r:id="rId3"/>
    <sheet name="Informe Seguimiento POA 2021" sheetId="58" r:id="rId4"/>
    <sheet name="Informe Detallado Desempeño POA" sheetId="60" r:id="rId5"/>
    <sheet name="Resumen Desempeño Procesos POA " sheetId="62" r:id="rId6"/>
    <sheet name="Seguimiento Medición POA 2021" sheetId="63" r:id="rId7"/>
    <sheet name="Rango indicadores" sheetId="59" state="hidden" r:id="rId8"/>
    <sheet name="01-DIRECCIONAMIENTO ESTRATÉGICO" sheetId="37" r:id="rId9"/>
    <sheet name="02-G. CONOCIMIENTO INNOVACIÓN" sheetId="45" r:id="rId10"/>
    <sheet name="03-DIRECCIONAMIENTO TIC" sheetId="44" r:id="rId11"/>
    <sheet name="04-COMUNICACIÓN ESTRATÉGICA" sheetId="56" r:id="rId12"/>
    <sheet name="05-POA PROM DEFENSA DERECHOS" sheetId="41" r:id="rId13"/>
    <sheet name="06-PREV CTRL FUN PÚBLICA" sheetId="42" r:id="rId14"/>
    <sheet name="07-POTESTAD DISCIPLINARIA" sheetId="43" r:id="rId15"/>
    <sheet name="08-G. DEL TALENTO HUMANO" sheetId="47" r:id="rId16"/>
    <sheet name="09-G.  ADMINISTRATIVA" sheetId="48" r:id="rId17"/>
    <sheet name="10-GESTIÓN FINANCIERA" sheetId="51" r:id="rId18"/>
    <sheet name="11-GESTIÓN CONTRACTUAL" sheetId="50" r:id="rId19"/>
    <sheet name="12-GESTIÓN DOCUMENTAL" sheetId="52" r:id="rId20"/>
    <sheet name="13-GESTIÓN JURÍDICA" sheetId="53" r:id="rId21"/>
    <sheet name="14-SERVICIO AL USUARIO" sheetId="46" r:id="rId22"/>
    <sheet name="15-CTRL DISCIPLINARIO INTERNO" sheetId="54" r:id="rId23"/>
    <sheet name="16-EVALUACIÓN Y SEGUIMIENTO" sheetId="55" r:id="rId24"/>
    <sheet name="01-FR-03 POA INSTITUCIONAL" sheetId="38" r:id="rId25"/>
    <sheet name="Instrucciones Dil (Pág 3 de 3)" sheetId="39" r:id="rId26"/>
    <sheet name="LISTAS" sheetId="40" state="hidden" r:id="rId27"/>
  </sheets>
  <externalReferences>
    <externalReference r:id="rId28"/>
    <externalReference r:id="rId29"/>
    <externalReference r:id="rId30"/>
    <externalReference r:id="rId31"/>
    <externalReference r:id="rId32"/>
    <externalReference r:id="rId33"/>
  </externalReferences>
  <definedNames>
    <definedName name="_xlnm.Print_Area" localSheetId="0">'01-PL-09 POA 2021 (Pág 1 de 2)'!$A$1:$F$29</definedName>
    <definedName name="_xlnm.Print_Area" localSheetId="12">'05-POA PROM DEFENSA DERECHOS'!$A$1:$BH$48</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62" l="1"/>
  <c r="F30" i="62"/>
  <c r="F56" i="62"/>
  <c r="F64" i="62"/>
  <c r="G123" i="59"/>
  <c r="F70" i="62" s="1"/>
  <c r="G122" i="59"/>
  <c r="F69" i="62" s="1"/>
  <c r="G121" i="59"/>
  <c r="F68" i="62" s="1"/>
  <c r="G120" i="59"/>
  <c r="F67" i="62" s="1"/>
  <c r="G119" i="59"/>
  <c r="F66" i="62" s="1"/>
  <c r="G118" i="59"/>
  <c r="F65" i="62" s="1"/>
  <c r="G117" i="59"/>
  <c r="G116" i="59"/>
  <c r="F63" i="62" s="1"/>
  <c r="G115" i="59"/>
  <c r="F62" i="62" s="1"/>
  <c r="G114" i="59"/>
  <c r="F61" i="62" s="1"/>
  <c r="G113" i="59"/>
  <c r="F60" i="62" s="1"/>
  <c r="G112" i="59"/>
  <c r="F59" i="62" s="1"/>
  <c r="G111" i="59"/>
  <c r="F58" i="62" s="1"/>
  <c r="G110" i="59"/>
  <c r="F57" i="62" s="1"/>
  <c r="G109" i="59"/>
  <c r="F123" i="59"/>
  <c r="E70" i="62" s="1"/>
  <c r="F122" i="59"/>
  <c r="E69" i="62" s="1"/>
  <c r="F121" i="59"/>
  <c r="E68" i="62" s="1"/>
  <c r="F120" i="59"/>
  <c r="E67" i="62" s="1"/>
  <c r="F119" i="59"/>
  <c r="E66" i="62" s="1"/>
  <c r="F118" i="59"/>
  <c r="E65" i="62" s="1"/>
  <c r="F117" i="59"/>
  <c r="E64" i="62" s="1"/>
  <c r="F116" i="59"/>
  <c r="E63" i="62" s="1"/>
  <c r="F115" i="59"/>
  <c r="E62" i="62" s="1"/>
  <c r="F114" i="59"/>
  <c r="E61" i="62" s="1"/>
  <c r="F113" i="59"/>
  <c r="E60" i="62" s="1"/>
  <c r="F112" i="59"/>
  <c r="E59" i="62" s="1"/>
  <c r="F111" i="59"/>
  <c r="E58" i="62" s="1"/>
  <c r="F110" i="59"/>
  <c r="E57" i="62" s="1"/>
  <c r="F109" i="59"/>
  <c r="E56" i="62" s="1"/>
  <c r="E123" i="59"/>
  <c r="D70" i="62" s="1"/>
  <c r="E122" i="59"/>
  <c r="D69" i="62" s="1"/>
  <c r="E121" i="59"/>
  <c r="D68" i="62" s="1"/>
  <c r="E120" i="59"/>
  <c r="D67" i="62" s="1"/>
  <c r="E119" i="59"/>
  <c r="D66" i="62" s="1"/>
  <c r="E118" i="59"/>
  <c r="D65" i="62" s="1"/>
  <c r="E117" i="59"/>
  <c r="D64" i="62" s="1"/>
  <c r="E116" i="59"/>
  <c r="D63" i="62" s="1"/>
  <c r="E115" i="59"/>
  <c r="D62" i="62" s="1"/>
  <c r="E114" i="59"/>
  <c r="D61" i="62" s="1"/>
  <c r="E113" i="59"/>
  <c r="D60" i="62" s="1"/>
  <c r="E112" i="59"/>
  <c r="D59" i="62" s="1"/>
  <c r="E111" i="59"/>
  <c r="D58" i="62" s="1"/>
  <c r="E110" i="59"/>
  <c r="D57" i="62" s="1"/>
  <c r="E109" i="59"/>
  <c r="D56" i="62" s="1"/>
  <c r="G108" i="59"/>
  <c r="F55" i="62" s="1"/>
  <c r="F108" i="59"/>
  <c r="E55" i="62" s="1"/>
  <c r="E108" i="59"/>
  <c r="D55" i="62" s="1"/>
  <c r="B28" i="62" l="1"/>
  <c r="B5" i="63"/>
  <c r="G124" i="59"/>
  <c r="F124" i="59"/>
  <c r="E124" i="59"/>
  <c r="F25" i="63"/>
  <c r="E32" i="63" s="1"/>
  <c r="E25" i="63"/>
  <c r="E31" i="63" s="1"/>
  <c r="D25" i="63"/>
  <c r="E30" i="63" s="1"/>
  <c r="G24" i="63"/>
  <c r="G23" i="63"/>
  <c r="G22" i="63"/>
  <c r="G21" i="63"/>
  <c r="G20" i="63"/>
  <c r="G19" i="63"/>
  <c r="G18" i="63"/>
  <c r="G17" i="63"/>
  <c r="G16" i="63"/>
  <c r="G15" i="63"/>
  <c r="G14" i="63"/>
  <c r="G13" i="63"/>
  <c r="G12" i="63"/>
  <c r="G11" i="63"/>
  <c r="G10" i="63"/>
  <c r="G9" i="63"/>
  <c r="F71" i="62"/>
  <c r="E71" i="62"/>
  <c r="D71" i="62"/>
  <c r="G25" i="63" l="1"/>
  <c r="U169" i="60"/>
  <c r="U170" i="60"/>
  <c r="U171" i="60"/>
  <c r="N170" i="60"/>
  <c r="O170" i="60"/>
  <c r="N171" i="60"/>
  <c r="O171" i="60"/>
  <c r="O169" i="60"/>
  <c r="N169" i="60"/>
  <c r="C170" i="60"/>
  <c r="C171" i="60"/>
  <c r="C169" i="60"/>
  <c r="U161" i="60"/>
  <c r="U162" i="60"/>
  <c r="U163" i="60"/>
  <c r="N162" i="60"/>
  <c r="O162" i="60"/>
  <c r="N163" i="60"/>
  <c r="O163" i="60"/>
  <c r="O161" i="60"/>
  <c r="N161" i="60"/>
  <c r="C162" i="60"/>
  <c r="C163" i="60"/>
  <c r="C161" i="60"/>
  <c r="U151" i="60"/>
  <c r="U152" i="60"/>
  <c r="U153" i="60"/>
  <c r="U154" i="60"/>
  <c r="U155" i="60"/>
  <c r="N152" i="60"/>
  <c r="O152" i="60"/>
  <c r="N153" i="60"/>
  <c r="O153" i="60"/>
  <c r="N154" i="60"/>
  <c r="O154" i="60"/>
  <c r="N155" i="60"/>
  <c r="O155" i="60"/>
  <c r="O151" i="60"/>
  <c r="N151" i="60"/>
  <c r="C152" i="60"/>
  <c r="C153" i="60"/>
  <c r="C154" i="60"/>
  <c r="C155" i="60"/>
  <c r="C151" i="60"/>
  <c r="U142" i="60"/>
  <c r="U143" i="60"/>
  <c r="U144" i="60"/>
  <c r="U145" i="60"/>
  <c r="N143" i="60"/>
  <c r="O143" i="60"/>
  <c r="N144" i="60"/>
  <c r="O144" i="60"/>
  <c r="N145" i="60"/>
  <c r="O145" i="60"/>
  <c r="O142" i="60"/>
  <c r="N142" i="60"/>
  <c r="C143" i="60"/>
  <c r="C144" i="60"/>
  <c r="C145" i="60"/>
  <c r="C142" i="60"/>
  <c r="U136" i="60"/>
  <c r="O136" i="60"/>
  <c r="N136" i="60"/>
  <c r="C136" i="60"/>
  <c r="U128" i="60"/>
  <c r="U129" i="60"/>
  <c r="U130" i="60"/>
  <c r="N129" i="60"/>
  <c r="O129" i="60"/>
  <c r="N130" i="60"/>
  <c r="O130" i="60"/>
  <c r="O128" i="60"/>
  <c r="N128" i="60"/>
  <c r="C129" i="60"/>
  <c r="C130" i="60"/>
  <c r="C128" i="60"/>
  <c r="U121" i="60"/>
  <c r="U122" i="60"/>
  <c r="N122" i="60"/>
  <c r="O122" i="60"/>
  <c r="O121" i="60"/>
  <c r="N121" i="60"/>
  <c r="C122" i="60"/>
  <c r="C121" i="60"/>
  <c r="U108" i="60"/>
  <c r="U109" i="60"/>
  <c r="U110" i="60"/>
  <c r="U111" i="60"/>
  <c r="U112" i="60"/>
  <c r="U113" i="60"/>
  <c r="U114" i="60"/>
  <c r="U115" i="60"/>
  <c r="N109" i="60"/>
  <c r="O109" i="60"/>
  <c r="N110" i="60"/>
  <c r="O110" i="60"/>
  <c r="N111" i="60"/>
  <c r="O111" i="60"/>
  <c r="N112" i="60"/>
  <c r="O112" i="60"/>
  <c r="N113" i="60"/>
  <c r="O113" i="60"/>
  <c r="N114" i="60"/>
  <c r="O114" i="60"/>
  <c r="N115" i="60"/>
  <c r="O115" i="60"/>
  <c r="O108" i="60"/>
  <c r="N108" i="60"/>
  <c r="C109" i="60"/>
  <c r="C110" i="60"/>
  <c r="C111" i="60"/>
  <c r="C112" i="60"/>
  <c r="C113" i="60"/>
  <c r="C114" i="60"/>
  <c r="C115" i="60"/>
  <c r="C108" i="60"/>
  <c r="U95" i="60"/>
  <c r="U96" i="60"/>
  <c r="U97" i="60"/>
  <c r="U98" i="60"/>
  <c r="U99" i="60"/>
  <c r="U100" i="60"/>
  <c r="U101" i="60"/>
  <c r="U102" i="60"/>
  <c r="N101" i="60"/>
  <c r="O101" i="60"/>
  <c r="N102" i="60"/>
  <c r="O102" i="60"/>
  <c r="N96" i="60"/>
  <c r="O96" i="60"/>
  <c r="N97" i="60"/>
  <c r="O97" i="60"/>
  <c r="N98" i="60"/>
  <c r="O98" i="60"/>
  <c r="N99" i="60"/>
  <c r="O99" i="60"/>
  <c r="N100" i="60"/>
  <c r="O100" i="60"/>
  <c r="O95" i="60"/>
  <c r="N95" i="60"/>
  <c r="C96" i="60"/>
  <c r="C97" i="60"/>
  <c r="C98" i="60"/>
  <c r="C99" i="60"/>
  <c r="C100" i="60"/>
  <c r="C101" i="60"/>
  <c r="C102" i="60"/>
  <c r="C95" i="60"/>
  <c r="U83" i="60"/>
  <c r="U84" i="60"/>
  <c r="U85" i="60"/>
  <c r="U86" i="60"/>
  <c r="U87" i="60"/>
  <c r="U88" i="60"/>
  <c r="U89" i="60"/>
  <c r="O84" i="60"/>
  <c r="O85" i="60"/>
  <c r="O86" i="60"/>
  <c r="O87" i="60"/>
  <c r="O88" i="60"/>
  <c r="O89" i="60"/>
  <c r="N84" i="60"/>
  <c r="N85" i="60"/>
  <c r="N86" i="60"/>
  <c r="N87" i="60"/>
  <c r="N88" i="60"/>
  <c r="N89" i="60"/>
  <c r="O83" i="60"/>
  <c r="N83" i="60"/>
  <c r="C84" i="60"/>
  <c r="C85" i="60"/>
  <c r="C86" i="60"/>
  <c r="C87" i="60"/>
  <c r="C88" i="60"/>
  <c r="C89" i="60"/>
  <c r="C83" i="60"/>
  <c r="U57" i="60"/>
  <c r="U58" i="60"/>
  <c r="U59" i="60"/>
  <c r="U60" i="60"/>
  <c r="U61" i="60"/>
  <c r="U62" i="60"/>
  <c r="U63" i="60"/>
  <c r="U64" i="60"/>
  <c r="U65" i="60"/>
  <c r="U66" i="60"/>
  <c r="U67" i="60"/>
  <c r="U68" i="60"/>
  <c r="U69" i="60"/>
  <c r="U70" i="60"/>
  <c r="U71" i="60"/>
  <c r="U72" i="60"/>
  <c r="U73" i="60"/>
  <c r="U74" i="60"/>
  <c r="U75" i="60"/>
  <c r="U76" i="60"/>
  <c r="U77" i="60"/>
  <c r="N58" i="60"/>
  <c r="O58" i="60"/>
  <c r="N59" i="60"/>
  <c r="O59" i="60"/>
  <c r="N60" i="60"/>
  <c r="O60" i="60"/>
  <c r="N61" i="60"/>
  <c r="O61" i="60"/>
  <c r="N62" i="60"/>
  <c r="O62" i="60"/>
  <c r="N63" i="60"/>
  <c r="O63" i="60"/>
  <c r="N64" i="60"/>
  <c r="O64" i="60"/>
  <c r="N65" i="60"/>
  <c r="O65" i="60"/>
  <c r="N66" i="60"/>
  <c r="O66" i="60"/>
  <c r="N67" i="60"/>
  <c r="O67" i="60"/>
  <c r="N68" i="60"/>
  <c r="O68" i="60"/>
  <c r="N69" i="60"/>
  <c r="O69" i="60"/>
  <c r="N70" i="60"/>
  <c r="O70" i="60"/>
  <c r="N71" i="60"/>
  <c r="O71" i="60"/>
  <c r="N72" i="60"/>
  <c r="O72" i="60"/>
  <c r="N73" i="60"/>
  <c r="O73" i="60"/>
  <c r="N74" i="60"/>
  <c r="O74" i="60"/>
  <c r="N75" i="60"/>
  <c r="O75" i="60"/>
  <c r="N76" i="60"/>
  <c r="O76" i="60"/>
  <c r="N77" i="60"/>
  <c r="O77" i="60"/>
  <c r="O57" i="60"/>
  <c r="N57" i="60"/>
  <c r="C74" i="60"/>
  <c r="C75" i="60"/>
  <c r="C76" i="60"/>
  <c r="C77" i="60"/>
  <c r="C58" i="60"/>
  <c r="C59" i="60"/>
  <c r="C60" i="60"/>
  <c r="C61" i="60"/>
  <c r="C62" i="60"/>
  <c r="C63" i="60"/>
  <c r="C64" i="60"/>
  <c r="C65" i="60"/>
  <c r="C66" i="60"/>
  <c r="C67" i="60"/>
  <c r="C68" i="60"/>
  <c r="C69" i="60"/>
  <c r="C70" i="60"/>
  <c r="C71" i="60"/>
  <c r="C72" i="60"/>
  <c r="C73" i="60"/>
  <c r="C57" i="60"/>
  <c r="U49" i="60"/>
  <c r="U50" i="60"/>
  <c r="U51" i="60"/>
  <c r="N50" i="60"/>
  <c r="O50" i="60"/>
  <c r="N51" i="60"/>
  <c r="O51" i="60"/>
  <c r="O49" i="60"/>
  <c r="N49" i="60"/>
  <c r="C50" i="60"/>
  <c r="C51" i="60"/>
  <c r="C49" i="60"/>
  <c r="U42" i="60"/>
  <c r="U43" i="60"/>
  <c r="O43" i="60"/>
  <c r="N43" i="60"/>
  <c r="O42" i="60"/>
  <c r="N42" i="60"/>
  <c r="C43" i="60"/>
  <c r="C42" i="60"/>
  <c r="N31" i="60"/>
  <c r="O31" i="60"/>
  <c r="U31" i="60"/>
  <c r="N32" i="60"/>
  <c r="O32" i="60"/>
  <c r="U32" i="60"/>
  <c r="N33" i="60"/>
  <c r="O33" i="60"/>
  <c r="U33" i="60"/>
  <c r="N34" i="60"/>
  <c r="O34" i="60"/>
  <c r="U34" i="60"/>
  <c r="N35" i="60"/>
  <c r="O35" i="60"/>
  <c r="U35" i="60"/>
  <c r="N36" i="60"/>
  <c r="O36" i="60"/>
  <c r="U36" i="60"/>
  <c r="U30" i="60"/>
  <c r="O30" i="60"/>
  <c r="N30" i="60"/>
  <c r="O22" i="60"/>
  <c r="U22" i="60"/>
  <c r="O23" i="60"/>
  <c r="U23" i="60"/>
  <c r="O24" i="60"/>
  <c r="U24" i="60"/>
  <c r="N23" i="60"/>
  <c r="N24" i="60"/>
  <c r="N22" i="60"/>
  <c r="C36" i="60"/>
  <c r="C34" i="60"/>
  <c r="C35" i="60"/>
  <c r="C31" i="60"/>
  <c r="C32" i="60"/>
  <c r="C33" i="60"/>
  <c r="C30" i="60"/>
  <c r="C23" i="60"/>
  <c r="C24" i="60"/>
  <c r="C22" i="60"/>
  <c r="E168" i="60"/>
  <c r="E160" i="60"/>
  <c r="E150" i="60"/>
  <c r="E141" i="60"/>
  <c r="E135" i="60"/>
  <c r="E127" i="60"/>
  <c r="E120" i="60"/>
  <c r="E107" i="60"/>
  <c r="E82" i="60"/>
  <c r="E48" i="60"/>
  <c r="E56" i="60"/>
  <c r="E41" i="60"/>
  <c r="E29" i="60"/>
  <c r="E21" i="60"/>
  <c r="O14" i="60"/>
  <c r="U14" i="60"/>
  <c r="O15" i="60"/>
  <c r="U15" i="60"/>
  <c r="O16" i="60"/>
  <c r="U16" i="60"/>
  <c r="U13" i="60"/>
  <c r="O13" i="60"/>
  <c r="N14" i="60"/>
  <c r="N15" i="60"/>
  <c r="N16" i="60"/>
  <c r="N13" i="60"/>
  <c r="C167" i="60"/>
  <c r="C159" i="60"/>
  <c r="C149" i="60"/>
  <c r="C140" i="60"/>
  <c r="C134" i="60"/>
  <c r="C126" i="60"/>
  <c r="C119" i="60"/>
  <c r="C106" i="60"/>
  <c r="C93" i="60"/>
  <c r="C81" i="60"/>
  <c r="C55" i="60"/>
  <c r="C47" i="60"/>
  <c r="C40" i="60"/>
  <c r="C20" i="60"/>
  <c r="C28" i="60"/>
  <c r="C14" i="60"/>
  <c r="C15" i="60"/>
  <c r="C16" i="60"/>
  <c r="C13" i="60"/>
  <c r="K168" i="60"/>
  <c r="G168" i="60"/>
  <c r="F168" i="60"/>
  <c r="I167" i="60"/>
  <c r="K160" i="60"/>
  <c r="G160" i="60"/>
  <c r="F160" i="60"/>
  <c r="I159" i="60"/>
  <c r="K150" i="60"/>
  <c r="G150" i="60"/>
  <c r="F150" i="60"/>
  <c r="I149" i="60"/>
  <c r="K141" i="60"/>
  <c r="G141" i="60"/>
  <c r="F141" i="60"/>
  <c r="I140" i="60"/>
  <c r="K135" i="60"/>
  <c r="G135" i="60"/>
  <c r="F135" i="60"/>
  <c r="I134" i="60"/>
  <c r="K127" i="60"/>
  <c r="G127" i="60"/>
  <c r="F127" i="60"/>
  <c r="I126" i="60"/>
  <c r="K120" i="60"/>
  <c r="G120" i="60"/>
  <c r="F120" i="60"/>
  <c r="I119" i="60"/>
  <c r="K107" i="60"/>
  <c r="G107" i="60"/>
  <c r="F107" i="60"/>
  <c r="I106" i="60"/>
  <c r="K94" i="60"/>
  <c r="G94" i="60"/>
  <c r="F94" i="60"/>
  <c r="I93" i="60"/>
  <c r="K82" i="60"/>
  <c r="G82" i="60"/>
  <c r="F82" i="60"/>
  <c r="I81" i="60"/>
  <c r="K56" i="60"/>
  <c r="G56" i="60"/>
  <c r="F56" i="60"/>
  <c r="I55" i="60"/>
  <c r="K48" i="60"/>
  <c r="G48" i="60"/>
  <c r="F48" i="60"/>
  <c r="I47" i="60"/>
  <c r="K41" i="60"/>
  <c r="G41" i="60"/>
  <c r="F41" i="60"/>
  <c r="I40" i="60"/>
  <c r="K29" i="60"/>
  <c r="G29" i="60"/>
  <c r="F29" i="60"/>
  <c r="I28" i="60"/>
  <c r="K21" i="60"/>
  <c r="G21" i="60"/>
  <c r="F21" i="60"/>
  <c r="I20" i="60"/>
  <c r="B13" i="60"/>
  <c r="L12" i="60"/>
  <c r="K12" i="60"/>
  <c r="D30" i="62" s="1"/>
  <c r="G12" i="60"/>
  <c r="F12" i="60"/>
  <c r="I11" i="60"/>
  <c r="L135" i="60" l="1"/>
  <c r="E30" i="62"/>
  <c r="B14" i="60"/>
  <c r="B15" i="60" s="1"/>
  <c r="B16" i="60" s="1"/>
  <c r="L48" i="60"/>
  <c r="L141" i="60"/>
  <c r="L56" i="60"/>
  <c r="L150" i="60"/>
  <c r="L82" i="60"/>
  <c r="L160" i="60"/>
  <c r="L94" i="60"/>
  <c r="L168" i="60"/>
  <c r="L107" i="60"/>
  <c r="L21" i="60"/>
  <c r="L120" i="60"/>
  <c r="L29" i="60"/>
  <c r="L127" i="60"/>
  <c r="L41" i="60"/>
  <c r="B22" i="60" l="1"/>
  <c r="B23" i="60" s="1"/>
  <c r="B24" i="60" s="1"/>
  <c r="B30" i="60" s="1"/>
  <c r="B31" i="60" l="1"/>
  <c r="B32" i="60" s="1"/>
  <c r="B33" i="60" s="1"/>
  <c r="B34" i="60" s="1"/>
  <c r="B35" i="60" l="1"/>
  <c r="B36" i="60" l="1"/>
  <c r="B42" i="60" s="1"/>
  <c r="B43" i="60" l="1"/>
  <c r="B49" i="60" s="1"/>
  <c r="B50" i="60" s="1"/>
  <c r="B51" i="60" s="1"/>
  <c r="B57" i="60" s="1"/>
  <c r="B58" i="60" l="1"/>
  <c r="B59" i="60" s="1"/>
  <c r="B60" i="60" s="1"/>
  <c r="B61" i="60" s="1"/>
  <c r="B62" i="60" s="1"/>
  <c r="B63" i="60" s="1"/>
  <c r="B64" i="60" s="1"/>
  <c r="B65" i="60" s="1"/>
  <c r="B66" i="60" s="1"/>
  <c r="B67" i="60" s="1"/>
  <c r="B68" i="60" s="1"/>
  <c r="B69" i="60" s="1"/>
  <c r="B70" i="60" s="1"/>
  <c r="B71" i="60" s="1"/>
  <c r="B72" i="60" s="1"/>
  <c r="B73" i="60" s="1"/>
  <c r="B74" i="60" s="1"/>
  <c r="B75" i="60" s="1"/>
  <c r="B76" i="60" s="1"/>
  <c r="B77" i="60" s="1"/>
  <c r="B83" i="60" s="1"/>
  <c r="B84" i="60" l="1"/>
  <c r="B85" i="60" s="1"/>
  <c r="B86" i="60" s="1"/>
  <c r="B87" i="60" s="1"/>
  <c r="B88" i="60" s="1"/>
  <c r="B89" i="60" l="1"/>
  <c r="B95" i="60" s="1"/>
  <c r="B96" i="60" s="1"/>
  <c r="B97" i="60" s="1"/>
  <c r="B98" i="60" s="1"/>
  <c r="B99" i="60" s="1"/>
  <c r="B100" i="60" s="1"/>
  <c r="B101" i="60" l="1"/>
  <c r="B102" i="60" s="1"/>
  <c r="B108" i="60" s="1"/>
  <c r="B109" i="60" l="1"/>
  <c r="B110" i="60" s="1"/>
  <c r="B111" i="60" s="1"/>
  <c r="B112" i="60" s="1"/>
  <c r="B113" i="60" s="1"/>
  <c r="B114" i="60" s="1"/>
  <c r="B115" i="60" s="1"/>
  <c r="B121" i="60" s="1"/>
  <c r="B122" i="60" l="1"/>
  <c r="B128" i="60" s="1"/>
  <c r="B129" i="60" l="1"/>
  <c r="B130" i="60" s="1"/>
  <c r="B136" i="60" s="1"/>
  <c r="B142" i="60" l="1"/>
  <c r="B143" i="60" l="1"/>
  <c r="Q87" i="59"/>
  <c r="E170" i="60" s="1"/>
  <c r="Q88" i="59"/>
  <c r="E171" i="60" s="1"/>
  <c r="Q86" i="59"/>
  <c r="E169" i="60" s="1"/>
  <c r="F87" i="59"/>
  <c r="F88" i="59"/>
  <c r="F86" i="59"/>
  <c r="F84" i="59"/>
  <c r="F85" i="59"/>
  <c r="F83" i="59"/>
  <c r="F80" i="59"/>
  <c r="F81" i="59"/>
  <c r="F82" i="59"/>
  <c r="B145" i="60" l="1"/>
  <c r="B151" i="60" s="1"/>
  <c r="B144" i="60"/>
  <c r="F76" i="59"/>
  <c r="F77" i="59"/>
  <c r="F78" i="59"/>
  <c r="F79" i="59"/>
  <c r="F75" i="59"/>
  <c r="B152" i="60" l="1"/>
  <c r="B153" i="60" s="1"/>
  <c r="B154" i="60" s="1"/>
  <c r="B155" i="60" s="1"/>
  <c r="B161" i="60" s="1"/>
  <c r="F72" i="59"/>
  <c r="F73" i="59"/>
  <c r="F74" i="59"/>
  <c r="F71" i="59"/>
  <c r="B162" i="60" l="1"/>
  <c r="B163" i="60" s="1"/>
  <c r="B169" i="60" s="1"/>
  <c r="F70" i="59"/>
  <c r="B170" i="60" l="1"/>
  <c r="B171" i="60" s="1"/>
  <c r="F68" i="59"/>
  <c r="F69" i="59"/>
  <c r="F67" i="59"/>
  <c r="F66" i="59" l="1"/>
  <c r="F65" i="59"/>
  <c r="O17" i="56" l="1"/>
  <c r="O16" i="56"/>
  <c r="O20" i="44"/>
  <c r="O21" i="44"/>
  <c r="O22" i="44"/>
  <c r="O17" i="44"/>
  <c r="O18" i="44"/>
  <c r="O19" i="44"/>
  <c r="O16" i="44"/>
  <c r="O17" i="45"/>
  <c r="O18" i="45"/>
  <c r="O16" i="45"/>
  <c r="O20" i="47"/>
  <c r="R61" i="59" s="1"/>
  <c r="O21" i="47"/>
  <c r="R62" i="59" s="1"/>
  <c r="O22" i="47"/>
  <c r="R63" i="59" s="1"/>
  <c r="O23" i="47"/>
  <c r="R64" i="59" s="1"/>
  <c r="O18" i="47"/>
  <c r="R59" i="59" s="1"/>
  <c r="O19" i="47"/>
  <c r="R60" i="59" s="1"/>
  <c r="O17" i="47"/>
  <c r="O16" i="47"/>
  <c r="R57" i="59" s="1"/>
  <c r="R58" i="59"/>
  <c r="F58" i="59"/>
  <c r="F59" i="59"/>
  <c r="F60" i="59"/>
  <c r="F61" i="59"/>
  <c r="F62" i="59"/>
  <c r="F63" i="59"/>
  <c r="F64" i="59"/>
  <c r="F57" i="59"/>
  <c r="F56" i="59" l="1"/>
  <c r="F55" i="59"/>
  <c r="F50" i="59"/>
  <c r="F51" i="59"/>
  <c r="F52" i="59"/>
  <c r="F53" i="59"/>
  <c r="F54" i="59"/>
  <c r="F49" i="59"/>
  <c r="F48" i="59" l="1"/>
  <c r="F43" i="59"/>
  <c r="F44" i="59"/>
  <c r="F45" i="59"/>
  <c r="F46" i="59"/>
  <c r="F47" i="59"/>
  <c r="F42" i="59"/>
  <c r="M22" i="59" l="1"/>
  <c r="S58" i="60" s="1"/>
  <c r="O22" i="42" l="1"/>
  <c r="R48" i="59" s="1"/>
  <c r="O21" i="42"/>
  <c r="R47" i="59" s="1"/>
  <c r="O19" i="42"/>
  <c r="R45" i="59" s="1"/>
  <c r="O20" i="42"/>
  <c r="R46" i="59" s="1"/>
  <c r="O17" i="42"/>
  <c r="R43" i="59" s="1"/>
  <c r="O18" i="42"/>
  <c r="R44" i="59" s="1"/>
  <c r="O16" i="42"/>
  <c r="R42" i="59" s="1"/>
  <c r="O35" i="41"/>
  <c r="O36" i="41"/>
  <c r="O32" i="41"/>
  <c r="O33" i="41"/>
  <c r="O34" i="41"/>
  <c r="O30" i="41"/>
  <c r="O31" i="41"/>
  <c r="O29" i="41"/>
  <c r="O28" i="41"/>
  <c r="O27" i="41"/>
  <c r="O26" i="41"/>
  <c r="O25" i="41"/>
  <c r="O24" i="41"/>
  <c r="O22" i="41"/>
  <c r="O23" i="41"/>
  <c r="O21" i="41"/>
  <c r="O20" i="41"/>
  <c r="O19" i="41"/>
  <c r="O17" i="41"/>
  <c r="O18" i="41"/>
  <c r="O16" i="41"/>
  <c r="R32" i="59" l="1"/>
  <c r="R14" i="59"/>
  <c r="R15" i="59"/>
  <c r="R16" i="59"/>
  <c r="R17" i="59"/>
  <c r="R18" i="59"/>
  <c r="F21" i="59" l="1"/>
  <c r="F22" i="59"/>
  <c r="F23" i="59"/>
  <c r="F24" i="59"/>
  <c r="F25" i="59"/>
  <c r="F26" i="59"/>
  <c r="F27" i="59"/>
  <c r="F28" i="59"/>
  <c r="F29" i="59"/>
  <c r="F30" i="59"/>
  <c r="F31" i="59"/>
  <c r="F32" i="59"/>
  <c r="F33" i="59"/>
  <c r="F34" i="59"/>
  <c r="F35" i="59"/>
  <c r="F36" i="59"/>
  <c r="F37" i="59"/>
  <c r="F38" i="59"/>
  <c r="F39" i="59"/>
  <c r="F40" i="59"/>
  <c r="F41" i="59"/>
  <c r="F19" i="59" l="1"/>
  <c r="F20" i="59"/>
  <c r="F12" i="59" l="1"/>
  <c r="F13" i="59"/>
  <c r="F14" i="59"/>
  <c r="F15" i="59"/>
  <c r="F16" i="59"/>
  <c r="F17" i="59"/>
  <c r="F18" i="59"/>
  <c r="F9" i="59" l="1"/>
  <c r="F10" i="59"/>
  <c r="F11" i="59"/>
  <c r="F6" i="59" l="1"/>
  <c r="F7" i="59"/>
  <c r="F8" i="59"/>
  <c r="F5" i="59"/>
  <c r="N103" i="59" l="1"/>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M91" i="59"/>
  <c r="L91" i="59"/>
  <c r="K91" i="59"/>
  <c r="J91" i="59"/>
  <c r="N90" i="59"/>
  <c r="M90" i="59"/>
  <c r="L90" i="59"/>
  <c r="K90" i="59"/>
  <c r="J90" i="59"/>
  <c r="N89" i="59"/>
  <c r="M89" i="59"/>
  <c r="L89" i="59"/>
  <c r="K89" i="59"/>
  <c r="J89" i="59"/>
  <c r="N88" i="59"/>
  <c r="T171" i="60" s="1"/>
  <c r="M88" i="59"/>
  <c r="S171" i="60" s="1"/>
  <c r="L88" i="59"/>
  <c r="R171" i="60" s="1"/>
  <c r="K88" i="59"/>
  <c r="Q171" i="60" s="1"/>
  <c r="J88" i="59"/>
  <c r="P171" i="60" s="1"/>
  <c r="N87" i="59"/>
  <c r="T170" i="60" s="1"/>
  <c r="M87" i="59"/>
  <c r="S170" i="60" s="1"/>
  <c r="L87" i="59"/>
  <c r="R170" i="60" s="1"/>
  <c r="K87" i="59"/>
  <c r="Q170" i="60" s="1"/>
  <c r="J87" i="59"/>
  <c r="P170" i="60" s="1"/>
  <c r="N86" i="59"/>
  <c r="T169" i="60" s="1"/>
  <c r="M86" i="59"/>
  <c r="S169" i="60" s="1"/>
  <c r="L86" i="59"/>
  <c r="R169" i="60" s="1"/>
  <c r="K86" i="59"/>
  <c r="Q169" i="60" s="1"/>
  <c r="J86" i="59"/>
  <c r="P169" i="60" s="1"/>
  <c r="N85" i="59"/>
  <c r="T163" i="60" s="1"/>
  <c r="M85" i="59"/>
  <c r="S163" i="60" s="1"/>
  <c r="L85" i="59"/>
  <c r="R163" i="60" s="1"/>
  <c r="K85" i="59"/>
  <c r="Q163" i="60" s="1"/>
  <c r="J85" i="59"/>
  <c r="P163" i="60" s="1"/>
  <c r="N84" i="59"/>
  <c r="T162" i="60" s="1"/>
  <c r="M84" i="59"/>
  <c r="S162" i="60" s="1"/>
  <c r="L84" i="59"/>
  <c r="R162" i="60" s="1"/>
  <c r="K84" i="59"/>
  <c r="Q162" i="60" s="1"/>
  <c r="J84" i="59"/>
  <c r="P162" i="60" s="1"/>
  <c r="N83" i="59"/>
  <c r="T161" i="60" s="1"/>
  <c r="M83" i="59"/>
  <c r="S161" i="60" s="1"/>
  <c r="L83" i="59"/>
  <c r="R161" i="60" s="1"/>
  <c r="K83" i="59"/>
  <c r="Q161" i="60" s="1"/>
  <c r="J83" i="59"/>
  <c r="P161" i="60" s="1"/>
  <c r="N82" i="59"/>
  <c r="T51" i="60" s="1"/>
  <c r="M82" i="59"/>
  <c r="S51" i="60" s="1"/>
  <c r="L82" i="59"/>
  <c r="R51" i="60" s="1"/>
  <c r="K82" i="59"/>
  <c r="Q51" i="60" s="1"/>
  <c r="J82" i="59"/>
  <c r="P51" i="60" s="1"/>
  <c r="N81" i="59"/>
  <c r="T50" i="60" s="1"/>
  <c r="M81" i="59"/>
  <c r="S50" i="60" s="1"/>
  <c r="L81" i="59"/>
  <c r="R50" i="60" s="1"/>
  <c r="K81" i="59"/>
  <c r="Q50" i="60" s="1"/>
  <c r="J81" i="59"/>
  <c r="P50" i="60" s="1"/>
  <c r="N80" i="59"/>
  <c r="T49" i="60" s="1"/>
  <c r="M80" i="59"/>
  <c r="S49" i="60" s="1"/>
  <c r="L80" i="59"/>
  <c r="R49" i="60" s="1"/>
  <c r="K80" i="59"/>
  <c r="Q49" i="60" s="1"/>
  <c r="J80" i="59"/>
  <c r="P49" i="60" s="1"/>
  <c r="N79" i="59"/>
  <c r="T155" i="60" s="1"/>
  <c r="M79" i="59"/>
  <c r="S155" i="60" s="1"/>
  <c r="L79" i="59"/>
  <c r="R155" i="60" s="1"/>
  <c r="K79" i="59"/>
  <c r="Q155" i="60" s="1"/>
  <c r="J79" i="59"/>
  <c r="P155" i="60" s="1"/>
  <c r="N78" i="59"/>
  <c r="T154" i="60" s="1"/>
  <c r="M78" i="59"/>
  <c r="S154" i="60" s="1"/>
  <c r="L78" i="59"/>
  <c r="R154" i="60" s="1"/>
  <c r="K78" i="59"/>
  <c r="Q154" i="60" s="1"/>
  <c r="J78" i="59"/>
  <c r="P154" i="60" s="1"/>
  <c r="N77" i="59"/>
  <c r="T153" i="60" s="1"/>
  <c r="M77" i="59"/>
  <c r="S153" i="60" s="1"/>
  <c r="L77" i="59"/>
  <c r="R153" i="60" s="1"/>
  <c r="K77" i="59"/>
  <c r="Q153" i="60" s="1"/>
  <c r="J77" i="59"/>
  <c r="P153" i="60" s="1"/>
  <c r="N76" i="59"/>
  <c r="T152" i="60" s="1"/>
  <c r="M76" i="59"/>
  <c r="S152" i="60" s="1"/>
  <c r="L76" i="59"/>
  <c r="R152" i="60" s="1"/>
  <c r="K76" i="59"/>
  <c r="Q152" i="60" s="1"/>
  <c r="J76" i="59"/>
  <c r="P152" i="60" s="1"/>
  <c r="N75" i="59"/>
  <c r="T151" i="60" s="1"/>
  <c r="M75" i="59"/>
  <c r="S151" i="60" s="1"/>
  <c r="L75" i="59"/>
  <c r="R151" i="60" s="1"/>
  <c r="K75" i="59"/>
  <c r="Q151" i="60" s="1"/>
  <c r="J75" i="59"/>
  <c r="P151" i="60" s="1"/>
  <c r="N74" i="59"/>
  <c r="T145" i="60" s="1"/>
  <c r="M74" i="59"/>
  <c r="S145" i="60" s="1"/>
  <c r="L74" i="59"/>
  <c r="R145" i="60" s="1"/>
  <c r="K74" i="59"/>
  <c r="Q145" i="60" s="1"/>
  <c r="J74" i="59"/>
  <c r="P145" i="60" s="1"/>
  <c r="N73" i="59"/>
  <c r="T144" i="60" s="1"/>
  <c r="M73" i="59"/>
  <c r="S144" i="60" s="1"/>
  <c r="L73" i="59"/>
  <c r="R144" i="60" s="1"/>
  <c r="K73" i="59"/>
  <c r="Q144" i="60" s="1"/>
  <c r="J73" i="59"/>
  <c r="P144" i="60" s="1"/>
  <c r="N72" i="59"/>
  <c r="T143" i="60" s="1"/>
  <c r="M72" i="59"/>
  <c r="S143" i="60" s="1"/>
  <c r="L72" i="59"/>
  <c r="R143" i="60" s="1"/>
  <c r="K72" i="59"/>
  <c r="Q143" i="60" s="1"/>
  <c r="J72" i="59"/>
  <c r="P143" i="60" s="1"/>
  <c r="N71" i="59"/>
  <c r="T142" i="60" s="1"/>
  <c r="M71" i="59"/>
  <c r="S142" i="60" s="1"/>
  <c r="L71" i="59"/>
  <c r="R142" i="60" s="1"/>
  <c r="K71" i="59"/>
  <c r="Q142" i="60" s="1"/>
  <c r="J71" i="59"/>
  <c r="P142" i="60" s="1"/>
  <c r="N70" i="59"/>
  <c r="T136" i="60" s="1"/>
  <c r="M70" i="59"/>
  <c r="S136" i="60" s="1"/>
  <c r="L70" i="59"/>
  <c r="R136" i="60" s="1"/>
  <c r="K70" i="59"/>
  <c r="Q136" i="60" s="1"/>
  <c r="J70" i="59"/>
  <c r="P136" i="60" s="1"/>
  <c r="N69" i="59"/>
  <c r="M69" i="59"/>
  <c r="L69" i="59"/>
  <c r="K69" i="59"/>
  <c r="J69" i="59"/>
  <c r="N68" i="59"/>
  <c r="M68" i="59"/>
  <c r="L68" i="59"/>
  <c r="K68" i="59"/>
  <c r="J68" i="59"/>
  <c r="N67" i="59"/>
  <c r="T128" i="60" s="1"/>
  <c r="M67" i="59"/>
  <c r="S128" i="60" s="1"/>
  <c r="L67" i="59"/>
  <c r="R128" i="60" s="1"/>
  <c r="K67" i="59"/>
  <c r="Q128" i="60" s="1"/>
  <c r="J67" i="59"/>
  <c r="P128" i="60" s="1"/>
  <c r="N66" i="59"/>
  <c r="M66" i="59"/>
  <c r="L66" i="59"/>
  <c r="K66" i="59"/>
  <c r="J66" i="59"/>
  <c r="N65" i="59"/>
  <c r="M65" i="59"/>
  <c r="L65" i="59"/>
  <c r="K65" i="59"/>
  <c r="J65" i="59"/>
  <c r="N64" i="59"/>
  <c r="T115" i="60" s="1"/>
  <c r="M64" i="59"/>
  <c r="S115" i="60" s="1"/>
  <c r="L64" i="59"/>
  <c r="R115" i="60" s="1"/>
  <c r="K64" i="59"/>
  <c r="Q115" i="60" s="1"/>
  <c r="J64" i="59"/>
  <c r="P115" i="60" s="1"/>
  <c r="N63" i="59"/>
  <c r="T114" i="60" s="1"/>
  <c r="M63" i="59"/>
  <c r="S114" i="60" s="1"/>
  <c r="L63" i="59"/>
  <c r="R114" i="60" s="1"/>
  <c r="K63" i="59"/>
  <c r="Q114" i="60" s="1"/>
  <c r="J63" i="59"/>
  <c r="P114" i="60" s="1"/>
  <c r="N62" i="59"/>
  <c r="T113" i="60" s="1"/>
  <c r="M62" i="59"/>
  <c r="S113" i="60" s="1"/>
  <c r="L62" i="59"/>
  <c r="R113" i="60" s="1"/>
  <c r="K62" i="59"/>
  <c r="Q113" i="60" s="1"/>
  <c r="J62" i="59"/>
  <c r="P113" i="60" s="1"/>
  <c r="N61" i="59"/>
  <c r="T112" i="60" s="1"/>
  <c r="M61" i="59"/>
  <c r="S112" i="60" s="1"/>
  <c r="L61" i="59"/>
  <c r="R112" i="60" s="1"/>
  <c r="K61" i="59"/>
  <c r="Q112" i="60" s="1"/>
  <c r="J61" i="59"/>
  <c r="P112" i="60" s="1"/>
  <c r="N60" i="59"/>
  <c r="T111" i="60" s="1"/>
  <c r="M60" i="59"/>
  <c r="S111" i="60" s="1"/>
  <c r="L60" i="59"/>
  <c r="R111" i="60" s="1"/>
  <c r="K60" i="59"/>
  <c r="Q111" i="60" s="1"/>
  <c r="J60" i="59"/>
  <c r="P111" i="60" s="1"/>
  <c r="N59" i="59"/>
  <c r="T110" i="60" s="1"/>
  <c r="M59" i="59"/>
  <c r="S110" i="60" s="1"/>
  <c r="L59" i="59"/>
  <c r="R110" i="60" s="1"/>
  <c r="K59" i="59"/>
  <c r="Q110" i="60" s="1"/>
  <c r="J59" i="59"/>
  <c r="P110" i="60" s="1"/>
  <c r="N58" i="59"/>
  <c r="T109" i="60" s="1"/>
  <c r="M58" i="59"/>
  <c r="S109" i="60" s="1"/>
  <c r="L58" i="59"/>
  <c r="R109" i="60" s="1"/>
  <c r="K58" i="59"/>
  <c r="Q109" i="60" s="1"/>
  <c r="J58" i="59"/>
  <c r="P109" i="60" s="1"/>
  <c r="N57" i="59"/>
  <c r="T108" i="60" s="1"/>
  <c r="M57" i="59"/>
  <c r="S108" i="60" s="1"/>
  <c r="L57" i="59"/>
  <c r="R108" i="60" s="1"/>
  <c r="K57" i="59"/>
  <c r="Q108" i="60" s="1"/>
  <c r="J57" i="59"/>
  <c r="P108" i="60" s="1"/>
  <c r="N56" i="59"/>
  <c r="T102" i="60" s="1"/>
  <c r="M56" i="59"/>
  <c r="S102" i="60" s="1"/>
  <c r="L56" i="59"/>
  <c r="R102" i="60" s="1"/>
  <c r="K56" i="59"/>
  <c r="Q102" i="60" s="1"/>
  <c r="J56" i="59"/>
  <c r="P102" i="60" s="1"/>
  <c r="N55" i="59"/>
  <c r="T101" i="60" s="1"/>
  <c r="M55" i="59"/>
  <c r="S101" i="60" s="1"/>
  <c r="L55" i="59"/>
  <c r="R101" i="60" s="1"/>
  <c r="K55" i="59"/>
  <c r="Q101" i="60" s="1"/>
  <c r="J55" i="59"/>
  <c r="P101" i="60" s="1"/>
  <c r="N54" i="59"/>
  <c r="T100" i="60" s="1"/>
  <c r="M54" i="59"/>
  <c r="S100" i="60" s="1"/>
  <c r="L54" i="59"/>
  <c r="R100" i="60" s="1"/>
  <c r="K54" i="59"/>
  <c r="Q100" i="60" s="1"/>
  <c r="J54" i="59"/>
  <c r="P100" i="60" s="1"/>
  <c r="N53" i="59"/>
  <c r="T99" i="60" s="1"/>
  <c r="M53" i="59"/>
  <c r="S99" i="60" s="1"/>
  <c r="L53" i="59"/>
  <c r="R99" i="60" s="1"/>
  <c r="K53" i="59"/>
  <c r="Q99" i="60" s="1"/>
  <c r="J53" i="59"/>
  <c r="P99" i="60" s="1"/>
  <c r="N52" i="59"/>
  <c r="T98" i="60" s="1"/>
  <c r="M52" i="59"/>
  <c r="S98" i="60" s="1"/>
  <c r="L52" i="59"/>
  <c r="R98" i="60" s="1"/>
  <c r="K52" i="59"/>
  <c r="Q98" i="60" s="1"/>
  <c r="J52" i="59"/>
  <c r="P98" i="60" s="1"/>
  <c r="N51" i="59"/>
  <c r="T97" i="60" s="1"/>
  <c r="M51" i="59"/>
  <c r="S97" i="60" s="1"/>
  <c r="L51" i="59"/>
  <c r="R97" i="60" s="1"/>
  <c r="K51" i="59"/>
  <c r="Q97" i="60" s="1"/>
  <c r="J51" i="59"/>
  <c r="P97" i="60" s="1"/>
  <c r="N50" i="59"/>
  <c r="T96" i="60" s="1"/>
  <c r="M50" i="59"/>
  <c r="S96" i="60" s="1"/>
  <c r="L50" i="59"/>
  <c r="R96" i="60" s="1"/>
  <c r="K50" i="59"/>
  <c r="Q96" i="60" s="1"/>
  <c r="J50" i="59"/>
  <c r="P96" i="60" s="1"/>
  <c r="N49" i="59"/>
  <c r="T95" i="60" s="1"/>
  <c r="M49" i="59"/>
  <c r="S95" i="60" s="1"/>
  <c r="L49" i="59"/>
  <c r="R95" i="60" s="1"/>
  <c r="K49" i="59"/>
  <c r="Q95" i="60" s="1"/>
  <c r="J49" i="59"/>
  <c r="P95" i="60" s="1"/>
  <c r="N48" i="59"/>
  <c r="T89" i="60" s="1"/>
  <c r="M48" i="59"/>
  <c r="S89" i="60" s="1"/>
  <c r="L48" i="59"/>
  <c r="R89" i="60" s="1"/>
  <c r="K48" i="59"/>
  <c r="Q89" i="60" s="1"/>
  <c r="J48" i="59"/>
  <c r="P89" i="60" s="1"/>
  <c r="N47" i="59"/>
  <c r="T88" i="60" s="1"/>
  <c r="M47" i="59"/>
  <c r="S88" i="60" s="1"/>
  <c r="L47" i="59"/>
  <c r="R88" i="60" s="1"/>
  <c r="K47" i="59"/>
  <c r="Q88" i="60" s="1"/>
  <c r="J47" i="59"/>
  <c r="P88" i="60" s="1"/>
  <c r="N46" i="59"/>
  <c r="T87" i="60" s="1"/>
  <c r="M46" i="59"/>
  <c r="S87" i="60" s="1"/>
  <c r="L46" i="59"/>
  <c r="R87" i="60" s="1"/>
  <c r="K46" i="59"/>
  <c r="Q87" i="60" s="1"/>
  <c r="J46" i="59"/>
  <c r="P87" i="60" s="1"/>
  <c r="N45" i="59"/>
  <c r="T86" i="60" s="1"/>
  <c r="M45" i="59"/>
  <c r="S86" i="60" s="1"/>
  <c r="L45" i="59"/>
  <c r="R86" i="60" s="1"/>
  <c r="K45" i="59"/>
  <c r="Q86" i="60" s="1"/>
  <c r="J45" i="59"/>
  <c r="P86" i="60" s="1"/>
  <c r="N44" i="59"/>
  <c r="T85" i="60" s="1"/>
  <c r="M44" i="59"/>
  <c r="S85" i="60" s="1"/>
  <c r="L44" i="59"/>
  <c r="R85" i="60" s="1"/>
  <c r="K44" i="59"/>
  <c r="Q85" i="60" s="1"/>
  <c r="J44" i="59"/>
  <c r="P85" i="60" s="1"/>
  <c r="N43" i="59"/>
  <c r="T84" i="60" s="1"/>
  <c r="M43" i="59"/>
  <c r="S84" i="60" s="1"/>
  <c r="L43" i="59"/>
  <c r="R84" i="60" s="1"/>
  <c r="K43" i="59"/>
  <c r="Q84" i="60" s="1"/>
  <c r="J43" i="59"/>
  <c r="P84" i="60" s="1"/>
  <c r="N42" i="59"/>
  <c r="T83" i="60" s="1"/>
  <c r="M42" i="59"/>
  <c r="S83" i="60" s="1"/>
  <c r="L42" i="59"/>
  <c r="R83" i="60" s="1"/>
  <c r="K42" i="59"/>
  <c r="Q83" i="60" s="1"/>
  <c r="J42" i="59"/>
  <c r="P83" i="60" s="1"/>
  <c r="N41" i="59"/>
  <c r="T77" i="60" s="1"/>
  <c r="M41" i="59"/>
  <c r="S77" i="60" s="1"/>
  <c r="L41" i="59"/>
  <c r="R77" i="60" s="1"/>
  <c r="K41" i="59"/>
  <c r="Q77" i="60" s="1"/>
  <c r="J41" i="59"/>
  <c r="P77" i="60" s="1"/>
  <c r="N40" i="59"/>
  <c r="T76" i="60" s="1"/>
  <c r="M40" i="59"/>
  <c r="S76" i="60" s="1"/>
  <c r="L40" i="59"/>
  <c r="R76" i="60" s="1"/>
  <c r="K40" i="59"/>
  <c r="Q76" i="60" s="1"/>
  <c r="J40" i="59"/>
  <c r="P76" i="60" s="1"/>
  <c r="N39" i="59"/>
  <c r="T75" i="60" s="1"/>
  <c r="M39" i="59"/>
  <c r="S75" i="60" s="1"/>
  <c r="L39" i="59"/>
  <c r="R75" i="60" s="1"/>
  <c r="K39" i="59"/>
  <c r="Q75" i="60" s="1"/>
  <c r="J39" i="59"/>
  <c r="P75" i="60" s="1"/>
  <c r="N38" i="59"/>
  <c r="T74" i="60" s="1"/>
  <c r="M38" i="59"/>
  <c r="S74" i="60" s="1"/>
  <c r="L38" i="59"/>
  <c r="R74" i="60" s="1"/>
  <c r="K38" i="59"/>
  <c r="Q74" i="60" s="1"/>
  <c r="J38" i="59"/>
  <c r="P74" i="60" s="1"/>
  <c r="N37" i="59"/>
  <c r="T73" i="60" s="1"/>
  <c r="M37" i="59"/>
  <c r="S73" i="60" s="1"/>
  <c r="L37" i="59"/>
  <c r="R73" i="60" s="1"/>
  <c r="K37" i="59"/>
  <c r="Q73" i="60" s="1"/>
  <c r="J37" i="59"/>
  <c r="P73" i="60" s="1"/>
  <c r="N36" i="59"/>
  <c r="T72" i="60" s="1"/>
  <c r="M36" i="59"/>
  <c r="S72" i="60" s="1"/>
  <c r="L36" i="59"/>
  <c r="R72" i="60" s="1"/>
  <c r="K36" i="59"/>
  <c r="Q72" i="60" s="1"/>
  <c r="J36" i="59"/>
  <c r="P72" i="60" s="1"/>
  <c r="N35" i="59"/>
  <c r="T71" i="60" s="1"/>
  <c r="M35" i="59"/>
  <c r="S71" i="60" s="1"/>
  <c r="L35" i="59"/>
  <c r="R71" i="60" s="1"/>
  <c r="K35" i="59"/>
  <c r="Q71" i="60" s="1"/>
  <c r="J35" i="59"/>
  <c r="P71" i="60" s="1"/>
  <c r="N34" i="59"/>
  <c r="T70" i="60" s="1"/>
  <c r="M34" i="59"/>
  <c r="S70" i="60" s="1"/>
  <c r="L34" i="59"/>
  <c r="R70" i="60" s="1"/>
  <c r="K34" i="59"/>
  <c r="Q70" i="60" s="1"/>
  <c r="J34" i="59"/>
  <c r="P70" i="60" s="1"/>
  <c r="N33" i="59"/>
  <c r="T69" i="60" s="1"/>
  <c r="M33" i="59"/>
  <c r="S69" i="60" s="1"/>
  <c r="L33" i="59"/>
  <c r="R69" i="60" s="1"/>
  <c r="K33" i="59"/>
  <c r="Q69" i="60" s="1"/>
  <c r="J33" i="59"/>
  <c r="P69" i="60" s="1"/>
  <c r="N32" i="59"/>
  <c r="T68" i="60" s="1"/>
  <c r="M32" i="59"/>
  <c r="S68" i="60" s="1"/>
  <c r="L32" i="59"/>
  <c r="R68" i="60" s="1"/>
  <c r="K32" i="59"/>
  <c r="Q68" i="60" s="1"/>
  <c r="J32" i="59"/>
  <c r="P68" i="60" s="1"/>
  <c r="N31" i="59"/>
  <c r="T67" i="60" s="1"/>
  <c r="M31" i="59"/>
  <c r="S67" i="60" s="1"/>
  <c r="L31" i="59"/>
  <c r="R67" i="60" s="1"/>
  <c r="K31" i="59"/>
  <c r="Q67" i="60" s="1"/>
  <c r="J31" i="59"/>
  <c r="P67" i="60" s="1"/>
  <c r="N30" i="59"/>
  <c r="T66" i="60" s="1"/>
  <c r="M30" i="59"/>
  <c r="S66" i="60" s="1"/>
  <c r="L30" i="59"/>
  <c r="R66" i="60" s="1"/>
  <c r="K30" i="59"/>
  <c r="Q66" i="60" s="1"/>
  <c r="J30" i="59"/>
  <c r="P66" i="60" s="1"/>
  <c r="N29" i="59"/>
  <c r="T65" i="60" s="1"/>
  <c r="M29" i="59"/>
  <c r="S65" i="60" s="1"/>
  <c r="L29" i="59"/>
  <c r="R65" i="60" s="1"/>
  <c r="K29" i="59"/>
  <c r="Q65" i="60" s="1"/>
  <c r="J29" i="59"/>
  <c r="P65" i="60" s="1"/>
  <c r="N28" i="59"/>
  <c r="T64" i="60" s="1"/>
  <c r="M28" i="59"/>
  <c r="S64" i="60" s="1"/>
  <c r="L28" i="59"/>
  <c r="R64" i="60" s="1"/>
  <c r="K28" i="59"/>
  <c r="Q64" i="60" s="1"/>
  <c r="J28" i="59"/>
  <c r="P64" i="60" s="1"/>
  <c r="N27" i="59"/>
  <c r="T63" i="60" s="1"/>
  <c r="M27" i="59"/>
  <c r="S63" i="60" s="1"/>
  <c r="L27" i="59"/>
  <c r="R63" i="60" s="1"/>
  <c r="K27" i="59"/>
  <c r="Q63" i="60" s="1"/>
  <c r="J27" i="59"/>
  <c r="P63" i="60" s="1"/>
  <c r="N26" i="59"/>
  <c r="T62" i="60" s="1"/>
  <c r="M26" i="59"/>
  <c r="S62" i="60" s="1"/>
  <c r="L26" i="59"/>
  <c r="R62" i="60" s="1"/>
  <c r="K26" i="59"/>
  <c r="Q62" i="60" s="1"/>
  <c r="J26" i="59"/>
  <c r="P62" i="60" s="1"/>
  <c r="N25" i="59"/>
  <c r="T61" i="60" s="1"/>
  <c r="M25" i="59"/>
  <c r="S61" i="60" s="1"/>
  <c r="L25" i="59"/>
  <c r="R61" i="60" s="1"/>
  <c r="K25" i="59"/>
  <c r="Q61" i="60" s="1"/>
  <c r="J25" i="59"/>
  <c r="P61" i="60" s="1"/>
  <c r="N24" i="59"/>
  <c r="T60" i="60" s="1"/>
  <c r="M24" i="59"/>
  <c r="S60" i="60" s="1"/>
  <c r="L24" i="59"/>
  <c r="R60" i="60" s="1"/>
  <c r="K24" i="59"/>
  <c r="Q60" i="60" s="1"/>
  <c r="J24" i="59"/>
  <c r="P60" i="60" s="1"/>
  <c r="N23" i="59"/>
  <c r="T59" i="60" s="1"/>
  <c r="M23" i="59"/>
  <c r="S59" i="60" s="1"/>
  <c r="L23" i="59"/>
  <c r="R59" i="60" s="1"/>
  <c r="K23" i="59"/>
  <c r="Q59" i="60" s="1"/>
  <c r="J23" i="59"/>
  <c r="P59" i="60" s="1"/>
  <c r="N22" i="59"/>
  <c r="T58" i="60" s="1"/>
  <c r="L22" i="59"/>
  <c r="R58" i="60" s="1"/>
  <c r="K22" i="59"/>
  <c r="Q58" i="60" s="1"/>
  <c r="J22" i="59"/>
  <c r="P58" i="60" s="1"/>
  <c r="N21" i="59"/>
  <c r="T57" i="60" s="1"/>
  <c r="M21" i="59"/>
  <c r="S57" i="60" s="1"/>
  <c r="L21" i="59"/>
  <c r="R57" i="60" s="1"/>
  <c r="K21" i="59"/>
  <c r="Q57" i="60" s="1"/>
  <c r="J21" i="59"/>
  <c r="P57" i="60" s="1"/>
  <c r="N20" i="59"/>
  <c r="T43" i="60" s="1"/>
  <c r="M20" i="59"/>
  <c r="S43" i="60" s="1"/>
  <c r="L20" i="59"/>
  <c r="R43" i="60" s="1"/>
  <c r="K20" i="59"/>
  <c r="Q43" i="60" s="1"/>
  <c r="J20" i="59"/>
  <c r="P43" i="60" s="1"/>
  <c r="N19" i="59"/>
  <c r="T42" i="60" s="1"/>
  <c r="M19" i="59"/>
  <c r="S42" i="60" s="1"/>
  <c r="L19" i="59"/>
  <c r="R42" i="60" s="1"/>
  <c r="K19" i="59"/>
  <c r="Q42" i="60" s="1"/>
  <c r="J19" i="59"/>
  <c r="P42" i="60" s="1"/>
  <c r="N18" i="59"/>
  <c r="T36" i="60" s="1"/>
  <c r="M18" i="59"/>
  <c r="S36" i="60" s="1"/>
  <c r="L18" i="59"/>
  <c r="R36" i="60" s="1"/>
  <c r="K18" i="59"/>
  <c r="Q36" i="60" s="1"/>
  <c r="J18" i="59"/>
  <c r="P36" i="60" s="1"/>
  <c r="N17" i="59"/>
  <c r="T35" i="60" s="1"/>
  <c r="M17" i="59"/>
  <c r="S35" i="60" s="1"/>
  <c r="L17" i="59"/>
  <c r="R35" i="60" s="1"/>
  <c r="K17" i="59"/>
  <c r="Q35" i="60" s="1"/>
  <c r="J17" i="59"/>
  <c r="P35" i="60" s="1"/>
  <c r="N16" i="59"/>
  <c r="T34" i="60" s="1"/>
  <c r="M16" i="59"/>
  <c r="S34" i="60" s="1"/>
  <c r="L16" i="59"/>
  <c r="R34" i="60" s="1"/>
  <c r="K16" i="59"/>
  <c r="Q34" i="60" s="1"/>
  <c r="J16" i="59"/>
  <c r="P34" i="60" s="1"/>
  <c r="N15" i="59"/>
  <c r="T33" i="60" s="1"/>
  <c r="M15" i="59"/>
  <c r="S33" i="60" s="1"/>
  <c r="L15" i="59"/>
  <c r="R33" i="60" s="1"/>
  <c r="K15" i="59"/>
  <c r="Q33" i="60" s="1"/>
  <c r="J15" i="59"/>
  <c r="P33" i="60" s="1"/>
  <c r="N14" i="59"/>
  <c r="T32" i="60" s="1"/>
  <c r="M14" i="59"/>
  <c r="S32" i="60" s="1"/>
  <c r="L14" i="59"/>
  <c r="R32" i="60" s="1"/>
  <c r="K14" i="59"/>
  <c r="Q32" i="60" s="1"/>
  <c r="J14" i="59"/>
  <c r="P32" i="60" s="1"/>
  <c r="N13" i="59"/>
  <c r="T31" i="60" s="1"/>
  <c r="M13" i="59"/>
  <c r="S31" i="60" s="1"/>
  <c r="L13" i="59"/>
  <c r="R31" i="60" s="1"/>
  <c r="K13" i="59"/>
  <c r="Q31" i="60" s="1"/>
  <c r="J13" i="59"/>
  <c r="P31" i="60" s="1"/>
  <c r="N12" i="59"/>
  <c r="T30" i="60" s="1"/>
  <c r="M12" i="59"/>
  <c r="S30" i="60" s="1"/>
  <c r="L12" i="59"/>
  <c r="R30" i="60" s="1"/>
  <c r="K12" i="59"/>
  <c r="Q30" i="60" s="1"/>
  <c r="J12" i="59"/>
  <c r="P30" i="60" s="1"/>
  <c r="N11" i="59"/>
  <c r="T24" i="60" s="1"/>
  <c r="M11" i="59"/>
  <c r="S24" i="60" s="1"/>
  <c r="L11" i="59"/>
  <c r="R24" i="60" s="1"/>
  <c r="K11" i="59"/>
  <c r="Q24" i="60" s="1"/>
  <c r="J11" i="59"/>
  <c r="P24" i="60" s="1"/>
  <c r="N10" i="59"/>
  <c r="T23" i="60" s="1"/>
  <c r="M10" i="59"/>
  <c r="S23" i="60" s="1"/>
  <c r="L10" i="59"/>
  <c r="R23" i="60" s="1"/>
  <c r="K10" i="59"/>
  <c r="Q23" i="60" s="1"/>
  <c r="J10" i="59"/>
  <c r="P23" i="60" s="1"/>
  <c r="N9" i="59"/>
  <c r="T22" i="60" s="1"/>
  <c r="M9" i="59"/>
  <c r="S22" i="60" s="1"/>
  <c r="L9" i="59"/>
  <c r="R22" i="60" s="1"/>
  <c r="K9" i="59"/>
  <c r="Q22" i="60" s="1"/>
  <c r="J9" i="59"/>
  <c r="P22" i="60" s="1"/>
  <c r="N8" i="59"/>
  <c r="T16" i="60" s="1"/>
  <c r="M8" i="59"/>
  <c r="S16" i="60" s="1"/>
  <c r="L8" i="59"/>
  <c r="R16" i="60" s="1"/>
  <c r="K8" i="59"/>
  <c r="Q16" i="60" s="1"/>
  <c r="J8" i="59"/>
  <c r="P16" i="60" s="1"/>
  <c r="N7" i="59"/>
  <c r="T15" i="60" s="1"/>
  <c r="M7" i="59"/>
  <c r="S15" i="60" s="1"/>
  <c r="L7" i="59"/>
  <c r="R15" i="60" s="1"/>
  <c r="K7" i="59"/>
  <c r="Q15" i="60" s="1"/>
  <c r="J7" i="59"/>
  <c r="P15" i="60" s="1"/>
  <c r="N6" i="59"/>
  <c r="T14" i="60" s="1"/>
  <c r="M6" i="59"/>
  <c r="S14" i="60" s="1"/>
  <c r="L6" i="59"/>
  <c r="R14" i="60" s="1"/>
  <c r="K6" i="59"/>
  <c r="Q14" i="60" s="1"/>
  <c r="J6" i="59"/>
  <c r="P14" i="60" s="1"/>
  <c r="B6" i="59"/>
  <c r="N5" i="59"/>
  <c r="T13" i="60" s="1"/>
  <c r="M5" i="59"/>
  <c r="S13" i="60" s="1"/>
  <c r="L5" i="59"/>
  <c r="R13" i="60" s="1"/>
  <c r="K5" i="59"/>
  <c r="Q13" i="60" s="1"/>
  <c r="J5" i="59"/>
  <c r="P13" i="60" s="1"/>
  <c r="P122" i="60" l="1"/>
  <c r="P130" i="60"/>
  <c r="Q122" i="60"/>
  <c r="Q130" i="60"/>
  <c r="R122" i="60"/>
  <c r="R130" i="60"/>
  <c r="T129" i="60"/>
  <c r="T121" i="60"/>
  <c r="P121" i="60"/>
  <c r="P129" i="60"/>
  <c r="S130" i="60"/>
  <c r="S122" i="60"/>
  <c r="B7" i="59"/>
  <c r="B8" i="59" s="1"/>
  <c r="D108" i="59"/>
  <c r="Q129" i="60"/>
  <c r="Q121" i="60"/>
  <c r="T130" i="60"/>
  <c r="T122" i="60"/>
  <c r="R129" i="60"/>
  <c r="R121" i="60"/>
  <c r="S129" i="60"/>
  <c r="S121" i="60"/>
  <c r="B9" i="59"/>
  <c r="V75" i="58"/>
  <c r="T75" i="58"/>
  <c r="W69" i="58"/>
  <c r="C32" i="62" l="1"/>
  <c r="C55" i="62" s="1"/>
  <c r="B10" i="59"/>
  <c r="B11" i="59" s="1"/>
  <c r="B12" i="59" s="1"/>
  <c r="D109" i="59"/>
  <c r="C33" i="62" s="1"/>
  <c r="C56" i="62" s="1"/>
  <c r="C10" i="63" s="1"/>
  <c r="H10" i="63" s="1"/>
  <c r="U48" i="58"/>
  <c r="B13" i="59" l="1"/>
  <c r="B14" i="59" s="1"/>
  <c r="B15" i="59" s="1"/>
  <c r="B16" i="59" s="1"/>
  <c r="B17" i="59" s="1"/>
  <c r="B18" i="59" s="1"/>
  <c r="B19" i="59" s="1"/>
  <c r="D110" i="59"/>
  <c r="C34" i="62" s="1"/>
  <c r="C57" i="62" s="1"/>
  <c r="C11" i="63" s="1"/>
  <c r="H11" i="63" s="1"/>
  <c r="C9" i="63"/>
  <c r="T38" i="58"/>
  <c r="T39" i="58"/>
  <c r="R38" i="58"/>
  <c r="R39" i="58"/>
  <c r="H9" i="63" l="1"/>
  <c r="B20" i="59"/>
  <c r="B21" i="59" s="1"/>
  <c r="D111" i="59"/>
  <c r="F18" i="55"/>
  <c r="P88" i="59" s="1"/>
  <c r="F17" i="55"/>
  <c r="P87" i="59" s="1"/>
  <c r="F16" i="55"/>
  <c r="P86" i="59" s="1"/>
  <c r="F17" i="54"/>
  <c r="P84" i="59" s="1"/>
  <c r="F18" i="54"/>
  <c r="P85" i="59" s="1"/>
  <c r="F16" i="54"/>
  <c r="P83" i="59" s="1"/>
  <c r="F17" i="53"/>
  <c r="P76" i="59" s="1"/>
  <c r="F18" i="53"/>
  <c r="P77" i="59" s="1"/>
  <c r="F19" i="53"/>
  <c r="P78" i="59" s="1"/>
  <c r="F20" i="53"/>
  <c r="P79" i="59" s="1"/>
  <c r="F16" i="53"/>
  <c r="P75" i="59" s="1"/>
  <c r="F19" i="52"/>
  <c r="P74" i="59" s="1"/>
  <c r="F17" i="52"/>
  <c r="P72" i="59" s="1"/>
  <c r="F18" i="52"/>
  <c r="P73" i="59" s="1"/>
  <c r="F16" i="52"/>
  <c r="P71" i="59" s="1"/>
  <c r="F16" i="50"/>
  <c r="P70" i="59" s="1"/>
  <c r="F18" i="51"/>
  <c r="P69" i="59" s="1"/>
  <c r="F17" i="51"/>
  <c r="P68" i="59" s="1"/>
  <c r="F16" i="51"/>
  <c r="P67" i="59" s="1"/>
  <c r="F17" i="48"/>
  <c r="F16" i="48"/>
  <c r="F22" i="47"/>
  <c r="P63" i="59" s="1"/>
  <c r="F23" i="47"/>
  <c r="P64" i="59" s="1"/>
  <c r="F20" i="47"/>
  <c r="P61" i="59" s="1"/>
  <c r="F21" i="47"/>
  <c r="P62" i="59" s="1"/>
  <c r="F18" i="47"/>
  <c r="P59" i="59" s="1"/>
  <c r="F19" i="47"/>
  <c r="P60" i="59" s="1"/>
  <c r="F17" i="47"/>
  <c r="P58" i="59" s="1"/>
  <c r="F16" i="47"/>
  <c r="P57" i="59" s="1"/>
  <c r="AD17" i="43"/>
  <c r="Q42" i="58" s="1"/>
  <c r="AE17" i="43"/>
  <c r="F17" i="43"/>
  <c r="P50" i="59" s="1"/>
  <c r="F18" i="43"/>
  <c r="P51" i="59" s="1"/>
  <c r="F19" i="43"/>
  <c r="P52" i="59" s="1"/>
  <c r="F20" i="43"/>
  <c r="P53" i="59" s="1"/>
  <c r="F21" i="43"/>
  <c r="P54" i="59" s="1"/>
  <c r="F22" i="43"/>
  <c r="P55" i="59" s="1"/>
  <c r="F23" i="43"/>
  <c r="P56" i="59" s="1"/>
  <c r="F16" i="43"/>
  <c r="P49" i="59" s="1"/>
  <c r="C35" i="62" l="1"/>
  <c r="C58" i="62" s="1"/>
  <c r="B22" i="59"/>
  <c r="B23" i="59" s="1"/>
  <c r="B24" i="59" s="1"/>
  <c r="B25" i="59" s="1"/>
  <c r="B26" i="59" s="1"/>
  <c r="B27" i="59" s="1"/>
  <c r="B28" i="59" s="1"/>
  <c r="B29" i="59" s="1"/>
  <c r="B30" i="59" s="1"/>
  <c r="B31" i="59" s="1"/>
  <c r="B32" i="59" s="1"/>
  <c r="B33" i="59" s="1"/>
  <c r="B34" i="59" s="1"/>
  <c r="B35" i="59" s="1"/>
  <c r="B36" i="59" s="1"/>
  <c r="B37" i="59" s="1"/>
  <c r="B38" i="59" s="1"/>
  <c r="B39" i="59" s="1"/>
  <c r="B40" i="59" s="1"/>
  <c r="B41" i="59" s="1"/>
  <c r="B42" i="59" s="1"/>
  <c r="F22" i="42"/>
  <c r="P48" i="59" s="1"/>
  <c r="F20" i="42"/>
  <c r="P46" i="59" s="1"/>
  <c r="F21" i="42"/>
  <c r="P47" i="59" s="1"/>
  <c r="F19" i="42"/>
  <c r="P45" i="59" s="1"/>
  <c r="F17" i="42"/>
  <c r="P43" i="59" s="1"/>
  <c r="F18" i="42"/>
  <c r="P44" i="59" s="1"/>
  <c r="F16" i="42"/>
  <c r="P42" i="59" s="1"/>
  <c r="F33" i="41"/>
  <c r="P38" i="59" s="1"/>
  <c r="F34" i="41"/>
  <c r="P39" i="59" s="1"/>
  <c r="F35" i="41"/>
  <c r="P40" i="59" s="1"/>
  <c r="F36" i="41"/>
  <c r="P41" i="59" s="1"/>
  <c r="F29" i="41"/>
  <c r="P34" i="59" s="1"/>
  <c r="F30" i="41"/>
  <c r="P35" i="59" s="1"/>
  <c r="F31" i="41"/>
  <c r="P36" i="59" s="1"/>
  <c r="F32" i="41"/>
  <c r="P37" i="59" s="1"/>
  <c r="F26" i="41"/>
  <c r="P31" i="59" s="1"/>
  <c r="F27" i="41"/>
  <c r="P32" i="59" s="1"/>
  <c r="F28" i="41"/>
  <c r="P33" i="59" s="1"/>
  <c r="F24" i="41"/>
  <c r="P29" i="59" s="1"/>
  <c r="F25" i="41"/>
  <c r="P30" i="59" s="1"/>
  <c r="F22" i="41"/>
  <c r="P27" i="59" s="1"/>
  <c r="F21" i="41"/>
  <c r="P26" i="59" s="1"/>
  <c r="F23" i="41"/>
  <c r="P28" i="59" s="1"/>
  <c r="F17" i="41"/>
  <c r="P22" i="59" s="1"/>
  <c r="F18" i="41"/>
  <c r="P23" i="59" s="1"/>
  <c r="F19" i="41"/>
  <c r="P24" i="59" s="1"/>
  <c r="F20" i="41"/>
  <c r="P25" i="59" s="1"/>
  <c r="F16" i="41"/>
  <c r="P21" i="59" s="1"/>
  <c r="T23" i="56" a="1"/>
  <c r="T23" i="56" s="1"/>
  <c r="T21" i="56"/>
  <c r="D112" i="59" l="1"/>
  <c r="B43" i="59"/>
  <c r="B44" i="59" s="1"/>
  <c r="B45" i="59" s="1"/>
  <c r="B46" i="59" s="1"/>
  <c r="B47" i="59" s="1"/>
  <c r="B48" i="59" s="1"/>
  <c r="B49" i="59" s="1"/>
  <c r="D113" i="59"/>
  <c r="C39" i="62" s="1"/>
  <c r="C61" i="62" s="1"/>
  <c r="C15" i="63" s="1"/>
  <c r="H15" i="63" s="1"/>
  <c r="C12" i="63"/>
  <c r="F17" i="56"/>
  <c r="P20" i="59" s="1"/>
  <c r="F16" i="56"/>
  <c r="P19" i="59" s="1"/>
  <c r="F7" i="39"/>
  <c r="H12" i="63" l="1"/>
  <c r="B50" i="59"/>
  <c r="B51" i="59" s="1"/>
  <c r="B52" i="59" s="1"/>
  <c r="B53" i="59" s="1"/>
  <c r="B54" i="59" s="1"/>
  <c r="B55" i="59" s="1"/>
  <c r="B56" i="59" s="1"/>
  <c r="B57" i="59" s="1"/>
  <c r="D114" i="59"/>
  <c r="C40" i="62" s="1"/>
  <c r="C62" i="62" s="1"/>
  <c r="C16" i="63" s="1"/>
  <c r="H16" i="63" s="1"/>
  <c r="C38" i="62"/>
  <c r="C60" i="62" s="1"/>
  <c r="C14" i="63" s="1"/>
  <c r="H14" i="63" s="1"/>
  <c r="E40" i="58"/>
  <c r="E39" i="58"/>
  <c r="E38" i="58"/>
  <c r="E37" i="58"/>
  <c r="E36" i="58"/>
  <c r="E35" i="58"/>
  <c r="E34" i="58"/>
  <c r="B58" i="59" l="1"/>
  <c r="B59" i="59" s="1"/>
  <c r="B60" i="59" s="1"/>
  <c r="B61" i="59" s="1"/>
  <c r="B62" i="59" s="1"/>
  <c r="B63" i="59" s="1"/>
  <c r="B64" i="59" s="1"/>
  <c r="B65" i="59" s="1"/>
  <c r="D115" i="59"/>
  <c r="AU23" i="47"/>
  <c r="V69" i="58" s="1"/>
  <c r="AT23" i="47"/>
  <c r="U69" i="58" s="1"/>
  <c r="AM23" i="47"/>
  <c r="T69" i="58" s="1"/>
  <c r="AL23" i="47"/>
  <c r="S69" i="58" s="1"/>
  <c r="AE23" i="47"/>
  <c r="R69" i="58" s="1"/>
  <c r="AD23" i="47"/>
  <c r="Q69" i="58" s="1"/>
  <c r="V23" i="47"/>
  <c r="O69" i="58" s="1"/>
  <c r="W23" i="47"/>
  <c r="P69" i="58" s="1"/>
  <c r="C42" i="62" l="1"/>
  <c r="C63" i="62" s="1"/>
  <c r="C17" i="63" s="1"/>
  <c r="H17" i="63" s="1"/>
  <c r="B66" i="59"/>
  <c r="B67" i="59" s="1"/>
  <c r="D116" i="59"/>
  <c r="C43" i="62" s="1"/>
  <c r="C64" i="62" s="1"/>
  <c r="C18" i="63" s="1"/>
  <c r="H18" i="63" s="1"/>
  <c r="G115" i="60"/>
  <c r="F115" i="60"/>
  <c r="X69" i="58"/>
  <c r="J115" i="60" s="1"/>
  <c r="I115" i="60"/>
  <c r="H115" i="60"/>
  <c r="AZ23" i="47"/>
  <c r="BH23" i="47" s="1"/>
  <c r="AY23" i="47"/>
  <c r="BG23" i="47" s="1"/>
  <c r="AW23" i="47"/>
  <c r="BE23" i="47" s="1"/>
  <c r="AG69" i="58" s="1"/>
  <c r="AX23" i="47"/>
  <c r="BF23" i="47" s="1"/>
  <c r="Y69" i="58" l="1"/>
  <c r="M115" i="60" s="1"/>
  <c r="B68" i="59"/>
  <c r="B69" i="59" s="1"/>
  <c r="B70" i="59" s="1"/>
  <c r="Z69" i="58"/>
  <c r="K115" i="60"/>
  <c r="L115" i="60"/>
  <c r="AA69" i="58"/>
  <c r="AH69" i="58"/>
  <c r="W19" i="43"/>
  <c r="P44" i="58" s="1"/>
  <c r="D117" i="59" l="1"/>
  <c r="C44" i="62" s="1"/>
  <c r="C65" i="62" s="1"/>
  <c r="C19" i="63" s="1"/>
  <c r="H19" i="63" s="1"/>
  <c r="B71" i="59"/>
  <c r="D118" i="59"/>
  <c r="C45" i="62" s="1"/>
  <c r="C66" i="62" s="1"/>
  <c r="C20" i="63" s="1"/>
  <c r="H20" i="63" s="1"/>
  <c r="H98" i="60"/>
  <c r="I98" i="60"/>
  <c r="W17" i="43"/>
  <c r="P42" i="58" s="1"/>
  <c r="B72" i="59" l="1"/>
  <c r="B73" i="59" s="1"/>
  <c r="B74" i="59" s="1"/>
  <c r="B75" i="59" s="1"/>
  <c r="D119" i="59"/>
  <c r="C46" i="62" s="1"/>
  <c r="C67" i="62" s="1"/>
  <c r="C21" i="63" s="1"/>
  <c r="H21" i="63" s="1"/>
  <c r="H96" i="60"/>
  <c r="I96" i="60"/>
  <c r="AE16" i="46"/>
  <c r="R60" i="58" s="1"/>
  <c r="AD16" i="46"/>
  <c r="Q60" i="58" s="1"/>
  <c r="AU16" i="46"/>
  <c r="V60" i="58" s="1"/>
  <c r="AT16" i="46"/>
  <c r="U60" i="58" s="1"/>
  <c r="V16" i="46"/>
  <c r="O60" i="58" s="1"/>
  <c r="AL16" i="46"/>
  <c r="S60" i="58" s="1"/>
  <c r="AM16" i="46"/>
  <c r="T60" i="58" s="1"/>
  <c r="W16" i="46"/>
  <c r="P60" i="58" s="1"/>
  <c r="F18" i="46"/>
  <c r="P82" i="59" s="1"/>
  <c r="F17" i="46"/>
  <c r="P81" i="59" s="1"/>
  <c r="F16" i="46"/>
  <c r="P80" i="59" s="1"/>
  <c r="F17" i="45"/>
  <c r="P10" i="59" s="1"/>
  <c r="F18" i="45"/>
  <c r="P11" i="59" s="1"/>
  <c r="F16" i="45"/>
  <c r="P9" i="59" s="1"/>
  <c r="B76" i="59" l="1"/>
  <c r="B77" i="59" s="1"/>
  <c r="B78" i="59" s="1"/>
  <c r="B79" i="59" s="1"/>
  <c r="B80" i="59" s="1"/>
  <c r="D120" i="59"/>
  <c r="C47" i="62" s="1"/>
  <c r="C68" i="62" s="1"/>
  <c r="C22" i="63" s="1"/>
  <c r="H22" i="63" s="1"/>
  <c r="F49" i="60"/>
  <c r="G49" i="60"/>
  <c r="H49" i="60"/>
  <c r="I49" i="60"/>
  <c r="AV16" i="46"/>
  <c r="F17" i="37"/>
  <c r="P6" i="59" s="1"/>
  <c r="F18" i="37"/>
  <c r="P7" i="59" s="1"/>
  <c r="F19" i="37"/>
  <c r="P8" i="59" s="1"/>
  <c r="F16" i="37"/>
  <c r="P5" i="59" s="1"/>
  <c r="F17" i="44"/>
  <c r="P13" i="59" s="1"/>
  <c r="F18" i="44"/>
  <c r="P14" i="59" s="1"/>
  <c r="F19" i="44"/>
  <c r="P15" i="59" s="1"/>
  <c r="F20" i="44"/>
  <c r="P16" i="59" s="1"/>
  <c r="F21" i="44"/>
  <c r="P17" i="59" s="1"/>
  <c r="F22" i="44"/>
  <c r="P18" i="59" s="1"/>
  <c r="F16" i="44"/>
  <c r="P12" i="59" s="1"/>
  <c r="W21" i="42"/>
  <c r="P39" i="58" s="1"/>
  <c r="B81" i="59" l="1"/>
  <c r="B82" i="59" s="1"/>
  <c r="B83" i="59" s="1"/>
  <c r="D121" i="59"/>
  <c r="C36" i="62" s="1"/>
  <c r="C59" i="62" s="1"/>
  <c r="L49" i="60"/>
  <c r="K49" i="60"/>
  <c r="H88" i="60"/>
  <c r="I88" i="60"/>
  <c r="AZ16" i="46"/>
  <c r="BD16" i="46" s="1"/>
  <c r="AY16" i="46"/>
  <c r="BC16" i="46" s="1"/>
  <c r="W60" i="58"/>
  <c r="AX16" i="46"/>
  <c r="AW16" i="46"/>
  <c r="W20" i="42"/>
  <c r="P38" i="58" s="1"/>
  <c r="C13" i="63" l="1"/>
  <c r="B84" i="59"/>
  <c r="B85" i="59" s="1"/>
  <c r="B86" i="59" s="1"/>
  <c r="D122" i="59"/>
  <c r="C49" i="62" s="1"/>
  <c r="C69" i="62" s="1"/>
  <c r="C23" i="63" s="1"/>
  <c r="H23" i="63" s="1"/>
  <c r="H87" i="60"/>
  <c r="I87" i="60"/>
  <c r="BG16" i="46"/>
  <c r="BH16" i="46"/>
  <c r="BF16" i="46"/>
  <c r="BB16" i="46"/>
  <c r="BA16" i="46"/>
  <c r="AD60" i="58" s="1"/>
  <c r="BE16" i="46"/>
  <c r="AG60" i="58" s="1"/>
  <c r="V19" i="37"/>
  <c r="O59" i="58" s="1"/>
  <c r="B87" i="59" l="1"/>
  <c r="B88" i="59" s="1"/>
  <c r="B89" i="59" s="1"/>
  <c r="B90" i="59" s="1"/>
  <c r="B91" i="59" s="1"/>
  <c r="B92" i="59" s="1"/>
  <c r="B93" i="59" s="1"/>
  <c r="B94" i="59" s="1"/>
  <c r="B95" i="59" s="1"/>
  <c r="B96" i="59" s="1"/>
  <c r="B97" i="59" s="1"/>
  <c r="B98" i="59" s="1"/>
  <c r="B99" i="59" s="1"/>
  <c r="B100" i="59" s="1"/>
  <c r="B101" i="59" s="1"/>
  <c r="B102" i="59" s="1"/>
  <c r="B103" i="59" s="1"/>
  <c r="H13" i="63"/>
  <c r="G16" i="60"/>
  <c r="F16" i="60"/>
  <c r="O18" i="46"/>
  <c r="R82" i="59" s="1"/>
  <c r="O17" i="46"/>
  <c r="R81" i="59" s="1"/>
  <c r="O16" i="46"/>
  <c r="R80" i="59" s="1"/>
  <c r="AU17" i="46"/>
  <c r="V61" i="58" s="1"/>
  <c r="AT17" i="46"/>
  <c r="U61" i="58" s="1"/>
  <c r="AM17" i="46"/>
  <c r="T61" i="58" s="1"/>
  <c r="AL17" i="46"/>
  <c r="S61" i="58" s="1"/>
  <c r="AE17" i="46"/>
  <c r="R61" i="58" s="1"/>
  <c r="AD17" i="46"/>
  <c r="Q61" i="58" s="1"/>
  <c r="W17" i="46"/>
  <c r="P61" i="58" s="1"/>
  <c r="V17" i="46"/>
  <c r="O61" i="58" s="1"/>
  <c r="I17" i="46"/>
  <c r="E81" i="59" s="1"/>
  <c r="D50" i="60" s="1"/>
  <c r="I16" i="46"/>
  <c r="E80" i="59" s="1"/>
  <c r="D49" i="60" s="1"/>
  <c r="H17" i="46"/>
  <c r="H16" i="46"/>
  <c r="G17" i="46"/>
  <c r="Q81" i="59" s="1"/>
  <c r="E50" i="60" s="1"/>
  <c r="G16" i="46"/>
  <c r="Q80" i="59" s="1"/>
  <c r="E49" i="60" s="1"/>
  <c r="E17" i="46"/>
  <c r="E16" i="46"/>
  <c r="D17" i="46"/>
  <c r="D16" i="46"/>
  <c r="B16" i="46"/>
  <c r="C16" i="46"/>
  <c r="D123" i="59" l="1"/>
  <c r="G50" i="60"/>
  <c r="F50" i="60"/>
  <c r="X61" i="58"/>
  <c r="J50" i="60" s="1"/>
  <c r="H50" i="60"/>
  <c r="I50" i="60"/>
  <c r="AZ17" i="46"/>
  <c r="BH17" i="46" s="1"/>
  <c r="AV17" i="46"/>
  <c r="W61" i="58" s="1"/>
  <c r="AW17" i="46"/>
  <c r="BE17" i="46" s="1"/>
  <c r="AG61" i="58" s="1"/>
  <c r="AX17" i="46"/>
  <c r="BF17" i="46" s="1"/>
  <c r="AY17" i="46"/>
  <c r="BG17" i="46" s="1"/>
  <c r="D22" i="47"/>
  <c r="D23" i="47"/>
  <c r="D20" i="47"/>
  <c r="D21" i="47"/>
  <c r="D19" i="47"/>
  <c r="D18" i="47"/>
  <c r="D17" i="47"/>
  <c r="C50" i="62" l="1"/>
  <c r="C70" i="62" s="1"/>
  <c r="D124" i="59"/>
  <c r="Y61" i="58"/>
  <c r="M50" i="60" s="1"/>
  <c r="K50" i="60"/>
  <c r="K52" i="60" s="1"/>
  <c r="D36" i="62" s="1"/>
  <c r="Z61" i="58"/>
  <c r="L50" i="60"/>
  <c r="L52" i="60" s="1"/>
  <c r="E36" i="62" s="1"/>
  <c r="AH61" i="58"/>
  <c r="AA61" i="58"/>
  <c r="BD17" i="46"/>
  <c r="BB17" i="46"/>
  <c r="BA17" i="46"/>
  <c r="BC17" i="46"/>
  <c r="I17" i="45"/>
  <c r="E10" i="59" s="1"/>
  <c r="D23" i="60" s="1"/>
  <c r="I18" i="45"/>
  <c r="E11" i="59" s="1"/>
  <c r="D24" i="60" s="1"/>
  <c r="I16" i="45"/>
  <c r="E9" i="59" s="1"/>
  <c r="D22" i="60" s="1"/>
  <c r="H17" i="45"/>
  <c r="H18" i="45"/>
  <c r="H16" i="45"/>
  <c r="G17" i="45"/>
  <c r="Q10" i="59" s="1"/>
  <c r="E23" i="60" s="1"/>
  <c r="G18" i="45"/>
  <c r="Q11" i="59" s="1"/>
  <c r="E24" i="60" s="1"/>
  <c r="G16" i="45"/>
  <c r="Q9" i="59" s="1"/>
  <c r="E22" i="60" s="1"/>
  <c r="E17" i="45"/>
  <c r="E18" i="45"/>
  <c r="E16" i="45"/>
  <c r="D17" i="45"/>
  <c r="D18" i="45"/>
  <c r="D16" i="45"/>
  <c r="C17" i="45"/>
  <c r="C18" i="45"/>
  <c r="C16" i="45"/>
  <c r="B16" i="45"/>
  <c r="AU18" i="45"/>
  <c r="V96" i="58" s="1"/>
  <c r="AT18" i="45"/>
  <c r="U96" i="58" s="1"/>
  <c r="AM18" i="45"/>
  <c r="T96" i="58" s="1"/>
  <c r="AL18" i="45"/>
  <c r="S96" i="58" s="1"/>
  <c r="AE18" i="45"/>
  <c r="R96" i="58" s="1"/>
  <c r="AD18" i="45"/>
  <c r="Q96" i="58" s="1"/>
  <c r="W18" i="45"/>
  <c r="P96" i="58" s="1"/>
  <c r="V18" i="45"/>
  <c r="O96" i="58" s="1"/>
  <c r="R11" i="59"/>
  <c r="AU17" i="45"/>
  <c r="V95" i="58" s="1"/>
  <c r="AT17" i="45"/>
  <c r="U95" i="58" s="1"/>
  <c r="AM17" i="45"/>
  <c r="T95" i="58" s="1"/>
  <c r="AL17" i="45"/>
  <c r="S95" i="58" s="1"/>
  <c r="AE17" i="45"/>
  <c r="R95" i="58" s="1"/>
  <c r="AD17" i="45"/>
  <c r="Q95" i="58" s="1"/>
  <c r="W17" i="45"/>
  <c r="P95" i="58" s="1"/>
  <c r="V17" i="45"/>
  <c r="O95" i="58" s="1"/>
  <c r="R10" i="59"/>
  <c r="AU16" i="45"/>
  <c r="V94" i="58" s="1"/>
  <c r="AT16" i="45"/>
  <c r="U94" i="58" s="1"/>
  <c r="AM16" i="45"/>
  <c r="T94" i="58" s="1"/>
  <c r="AL16" i="45"/>
  <c r="S94" i="58" s="1"/>
  <c r="AE16" i="45"/>
  <c r="R94" i="58" s="1"/>
  <c r="AD16" i="45"/>
  <c r="Q94" i="58" s="1"/>
  <c r="W16" i="45"/>
  <c r="P94" i="58" s="1"/>
  <c r="V16" i="45"/>
  <c r="O94" i="58" s="1"/>
  <c r="R9" i="59"/>
  <c r="C24" i="63" l="1"/>
  <c r="C71" i="62"/>
  <c r="G22" i="60"/>
  <c r="L22" i="60" s="1"/>
  <c r="F22" i="60"/>
  <c r="K22" i="60" s="1"/>
  <c r="H22" i="60"/>
  <c r="I22" i="60"/>
  <c r="G23" i="60"/>
  <c r="L23" i="60" s="1"/>
  <c r="F23" i="60"/>
  <c r="K23" i="60" s="1"/>
  <c r="H23" i="60"/>
  <c r="I23" i="60"/>
  <c r="G24" i="60"/>
  <c r="L24" i="60" s="1"/>
  <c r="F24" i="60"/>
  <c r="K24" i="60" s="1"/>
  <c r="H24" i="60"/>
  <c r="I24" i="60"/>
  <c r="AD61" i="58"/>
  <c r="AE61" i="58" s="1"/>
  <c r="X94" i="58"/>
  <c r="J22" i="60" s="1"/>
  <c r="X95" i="58"/>
  <c r="J23" i="60" s="1"/>
  <c r="X96" i="58"/>
  <c r="J24" i="60" s="1"/>
  <c r="AZ16" i="45"/>
  <c r="BH16" i="45" s="1"/>
  <c r="AV18" i="45"/>
  <c r="W96" i="58" s="1"/>
  <c r="AX17" i="45"/>
  <c r="BF17" i="45" s="1"/>
  <c r="AV17" i="45"/>
  <c r="W95" i="58" s="1"/>
  <c r="AZ18" i="45"/>
  <c r="BH18" i="45" s="1"/>
  <c r="AV16" i="45"/>
  <c r="W94" i="58" s="1"/>
  <c r="AY17" i="45"/>
  <c r="BG17" i="45" s="1"/>
  <c r="AW18" i="45"/>
  <c r="BE18" i="45" s="1"/>
  <c r="AG96" i="58" s="1"/>
  <c r="AX16" i="45"/>
  <c r="AZ17" i="45"/>
  <c r="BH17" i="45" s="1"/>
  <c r="AX18" i="45"/>
  <c r="BF18" i="45" s="1"/>
  <c r="AW16" i="45"/>
  <c r="BE16" i="45" s="1"/>
  <c r="AG94" i="58" s="1"/>
  <c r="AY16" i="45"/>
  <c r="BG16" i="45" s="1"/>
  <c r="AW17" i="45"/>
  <c r="BE17" i="45" s="1"/>
  <c r="AG95" i="58" s="1"/>
  <c r="AY18" i="45"/>
  <c r="BG18" i="45" s="1"/>
  <c r="K25" i="60" l="1"/>
  <c r="D33" i="62" s="1"/>
  <c r="L25" i="60"/>
  <c r="E33" i="62" s="1"/>
  <c r="BB17" i="45"/>
  <c r="H24" i="63"/>
  <c r="C25" i="63"/>
  <c r="H25" i="63" s="1"/>
  <c r="Y96" i="58"/>
  <c r="M24" i="60" s="1"/>
  <c r="Z96" i="58"/>
  <c r="Z94" i="58"/>
  <c r="Y94" i="58"/>
  <c r="M22" i="60" s="1"/>
  <c r="Y95" i="58"/>
  <c r="M23" i="60" s="1"/>
  <c r="Z95" i="58"/>
  <c r="BB16" i="45"/>
  <c r="BF16" i="45"/>
  <c r="BD18" i="45"/>
  <c r="BC17" i="45"/>
  <c r="BD16" i="45"/>
  <c r="BA17" i="45"/>
  <c r="AD95" i="58" s="1"/>
  <c r="BC16" i="45"/>
  <c r="BB18" i="45"/>
  <c r="BA16" i="45"/>
  <c r="AD94" i="58" s="1"/>
  <c r="BA18" i="45"/>
  <c r="AD96" i="58" s="1"/>
  <c r="BD17" i="45"/>
  <c r="BC18" i="45"/>
  <c r="BD19" i="45" l="1"/>
  <c r="M25" i="60"/>
  <c r="F33" i="62" s="1"/>
  <c r="C10" i="62" s="1"/>
  <c r="AA95" i="58"/>
  <c r="AB95" i="58" s="1"/>
  <c r="AH95" i="58"/>
  <c r="AE95" i="58"/>
  <c r="AE94" i="58"/>
  <c r="AA94" i="58"/>
  <c r="AB94" i="58" s="1"/>
  <c r="AH94" i="58"/>
  <c r="AA96" i="58"/>
  <c r="AB96" i="58" s="1"/>
  <c r="AH96" i="58"/>
  <c r="AE96" i="58"/>
  <c r="BB19" i="45"/>
  <c r="BA19" i="45"/>
  <c r="BC19" i="45"/>
  <c r="AV17" i="56" l="1"/>
  <c r="AU17" i="56"/>
  <c r="AT17" i="56"/>
  <c r="U92" i="58" s="1"/>
  <c r="AM17" i="56"/>
  <c r="AL17" i="56"/>
  <c r="S92" i="58" s="1"/>
  <c r="AE17" i="56"/>
  <c r="AD17" i="56"/>
  <c r="Q92" i="58" s="1"/>
  <c r="W17" i="56"/>
  <c r="P92" i="58" s="1"/>
  <c r="V17" i="56"/>
  <c r="O92" i="58" s="1"/>
  <c r="AV16" i="56"/>
  <c r="AU16" i="56"/>
  <c r="AT16" i="56"/>
  <c r="U91" i="58" s="1"/>
  <c r="AM16" i="56"/>
  <c r="AL16" i="56"/>
  <c r="S91" i="58" s="1"/>
  <c r="AE16" i="56"/>
  <c r="AD16" i="56"/>
  <c r="Q91" i="58" s="1"/>
  <c r="W16" i="56"/>
  <c r="P91" i="58" s="1"/>
  <c r="V16" i="56"/>
  <c r="O91" i="58" s="1"/>
  <c r="I17" i="56"/>
  <c r="E20" i="59" s="1"/>
  <c r="D43" i="60" s="1"/>
  <c r="I16" i="56"/>
  <c r="E19" i="59" s="1"/>
  <c r="D42" i="60" s="1"/>
  <c r="H17" i="56"/>
  <c r="H16" i="56"/>
  <c r="G17" i="56"/>
  <c r="Q20" i="59" s="1"/>
  <c r="E43" i="60" s="1"/>
  <c r="G16" i="56"/>
  <c r="Q19" i="59" s="1"/>
  <c r="E42" i="60" s="1"/>
  <c r="E17" i="56"/>
  <c r="E16" i="56"/>
  <c r="D17" i="56"/>
  <c r="D16" i="56"/>
  <c r="C16" i="56"/>
  <c r="B16" i="56"/>
  <c r="R20" i="59"/>
  <c r="R19" i="59"/>
  <c r="O92" i="38"/>
  <c r="O91" i="38"/>
  <c r="I43" i="60" l="1"/>
  <c r="H43" i="60"/>
  <c r="G42" i="60"/>
  <c r="F42" i="60"/>
  <c r="I42" i="60"/>
  <c r="H42" i="60"/>
  <c r="F43" i="60"/>
  <c r="K43" i="60" s="1"/>
  <c r="G43" i="60"/>
  <c r="L43" i="60" s="1"/>
  <c r="W91" i="58"/>
  <c r="AZ16" i="56"/>
  <c r="AY16" i="56"/>
  <c r="W92" i="58"/>
  <c r="AX16" i="56"/>
  <c r="AZ17" i="56"/>
  <c r="AX17" i="56"/>
  <c r="AY17" i="56"/>
  <c r="AW16" i="56"/>
  <c r="AW17" i="56"/>
  <c r="L42" i="60" l="1"/>
  <c r="L44" i="60" s="1"/>
  <c r="E35" i="62" s="1"/>
  <c r="K42" i="60"/>
  <c r="K44" i="60" s="1"/>
  <c r="D35" i="62" s="1"/>
  <c r="BG17" i="56"/>
  <c r="BC17" i="56"/>
  <c r="BC18" i="56" s="1"/>
  <c r="BF17" i="56"/>
  <c r="BB17" i="56"/>
  <c r="BH17" i="56"/>
  <c r="BD17" i="56"/>
  <c r="BD18" i="56" s="1"/>
  <c r="BB16" i="56"/>
  <c r="BB18" i="56" s="1"/>
  <c r="BF16" i="56"/>
  <c r="BC16" i="56"/>
  <c r="BG16" i="56"/>
  <c r="BD16" i="56"/>
  <c r="BH16" i="56"/>
  <c r="BA17" i="56"/>
  <c r="AD92" i="58" s="1"/>
  <c r="BE17" i="56"/>
  <c r="AG92" i="58" s="1"/>
  <c r="BA16" i="56"/>
  <c r="AD91" i="58" s="1"/>
  <c r="BE16" i="56"/>
  <c r="AG91" i="58" l="1"/>
  <c r="AG93" i="58"/>
  <c r="BA18" i="56"/>
  <c r="I17" i="55"/>
  <c r="E87" i="59" s="1"/>
  <c r="D170" i="60" s="1"/>
  <c r="I18" i="55"/>
  <c r="E88" i="59" s="1"/>
  <c r="D171" i="60" s="1"/>
  <c r="I16" i="55"/>
  <c r="E86" i="59" s="1"/>
  <c r="D169" i="60" s="1"/>
  <c r="E17" i="55"/>
  <c r="E18" i="55"/>
  <c r="E16" i="55"/>
  <c r="D17" i="55"/>
  <c r="D18" i="55"/>
  <c r="D16" i="55"/>
  <c r="C16" i="55"/>
  <c r="B16" i="55"/>
  <c r="AU18" i="55"/>
  <c r="V90" i="58" s="1"/>
  <c r="AT18" i="55"/>
  <c r="U90" i="58" s="1"/>
  <c r="AM18" i="55"/>
  <c r="T90" i="58" s="1"/>
  <c r="AL18" i="55"/>
  <c r="S90" i="58" s="1"/>
  <c r="AE18" i="55"/>
  <c r="R90" i="58" s="1"/>
  <c r="AD18" i="55"/>
  <c r="Q90" i="58" s="1"/>
  <c r="W18" i="55"/>
  <c r="P90" i="58" s="1"/>
  <c r="V18" i="55"/>
  <c r="O90" i="58" s="1"/>
  <c r="O18" i="55"/>
  <c r="R88" i="59" s="1"/>
  <c r="AU17" i="55"/>
  <c r="V89" i="58" s="1"/>
  <c r="AT17" i="55"/>
  <c r="U89" i="58" s="1"/>
  <c r="AM17" i="55"/>
  <c r="T89" i="58" s="1"/>
  <c r="AL17" i="55"/>
  <c r="S89" i="58" s="1"/>
  <c r="AE17" i="55"/>
  <c r="R89" i="58" s="1"/>
  <c r="AD17" i="55"/>
  <c r="Q89" i="58" s="1"/>
  <c r="W17" i="55"/>
  <c r="V17" i="55"/>
  <c r="O89" i="58" s="1"/>
  <c r="O17" i="55"/>
  <c r="R87" i="59" s="1"/>
  <c r="AU16" i="55"/>
  <c r="V88" i="58" s="1"/>
  <c r="AT16" i="55"/>
  <c r="U88" i="58" s="1"/>
  <c r="AM16" i="55"/>
  <c r="T88" i="58" s="1"/>
  <c r="AL16" i="55"/>
  <c r="S88" i="58" s="1"/>
  <c r="AE16" i="55"/>
  <c r="R88" i="58" s="1"/>
  <c r="AD16" i="55"/>
  <c r="Q88" i="58" s="1"/>
  <c r="W16" i="55"/>
  <c r="V16" i="55"/>
  <c r="O88" i="58" s="1"/>
  <c r="O16" i="55"/>
  <c r="R86" i="59" s="1"/>
  <c r="O88" i="38"/>
  <c r="O89" i="38"/>
  <c r="O90" i="38"/>
  <c r="F170" i="60" l="1"/>
  <c r="K170" i="60" s="1"/>
  <c r="G170" i="60"/>
  <c r="L170" i="60" s="1"/>
  <c r="G169" i="60"/>
  <c r="F169" i="60"/>
  <c r="X90" i="58"/>
  <c r="J171" i="60" s="1"/>
  <c r="H171" i="60"/>
  <c r="I171" i="60"/>
  <c r="G171" i="60"/>
  <c r="L171" i="60" s="1"/>
  <c r="F171" i="60"/>
  <c r="K171" i="60" s="1"/>
  <c r="AX16" i="55"/>
  <c r="BF16" i="55" s="1"/>
  <c r="P88" i="58"/>
  <c r="AW17" i="55"/>
  <c r="BE17" i="55" s="1"/>
  <c r="AG89" i="58" s="1"/>
  <c r="P89" i="58"/>
  <c r="Z90" i="58"/>
  <c r="Y90" i="58"/>
  <c r="M171" i="60" s="1"/>
  <c r="AV16" i="55"/>
  <c r="W88" i="58" s="1"/>
  <c r="AX17" i="55"/>
  <c r="BF17" i="55" s="1"/>
  <c r="AZ17" i="55"/>
  <c r="BH17" i="55" s="1"/>
  <c r="AY16" i="55"/>
  <c r="BG16" i="55" s="1"/>
  <c r="AV17" i="55"/>
  <c r="W89" i="58" s="1"/>
  <c r="AV18" i="55"/>
  <c r="W90" i="58" s="1"/>
  <c r="AZ18" i="55"/>
  <c r="BH18" i="55" s="1"/>
  <c r="AW18" i="55"/>
  <c r="BE18" i="55" s="1"/>
  <c r="AG90" i="58" s="1"/>
  <c r="AZ16" i="55"/>
  <c r="BH16" i="55" s="1"/>
  <c r="AY17" i="55"/>
  <c r="BG17" i="55" s="1"/>
  <c r="AX18" i="55"/>
  <c r="BF18" i="55" s="1"/>
  <c r="AW16" i="55"/>
  <c r="BE16" i="55" s="1"/>
  <c r="AG88" i="58" s="1"/>
  <c r="AY18" i="55"/>
  <c r="BG18" i="55" s="1"/>
  <c r="X89" i="58" l="1"/>
  <c r="J170" i="60" s="1"/>
  <c r="H170" i="60"/>
  <c r="I170" i="60"/>
  <c r="X88" i="58"/>
  <c r="J169" i="60" s="1"/>
  <c r="I169" i="60"/>
  <c r="H169" i="60"/>
  <c r="K169" i="60" s="1"/>
  <c r="K172" i="60" s="1"/>
  <c r="D50" i="62" s="1"/>
  <c r="L169" i="60"/>
  <c r="L172" i="60" s="1"/>
  <c r="E50" i="62" s="1"/>
  <c r="BB16" i="55"/>
  <c r="AA90" i="58"/>
  <c r="AH90" i="58"/>
  <c r="Y89" i="58"/>
  <c r="M170" i="60" s="1"/>
  <c r="Y88" i="58"/>
  <c r="BD18" i="55"/>
  <c r="BC16" i="55"/>
  <c r="BB17" i="55"/>
  <c r="BD17" i="55"/>
  <c r="BA17" i="55"/>
  <c r="AD89" i="58" s="1"/>
  <c r="BA16" i="55"/>
  <c r="AD88" i="58" s="1"/>
  <c r="BA18" i="55"/>
  <c r="AD90" i="58" s="1"/>
  <c r="AE90" i="58" s="1"/>
  <c r="BB18" i="55"/>
  <c r="BC17" i="55"/>
  <c r="BC18" i="55"/>
  <c r="BD16" i="55"/>
  <c r="BB19" i="55" l="1"/>
  <c r="Z88" i="58"/>
  <c r="AE88" i="58"/>
  <c r="M169" i="60"/>
  <c r="M172" i="60" s="1"/>
  <c r="F50" i="62" s="1"/>
  <c r="C24" i="62" s="1"/>
  <c r="Z89" i="58"/>
  <c r="AA89" i="58" s="1"/>
  <c r="AH88" i="58"/>
  <c r="AA88" i="58"/>
  <c r="AH89" i="58"/>
  <c r="AE89" i="58"/>
  <c r="BD19" i="55"/>
  <c r="BC19" i="55"/>
  <c r="BA19" i="55"/>
  <c r="O17" i="54" l="1"/>
  <c r="R84" i="59" s="1"/>
  <c r="O18" i="54"/>
  <c r="R85" i="59" s="1"/>
  <c r="O16" i="54"/>
  <c r="R83" i="59" s="1"/>
  <c r="I17" i="54"/>
  <c r="E84" i="59" s="1"/>
  <c r="D162" i="60" s="1"/>
  <c r="I18" i="54"/>
  <c r="E85" i="59" s="1"/>
  <c r="D163" i="60" s="1"/>
  <c r="I16" i="54"/>
  <c r="E83" i="59" s="1"/>
  <c r="D161" i="60" s="1"/>
  <c r="H17" i="54"/>
  <c r="H18" i="54"/>
  <c r="H16" i="54"/>
  <c r="G17" i="54"/>
  <c r="Q84" i="59" s="1"/>
  <c r="E162" i="60" s="1"/>
  <c r="G18" i="54"/>
  <c r="Q85" i="59" s="1"/>
  <c r="E163" i="60" s="1"/>
  <c r="G16" i="54"/>
  <c r="Q83" i="59" s="1"/>
  <c r="E161" i="60" s="1"/>
  <c r="E17" i="54"/>
  <c r="E18" i="54"/>
  <c r="E16" i="54"/>
  <c r="D17" i="54"/>
  <c r="D18" i="54"/>
  <c r="D16" i="54"/>
  <c r="C16" i="54"/>
  <c r="B16" i="54"/>
  <c r="AU18" i="54"/>
  <c r="V87" i="58" s="1"/>
  <c r="AT18" i="54"/>
  <c r="U87" i="58" s="1"/>
  <c r="AM18" i="54"/>
  <c r="T87" i="58" s="1"/>
  <c r="AL18" i="54"/>
  <c r="S87" i="58" s="1"/>
  <c r="AE18" i="54"/>
  <c r="R87" i="58" s="1"/>
  <c r="AD18" i="54"/>
  <c r="Q87" i="58" s="1"/>
  <c r="W18" i="54"/>
  <c r="P87" i="58" s="1"/>
  <c r="V18" i="54"/>
  <c r="O87" i="58" s="1"/>
  <c r="AU17" i="54"/>
  <c r="V86" i="58" s="1"/>
  <c r="AT17" i="54"/>
  <c r="U86" i="58" s="1"/>
  <c r="AM17" i="54"/>
  <c r="T86" i="58" s="1"/>
  <c r="AL17" i="54"/>
  <c r="S86" i="58" s="1"/>
  <c r="AE17" i="54"/>
  <c r="R86" i="58" s="1"/>
  <c r="AD17" i="54"/>
  <c r="Q86" i="58" s="1"/>
  <c r="W17" i="54"/>
  <c r="P86" i="58" s="1"/>
  <c r="V17" i="54"/>
  <c r="O86" i="58" s="1"/>
  <c r="AU16" i="54"/>
  <c r="V85" i="58" s="1"/>
  <c r="AT16" i="54"/>
  <c r="U85" i="58" s="1"/>
  <c r="AM16" i="54"/>
  <c r="T85" i="58" s="1"/>
  <c r="AL16" i="54"/>
  <c r="S85" i="58" s="1"/>
  <c r="AE16" i="54"/>
  <c r="R85" i="58" s="1"/>
  <c r="AD16" i="54"/>
  <c r="Q85" i="58" s="1"/>
  <c r="W16" i="54"/>
  <c r="P85" i="58" s="1"/>
  <c r="V16" i="54"/>
  <c r="O85" i="58" s="1"/>
  <c r="O87" i="38"/>
  <c r="O86" i="38"/>
  <c r="O85" i="38"/>
  <c r="O84" i="38"/>
  <c r="O83" i="38"/>
  <c r="O82" i="38"/>
  <c r="O81" i="38"/>
  <c r="O80" i="38"/>
  <c r="G163" i="60" l="1"/>
  <c r="F163" i="60"/>
  <c r="G161" i="60"/>
  <c r="F161" i="60"/>
  <c r="F162" i="60"/>
  <c r="K162" i="60" s="1"/>
  <c r="G162" i="60"/>
  <c r="L162" i="60" s="1"/>
  <c r="I161" i="60"/>
  <c r="H161" i="60"/>
  <c r="H162" i="60"/>
  <c r="I162" i="60"/>
  <c r="H163" i="60"/>
  <c r="I163" i="60"/>
  <c r="X85" i="58"/>
  <c r="J161" i="60" s="1"/>
  <c r="X86" i="58"/>
  <c r="J162" i="60" s="1"/>
  <c r="X87" i="58"/>
  <c r="J163" i="60" s="1"/>
  <c r="AV18" i="54"/>
  <c r="W87" i="58" s="1"/>
  <c r="AZ16" i="54"/>
  <c r="BH16" i="54" s="1"/>
  <c r="AZ18" i="54"/>
  <c r="BH18" i="54" s="1"/>
  <c r="AV17" i="54"/>
  <c r="W86" i="58" s="1"/>
  <c r="AV16" i="54"/>
  <c r="W85" i="58" s="1"/>
  <c r="AZ17" i="54"/>
  <c r="AW18" i="54"/>
  <c r="BE18" i="54" s="1"/>
  <c r="AG87" i="58" s="1"/>
  <c r="AX16" i="54"/>
  <c r="BF16" i="54" s="1"/>
  <c r="AX17" i="54"/>
  <c r="BF17" i="54" s="1"/>
  <c r="AX18" i="54"/>
  <c r="BF18" i="54" s="1"/>
  <c r="AW16" i="54"/>
  <c r="BE16" i="54" s="1"/>
  <c r="AG85" i="58" s="1"/>
  <c r="AW17" i="54"/>
  <c r="BE17" i="54" s="1"/>
  <c r="AG86" i="58" s="1"/>
  <c r="AY16" i="54"/>
  <c r="BG16" i="54" s="1"/>
  <c r="AY17" i="54"/>
  <c r="BG17" i="54" s="1"/>
  <c r="AY18" i="54"/>
  <c r="BG18" i="54" s="1"/>
  <c r="K161" i="60" l="1"/>
  <c r="L161" i="60"/>
  <c r="K163" i="60"/>
  <c r="L163" i="60"/>
  <c r="Z87" i="58"/>
  <c r="Y87" i="58"/>
  <c r="M163" i="60" s="1"/>
  <c r="BD16" i="54"/>
  <c r="Z86" i="58"/>
  <c r="Y86" i="58"/>
  <c r="M162" i="60" s="1"/>
  <c r="BD17" i="54"/>
  <c r="BH17" i="54"/>
  <c r="Z85" i="58"/>
  <c r="Y85" i="58"/>
  <c r="M161" i="60" s="1"/>
  <c r="BD18" i="54"/>
  <c r="BB17" i="54"/>
  <c r="BB16" i="54"/>
  <c r="BC16" i="54"/>
  <c r="BC18" i="54"/>
  <c r="BA17" i="54"/>
  <c r="AD86" i="58" s="1"/>
  <c r="BC17" i="54"/>
  <c r="BA16" i="54"/>
  <c r="AD85" i="58" s="1"/>
  <c r="BB18" i="54"/>
  <c r="BA18" i="54"/>
  <c r="AD87" i="58" s="1"/>
  <c r="M164" i="60" l="1"/>
  <c r="F49" i="62" s="1"/>
  <c r="C23" i="62" s="1"/>
  <c r="L164" i="60"/>
  <c r="E49" i="62" s="1"/>
  <c r="K164" i="60"/>
  <c r="D49" i="62" s="1"/>
  <c r="AE86" i="58"/>
  <c r="AA86" i="58"/>
  <c r="AH86" i="58"/>
  <c r="AA85" i="58"/>
  <c r="AB85" i="58" s="1"/>
  <c r="AH85" i="58"/>
  <c r="BD19" i="54"/>
  <c r="AE87" i="58"/>
  <c r="AE85" i="58"/>
  <c r="AA87" i="58"/>
  <c r="AH87" i="58"/>
  <c r="BA19" i="54"/>
  <c r="BC19" i="54"/>
  <c r="BB19" i="54"/>
  <c r="AV20" i="53" l="1"/>
  <c r="W84" i="58" s="1"/>
  <c r="AU20" i="53"/>
  <c r="AT20" i="53"/>
  <c r="U84" i="58" s="1"/>
  <c r="AM20" i="53"/>
  <c r="AL20" i="53"/>
  <c r="S84" i="58" s="1"/>
  <c r="AE20" i="53"/>
  <c r="AD20" i="53"/>
  <c r="Q84" i="58" s="1"/>
  <c r="W20" i="53"/>
  <c r="P84" i="58" s="1"/>
  <c r="V20" i="53"/>
  <c r="O84" i="58" s="1"/>
  <c r="O17" i="53"/>
  <c r="R76" i="59" s="1"/>
  <c r="O18" i="53"/>
  <c r="R77" i="59" s="1"/>
  <c r="O19" i="53"/>
  <c r="R78" i="59" s="1"/>
  <c r="O20" i="53"/>
  <c r="R79" i="59" s="1"/>
  <c r="O16" i="53"/>
  <c r="R75" i="59" s="1"/>
  <c r="I17" i="53"/>
  <c r="E76" i="59" s="1"/>
  <c r="D152" i="60" s="1"/>
  <c r="I18" i="53"/>
  <c r="E77" i="59" s="1"/>
  <c r="D153" i="60" s="1"/>
  <c r="I19" i="53"/>
  <c r="E78" i="59" s="1"/>
  <c r="D154" i="60" s="1"/>
  <c r="I20" i="53"/>
  <c r="E79" i="59" s="1"/>
  <c r="D155" i="60" s="1"/>
  <c r="I16" i="53"/>
  <c r="E75" i="59" s="1"/>
  <c r="D151" i="60" s="1"/>
  <c r="H17" i="53"/>
  <c r="H18" i="53"/>
  <c r="H19" i="53"/>
  <c r="H20" i="53"/>
  <c r="H16" i="53"/>
  <c r="G17" i="53"/>
  <c r="Q76" i="59" s="1"/>
  <c r="E152" i="60" s="1"/>
  <c r="G18" i="53"/>
  <c r="Q77" i="59" s="1"/>
  <c r="E153" i="60" s="1"/>
  <c r="G19" i="53"/>
  <c r="Q78" i="59" s="1"/>
  <c r="E154" i="60" s="1"/>
  <c r="G20" i="53"/>
  <c r="Q79" i="59" s="1"/>
  <c r="E155" i="60" s="1"/>
  <c r="G16" i="53"/>
  <c r="Q75" i="59" s="1"/>
  <c r="E151" i="60" s="1"/>
  <c r="E17" i="53"/>
  <c r="E18" i="53"/>
  <c r="E19" i="53"/>
  <c r="E16" i="53"/>
  <c r="D18" i="53"/>
  <c r="D19" i="53"/>
  <c r="D17" i="53"/>
  <c r="D16" i="53"/>
  <c r="C16" i="53"/>
  <c r="B16" i="53"/>
  <c r="AV19" i="53"/>
  <c r="W83" i="58" s="1"/>
  <c r="AU19" i="53"/>
  <c r="AT19" i="53"/>
  <c r="U83" i="58" s="1"/>
  <c r="AM19" i="53"/>
  <c r="AL19" i="53"/>
  <c r="S83" i="58" s="1"/>
  <c r="AE19" i="53"/>
  <c r="AD19" i="53"/>
  <c r="Q83" i="58" s="1"/>
  <c r="W19" i="53"/>
  <c r="P83" i="58" s="1"/>
  <c r="V19" i="53"/>
  <c r="O83" i="58" s="1"/>
  <c r="AV18" i="53"/>
  <c r="W82" i="58" s="1"/>
  <c r="AU18" i="53"/>
  <c r="AT18" i="53"/>
  <c r="U82" i="58" s="1"/>
  <c r="AM18" i="53"/>
  <c r="AL18" i="53"/>
  <c r="S82" i="58" s="1"/>
  <c r="AE18" i="53"/>
  <c r="AD18" i="53"/>
  <c r="Q82" i="58" s="1"/>
  <c r="W18" i="53"/>
  <c r="P82" i="58" s="1"/>
  <c r="V18" i="53"/>
  <c r="O82" i="58" s="1"/>
  <c r="AV17" i="53"/>
  <c r="AU17" i="53"/>
  <c r="AT17" i="53"/>
  <c r="U81" i="58" s="1"/>
  <c r="AM17" i="53"/>
  <c r="AL17" i="53"/>
  <c r="S81" i="58" s="1"/>
  <c r="AE17" i="53"/>
  <c r="AD17" i="53"/>
  <c r="Q81" i="58" s="1"/>
  <c r="W17" i="53"/>
  <c r="P81" i="58" s="1"/>
  <c r="V17" i="53"/>
  <c r="O81" i="58" s="1"/>
  <c r="AV16" i="53"/>
  <c r="AU16" i="53"/>
  <c r="AT16" i="53"/>
  <c r="U80" i="58" s="1"/>
  <c r="AM16" i="53"/>
  <c r="AL16" i="53"/>
  <c r="S80" i="58" s="1"/>
  <c r="AE16" i="53"/>
  <c r="AD16" i="53"/>
  <c r="Q80" i="58" s="1"/>
  <c r="W16" i="53"/>
  <c r="P80" i="58" s="1"/>
  <c r="V16" i="53"/>
  <c r="O80" i="58" s="1"/>
  <c r="I153" i="60" l="1"/>
  <c r="H153" i="60"/>
  <c r="H154" i="60"/>
  <c r="I154" i="60"/>
  <c r="G151" i="60"/>
  <c r="L151" i="60" s="1"/>
  <c r="F151" i="60"/>
  <c r="K151" i="60" s="1"/>
  <c r="F154" i="60"/>
  <c r="K154" i="60" s="1"/>
  <c r="G154" i="60"/>
  <c r="L154" i="60" s="1"/>
  <c r="I151" i="60"/>
  <c r="H151" i="60"/>
  <c r="F152" i="60"/>
  <c r="G152" i="60"/>
  <c r="H155" i="60"/>
  <c r="I155" i="60"/>
  <c r="H152" i="60"/>
  <c r="I152" i="60"/>
  <c r="F153" i="60"/>
  <c r="G153" i="60"/>
  <c r="L153" i="60" s="1"/>
  <c r="G155" i="60"/>
  <c r="F155" i="60"/>
  <c r="W80" i="58"/>
  <c r="AY19" i="53"/>
  <c r="AY17" i="53"/>
  <c r="AW18" i="53"/>
  <c r="AZ20" i="53"/>
  <c r="AZ16" i="53"/>
  <c r="AZ17" i="53"/>
  <c r="AW19" i="53"/>
  <c r="AW17" i="53"/>
  <c r="AZ18" i="53"/>
  <c r="AW16" i="53"/>
  <c r="AY20" i="53"/>
  <c r="AY18" i="53"/>
  <c r="AY16" i="53"/>
  <c r="AW20" i="53"/>
  <c r="AZ19" i="53"/>
  <c r="W81" i="58"/>
  <c r="AX19" i="53"/>
  <c r="AX17" i="53"/>
  <c r="AX20" i="53"/>
  <c r="AX18" i="53"/>
  <c r="AX16" i="53"/>
  <c r="K153" i="60" l="1"/>
  <c r="L152" i="60"/>
  <c r="K152" i="60"/>
  <c r="K155" i="60"/>
  <c r="L155" i="60"/>
  <c r="BF16" i="53"/>
  <c r="BB16" i="53"/>
  <c r="BH19" i="53"/>
  <c r="BD19" i="53"/>
  <c r="BA19" i="53"/>
  <c r="AD83" i="58" s="1"/>
  <c r="BE19" i="53"/>
  <c r="AG83" i="58" s="1"/>
  <c r="BE20" i="53"/>
  <c r="AG84" i="58" s="1"/>
  <c r="BA20" i="53"/>
  <c r="AD84" i="58" s="1"/>
  <c r="BH17" i="53"/>
  <c r="BD17" i="53"/>
  <c r="BG16" i="53"/>
  <c r="BC16" i="53"/>
  <c r="BH16" i="53"/>
  <c r="BD16" i="53"/>
  <c r="BG18" i="53"/>
  <c r="BC18" i="53"/>
  <c r="BH20" i="53"/>
  <c r="BD20" i="53"/>
  <c r="BF18" i="53"/>
  <c r="BB18" i="53"/>
  <c r="BF20" i="53"/>
  <c r="BB20" i="53"/>
  <c r="BG20" i="53"/>
  <c r="BC20" i="53"/>
  <c r="BE18" i="53"/>
  <c r="AG82" i="58" s="1"/>
  <c r="BA18" i="53"/>
  <c r="AD82" i="58" s="1"/>
  <c r="BF17" i="53"/>
  <c r="BB17" i="53"/>
  <c r="BE16" i="53"/>
  <c r="AG80" i="58" s="1"/>
  <c r="BA16" i="53"/>
  <c r="BG17" i="53"/>
  <c r="BC17" i="53"/>
  <c r="BH18" i="53"/>
  <c r="BD18" i="53"/>
  <c r="BC19" i="53"/>
  <c r="BG19" i="53"/>
  <c r="BF19" i="53"/>
  <c r="BB19" i="53"/>
  <c r="BA17" i="53"/>
  <c r="AD81" i="58" s="1"/>
  <c r="BE17" i="53"/>
  <c r="AG81" i="58" s="1"/>
  <c r="AV17" i="52"/>
  <c r="AU17" i="52"/>
  <c r="AT17" i="52"/>
  <c r="U77" i="58" s="1"/>
  <c r="AU16" i="52"/>
  <c r="AT16" i="52"/>
  <c r="U76" i="58" s="1"/>
  <c r="AM17" i="52"/>
  <c r="AL17" i="52"/>
  <c r="S77" i="58" s="1"/>
  <c r="AM16" i="52"/>
  <c r="AL16" i="52"/>
  <c r="S76" i="58" s="1"/>
  <c r="AE17" i="52"/>
  <c r="AD17" i="52"/>
  <c r="Q77" i="58" s="1"/>
  <c r="AE16" i="52"/>
  <c r="AD16" i="52"/>
  <c r="Q76" i="58" s="1"/>
  <c r="W17" i="52"/>
  <c r="P77" i="58" s="1"/>
  <c r="V17" i="52"/>
  <c r="O77" i="58" s="1"/>
  <c r="W16" i="52"/>
  <c r="P76" i="58" s="1"/>
  <c r="V16" i="52"/>
  <c r="O76" i="58" s="1"/>
  <c r="BD21" i="53" l="1"/>
  <c r="K156" i="60"/>
  <c r="D47" i="62" s="1"/>
  <c r="L156" i="60"/>
  <c r="E47" i="62" s="1"/>
  <c r="G142" i="60"/>
  <c r="F142" i="60"/>
  <c r="I142" i="60"/>
  <c r="H142" i="60"/>
  <c r="K142" i="60" s="1"/>
  <c r="I143" i="60"/>
  <c r="H143" i="60"/>
  <c r="F143" i="60"/>
  <c r="G143" i="60"/>
  <c r="AD80" i="58"/>
  <c r="BA21" i="53"/>
  <c r="BC21" i="53"/>
  <c r="BB21" i="53"/>
  <c r="W77" i="58"/>
  <c r="AY17" i="52"/>
  <c r="AX17" i="52"/>
  <c r="AZ16" i="52"/>
  <c r="AW17" i="52"/>
  <c r="AW16" i="52"/>
  <c r="AZ17" i="52"/>
  <c r="AY16" i="52"/>
  <c r="AX16" i="52"/>
  <c r="G19" i="52"/>
  <c r="Q74" i="59" s="1"/>
  <c r="E145" i="60" s="1"/>
  <c r="G17" i="52"/>
  <c r="Q72" i="59" s="1"/>
  <c r="E143" i="60" s="1"/>
  <c r="G18" i="52"/>
  <c r="Q73" i="59" s="1"/>
  <c r="E144" i="60" s="1"/>
  <c r="G16" i="52"/>
  <c r="Q71" i="59" s="1"/>
  <c r="E142" i="60" s="1"/>
  <c r="O19" i="52"/>
  <c r="R74" i="59" s="1"/>
  <c r="O17" i="52"/>
  <c r="R72" i="59" s="1"/>
  <c r="O18" i="52"/>
  <c r="R73" i="59" s="1"/>
  <c r="O16" i="52"/>
  <c r="R71" i="59" s="1"/>
  <c r="I17" i="52"/>
  <c r="E72" i="59" s="1"/>
  <c r="D143" i="60" s="1"/>
  <c r="I18" i="52"/>
  <c r="E73" i="59" s="1"/>
  <c r="D144" i="60" s="1"/>
  <c r="I19" i="52"/>
  <c r="E74" i="59" s="1"/>
  <c r="D145" i="60" s="1"/>
  <c r="I16" i="52"/>
  <c r="E71" i="59" s="1"/>
  <c r="D142" i="60" s="1"/>
  <c r="H17" i="52"/>
  <c r="H18" i="52"/>
  <c r="H19" i="52"/>
  <c r="H16" i="52"/>
  <c r="E17" i="52"/>
  <c r="E18" i="52"/>
  <c r="E19" i="52"/>
  <c r="E16" i="52"/>
  <c r="D18" i="52"/>
  <c r="D19" i="52"/>
  <c r="D17" i="52"/>
  <c r="D16" i="52"/>
  <c r="C16" i="52"/>
  <c r="B16" i="52"/>
  <c r="AU19" i="52"/>
  <c r="V79" i="58" s="1"/>
  <c r="AT19" i="52"/>
  <c r="U79" i="58" s="1"/>
  <c r="AM19" i="52"/>
  <c r="T79" i="58" s="1"/>
  <c r="AL19" i="52"/>
  <c r="S79" i="58" s="1"/>
  <c r="AE19" i="52"/>
  <c r="R79" i="58" s="1"/>
  <c r="AD19" i="52"/>
  <c r="Q79" i="58" s="1"/>
  <c r="W19" i="52"/>
  <c r="P79" i="58" s="1"/>
  <c r="V19" i="52"/>
  <c r="O79" i="58" s="1"/>
  <c r="AU18" i="52"/>
  <c r="V78" i="58" s="1"/>
  <c r="AT18" i="52"/>
  <c r="U78" i="58" s="1"/>
  <c r="AM18" i="52"/>
  <c r="T78" i="58" s="1"/>
  <c r="AL18" i="52"/>
  <c r="S78" i="58" s="1"/>
  <c r="AE18" i="52"/>
  <c r="R78" i="58" s="1"/>
  <c r="AD18" i="52"/>
  <c r="Q78" i="58" s="1"/>
  <c r="W18" i="52"/>
  <c r="P78" i="58" s="1"/>
  <c r="V18" i="52"/>
  <c r="O78" i="58" s="1"/>
  <c r="AV16" i="52"/>
  <c r="W76" i="58" s="1"/>
  <c r="O79" i="38"/>
  <c r="O78" i="38"/>
  <c r="O76" i="38"/>
  <c r="O77" i="38"/>
  <c r="L142" i="60" l="1"/>
  <c r="K143" i="60"/>
  <c r="L143" i="60"/>
  <c r="F144" i="60"/>
  <c r="G144" i="60"/>
  <c r="G145" i="60"/>
  <c r="F145" i="60"/>
  <c r="X79" i="58"/>
  <c r="J145" i="60" s="1"/>
  <c r="H145" i="60"/>
  <c r="I145" i="60"/>
  <c r="H144" i="60"/>
  <c r="I144" i="60"/>
  <c r="BH16" i="52"/>
  <c r="BD16" i="52"/>
  <c r="BF17" i="52"/>
  <c r="BB17" i="52"/>
  <c r="BG17" i="52"/>
  <c r="BC17" i="52"/>
  <c r="BF16" i="52"/>
  <c r="BB16" i="52"/>
  <c r="X78" i="58"/>
  <c r="J144" i="60" s="1"/>
  <c r="BG16" i="52"/>
  <c r="BC16" i="52"/>
  <c r="BH17" i="52"/>
  <c r="BD17" i="52"/>
  <c r="BE16" i="52"/>
  <c r="AG76" i="58" s="1"/>
  <c r="BA16" i="52"/>
  <c r="AD76" i="58" s="1"/>
  <c r="BE17" i="52"/>
  <c r="AG77" i="58" s="1"/>
  <c r="BA17" i="52"/>
  <c r="AD77" i="58" s="1"/>
  <c r="AV19" i="52"/>
  <c r="W79" i="58" s="1"/>
  <c r="AV18" i="52"/>
  <c r="W78" i="58" s="1"/>
  <c r="AY18" i="52"/>
  <c r="BG18" i="52" s="1"/>
  <c r="AX18" i="52"/>
  <c r="BF18" i="52" s="1"/>
  <c r="AW18" i="52"/>
  <c r="BE18" i="52" s="1"/>
  <c r="AG78" i="58" s="1"/>
  <c r="AZ18" i="52"/>
  <c r="BH18" i="52" s="1"/>
  <c r="AY19" i="52"/>
  <c r="BG19" i="52" s="1"/>
  <c r="AX19" i="52"/>
  <c r="BF19" i="52" s="1"/>
  <c r="AW19" i="52"/>
  <c r="BE19" i="52" s="1"/>
  <c r="AG79" i="58" s="1"/>
  <c r="AZ19" i="52"/>
  <c r="BH19" i="52" s="1"/>
  <c r="Z79" i="58" l="1"/>
  <c r="Y79" i="58"/>
  <c r="M145" i="60" s="1"/>
  <c r="K145" i="60"/>
  <c r="L145" i="60"/>
  <c r="L144" i="60"/>
  <c r="L146" i="60" s="1"/>
  <c r="E46" i="62" s="1"/>
  <c r="K144" i="60"/>
  <c r="K146" i="60" s="1"/>
  <c r="D46" i="62" s="1"/>
  <c r="AH79" i="58"/>
  <c r="AA79" i="58"/>
  <c r="Z78" i="58"/>
  <c r="Y78" i="58"/>
  <c r="BA19" i="52"/>
  <c r="AD79" i="58" s="1"/>
  <c r="BC18" i="52"/>
  <c r="BB19" i="52"/>
  <c r="BC19" i="52"/>
  <c r="BA18" i="52"/>
  <c r="AD78" i="58" s="1"/>
  <c r="BD19" i="52"/>
  <c r="BD18" i="52"/>
  <c r="BB18" i="52"/>
  <c r="AE79" i="58" l="1"/>
  <c r="AE78" i="58"/>
  <c r="M144" i="60"/>
  <c r="AA78" i="58"/>
  <c r="AH78" i="58"/>
  <c r="BD20" i="52"/>
  <c r="BC20" i="52"/>
  <c r="BB20" i="52"/>
  <c r="BA20" i="52"/>
  <c r="O17" i="51" l="1"/>
  <c r="R68" i="59" s="1"/>
  <c r="O18" i="51"/>
  <c r="R69" i="59" s="1"/>
  <c r="O16" i="51"/>
  <c r="R67" i="59" s="1"/>
  <c r="I17" i="51"/>
  <c r="E68" i="59" s="1"/>
  <c r="D129" i="60" s="1"/>
  <c r="I18" i="51"/>
  <c r="E69" i="59" s="1"/>
  <c r="D130" i="60" s="1"/>
  <c r="I16" i="51"/>
  <c r="E67" i="59" s="1"/>
  <c r="D128" i="60" s="1"/>
  <c r="H18" i="51"/>
  <c r="H17" i="51"/>
  <c r="H16" i="51"/>
  <c r="G17" i="51"/>
  <c r="Q68" i="59" s="1"/>
  <c r="G18" i="51"/>
  <c r="Q69" i="59" s="1"/>
  <c r="G16" i="51"/>
  <c r="Q67" i="59" s="1"/>
  <c r="E128" i="60" s="1"/>
  <c r="E17" i="51"/>
  <c r="E18" i="51"/>
  <c r="E16" i="51"/>
  <c r="D17" i="51"/>
  <c r="D18" i="51"/>
  <c r="D16" i="51"/>
  <c r="C16" i="51"/>
  <c r="B16" i="51"/>
  <c r="AU18" i="51"/>
  <c r="V74" i="58" s="1"/>
  <c r="AT18" i="51"/>
  <c r="U74" i="58" s="1"/>
  <c r="AM18" i="51"/>
  <c r="T74" i="58" s="1"/>
  <c r="AL18" i="51"/>
  <c r="S74" i="58" s="1"/>
  <c r="AE18" i="51"/>
  <c r="AD18" i="51"/>
  <c r="Q74" i="58" s="1"/>
  <c r="W18" i="51"/>
  <c r="V18" i="51"/>
  <c r="O74" i="58" s="1"/>
  <c r="AU17" i="51"/>
  <c r="AT17" i="51"/>
  <c r="U73" i="58" s="1"/>
  <c r="AM17" i="51"/>
  <c r="T73" i="58" s="1"/>
  <c r="AL17" i="51"/>
  <c r="S73" i="58" s="1"/>
  <c r="AE17" i="51"/>
  <c r="AD17" i="51"/>
  <c r="Q73" i="58" s="1"/>
  <c r="W17" i="51"/>
  <c r="V17" i="51"/>
  <c r="O73" i="58" s="1"/>
  <c r="AU16" i="51"/>
  <c r="V72" i="58" s="1"/>
  <c r="AT16" i="51"/>
  <c r="U72" i="58" s="1"/>
  <c r="AM16" i="51"/>
  <c r="T72" i="58" s="1"/>
  <c r="AL16" i="51"/>
  <c r="S72" i="58" s="1"/>
  <c r="AE16" i="51"/>
  <c r="R72" i="58" s="1"/>
  <c r="AD16" i="51"/>
  <c r="Q72" i="58" s="1"/>
  <c r="W16" i="51"/>
  <c r="V16" i="51"/>
  <c r="O72" i="58" s="1"/>
  <c r="O73" i="38"/>
  <c r="O74" i="38"/>
  <c r="E130" i="60" l="1"/>
  <c r="E122" i="60"/>
  <c r="E129" i="60"/>
  <c r="E121" i="60"/>
  <c r="F129" i="60"/>
  <c r="G129" i="60"/>
  <c r="F130" i="60"/>
  <c r="G130" i="60"/>
  <c r="G128" i="60"/>
  <c r="F128" i="60"/>
  <c r="P72" i="58"/>
  <c r="AW16" i="51"/>
  <c r="P73" i="58"/>
  <c r="AW17" i="51"/>
  <c r="P74" i="58"/>
  <c r="AW18" i="51"/>
  <c r="R74" i="58"/>
  <c r="AX18" i="51"/>
  <c r="AY18" i="51"/>
  <c r="AZ18" i="51"/>
  <c r="R73" i="58"/>
  <c r="AX17" i="51"/>
  <c r="AY17" i="51"/>
  <c r="AZ17" i="51"/>
  <c r="BH17" i="51" s="1"/>
  <c r="V73" i="58"/>
  <c r="AX16" i="51"/>
  <c r="BF16" i="51" s="1"/>
  <c r="AY16" i="51"/>
  <c r="BG16" i="51" s="1"/>
  <c r="AZ16" i="51"/>
  <c r="AV17" i="51"/>
  <c r="W73" i="58" s="1"/>
  <c r="AV18" i="51"/>
  <c r="W74" i="58" s="1"/>
  <c r="AV16" i="51"/>
  <c r="W72" i="58" s="1"/>
  <c r="X74" i="58" l="1"/>
  <c r="J130" i="60" s="1"/>
  <c r="X72" i="58"/>
  <c r="J128" i="60" s="1"/>
  <c r="I128" i="60"/>
  <c r="H128" i="60"/>
  <c r="K128" i="60" s="1"/>
  <c r="K131" i="60" s="1"/>
  <c r="D44" i="62" s="1"/>
  <c r="L128" i="60"/>
  <c r="L131" i="60" s="1"/>
  <c r="E44" i="62" s="1"/>
  <c r="H130" i="60"/>
  <c r="K130" i="60" s="1"/>
  <c r="I130" i="60"/>
  <c r="L130" i="60" s="1"/>
  <c r="I129" i="60"/>
  <c r="L129" i="60" s="1"/>
  <c r="H129" i="60"/>
  <c r="K129" i="60"/>
  <c r="BE18" i="51"/>
  <c r="AG74" i="58" s="1"/>
  <c r="BA18" i="51"/>
  <c r="AD74" i="58" s="1"/>
  <c r="BA17" i="51"/>
  <c r="AD73" i="58" s="1"/>
  <c r="BE17" i="51"/>
  <c r="AG73" i="58" s="1"/>
  <c r="BE16" i="51"/>
  <c r="AG72" i="58" s="1"/>
  <c r="BA16" i="51"/>
  <c r="AD72" i="58" s="1"/>
  <c r="Z72" i="58"/>
  <c r="Y72" i="58"/>
  <c r="X73" i="58"/>
  <c r="J129" i="60" s="1"/>
  <c r="BD17" i="51"/>
  <c r="BH18" i="51"/>
  <c r="BD18" i="51"/>
  <c r="BG18" i="51"/>
  <c r="BC18" i="51"/>
  <c r="BF18" i="51"/>
  <c r="BB18" i="51"/>
  <c r="Z74" i="58"/>
  <c r="Y74" i="58"/>
  <c r="BC17" i="51"/>
  <c r="BG17" i="51"/>
  <c r="BF17" i="51"/>
  <c r="BB17" i="51"/>
  <c r="BB16" i="51"/>
  <c r="BD16" i="51"/>
  <c r="BH16" i="51"/>
  <c r="BC16" i="51"/>
  <c r="AE74" i="58" l="1"/>
  <c r="M130" i="60"/>
  <c r="AE72" i="58"/>
  <c r="M128" i="60"/>
  <c r="M131" i="60" s="1"/>
  <c r="F44" i="62" s="1"/>
  <c r="C19" i="62" s="1"/>
  <c r="Y73" i="58"/>
  <c r="Z73" i="58"/>
  <c r="AH73" i="58" s="1"/>
  <c r="AH72" i="58"/>
  <c r="AA72" i="58"/>
  <c r="BD19" i="51"/>
  <c r="AH74" i="58"/>
  <c r="AA74" i="58"/>
  <c r="BA19" i="51"/>
  <c r="BC19" i="51"/>
  <c r="BB19" i="51"/>
  <c r="O16" i="50"/>
  <c r="R70" i="59" s="1"/>
  <c r="I16" i="50"/>
  <c r="E70" i="59" s="1"/>
  <c r="D136" i="60" s="1"/>
  <c r="H16" i="50"/>
  <c r="G16" i="50"/>
  <c r="Q70" i="59" s="1"/>
  <c r="E136" i="60" s="1"/>
  <c r="E16" i="50"/>
  <c r="D16" i="50"/>
  <c r="O75" i="38"/>
  <c r="AU17" i="37"/>
  <c r="V57" i="58" s="1"/>
  <c r="AT17" i="37"/>
  <c r="U57" i="58" s="1"/>
  <c r="AM17" i="37"/>
  <c r="T57" i="58" s="1"/>
  <c r="AL17" i="37"/>
  <c r="S57" i="58" s="1"/>
  <c r="AE17" i="37"/>
  <c r="R57" i="58" s="1"/>
  <c r="AD17" i="37"/>
  <c r="Q57" i="58" s="1"/>
  <c r="W17" i="37"/>
  <c r="P57" i="58" s="1"/>
  <c r="V17" i="37"/>
  <c r="O57" i="58" s="1"/>
  <c r="G14" i="60" l="1"/>
  <c r="F14" i="60"/>
  <c r="AA73" i="58"/>
  <c r="X57" i="58"/>
  <c r="J14" i="60" s="1"/>
  <c r="H14" i="60"/>
  <c r="I14" i="60"/>
  <c r="AE73" i="58"/>
  <c r="M129" i="60"/>
  <c r="C16" i="50"/>
  <c r="B16" i="50"/>
  <c r="AU16" i="50"/>
  <c r="AT16" i="50"/>
  <c r="U75" i="58" s="1"/>
  <c r="AM16" i="50"/>
  <c r="AL16" i="50"/>
  <c r="S75" i="58" s="1"/>
  <c r="AE16" i="50"/>
  <c r="R75" i="58" s="1"/>
  <c r="AD16" i="50"/>
  <c r="Q75" i="58" s="1"/>
  <c r="W16" i="50"/>
  <c r="V16" i="50"/>
  <c r="O75" i="58" s="1"/>
  <c r="O72" i="38"/>
  <c r="K14" i="60" l="1"/>
  <c r="G136" i="60"/>
  <c r="F136" i="60"/>
  <c r="Z57" i="58"/>
  <c r="L14" i="60"/>
  <c r="P75" i="58"/>
  <c r="AW16" i="50"/>
  <c r="AA57" i="58"/>
  <c r="AX16" i="50"/>
  <c r="BF16" i="50" s="1"/>
  <c r="AZ16" i="50"/>
  <c r="AY16" i="50"/>
  <c r="BG16" i="50" s="1"/>
  <c r="AV16" i="50"/>
  <c r="W75" i="58" s="1"/>
  <c r="X75" i="58" l="1"/>
  <c r="J136" i="60" s="1"/>
  <c r="I136" i="60"/>
  <c r="L136" i="60" s="1"/>
  <c r="L137" i="60" s="1"/>
  <c r="E45" i="62" s="1"/>
  <c r="H136" i="60"/>
  <c r="K136" i="60" s="1"/>
  <c r="K137" i="60" s="1"/>
  <c r="D45" i="62" s="1"/>
  <c r="BE16" i="50"/>
  <c r="AG75" i="58" s="1"/>
  <c r="BA16" i="50"/>
  <c r="AD75" i="58" s="1"/>
  <c r="Y75" i="58"/>
  <c r="M136" i="60" s="1"/>
  <c r="M137" i="60" s="1"/>
  <c r="Z75" i="58"/>
  <c r="BC16" i="50"/>
  <c r="BH16" i="50"/>
  <c r="BD16" i="50"/>
  <c r="BD17" i="50" s="1"/>
  <c r="BB16" i="50"/>
  <c r="BB17" i="50" s="1"/>
  <c r="AE75" i="58" l="1"/>
  <c r="AA75" i="58"/>
  <c r="AH75" i="58"/>
  <c r="BC17" i="50"/>
  <c r="BA17" i="50"/>
  <c r="O17" i="48" l="1"/>
  <c r="R66" i="59" s="1"/>
  <c r="O16" i="48"/>
  <c r="R65" i="59" s="1"/>
  <c r="H17" i="48"/>
  <c r="H16" i="48"/>
  <c r="G17" i="48"/>
  <c r="G16" i="48"/>
  <c r="E17" i="48"/>
  <c r="E16" i="48"/>
  <c r="D17" i="48"/>
  <c r="D16" i="48"/>
  <c r="C16" i="48"/>
  <c r="B16" i="48"/>
  <c r="AV17" i="48"/>
  <c r="AU17" i="48"/>
  <c r="AT17" i="48"/>
  <c r="U71" i="58" s="1"/>
  <c r="AM17" i="48"/>
  <c r="AL17" i="48"/>
  <c r="S71" i="58" s="1"/>
  <c r="AE17" i="48"/>
  <c r="AD17" i="48"/>
  <c r="Q71" i="58" s="1"/>
  <c r="W17" i="48"/>
  <c r="P71" i="58" s="1"/>
  <c r="V17" i="48"/>
  <c r="O71" i="58" s="1"/>
  <c r="I17" i="48"/>
  <c r="E66" i="59" s="1"/>
  <c r="D122" i="60" s="1"/>
  <c r="AV16" i="48"/>
  <c r="AU16" i="48"/>
  <c r="AT16" i="48"/>
  <c r="U70" i="58" s="1"/>
  <c r="AM16" i="48"/>
  <c r="AL16" i="48"/>
  <c r="S70" i="58" s="1"/>
  <c r="AE16" i="48"/>
  <c r="AD16" i="48"/>
  <c r="Q70" i="58" s="1"/>
  <c r="W16" i="48"/>
  <c r="P70" i="58" s="1"/>
  <c r="V16" i="48"/>
  <c r="O70" i="58" s="1"/>
  <c r="I16" i="48"/>
  <c r="E65" i="59" s="1"/>
  <c r="D121" i="60" s="1"/>
  <c r="O71" i="38"/>
  <c r="O70" i="38"/>
  <c r="P65" i="59" l="1"/>
  <c r="Q65" i="59"/>
  <c r="P66" i="59"/>
  <c r="Q66" i="59"/>
  <c r="F121" i="60"/>
  <c r="G121" i="60"/>
  <c r="I121" i="60"/>
  <c r="H121" i="60"/>
  <c r="I122" i="60"/>
  <c r="H122" i="60"/>
  <c r="G122" i="60"/>
  <c r="L122" i="60" s="1"/>
  <c r="F122" i="60"/>
  <c r="K122" i="60" s="1"/>
  <c r="W70" i="58"/>
  <c r="AZ16" i="48"/>
  <c r="AY16" i="48"/>
  <c r="AW16" i="48"/>
  <c r="W71" i="58"/>
  <c r="AW17" i="48"/>
  <c r="AX16" i="48"/>
  <c r="AX17" i="48"/>
  <c r="AZ17" i="48"/>
  <c r="AY17" i="48"/>
  <c r="L121" i="60" l="1"/>
  <c r="L123" i="60" s="1"/>
  <c r="E43" i="62" s="1"/>
  <c r="K121" i="60"/>
  <c r="K123" i="60" s="1"/>
  <c r="D43" i="62" s="1"/>
  <c r="BF17" i="48"/>
  <c r="BB17" i="48"/>
  <c r="BB16" i="48"/>
  <c r="BB18" i="48" s="1"/>
  <c r="BF16" i="48"/>
  <c r="BA16" i="48"/>
  <c r="BE16" i="48"/>
  <c r="AG70" i="58" s="1"/>
  <c r="BE17" i="48"/>
  <c r="AG71" i="58" s="1"/>
  <c r="BA17" i="48"/>
  <c r="AD71" i="58" s="1"/>
  <c r="BC16" i="48"/>
  <c r="BG16" i="48"/>
  <c r="BG17" i="48"/>
  <c r="BC17" i="48"/>
  <c r="BC18" i="48" s="1"/>
  <c r="BD16" i="48"/>
  <c r="BH16" i="48"/>
  <c r="BH17" i="48"/>
  <c r="BD17" i="48"/>
  <c r="BD18" i="48" l="1"/>
  <c r="AD70" i="58"/>
  <c r="BA18" i="48"/>
  <c r="AU18" i="47"/>
  <c r="AT18" i="47"/>
  <c r="U64" i="58" s="1"/>
  <c r="AM18" i="47"/>
  <c r="AL18" i="47"/>
  <c r="S64" i="58" s="1"/>
  <c r="AE18" i="47"/>
  <c r="AD18" i="47"/>
  <c r="Q64" i="58" s="1"/>
  <c r="AV18" i="47"/>
  <c r="W64" i="58" s="1"/>
  <c r="AV17" i="47"/>
  <c r="AU17" i="47"/>
  <c r="AT17" i="47"/>
  <c r="U63" i="58" s="1"/>
  <c r="AM17" i="47"/>
  <c r="AL17" i="47"/>
  <c r="S63" i="58" s="1"/>
  <c r="AE17" i="47"/>
  <c r="AD17" i="47"/>
  <c r="Q63" i="58" s="1"/>
  <c r="AU22" i="47"/>
  <c r="V68" i="58" s="1"/>
  <c r="AT22" i="47"/>
  <c r="U68" i="58" s="1"/>
  <c r="AU21" i="47"/>
  <c r="V67" i="58" s="1"/>
  <c r="AT21" i="47"/>
  <c r="U67" i="58" s="1"/>
  <c r="AU20" i="47"/>
  <c r="V66" i="58" s="1"/>
  <c r="AT20" i="47"/>
  <c r="U66" i="58" s="1"/>
  <c r="AU19" i="47"/>
  <c r="V65" i="58" s="1"/>
  <c r="AT19" i="47"/>
  <c r="U65" i="58" s="1"/>
  <c r="AM22" i="47"/>
  <c r="T68" i="58" s="1"/>
  <c r="AL22" i="47"/>
  <c r="S68" i="58" s="1"/>
  <c r="AM21" i="47"/>
  <c r="T67" i="58" s="1"/>
  <c r="AL21" i="47"/>
  <c r="S67" i="58" s="1"/>
  <c r="AM20" i="47"/>
  <c r="T66" i="58" s="1"/>
  <c r="AL20" i="47"/>
  <c r="S66" i="58" s="1"/>
  <c r="AM19" i="47"/>
  <c r="T65" i="58" s="1"/>
  <c r="AL19" i="47"/>
  <c r="S65" i="58" s="1"/>
  <c r="AE22" i="47"/>
  <c r="R68" i="58" s="1"/>
  <c r="AD22" i="47"/>
  <c r="Q68" i="58" s="1"/>
  <c r="AE21" i="47"/>
  <c r="R67" i="58" s="1"/>
  <c r="AD21" i="47"/>
  <c r="Q67" i="58" s="1"/>
  <c r="AE20" i="47"/>
  <c r="R66" i="58" s="1"/>
  <c r="AD20" i="47"/>
  <c r="Q66" i="58" s="1"/>
  <c r="AE19" i="47"/>
  <c r="R65" i="58" s="1"/>
  <c r="AD19" i="47"/>
  <c r="Q65" i="58" s="1"/>
  <c r="V20" i="47"/>
  <c r="W20" i="47"/>
  <c r="P66" i="58" s="1"/>
  <c r="V21" i="47"/>
  <c r="W21" i="47"/>
  <c r="V22" i="47"/>
  <c r="O68" i="58" s="1"/>
  <c r="W22" i="47"/>
  <c r="W19" i="47"/>
  <c r="V19" i="47"/>
  <c r="O65" i="58" s="1"/>
  <c r="V18" i="47"/>
  <c r="O64" i="58" s="1"/>
  <c r="W18" i="47"/>
  <c r="P64" i="58" s="1"/>
  <c r="W17" i="47"/>
  <c r="P63" i="58" s="1"/>
  <c r="V17" i="47"/>
  <c r="O63" i="58" s="1"/>
  <c r="AV16" i="47"/>
  <c r="AU16" i="47"/>
  <c r="AT16" i="47"/>
  <c r="U62" i="58" s="1"/>
  <c r="AM16" i="47"/>
  <c r="AL16" i="47"/>
  <c r="S62" i="58" s="1"/>
  <c r="AE16" i="47"/>
  <c r="AD16" i="47"/>
  <c r="Q62" i="58" s="1"/>
  <c r="W16" i="47"/>
  <c r="P62" i="58" s="1"/>
  <c r="V16" i="47"/>
  <c r="O62" i="58" s="1"/>
  <c r="I17" i="47"/>
  <c r="E58" i="59" s="1"/>
  <c r="D109" i="60" s="1"/>
  <c r="I18" i="47"/>
  <c r="E59" i="59" s="1"/>
  <c r="D110" i="60" s="1"/>
  <c r="I19" i="47"/>
  <c r="E60" i="59" s="1"/>
  <c r="D111" i="60" s="1"/>
  <c r="I20" i="47"/>
  <c r="E61" i="59" s="1"/>
  <c r="D112" i="60" s="1"/>
  <c r="I21" i="47"/>
  <c r="E62" i="59" s="1"/>
  <c r="D113" i="60" s="1"/>
  <c r="I22" i="47"/>
  <c r="E63" i="59" s="1"/>
  <c r="D114" i="60" s="1"/>
  <c r="I23" i="47"/>
  <c r="E64" i="59" s="1"/>
  <c r="D115" i="60" s="1"/>
  <c r="I16" i="47"/>
  <c r="E57" i="59" s="1"/>
  <c r="D108" i="60" s="1"/>
  <c r="H23" i="47"/>
  <c r="H22" i="47"/>
  <c r="H17" i="47"/>
  <c r="H18" i="47"/>
  <c r="H19" i="47"/>
  <c r="H20" i="47"/>
  <c r="H21" i="47"/>
  <c r="H16" i="47"/>
  <c r="G22" i="47"/>
  <c r="Q63" i="59" s="1"/>
  <c r="E114" i="60" s="1"/>
  <c r="G23" i="47"/>
  <c r="Q64" i="59" s="1"/>
  <c r="E115" i="60" s="1"/>
  <c r="G19" i="47"/>
  <c r="Q60" i="59" s="1"/>
  <c r="E111" i="60" s="1"/>
  <c r="G20" i="47"/>
  <c r="Q61" i="59" s="1"/>
  <c r="E112" i="60" s="1"/>
  <c r="G21" i="47"/>
  <c r="Q62" i="59" s="1"/>
  <c r="E113" i="60" s="1"/>
  <c r="G18" i="47"/>
  <c r="Q59" i="59" s="1"/>
  <c r="E110" i="60" s="1"/>
  <c r="G17" i="47"/>
  <c r="Q58" i="59" s="1"/>
  <c r="E109" i="60" s="1"/>
  <c r="G16" i="47"/>
  <c r="Q57" i="59" s="1"/>
  <c r="E108" i="60" s="1"/>
  <c r="E17" i="47"/>
  <c r="E18" i="47"/>
  <c r="E19" i="47"/>
  <c r="E20" i="47"/>
  <c r="E21" i="47"/>
  <c r="E22" i="47"/>
  <c r="E23" i="47"/>
  <c r="E16" i="47"/>
  <c r="D16" i="47"/>
  <c r="C16" i="47"/>
  <c r="B16" i="47"/>
  <c r="BD23" i="47"/>
  <c r="BC23" i="47"/>
  <c r="BB23" i="47"/>
  <c r="BA23" i="47"/>
  <c r="AD69" i="58" s="1"/>
  <c r="AE69" i="58" s="1"/>
  <c r="O67" i="38"/>
  <c r="O68" i="38"/>
  <c r="O65" i="38"/>
  <c r="O66" i="38"/>
  <c r="O63" i="38"/>
  <c r="O64" i="38"/>
  <c r="O62" i="38"/>
  <c r="F108" i="60" l="1"/>
  <c r="G108" i="60"/>
  <c r="F114" i="60"/>
  <c r="G114" i="60"/>
  <c r="I108" i="60"/>
  <c r="H108" i="60"/>
  <c r="G109" i="60"/>
  <c r="L109" i="60" s="1"/>
  <c r="F109" i="60"/>
  <c r="K109" i="60" s="1"/>
  <c r="H109" i="60"/>
  <c r="I109" i="60"/>
  <c r="H110" i="60"/>
  <c r="I110" i="60"/>
  <c r="H112" i="60"/>
  <c r="I112" i="60"/>
  <c r="F110" i="60"/>
  <c r="K110" i="60" s="1"/>
  <c r="G110" i="60"/>
  <c r="L110" i="60" s="1"/>
  <c r="F111" i="60"/>
  <c r="G111" i="60"/>
  <c r="AW19" i="47"/>
  <c r="BE19" i="47" s="1"/>
  <c r="AG65" i="58" s="1"/>
  <c r="P65" i="58"/>
  <c r="AW22" i="47"/>
  <c r="BE22" i="47" s="1"/>
  <c r="AG68" i="58" s="1"/>
  <c r="P68" i="58"/>
  <c r="W62" i="58"/>
  <c r="AW18" i="47"/>
  <c r="AW16" i="47"/>
  <c r="AZ17" i="47"/>
  <c r="AY17" i="47"/>
  <c r="AY18" i="47"/>
  <c r="AW17" i="47"/>
  <c r="AZ18" i="47"/>
  <c r="AY16" i="47"/>
  <c r="AZ16" i="47"/>
  <c r="X66" i="58"/>
  <c r="J112" i="60" s="1"/>
  <c r="AY21" i="47"/>
  <c r="BG21" i="47" s="1"/>
  <c r="P67" i="58"/>
  <c r="AV21" i="47"/>
  <c r="W67" i="58" s="1"/>
  <c r="O67" i="58"/>
  <c r="W63" i="58"/>
  <c r="AX18" i="47"/>
  <c r="AX16" i="47"/>
  <c r="AX17" i="47"/>
  <c r="AV20" i="47"/>
  <c r="W66" i="58" s="1"/>
  <c r="O66" i="58"/>
  <c r="X65" i="58"/>
  <c r="AV19" i="47"/>
  <c r="W65" i="58" s="1"/>
  <c r="AY20" i="47"/>
  <c r="BG20" i="47" s="1"/>
  <c r="AY19" i="47"/>
  <c r="BG19" i="47" s="1"/>
  <c r="AX19" i="47"/>
  <c r="AZ22" i="47"/>
  <c r="BH22" i="47" s="1"/>
  <c r="AX22" i="47"/>
  <c r="BF22" i="47" s="1"/>
  <c r="AY22" i="47"/>
  <c r="BG22" i="47" s="1"/>
  <c r="AW21" i="47"/>
  <c r="AZ19" i="47"/>
  <c r="AX20" i="47"/>
  <c r="BF20" i="47" s="1"/>
  <c r="AZ20" i="47"/>
  <c r="BH20" i="47" s="1"/>
  <c r="AW20" i="47"/>
  <c r="BE20" i="47" s="1"/>
  <c r="AG66" i="58" s="1"/>
  <c r="AV22" i="47"/>
  <c r="AX21" i="47"/>
  <c r="BF21" i="47" s="1"/>
  <c r="AZ21" i="47"/>
  <c r="BH21" i="47" s="1"/>
  <c r="BA19" i="47" l="1"/>
  <c r="AD65" i="58" s="1"/>
  <c r="H114" i="60"/>
  <c r="I114" i="60"/>
  <c r="Y65" i="58"/>
  <c r="M111" i="60" s="1"/>
  <c r="J111" i="60"/>
  <c r="L114" i="60"/>
  <c r="F112" i="60"/>
  <c r="K112" i="60" s="1"/>
  <c r="G112" i="60"/>
  <c r="L112" i="60" s="1"/>
  <c r="K114" i="60"/>
  <c r="F113" i="60"/>
  <c r="G113" i="60"/>
  <c r="X68" i="58"/>
  <c r="J114" i="60" s="1"/>
  <c r="H111" i="60"/>
  <c r="K111" i="60" s="1"/>
  <c r="I111" i="60"/>
  <c r="L111" i="60" s="1"/>
  <c r="X67" i="58"/>
  <c r="J113" i="60" s="1"/>
  <c r="I113" i="60"/>
  <c r="H113" i="60"/>
  <c r="L108" i="60"/>
  <c r="K108" i="60"/>
  <c r="BA21" i="47"/>
  <c r="AD67" i="58" s="1"/>
  <c r="BE21" i="47"/>
  <c r="AG67" i="58" s="1"/>
  <c r="BA22" i="47"/>
  <c r="AD68" i="58" s="1"/>
  <c r="W68" i="58"/>
  <c r="Y68" i="58" s="1"/>
  <c r="BH17" i="47"/>
  <c r="BD17" i="47"/>
  <c r="BE17" i="47"/>
  <c r="AG63" i="58" s="1"/>
  <c r="BA17" i="47"/>
  <c r="AD63" i="58" s="1"/>
  <c r="BF17" i="47"/>
  <c r="BB17" i="47"/>
  <c r="Y66" i="58"/>
  <c r="M112" i="60" s="1"/>
  <c r="Z66" i="58"/>
  <c r="BE16" i="47"/>
  <c r="AG62" i="58" s="1"/>
  <c r="BA16" i="47"/>
  <c r="AD62" i="58" s="1"/>
  <c r="BH16" i="47"/>
  <c r="BD16" i="47"/>
  <c r="BE18" i="47"/>
  <c r="AG64" i="58" s="1"/>
  <c r="BA18" i="47"/>
  <c r="AD64" i="58" s="1"/>
  <c r="BG16" i="47"/>
  <c r="BC16" i="47"/>
  <c r="BF16" i="47"/>
  <c r="BB16" i="47"/>
  <c r="BF18" i="47"/>
  <c r="BB18" i="47"/>
  <c r="BC21" i="47"/>
  <c r="BH18" i="47"/>
  <c r="BD18" i="47"/>
  <c r="Z68" i="58"/>
  <c r="BG18" i="47"/>
  <c r="BC18" i="47"/>
  <c r="BG17" i="47"/>
  <c r="BC17" i="47"/>
  <c r="Z65" i="58"/>
  <c r="AA65" i="58" s="1"/>
  <c r="AE65" i="58"/>
  <c r="BB19" i="47"/>
  <c r="BF19" i="47"/>
  <c r="BD19" i="47"/>
  <c r="BH19" i="47"/>
  <c r="BC19" i="47"/>
  <c r="BC22" i="47"/>
  <c r="BB22" i="47"/>
  <c r="BD22" i="47"/>
  <c r="BC20" i="47"/>
  <c r="BD20" i="47"/>
  <c r="BD21" i="47"/>
  <c r="BB21" i="47"/>
  <c r="BA20" i="47"/>
  <c r="AD66" i="58" s="1"/>
  <c r="BB20" i="47"/>
  <c r="AE68" i="58" l="1"/>
  <c r="M114" i="60"/>
  <c r="Y67" i="58"/>
  <c r="Z67" i="58"/>
  <c r="L113" i="60"/>
  <c r="L116" i="60" s="1"/>
  <c r="E42" i="62" s="1"/>
  <c r="K113" i="60"/>
  <c r="K116" i="60" s="1"/>
  <c r="D42" i="62" s="1"/>
  <c r="AA66" i="58"/>
  <c r="AH66" i="58"/>
  <c r="BA24" i="47"/>
  <c r="AA68" i="58"/>
  <c r="AH68" i="58"/>
  <c r="AE66" i="58"/>
  <c r="AA67" i="58"/>
  <c r="AH67" i="58"/>
  <c r="AH65" i="58"/>
  <c r="BC24" i="47"/>
  <c r="BD24" i="47"/>
  <c r="BB24" i="47"/>
  <c r="AE67" i="58" l="1"/>
  <c r="M113" i="60"/>
  <c r="O69" i="38"/>
  <c r="I18" i="46" l="1"/>
  <c r="E82" i="59" s="1"/>
  <c r="D51" i="60" s="1"/>
  <c r="H18" i="46"/>
  <c r="G18" i="46"/>
  <c r="Q82" i="59" s="1"/>
  <c r="E51" i="60" s="1"/>
  <c r="E18" i="46"/>
  <c r="D18" i="46"/>
  <c r="C18" i="46"/>
  <c r="AU18" i="46"/>
  <c r="V93" i="58" s="1"/>
  <c r="AT18" i="46"/>
  <c r="U93" i="58" s="1"/>
  <c r="AM18" i="46"/>
  <c r="T93" i="58" s="1"/>
  <c r="AL18" i="46"/>
  <c r="S93" i="58" s="1"/>
  <c r="AE18" i="46"/>
  <c r="R93" i="58" s="1"/>
  <c r="AD18" i="46"/>
  <c r="Q93" i="58" s="1"/>
  <c r="W18" i="46"/>
  <c r="P93" i="58" s="1"/>
  <c r="V18" i="46"/>
  <c r="O93" i="58" s="1"/>
  <c r="O93" i="38"/>
  <c r="G18" i="37"/>
  <c r="Q7" i="59" s="1"/>
  <c r="E15" i="60" s="1"/>
  <c r="G19" i="37"/>
  <c r="Q8" i="59" s="1"/>
  <c r="E16" i="60" s="1"/>
  <c r="G17" i="37"/>
  <c r="Q6" i="59" s="1"/>
  <c r="E14" i="60" s="1"/>
  <c r="G16" i="37"/>
  <c r="Q5" i="59" s="1"/>
  <c r="E13" i="60" s="1"/>
  <c r="O60" i="38"/>
  <c r="F51" i="60" l="1"/>
  <c r="K51" i="60" s="1"/>
  <c r="G51" i="60"/>
  <c r="L51" i="60" s="1"/>
  <c r="I51" i="60"/>
  <c r="H51" i="60"/>
  <c r="X93" i="58"/>
  <c r="J51" i="60" s="1"/>
  <c r="AZ18" i="46"/>
  <c r="BH18" i="46" s="1"/>
  <c r="AV18" i="46"/>
  <c r="W93" i="58" s="1"/>
  <c r="AW18" i="46"/>
  <c r="BE18" i="46" s="1"/>
  <c r="AY18" i="46"/>
  <c r="BG18" i="46" s="1"/>
  <c r="AX18" i="46"/>
  <c r="BF18" i="46" s="1"/>
  <c r="AW17" i="37"/>
  <c r="BE17" i="37" s="1"/>
  <c r="AG57" i="58" s="1"/>
  <c r="AH57" i="58" s="1"/>
  <c r="AX17" i="37"/>
  <c r="BF17" i="37" s="1"/>
  <c r="AY17" i="37"/>
  <c r="BG17" i="37" s="1"/>
  <c r="AZ17" i="37"/>
  <c r="BH17" i="37" s="1"/>
  <c r="AU19" i="37"/>
  <c r="V59" i="58" s="1"/>
  <c r="AT19" i="37"/>
  <c r="U59" i="58" s="1"/>
  <c r="AM19" i="37"/>
  <c r="T59" i="58" s="1"/>
  <c r="AL19" i="37"/>
  <c r="S59" i="58" s="1"/>
  <c r="AE19" i="37"/>
  <c r="R59" i="58" s="1"/>
  <c r="AD19" i="37"/>
  <c r="Q59" i="58" s="1"/>
  <c r="W19" i="37"/>
  <c r="H16" i="60" s="1"/>
  <c r="K16" i="60" s="1"/>
  <c r="O19" i="37"/>
  <c r="R8" i="59" s="1"/>
  <c r="AW19" i="37" l="1"/>
  <c r="BE19" i="37" s="1"/>
  <c r="AG59" i="58" s="1"/>
  <c r="P59" i="58"/>
  <c r="Z93" i="58"/>
  <c r="Y93" i="58"/>
  <c r="M51" i="60" s="1"/>
  <c r="AY19" i="37"/>
  <c r="BG19" i="37" s="1"/>
  <c r="AZ19" i="37"/>
  <c r="BH19" i="37" s="1"/>
  <c r="AX19" i="37"/>
  <c r="BF19" i="37" s="1"/>
  <c r="BD18" i="46"/>
  <c r="BD19" i="46" s="1"/>
  <c r="BA18" i="46"/>
  <c r="BC18" i="46"/>
  <c r="BC19" i="46" s="1"/>
  <c r="BB18" i="46"/>
  <c r="BB19" i="46" s="1"/>
  <c r="AV19" i="37"/>
  <c r="X59" i="58" l="1"/>
  <c r="J16" i="60" s="1"/>
  <c r="I16" i="60"/>
  <c r="L16" i="60" s="1"/>
  <c r="AA93" i="58"/>
  <c r="AB93" i="58" s="1"/>
  <c r="AH93" i="58"/>
  <c r="Z59" i="58"/>
  <c r="BA19" i="37"/>
  <c r="AD59" i="58" s="1"/>
  <c r="W59" i="58"/>
  <c r="Y59" i="58" s="1"/>
  <c r="AD93" i="58"/>
  <c r="AE93" i="58" s="1"/>
  <c r="BA19" i="46"/>
  <c r="BD19" i="37"/>
  <c r="BB19" i="37"/>
  <c r="BC19" i="37"/>
  <c r="AE59" i="58" l="1"/>
  <c r="M16" i="60"/>
  <c r="AH59" i="58"/>
  <c r="AA59" i="58"/>
  <c r="W18" i="37"/>
  <c r="P58" i="58" s="1"/>
  <c r="V18" i="37"/>
  <c r="O58" i="58" s="1"/>
  <c r="AE18" i="37"/>
  <c r="R58" i="58" s="1"/>
  <c r="AD18" i="37"/>
  <c r="Q58" i="58" s="1"/>
  <c r="AM18" i="37"/>
  <c r="T58" i="58" s="1"/>
  <c r="AL18" i="37"/>
  <c r="S58" i="58" s="1"/>
  <c r="AV17" i="37"/>
  <c r="W57" i="58" s="1"/>
  <c r="Y57" i="58" s="1"/>
  <c r="M14" i="60" s="1"/>
  <c r="AT18" i="37"/>
  <c r="U58" i="58" s="1"/>
  <c r="AU18" i="37"/>
  <c r="V58" i="58" s="1"/>
  <c r="O18" i="37"/>
  <c r="R7" i="59" s="1"/>
  <c r="G15" i="60" l="1"/>
  <c r="F15" i="60"/>
  <c r="H15" i="60"/>
  <c r="I15" i="60"/>
  <c r="X58" i="58"/>
  <c r="J15" i="60" s="1"/>
  <c r="AX18" i="37"/>
  <c r="BF18" i="37" s="1"/>
  <c r="AW18" i="37"/>
  <c r="BE18" i="37" s="1"/>
  <c r="AG58" i="58" s="1"/>
  <c r="AY18" i="37"/>
  <c r="BG18" i="37" s="1"/>
  <c r="AZ18" i="37"/>
  <c r="BH18" i="37" s="1"/>
  <c r="BD17" i="37"/>
  <c r="BA17" i="37"/>
  <c r="AD57" i="58" s="1"/>
  <c r="AE57" i="58" s="1"/>
  <c r="BB17" i="37"/>
  <c r="BC17" i="37"/>
  <c r="AV18" i="37"/>
  <c r="W58" i="58" s="1"/>
  <c r="O17" i="37"/>
  <c r="R6" i="59" s="1"/>
  <c r="K15" i="60" l="1"/>
  <c r="L15" i="60"/>
  <c r="Z58" i="58"/>
  <c r="Y58" i="58"/>
  <c r="M15" i="60" s="1"/>
  <c r="BB18" i="37"/>
  <c r="BC18" i="37"/>
  <c r="BD18" i="37"/>
  <c r="BA18" i="37"/>
  <c r="AD58" i="58" s="1"/>
  <c r="C16" i="37"/>
  <c r="B16" i="37"/>
  <c r="I22" i="44"/>
  <c r="E18" i="59" s="1"/>
  <c r="D36" i="60" s="1"/>
  <c r="I17" i="44"/>
  <c r="E13" i="59" s="1"/>
  <c r="D31" i="60" s="1"/>
  <c r="I18" i="44"/>
  <c r="E14" i="59" s="1"/>
  <c r="D32" i="60" s="1"/>
  <c r="I19" i="44"/>
  <c r="E15" i="59" s="1"/>
  <c r="D33" i="60" s="1"/>
  <c r="I20" i="44"/>
  <c r="E16" i="59" s="1"/>
  <c r="D34" i="60" s="1"/>
  <c r="I21" i="44"/>
  <c r="E17" i="59" s="1"/>
  <c r="D35" i="60" s="1"/>
  <c r="I16" i="44"/>
  <c r="E12" i="59" s="1"/>
  <c r="D30" i="60" s="1"/>
  <c r="H17" i="44"/>
  <c r="H18" i="44"/>
  <c r="H19" i="44"/>
  <c r="H20" i="44"/>
  <c r="H21" i="44"/>
  <c r="H22" i="44"/>
  <c r="H16" i="44"/>
  <c r="G17" i="44"/>
  <c r="Q13" i="59" s="1"/>
  <c r="E31" i="60" s="1"/>
  <c r="G18" i="44"/>
  <c r="Q14" i="59" s="1"/>
  <c r="E32" i="60" s="1"/>
  <c r="G19" i="44"/>
  <c r="Q15" i="59" s="1"/>
  <c r="E33" i="60" s="1"/>
  <c r="G20" i="44"/>
  <c r="Q16" i="59" s="1"/>
  <c r="E34" i="60" s="1"/>
  <c r="G21" i="44"/>
  <c r="Q17" i="59" s="1"/>
  <c r="E35" i="60" s="1"/>
  <c r="G22" i="44"/>
  <c r="Q18" i="59" s="1"/>
  <c r="E36" i="60" s="1"/>
  <c r="G16" i="44"/>
  <c r="Q12" i="59" s="1"/>
  <c r="E30" i="60" s="1"/>
  <c r="E17" i="44"/>
  <c r="E18" i="44"/>
  <c r="E19" i="44"/>
  <c r="E20" i="44"/>
  <c r="E21" i="44"/>
  <c r="E22" i="44"/>
  <c r="E16" i="44"/>
  <c r="D22" i="44"/>
  <c r="D17" i="44"/>
  <c r="D18" i="44"/>
  <c r="D19" i="44"/>
  <c r="D20" i="44"/>
  <c r="D21" i="44"/>
  <c r="D16" i="44"/>
  <c r="C16" i="44"/>
  <c r="B16" i="44"/>
  <c r="AU22" i="44"/>
  <c r="V55" i="58" s="1"/>
  <c r="AT22" i="44"/>
  <c r="U55" i="58" s="1"/>
  <c r="AM22" i="44"/>
  <c r="T55" i="58" s="1"/>
  <c r="AL22" i="44"/>
  <c r="S55" i="58" s="1"/>
  <c r="AE22" i="44"/>
  <c r="R55" i="58" s="1"/>
  <c r="AD22" i="44"/>
  <c r="Q55" i="58" s="1"/>
  <c r="W22" i="44"/>
  <c r="V22" i="44"/>
  <c r="O55" i="58" s="1"/>
  <c r="AU21" i="44"/>
  <c r="V54" i="58" s="1"/>
  <c r="AT21" i="44"/>
  <c r="U54" i="58" s="1"/>
  <c r="AM21" i="44"/>
  <c r="T54" i="58" s="1"/>
  <c r="AL21" i="44"/>
  <c r="S54" i="58" s="1"/>
  <c r="AE21" i="44"/>
  <c r="R54" i="58" s="1"/>
  <c r="AD21" i="44"/>
  <c r="Q54" i="58" s="1"/>
  <c r="W21" i="44"/>
  <c r="V21" i="44"/>
  <c r="O54" i="58" s="1"/>
  <c r="AU20" i="44"/>
  <c r="V53" i="58" s="1"/>
  <c r="AT20" i="44"/>
  <c r="U53" i="58" s="1"/>
  <c r="AM20" i="44"/>
  <c r="T53" i="58" s="1"/>
  <c r="AL20" i="44"/>
  <c r="S53" i="58" s="1"/>
  <c r="AE20" i="44"/>
  <c r="R53" i="58" s="1"/>
  <c r="AD20" i="44"/>
  <c r="Q53" i="58" s="1"/>
  <c r="W20" i="44"/>
  <c r="P53" i="58" s="1"/>
  <c r="V20" i="44"/>
  <c r="O53" i="58" s="1"/>
  <c r="AU19" i="44"/>
  <c r="V52" i="58" s="1"/>
  <c r="AT19" i="44"/>
  <c r="U52" i="58" s="1"/>
  <c r="AM19" i="44"/>
  <c r="T52" i="58" s="1"/>
  <c r="AL19" i="44"/>
  <c r="S52" i="58" s="1"/>
  <c r="AE19" i="44"/>
  <c r="R52" i="58" s="1"/>
  <c r="AD19" i="44"/>
  <c r="Q52" i="58" s="1"/>
  <c r="W19" i="44"/>
  <c r="P52" i="58" s="1"/>
  <c r="V19" i="44"/>
  <c r="O52" i="58" s="1"/>
  <c r="AU18" i="44"/>
  <c r="V51" i="58" s="1"/>
  <c r="AT18" i="44"/>
  <c r="U51" i="58" s="1"/>
  <c r="AM18" i="44"/>
  <c r="T51" i="58" s="1"/>
  <c r="AL18" i="44"/>
  <c r="S51" i="58" s="1"/>
  <c r="AE18" i="44"/>
  <c r="R51" i="58" s="1"/>
  <c r="AD18" i="44"/>
  <c r="Q51" i="58" s="1"/>
  <c r="W18" i="44"/>
  <c r="V18" i="44"/>
  <c r="O51" i="58" s="1"/>
  <c r="AU17" i="44"/>
  <c r="V50" i="58" s="1"/>
  <c r="AT17" i="44"/>
  <c r="U50" i="58" s="1"/>
  <c r="AM17" i="44"/>
  <c r="T50" i="58" s="1"/>
  <c r="AL17" i="44"/>
  <c r="S50" i="58" s="1"/>
  <c r="AE17" i="44"/>
  <c r="R50" i="58" s="1"/>
  <c r="AD17" i="44"/>
  <c r="Q50" i="58" s="1"/>
  <c r="W17" i="44"/>
  <c r="V17" i="44"/>
  <c r="O50" i="58" s="1"/>
  <c r="R13" i="59"/>
  <c r="AU16" i="44"/>
  <c r="V49" i="58" s="1"/>
  <c r="AT16" i="44"/>
  <c r="U49" i="58" s="1"/>
  <c r="AM16" i="44"/>
  <c r="T49" i="58" s="1"/>
  <c r="AL16" i="44"/>
  <c r="S49" i="58" s="1"/>
  <c r="AE16" i="44"/>
  <c r="R49" i="58" s="1"/>
  <c r="AD16" i="44"/>
  <c r="Q49" i="58" s="1"/>
  <c r="W16" i="44"/>
  <c r="V16" i="44"/>
  <c r="O49" i="58" s="1"/>
  <c r="R12" i="59"/>
  <c r="G32" i="60" l="1"/>
  <c r="F32" i="60"/>
  <c r="F33" i="60"/>
  <c r="G33" i="60"/>
  <c r="G34" i="60"/>
  <c r="F34" i="60"/>
  <c r="F35" i="60"/>
  <c r="G35" i="60"/>
  <c r="F36" i="60"/>
  <c r="G36" i="60"/>
  <c r="F30" i="60"/>
  <c r="G30" i="60"/>
  <c r="H33" i="60"/>
  <c r="I33" i="60"/>
  <c r="H34" i="60"/>
  <c r="I34" i="60"/>
  <c r="F31" i="60"/>
  <c r="G31" i="60"/>
  <c r="AW17" i="44"/>
  <c r="BE17" i="44" s="1"/>
  <c r="AG50" i="58" s="1"/>
  <c r="P50" i="58"/>
  <c r="AW18" i="44"/>
  <c r="BE18" i="44" s="1"/>
  <c r="AG51" i="58" s="1"/>
  <c r="P51" i="58"/>
  <c r="X52" i="58"/>
  <c r="J33" i="60" s="1"/>
  <c r="X53" i="58"/>
  <c r="J34" i="60" s="1"/>
  <c r="AW21" i="44"/>
  <c r="BE21" i="44" s="1"/>
  <c r="AG54" i="58" s="1"/>
  <c r="P54" i="58"/>
  <c r="AW22" i="44"/>
  <c r="BE22" i="44" s="1"/>
  <c r="AG55" i="58" s="1"/>
  <c r="P55" i="58"/>
  <c r="AW16" i="44"/>
  <c r="BE16" i="44" s="1"/>
  <c r="AG49" i="58" s="1"/>
  <c r="P49" i="58"/>
  <c r="X55" i="58"/>
  <c r="J36" i="60" s="1"/>
  <c r="AE58" i="58"/>
  <c r="AH58" i="58"/>
  <c r="AA58" i="58"/>
  <c r="AX16" i="44"/>
  <c r="BF16" i="44" s="1"/>
  <c r="AX18" i="44"/>
  <c r="BF18" i="44" s="1"/>
  <c r="AY21" i="44"/>
  <c r="BG21" i="44" s="1"/>
  <c r="AZ19" i="44"/>
  <c r="BH19" i="44" s="1"/>
  <c r="AZ20" i="44"/>
  <c r="BH20" i="44" s="1"/>
  <c r="AV21" i="44"/>
  <c r="W54" i="58" s="1"/>
  <c r="AV20" i="44"/>
  <c r="W53" i="58" s="1"/>
  <c r="AV18" i="44"/>
  <c r="W51" i="58" s="1"/>
  <c r="AV16" i="44"/>
  <c r="AX21" i="44"/>
  <c r="BF21" i="44" s="1"/>
  <c r="AY17" i="44"/>
  <c r="BG17" i="44" s="1"/>
  <c r="AV19" i="44"/>
  <c r="W52" i="58" s="1"/>
  <c r="AY22" i="44"/>
  <c r="BG22" i="44" s="1"/>
  <c r="AY16" i="44"/>
  <c r="BG16" i="44" s="1"/>
  <c r="AV17" i="44"/>
  <c r="AX17" i="44"/>
  <c r="BF17" i="44" s="1"/>
  <c r="AY19" i="44"/>
  <c r="BG19" i="44" s="1"/>
  <c r="AV22" i="44"/>
  <c r="AY18" i="44"/>
  <c r="BG18" i="44" s="1"/>
  <c r="AW20" i="44"/>
  <c r="BE20" i="44" s="1"/>
  <c r="AG53" i="58" s="1"/>
  <c r="AX20" i="44"/>
  <c r="BF20" i="44" s="1"/>
  <c r="AZ22" i="44"/>
  <c r="BH22" i="44" s="1"/>
  <c r="AZ16" i="44"/>
  <c r="BH16" i="44" s="1"/>
  <c r="AZ17" i="44"/>
  <c r="BH17" i="44" s="1"/>
  <c r="AX19" i="44"/>
  <c r="BF19" i="44" s="1"/>
  <c r="AY20" i="44"/>
  <c r="BG20" i="44" s="1"/>
  <c r="AZ21" i="44"/>
  <c r="BH21" i="44" s="1"/>
  <c r="AZ18" i="44"/>
  <c r="BH18" i="44" s="1"/>
  <c r="AW19" i="44"/>
  <c r="BE19" i="44" s="1"/>
  <c r="AG52" i="58" s="1"/>
  <c r="AX22" i="44"/>
  <c r="BF22" i="44" s="1"/>
  <c r="K34" i="60" l="1"/>
  <c r="L34" i="60"/>
  <c r="X51" i="58"/>
  <c r="J32" i="60" s="1"/>
  <c r="H32" i="60"/>
  <c r="K32" i="60" s="1"/>
  <c r="I32" i="60"/>
  <c r="L32" i="60" s="1"/>
  <c r="L33" i="60"/>
  <c r="X49" i="58"/>
  <c r="J30" i="60" s="1"/>
  <c r="I30" i="60"/>
  <c r="L30" i="60" s="1"/>
  <c r="L37" i="60" s="1"/>
  <c r="E34" i="62" s="1"/>
  <c r="H30" i="60"/>
  <c r="K30" i="60" s="1"/>
  <c r="I36" i="60"/>
  <c r="L36" i="60" s="1"/>
  <c r="H36" i="60"/>
  <c r="X50" i="58"/>
  <c r="J31" i="60" s="1"/>
  <c r="H31" i="60"/>
  <c r="K31" i="60" s="1"/>
  <c r="I31" i="60"/>
  <c r="L31" i="60" s="1"/>
  <c r="K33" i="60"/>
  <c r="X54" i="58"/>
  <c r="J35" i="60" s="1"/>
  <c r="H35" i="60"/>
  <c r="K35" i="60" s="1"/>
  <c r="I35" i="60"/>
  <c r="L35" i="60" s="1"/>
  <c r="K36" i="60"/>
  <c r="Z53" i="58"/>
  <c r="Y53" i="58"/>
  <c r="M34" i="60" s="1"/>
  <c r="Z55" i="58"/>
  <c r="Z52" i="58"/>
  <c r="Y52" i="58"/>
  <c r="M33" i="60" s="1"/>
  <c r="BA17" i="44"/>
  <c r="AD50" i="58" s="1"/>
  <c r="W50" i="58"/>
  <c r="Y51" i="58"/>
  <c r="M32" i="60" s="1"/>
  <c r="BA22" i="44"/>
  <c r="AD55" i="58" s="1"/>
  <c r="W55" i="58"/>
  <c r="Y55" i="58" s="1"/>
  <c r="Z50" i="58"/>
  <c r="BB16" i="44"/>
  <c r="W49" i="58"/>
  <c r="BB21" i="44"/>
  <c r="BA21" i="44"/>
  <c r="AD54" i="58" s="1"/>
  <c r="BC21" i="44"/>
  <c r="BA18" i="44"/>
  <c r="AD51" i="58" s="1"/>
  <c r="BB18" i="44"/>
  <c r="BC19" i="44"/>
  <c r="BD20" i="44"/>
  <c r="BC16" i="44"/>
  <c r="BA16" i="44"/>
  <c r="AD49" i="58" s="1"/>
  <c r="BD19" i="44"/>
  <c r="BC22" i="44"/>
  <c r="BC17" i="44"/>
  <c r="BB17" i="44"/>
  <c r="BD17" i="44"/>
  <c r="BB22" i="44"/>
  <c r="BD21" i="44"/>
  <c r="BD16" i="44"/>
  <c r="BD22" i="44"/>
  <c r="BA19" i="44"/>
  <c r="AD52" i="58" s="1"/>
  <c r="BC20" i="44"/>
  <c r="BB20" i="44"/>
  <c r="BC18" i="44"/>
  <c r="BA20" i="44"/>
  <c r="AD53" i="58" s="1"/>
  <c r="BD18" i="44"/>
  <c r="BB19" i="44"/>
  <c r="Y54" i="58" l="1"/>
  <c r="M35" i="60" s="1"/>
  <c r="Z49" i="58"/>
  <c r="Y50" i="58"/>
  <c r="M31" i="60" s="1"/>
  <c r="K37" i="60"/>
  <c r="D34" i="62" s="1"/>
  <c r="Z51" i="58"/>
  <c r="AH51" i="58" s="1"/>
  <c r="Z54" i="58"/>
  <c r="AA54" i="58" s="1"/>
  <c r="Y49" i="58"/>
  <c r="AE50" i="58"/>
  <c r="AE55" i="58"/>
  <c r="M36" i="60"/>
  <c r="AE54" i="58"/>
  <c r="AE52" i="58"/>
  <c r="AA52" i="58"/>
  <c r="AH52" i="58"/>
  <c r="AE51" i="58"/>
  <c r="AH55" i="58"/>
  <c r="AA55" i="58"/>
  <c r="AA49" i="58"/>
  <c r="AH49" i="58"/>
  <c r="AE53" i="58"/>
  <c r="AA50" i="58"/>
  <c r="AH50" i="58"/>
  <c r="AA53" i="58"/>
  <c r="AH53" i="58"/>
  <c r="BC23" i="44"/>
  <c r="BA23" i="44"/>
  <c r="BB23" i="44"/>
  <c r="BD23" i="44"/>
  <c r="AA51" i="58" l="1"/>
  <c r="AH54" i="58"/>
  <c r="AE49" i="58"/>
  <c r="M30" i="60"/>
  <c r="M37" i="60" s="1"/>
  <c r="AB49" i="58"/>
  <c r="AU19" i="43"/>
  <c r="AT19" i="43"/>
  <c r="U44" i="58" s="1"/>
  <c r="AM19" i="43"/>
  <c r="AL19" i="43"/>
  <c r="S44" i="58" s="1"/>
  <c r="AE19" i="43"/>
  <c r="AD19" i="43"/>
  <c r="Q44" i="58" s="1"/>
  <c r="V19" i="43"/>
  <c r="O44" i="58" s="1"/>
  <c r="AV19" i="43"/>
  <c r="AV17" i="43"/>
  <c r="W42" i="58" s="1"/>
  <c r="AU17" i="43"/>
  <c r="AT17" i="43"/>
  <c r="U42" i="58" s="1"/>
  <c r="AM17" i="43"/>
  <c r="AL17" i="43"/>
  <c r="S42" i="58" s="1"/>
  <c r="V17" i="43"/>
  <c r="O42" i="58" s="1"/>
  <c r="O17" i="43"/>
  <c r="R50" i="59" s="1"/>
  <c r="O18" i="43"/>
  <c r="R51" i="59" s="1"/>
  <c r="O19" i="43"/>
  <c r="R52" i="59" s="1"/>
  <c r="O20" i="43"/>
  <c r="R53" i="59" s="1"/>
  <c r="O21" i="43"/>
  <c r="R54" i="59" s="1"/>
  <c r="O22" i="43"/>
  <c r="R55" i="59" s="1"/>
  <c r="O23" i="43"/>
  <c r="R56" i="59" s="1"/>
  <c r="O16" i="43"/>
  <c r="R49" i="59" s="1"/>
  <c r="I21" i="43"/>
  <c r="E54" i="59" s="1"/>
  <c r="D100" i="60" s="1"/>
  <c r="I22" i="43"/>
  <c r="E55" i="59" s="1"/>
  <c r="D101" i="60" s="1"/>
  <c r="I23" i="43"/>
  <c r="E56" i="59" s="1"/>
  <c r="D102" i="60" s="1"/>
  <c r="I20" i="43"/>
  <c r="E53" i="59" s="1"/>
  <c r="D99" i="60" s="1"/>
  <c r="I17" i="43"/>
  <c r="E50" i="59" s="1"/>
  <c r="D96" i="60" s="1"/>
  <c r="I18" i="43"/>
  <c r="E51" i="59" s="1"/>
  <c r="D97" i="60" s="1"/>
  <c r="I19" i="43"/>
  <c r="E52" i="59" s="1"/>
  <c r="D98" i="60" s="1"/>
  <c r="I16" i="43"/>
  <c r="E49" i="59" s="1"/>
  <c r="D95" i="60" s="1"/>
  <c r="H21" i="43"/>
  <c r="H22" i="43"/>
  <c r="H23" i="43"/>
  <c r="H17" i="43"/>
  <c r="H18" i="43"/>
  <c r="H19" i="43"/>
  <c r="H20" i="43"/>
  <c r="H16" i="43"/>
  <c r="G23" i="43"/>
  <c r="Q56" i="59" s="1"/>
  <c r="E102" i="60" s="1"/>
  <c r="G22" i="43"/>
  <c r="Q55" i="59" s="1"/>
  <c r="E101" i="60" s="1"/>
  <c r="G21" i="43"/>
  <c r="Q54" i="59" s="1"/>
  <c r="E100" i="60" s="1"/>
  <c r="G20" i="43"/>
  <c r="Q53" i="59" s="1"/>
  <c r="E99" i="60" s="1"/>
  <c r="G17" i="43"/>
  <c r="Q50" i="59" s="1"/>
  <c r="E96" i="60" s="1"/>
  <c r="G18" i="43"/>
  <c r="Q51" i="59" s="1"/>
  <c r="E97" i="60" s="1"/>
  <c r="G19" i="43"/>
  <c r="Q52" i="59" s="1"/>
  <c r="E98" i="60" s="1"/>
  <c r="G16" i="43"/>
  <c r="Q49" i="59" s="1"/>
  <c r="E95" i="60" s="1"/>
  <c r="E17" i="43"/>
  <c r="E18" i="43"/>
  <c r="E19" i="43"/>
  <c r="E20" i="43"/>
  <c r="E21" i="43"/>
  <c r="E22" i="43"/>
  <c r="E23" i="43"/>
  <c r="E16" i="43"/>
  <c r="D21" i="43"/>
  <c r="D22" i="43"/>
  <c r="D23" i="43"/>
  <c r="D17" i="43"/>
  <c r="D18" i="43"/>
  <c r="D19" i="43"/>
  <c r="D20" i="43"/>
  <c r="D16" i="43"/>
  <c r="C21" i="43"/>
  <c r="C20" i="43"/>
  <c r="C18" i="43"/>
  <c r="C16" i="43"/>
  <c r="B16" i="43"/>
  <c r="AU23" i="43"/>
  <c r="V48" i="58" s="1"/>
  <c r="AM23" i="43"/>
  <c r="T48" i="58" s="1"/>
  <c r="AL23" i="43"/>
  <c r="S48" i="58" s="1"/>
  <c r="AE23" i="43"/>
  <c r="R48" i="58" s="1"/>
  <c r="AD23" i="43"/>
  <c r="Q48" i="58" s="1"/>
  <c r="W23" i="43"/>
  <c r="P48" i="58" s="1"/>
  <c r="V23" i="43"/>
  <c r="O48" i="58" s="1"/>
  <c r="AU22" i="43"/>
  <c r="V47" i="58" s="1"/>
  <c r="AT22" i="43"/>
  <c r="U47" i="58" s="1"/>
  <c r="AM22" i="43"/>
  <c r="T47" i="58" s="1"/>
  <c r="AL22" i="43"/>
  <c r="S47" i="58" s="1"/>
  <c r="AE22" i="43"/>
  <c r="R47" i="58" s="1"/>
  <c r="AD22" i="43"/>
  <c r="Q47" i="58" s="1"/>
  <c r="W22" i="43"/>
  <c r="V22" i="43"/>
  <c r="O47" i="58" s="1"/>
  <c r="AU21" i="43"/>
  <c r="V46" i="58" s="1"/>
  <c r="AT21" i="43"/>
  <c r="U46" i="58" s="1"/>
  <c r="AM21" i="43"/>
  <c r="T46" i="58" s="1"/>
  <c r="AL21" i="43"/>
  <c r="S46" i="58" s="1"/>
  <c r="AE21" i="43"/>
  <c r="R46" i="58" s="1"/>
  <c r="AD21" i="43"/>
  <c r="Q46" i="58" s="1"/>
  <c r="W21" i="43"/>
  <c r="P46" i="58" s="1"/>
  <c r="V21" i="43"/>
  <c r="O46" i="58" s="1"/>
  <c r="AU20" i="43"/>
  <c r="V45" i="58" s="1"/>
  <c r="AT20" i="43"/>
  <c r="U45" i="58" s="1"/>
  <c r="AM20" i="43"/>
  <c r="T45" i="58" s="1"/>
  <c r="AL20" i="43"/>
  <c r="S45" i="58" s="1"/>
  <c r="AE20" i="43"/>
  <c r="R45" i="58" s="1"/>
  <c r="AD20" i="43"/>
  <c r="Q45" i="58" s="1"/>
  <c r="W20" i="43"/>
  <c r="V20" i="43"/>
  <c r="O45" i="58" s="1"/>
  <c r="AU18" i="43"/>
  <c r="V43" i="58" s="1"/>
  <c r="AT18" i="43"/>
  <c r="U43" i="58" s="1"/>
  <c r="AM18" i="43"/>
  <c r="T43" i="58" s="1"/>
  <c r="AL18" i="43"/>
  <c r="S43" i="58" s="1"/>
  <c r="AE18" i="43"/>
  <c r="R43" i="58" s="1"/>
  <c r="AD18" i="43"/>
  <c r="Q43" i="58" s="1"/>
  <c r="W18" i="43"/>
  <c r="P43" i="58" s="1"/>
  <c r="V18" i="43"/>
  <c r="AU16" i="43"/>
  <c r="V41" i="58" s="1"/>
  <c r="AT16" i="43"/>
  <c r="U41" i="58" s="1"/>
  <c r="AM16" i="43"/>
  <c r="T41" i="58" s="1"/>
  <c r="AL16" i="43"/>
  <c r="S41" i="58" s="1"/>
  <c r="AE16" i="43"/>
  <c r="R41" i="58" s="1"/>
  <c r="AD16" i="43"/>
  <c r="Q41" i="58" s="1"/>
  <c r="W16" i="43"/>
  <c r="P41" i="58" s="1"/>
  <c r="V16" i="43"/>
  <c r="O41" i="58" s="1"/>
  <c r="O44" i="38"/>
  <c r="O42" i="38"/>
  <c r="O43" i="38"/>
  <c r="O45" i="38"/>
  <c r="O46" i="38"/>
  <c r="O47" i="38"/>
  <c r="O48" i="38"/>
  <c r="F45" i="62" l="1"/>
  <c r="C20" i="62" s="1"/>
  <c r="F34" i="62"/>
  <c r="C11" i="62" s="1"/>
  <c r="F95" i="60"/>
  <c r="G95" i="60"/>
  <c r="L95" i="60" s="1"/>
  <c r="F100" i="60"/>
  <c r="G100" i="60"/>
  <c r="F101" i="60"/>
  <c r="G101" i="60"/>
  <c r="G102" i="60"/>
  <c r="L102" i="60" s="1"/>
  <c r="F102" i="60"/>
  <c r="K102" i="60" s="1"/>
  <c r="I95" i="60"/>
  <c r="H95" i="60"/>
  <c r="I100" i="60"/>
  <c r="H100" i="60"/>
  <c r="I102" i="60"/>
  <c r="H102" i="60"/>
  <c r="F99" i="60"/>
  <c r="K99" i="60" s="1"/>
  <c r="G99" i="60"/>
  <c r="L99" i="60" s="1"/>
  <c r="H97" i="60"/>
  <c r="I97" i="60"/>
  <c r="G96" i="60"/>
  <c r="L96" i="60" s="1"/>
  <c r="F96" i="60"/>
  <c r="K96" i="60" s="1"/>
  <c r="G98" i="60"/>
  <c r="L98" i="60" s="1"/>
  <c r="F98" i="60"/>
  <c r="K98" i="60" s="1"/>
  <c r="AV18" i="43"/>
  <c r="W43" i="58" s="1"/>
  <c r="O43" i="58"/>
  <c r="X41" i="58"/>
  <c r="J95" i="60" s="1"/>
  <c r="X43" i="58"/>
  <c r="J97" i="60" s="1"/>
  <c r="AW20" i="43"/>
  <c r="BE20" i="43" s="1"/>
  <c r="AG45" i="58" s="1"/>
  <c r="P45" i="58"/>
  <c r="X46" i="58"/>
  <c r="J100" i="60" s="1"/>
  <c r="AW22" i="43"/>
  <c r="BE22" i="43" s="1"/>
  <c r="AG47" i="58" s="1"/>
  <c r="P47" i="58"/>
  <c r="X48" i="58"/>
  <c r="J102" i="60" s="1"/>
  <c r="W44" i="58"/>
  <c r="AZ19" i="43"/>
  <c r="AY19" i="43"/>
  <c r="AZ17" i="43"/>
  <c r="AY17" i="43"/>
  <c r="AX17" i="43"/>
  <c r="AW17" i="43"/>
  <c r="AX19" i="43"/>
  <c r="AW19" i="43"/>
  <c r="AZ18" i="43"/>
  <c r="BH18" i="43" s="1"/>
  <c r="AX21" i="43"/>
  <c r="BF21" i="43" s="1"/>
  <c r="AY23" i="43"/>
  <c r="BG23" i="43" s="1"/>
  <c r="AX18" i="43"/>
  <c r="BF18" i="43" s="1"/>
  <c r="AV20" i="43"/>
  <c r="AV22" i="43"/>
  <c r="AX22" i="43"/>
  <c r="BF22" i="43" s="1"/>
  <c r="AV16" i="43"/>
  <c r="W41" i="58" s="1"/>
  <c r="AY21" i="43"/>
  <c r="BG21" i="43" s="1"/>
  <c r="AZ23" i="43"/>
  <c r="BH23" i="43" s="1"/>
  <c r="AW23" i="43"/>
  <c r="BE23" i="43" s="1"/>
  <c r="AG48" i="58" s="1"/>
  <c r="AY18" i="43"/>
  <c r="BG18" i="43" s="1"/>
  <c r="AV21" i="43"/>
  <c r="W46" i="58" s="1"/>
  <c r="AZ21" i="43"/>
  <c r="BH21" i="43" s="1"/>
  <c r="AV23" i="43"/>
  <c r="AX20" i="43"/>
  <c r="BF20" i="43" s="1"/>
  <c r="AZ20" i="43"/>
  <c r="BH20" i="43" s="1"/>
  <c r="AY16" i="43"/>
  <c r="BG16" i="43" s="1"/>
  <c r="AX16" i="43"/>
  <c r="BF16" i="43" s="1"/>
  <c r="AW16" i="43"/>
  <c r="BE16" i="43" s="1"/>
  <c r="AG41" i="58" s="1"/>
  <c r="AZ16" i="43"/>
  <c r="BH16" i="43" s="1"/>
  <c r="AY20" i="43"/>
  <c r="BG20" i="43" s="1"/>
  <c r="AW18" i="43"/>
  <c r="BE18" i="43" s="1"/>
  <c r="AG43" i="58" s="1"/>
  <c r="AW21" i="43"/>
  <c r="BE21" i="43" s="1"/>
  <c r="AG46" i="58" s="1"/>
  <c r="AY22" i="43"/>
  <c r="BG22" i="43" s="1"/>
  <c r="AX23" i="43"/>
  <c r="BF23" i="43" s="1"/>
  <c r="AZ22" i="43"/>
  <c r="BH22" i="43" s="1"/>
  <c r="K100" i="60" l="1"/>
  <c r="X47" i="58"/>
  <c r="J101" i="60" s="1"/>
  <c r="H101" i="60"/>
  <c r="K101" i="60" s="1"/>
  <c r="I101" i="60"/>
  <c r="L101" i="60" s="1"/>
  <c r="X45" i="58"/>
  <c r="J99" i="60" s="1"/>
  <c r="H99" i="60"/>
  <c r="I99" i="60"/>
  <c r="L100" i="60"/>
  <c r="F97" i="60"/>
  <c r="K97" i="60" s="1"/>
  <c r="G97" i="60"/>
  <c r="L97" i="60" s="1"/>
  <c r="L103" i="60" s="1"/>
  <c r="E40" i="62" s="1"/>
  <c r="K95" i="60"/>
  <c r="K103" i="60" s="1"/>
  <c r="D40" i="62" s="1"/>
  <c r="BA20" i="43"/>
  <c r="AD45" i="58" s="1"/>
  <c r="W45" i="58"/>
  <c r="BB17" i="43"/>
  <c r="BF17" i="43"/>
  <c r="BC17" i="43"/>
  <c r="BG17" i="43"/>
  <c r="Z46" i="58"/>
  <c r="Y46" i="58"/>
  <c r="BD17" i="43"/>
  <c r="BH17" i="43"/>
  <c r="BG19" i="43"/>
  <c r="BC19" i="43"/>
  <c r="BH19" i="43"/>
  <c r="BD19" i="43"/>
  <c r="Y43" i="58"/>
  <c r="M97" i="60" s="1"/>
  <c r="Z43" i="58"/>
  <c r="BD18" i="43"/>
  <c r="BA19" i="43"/>
  <c r="AD44" i="58" s="1"/>
  <c r="BE19" i="43"/>
  <c r="AG44" i="58" s="1"/>
  <c r="Y41" i="58"/>
  <c r="M95" i="60" s="1"/>
  <c r="Z41" i="58"/>
  <c r="BC23" i="43"/>
  <c r="W48" i="58"/>
  <c r="Y48" i="58" s="1"/>
  <c r="BF19" i="43"/>
  <c r="BB19" i="43"/>
  <c r="Z48" i="58"/>
  <c r="BA22" i="43"/>
  <c r="AD47" i="58" s="1"/>
  <c r="W47" i="58"/>
  <c r="Y47" i="58" s="1"/>
  <c r="BA17" i="43"/>
  <c r="AD42" i="58" s="1"/>
  <c r="BE17" i="43"/>
  <c r="AG42" i="58" s="1"/>
  <c r="Z47" i="58"/>
  <c r="BB18" i="43"/>
  <c r="BB21" i="43"/>
  <c r="BD21" i="43"/>
  <c r="BB22" i="43"/>
  <c r="BC18" i="43"/>
  <c r="BC21" i="43"/>
  <c r="BA23" i="43"/>
  <c r="AD48" i="58" s="1"/>
  <c r="BD23" i="43"/>
  <c r="BD22" i="43"/>
  <c r="BB23" i="43"/>
  <c r="BA18" i="43"/>
  <c r="AD43" i="58" s="1"/>
  <c r="BC16" i="43"/>
  <c r="BD20" i="43"/>
  <c r="BC20" i="43"/>
  <c r="BC22" i="43"/>
  <c r="BB20" i="43"/>
  <c r="BB16" i="43"/>
  <c r="BA21" i="43"/>
  <c r="AD46" i="58" s="1"/>
  <c r="BD16" i="43"/>
  <c r="BA16" i="43"/>
  <c r="AD41" i="58" s="1"/>
  <c r="Z45" i="58" l="1"/>
  <c r="AE48" i="58"/>
  <c r="M102" i="60"/>
  <c r="AE46" i="58"/>
  <c r="M100" i="60"/>
  <c r="AE47" i="58"/>
  <c r="M101" i="60"/>
  <c r="Y45" i="58"/>
  <c r="AH41" i="58"/>
  <c r="AA41" i="58"/>
  <c r="AA46" i="58"/>
  <c r="AH46" i="58"/>
  <c r="AE41" i="58"/>
  <c r="AH47" i="58"/>
  <c r="AA47" i="58"/>
  <c r="AA45" i="58"/>
  <c r="AH45" i="58"/>
  <c r="AH48" i="58"/>
  <c r="AA48" i="58"/>
  <c r="AA43" i="58"/>
  <c r="AH43" i="58"/>
  <c r="AE43" i="58"/>
  <c r="BA24" i="43"/>
  <c r="BB24" i="43"/>
  <c r="BD24" i="43"/>
  <c r="BC24" i="43"/>
  <c r="AE45" i="58" l="1"/>
  <c r="M99" i="60"/>
  <c r="I21" i="42"/>
  <c r="E47" i="59" s="1"/>
  <c r="D88" i="60" s="1"/>
  <c r="I22" i="42"/>
  <c r="E48" i="59" s="1"/>
  <c r="D89" i="60" s="1"/>
  <c r="I20" i="42"/>
  <c r="E46" i="59" s="1"/>
  <c r="D87" i="60" s="1"/>
  <c r="I17" i="42"/>
  <c r="E43" i="59" s="1"/>
  <c r="D84" i="60" s="1"/>
  <c r="I18" i="42"/>
  <c r="E44" i="59" s="1"/>
  <c r="D85" i="60" s="1"/>
  <c r="I19" i="42"/>
  <c r="E45" i="59" s="1"/>
  <c r="D86" i="60" s="1"/>
  <c r="I16" i="42"/>
  <c r="E42" i="59" s="1"/>
  <c r="D83" i="60" s="1"/>
  <c r="H17" i="42"/>
  <c r="H18" i="42"/>
  <c r="H19" i="42"/>
  <c r="H20" i="42"/>
  <c r="H21" i="42"/>
  <c r="H22" i="42"/>
  <c r="H16" i="42"/>
  <c r="G17" i="42"/>
  <c r="Q43" i="59" s="1"/>
  <c r="E84" i="60" s="1"/>
  <c r="G18" i="42"/>
  <c r="Q44" i="59" s="1"/>
  <c r="E85" i="60" s="1"/>
  <c r="G19" i="42"/>
  <c r="Q45" i="59" s="1"/>
  <c r="E86" i="60" s="1"/>
  <c r="G20" i="42"/>
  <c r="Q46" i="59" s="1"/>
  <c r="E87" i="60" s="1"/>
  <c r="G21" i="42"/>
  <c r="Q47" i="59" s="1"/>
  <c r="E88" i="60" s="1"/>
  <c r="G22" i="42"/>
  <c r="Q48" i="59" s="1"/>
  <c r="E89" i="60" s="1"/>
  <c r="G16" i="42"/>
  <c r="Q42" i="59" s="1"/>
  <c r="E83" i="60" s="1"/>
  <c r="D22" i="42"/>
  <c r="D21" i="42"/>
  <c r="D20" i="42"/>
  <c r="D17" i="42"/>
  <c r="D18" i="42"/>
  <c r="D19" i="42"/>
  <c r="D16" i="42"/>
  <c r="C20" i="42"/>
  <c r="C18" i="42"/>
  <c r="C16" i="42"/>
  <c r="B16" i="42"/>
  <c r="AU22" i="42"/>
  <c r="V40" i="58" s="1"/>
  <c r="AT22" i="42"/>
  <c r="U40" i="58" s="1"/>
  <c r="AM22" i="42"/>
  <c r="T40" i="58" s="1"/>
  <c r="AL22" i="42"/>
  <c r="S40" i="58" s="1"/>
  <c r="AE22" i="42"/>
  <c r="R40" i="58" s="1"/>
  <c r="AD22" i="42"/>
  <c r="Q40" i="58" s="1"/>
  <c r="W22" i="42"/>
  <c r="V22" i="42"/>
  <c r="O40" i="58" s="1"/>
  <c r="AY21" i="42"/>
  <c r="BG21" i="42" s="1"/>
  <c r="AX21" i="42"/>
  <c r="BF21" i="42" s="1"/>
  <c r="AW21" i="42"/>
  <c r="BE21" i="42" s="1"/>
  <c r="AG39" i="58" s="1"/>
  <c r="AU21" i="42"/>
  <c r="AT21" i="42"/>
  <c r="U39" i="58" s="1"/>
  <c r="AL21" i="42"/>
  <c r="S39" i="58" s="1"/>
  <c r="AD21" i="42"/>
  <c r="Q39" i="58" s="1"/>
  <c r="V21" i="42"/>
  <c r="O39" i="58" s="1"/>
  <c r="AY20" i="42"/>
  <c r="BG20" i="42" s="1"/>
  <c r="AX20" i="42"/>
  <c r="BF20" i="42" s="1"/>
  <c r="AW20" i="42"/>
  <c r="BE20" i="42" s="1"/>
  <c r="AG38" i="58" s="1"/>
  <c r="AU20" i="42"/>
  <c r="AT20" i="42"/>
  <c r="U38" i="58" s="1"/>
  <c r="AL20" i="42"/>
  <c r="S38" i="58" s="1"/>
  <c r="AD20" i="42"/>
  <c r="Q38" i="58" s="1"/>
  <c r="V20" i="42"/>
  <c r="O38" i="58" s="1"/>
  <c r="AU19" i="42"/>
  <c r="V37" i="58" s="1"/>
  <c r="AR19" i="42"/>
  <c r="AP19" i="42"/>
  <c r="AN19" i="42"/>
  <c r="AM19" i="42"/>
  <c r="T37" i="58" s="1"/>
  <c r="AJ19" i="42"/>
  <c r="AH19" i="42"/>
  <c r="AF19" i="42"/>
  <c r="AE19" i="42"/>
  <c r="R37" i="58" s="1"/>
  <c r="AB19" i="42"/>
  <c r="Z19" i="42"/>
  <c r="X19" i="42"/>
  <c r="W19" i="42"/>
  <c r="V19" i="42"/>
  <c r="O37" i="58" s="1"/>
  <c r="AU18" i="42"/>
  <c r="V36" i="58" s="1"/>
  <c r="AP18" i="42"/>
  <c r="AN18" i="42"/>
  <c r="AM18" i="42"/>
  <c r="T36" i="58" s="1"/>
  <c r="AJ18" i="42"/>
  <c r="AH18" i="42"/>
  <c r="AF18" i="42"/>
  <c r="AE18" i="42"/>
  <c r="R36" i="58" s="1"/>
  <c r="AB18" i="42"/>
  <c r="Z18" i="42"/>
  <c r="X18" i="42"/>
  <c r="W18" i="42"/>
  <c r="P36" i="58" s="1"/>
  <c r="T18" i="42"/>
  <c r="R18" i="42"/>
  <c r="AU17" i="42"/>
  <c r="V35" i="58" s="1"/>
  <c r="AT17" i="42"/>
  <c r="U35" i="58" s="1"/>
  <c r="AM17" i="42"/>
  <c r="T35" i="58" s="1"/>
  <c r="AL17" i="42"/>
  <c r="S35" i="58" s="1"/>
  <c r="AE17" i="42"/>
  <c r="R35" i="58" s="1"/>
  <c r="AD17" i="42"/>
  <c r="Q35" i="58" s="1"/>
  <c r="W17" i="42"/>
  <c r="P35" i="58" s="1"/>
  <c r="V17" i="42"/>
  <c r="O35" i="58" s="1"/>
  <c r="AU16" i="42"/>
  <c r="V34" i="58" s="1"/>
  <c r="AT16" i="42"/>
  <c r="U34" i="58" s="1"/>
  <c r="AM16" i="42"/>
  <c r="T34" i="58" s="1"/>
  <c r="AL16" i="42"/>
  <c r="S34" i="58" s="1"/>
  <c r="AE16" i="42"/>
  <c r="R34" i="58" s="1"/>
  <c r="AD16" i="42"/>
  <c r="Q34" i="58" s="1"/>
  <c r="W16" i="42"/>
  <c r="P34" i="58" s="1"/>
  <c r="V16" i="42"/>
  <c r="O34" i="58" s="1"/>
  <c r="E40" i="38"/>
  <c r="E22" i="42" s="1"/>
  <c r="E39" i="38"/>
  <c r="E21" i="42" s="1"/>
  <c r="E38" i="38"/>
  <c r="E20" i="42" s="1"/>
  <c r="E37" i="38"/>
  <c r="E19" i="42" s="1"/>
  <c r="E36" i="38"/>
  <c r="E18" i="42" s="1"/>
  <c r="E35" i="38"/>
  <c r="E17" i="42" s="1"/>
  <c r="E34" i="38"/>
  <c r="E16" i="42" s="1"/>
  <c r="F86" i="60" l="1"/>
  <c r="K86" i="60" s="1"/>
  <c r="G86" i="60"/>
  <c r="L86" i="60" s="1"/>
  <c r="F83" i="60"/>
  <c r="K83" i="60" s="1"/>
  <c r="G83" i="60"/>
  <c r="L83" i="60" s="1"/>
  <c r="F84" i="60"/>
  <c r="G84" i="60"/>
  <c r="I83" i="60"/>
  <c r="H83" i="60"/>
  <c r="H84" i="60"/>
  <c r="I84" i="60"/>
  <c r="H85" i="60"/>
  <c r="I85" i="60"/>
  <c r="F88" i="60"/>
  <c r="K88" i="60" s="1"/>
  <c r="G88" i="60"/>
  <c r="L88" i="60" s="1"/>
  <c r="F89" i="60"/>
  <c r="G89" i="60"/>
  <c r="G87" i="60"/>
  <c r="L87" i="60" s="1"/>
  <c r="F87" i="60"/>
  <c r="K87" i="60" s="1"/>
  <c r="AY22" i="42"/>
  <c r="BG22" i="42" s="1"/>
  <c r="P40" i="58"/>
  <c r="AW19" i="42"/>
  <c r="BE19" i="42" s="1"/>
  <c r="AG37" i="58" s="1"/>
  <c r="P37" i="58"/>
  <c r="AZ20" i="42"/>
  <c r="BH20" i="42" s="1"/>
  <c r="V38" i="58"/>
  <c r="X38" i="58" s="1"/>
  <c r="J87" i="60" s="1"/>
  <c r="AZ21" i="42"/>
  <c r="BH21" i="42" s="1"/>
  <c r="V39" i="58"/>
  <c r="X39" i="58" s="1"/>
  <c r="J88" i="60" s="1"/>
  <c r="X35" i="58"/>
  <c r="J84" i="60" s="1"/>
  <c r="X34" i="58"/>
  <c r="J83" i="60" s="1"/>
  <c r="X36" i="58"/>
  <c r="J85" i="60" s="1"/>
  <c r="AZ17" i="42"/>
  <c r="BH17" i="42" s="1"/>
  <c r="V18" i="42"/>
  <c r="O36" i="58" s="1"/>
  <c r="AT19" i="42"/>
  <c r="U37" i="58" s="1"/>
  <c r="AY18" i="42"/>
  <c r="BG18" i="42" s="1"/>
  <c r="AV16" i="42"/>
  <c r="W34" i="58" s="1"/>
  <c r="AL18" i="42"/>
  <c r="S36" i="58" s="1"/>
  <c r="AZ16" i="42"/>
  <c r="BH16" i="42" s="1"/>
  <c r="AV17" i="42"/>
  <c r="AD18" i="42"/>
  <c r="Q36" i="58" s="1"/>
  <c r="AY17" i="42"/>
  <c r="BG17" i="42" s="1"/>
  <c r="AZ18" i="42"/>
  <c r="BH18" i="42" s="1"/>
  <c r="AL19" i="42"/>
  <c r="S37" i="58" s="1"/>
  <c r="AX19" i="42"/>
  <c r="BF19" i="42" s="1"/>
  <c r="AV20" i="42"/>
  <c r="W38" i="58" s="1"/>
  <c r="AD19" i="42"/>
  <c r="Q37" i="58" s="1"/>
  <c r="AV21" i="42"/>
  <c r="AT18" i="42"/>
  <c r="U36" i="58" s="1"/>
  <c r="AV22" i="42"/>
  <c r="AZ22" i="42"/>
  <c r="BH22" i="42" s="1"/>
  <c r="AX16" i="42"/>
  <c r="BF16" i="42" s="1"/>
  <c r="AW17" i="42"/>
  <c r="BE17" i="42" s="1"/>
  <c r="AG35" i="58" s="1"/>
  <c r="AW18" i="42"/>
  <c r="BE18" i="42" s="1"/>
  <c r="AG36" i="58" s="1"/>
  <c r="AY19" i="42"/>
  <c r="BG19" i="42" s="1"/>
  <c r="AW22" i="42"/>
  <c r="BE22" i="42" s="1"/>
  <c r="AG40" i="58" s="1"/>
  <c r="AW16" i="42"/>
  <c r="AY16" i="42"/>
  <c r="BG16" i="42" s="1"/>
  <c r="AX17" i="42"/>
  <c r="BF17" i="42" s="1"/>
  <c r="AX18" i="42"/>
  <c r="BF18" i="42" s="1"/>
  <c r="AZ19" i="42"/>
  <c r="BH19" i="42" s="1"/>
  <c r="AX22" i="42"/>
  <c r="BF22" i="42" s="1"/>
  <c r="K84" i="60" l="1"/>
  <c r="L84" i="60"/>
  <c r="G85" i="60"/>
  <c r="L85" i="60" s="1"/>
  <c r="F85" i="60"/>
  <c r="K85" i="60" s="1"/>
  <c r="X37" i="58"/>
  <c r="J86" i="60" s="1"/>
  <c r="H86" i="60"/>
  <c r="I86" i="60"/>
  <c r="X40" i="58"/>
  <c r="J89" i="60" s="1"/>
  <c r="I89" i="60"/>
  <c r="L89" i="60" s="1"/>
  <c r="L90" i="60" s="1"/>
  <c r="E39" i="62" s="1"/>
  <c r="H89" i="60"/>
  <c r="K89" i="60" s="1"/>
  <c r="Y38" i="58"/>
  <c r="M87" i="60" s="1"/>
  <c r="Z38" i="58"/>
  <c r="Z37" i="58"/>
  <c r="BE16" i="42"/>
  <c r="AG34" i="58" s="1"/>
  <c r="BA16" i="42"/>
  <c r="AD34" i="58" s="1"/>
  <c r="Z36" i="58"/>
  <c r="BC22" i="42"/>
  <c r="W40" i="58"/>
  <c r="Y34" i="58"/>
  <c r="M83" i="60" s="1"/>
  <c r="Z34" i="58"/>
  <c r="Z39" i="58"/>
  <c r="BA21" i="42"/>
  <c r="AD39" i="58" s="1"/>
  <c r="W39" i="58"/>
  <c r="Y39" i="58" s="1"/>
  <c r="BD17" i="42"/>
  <c r="W35" i="58"/>
  <c r="Y35" i="58" s="1"/>
  <c r="M84" i="60" s="1"/>
  <c r="Z35" i="58"/>
  <c r="BD21" i="42"/>
  <c r="BD20" i="42"/>
  <c r="BB21" i="42"/>
  <c r="BC21" i="42"/>
  <c r="AV18" i="42"/>
  <c r="W36" i="58" s="1"/>
  <c r="Y36" i="58" s="1"/>
  <c r="M85" i="60" s="1"/>
  <c r="AV19" i="42"/>
  <c r="W37" i="58" s="1"/>
  <c r="Y37" i="58" s="1"/>
  <c r="M86" i="60" s="1"/>
  <c r="BC20" i="42"/>
  <c r="BD16" i="42"/>
  <c r="BD22" i="42"/>
  <c r="BB20" i="42"/>
  <c r="BA20" i="42"/>
  <c r="AD38" i="58" s="1"/>
  <c r="BC17" i="42"/>
  <c r="BB16" i="42"/>
  <c r="BB18" i="42"/>
  <c r="BB22" i="42"/>
  <c r="BB17" i="42"/>
  <c r="BC16" i="42"/>
  <c r="BA22" i="42"/>
  <c r="AD40" i="58" s="1"/>
  <c r="BA17" i="42"/>
  <c r="AD35" i="58" s="1"/>
  <c r="BC19" i="42" l="1"/>
  <c r="BD19" i="42"/>
  <c r="K90" i="60"/>
  <c r="D39" i="62" s="1"/>
  <c r="Y40" i="58"/>
  <c r="AE39" i="58"/>
  <c r="M88" i="60"/>
  <c r="M90" i="60" s="1"/>
  <c r="F39" i="62" s="1"/>
  <c r="C15" i="62" s="1"/>
  <c r="AE40" i="58"/>
  <c r="M89" i="60"/>
  <c r="Z40" i="58"/>
  <c r="AA40" i="58" s="1"/>
  <c r="AH36" i="58"/>
  <c r="AA36" i="58"/>
  <c r="AH39" i="58"/>
  <c r="AA39" i="58"/>
  <c r="AH35" i="58"/>
  <c r="AA35" i="58"/>
  <c r="AH34" i="58"/>
  <c r="AA34" i="58"/>
  <c r="AE35" i="58"/>
  <c r="AE34" i="58"/>
  <c r="AH37" i="58"/>
  <c r="AA37" i="58"/>
  <c r="BC18" i="42"/>
  <c r="AH38" i="58"/>
  <c r="AA38" i="58"/>
  <c r="AE38" i="58"/>
  <c r="BA18" i="42"/>
  <c r="AD36" i="58" s="1"/>
  <c r="AE36" i="58" s="1"/>
  <c r="BD18" i="42"/>
  <c r="BD23" i="42" s="1"/>
  <c r="BB19" i="42"/>
  <c r="BB23" i="42" s="1"/>
  <c r="BA19" i="42"/>
  <c r="AD37" i="58" s="1"/>
  <c r="AE37" i="58" s="1"/>
  <c r="BC23" i="42"/>
  <c r="AH40" i="58" l="1"/>
  <c r="AB34" i="58"/>
  <c r="BA23" i="42"/>
  <c r="AV22" i="41"/>
  <c r="AT22" i="41"/>
  <c r="U19" i="58" s="1"/>
  <c r="AU22" i="41"/>
  <c r="AM22" i="41"/>
  <c r="AL22" i="41"/>
  <c r="S19" i="58" s="1"/>
  <c r="AE22" i="41"/>
  <c r="AD22" i="41"/>
  <c r="Q19" i="58" s="1"/>
  <c r="W22" i="41"/>
  <c r="P19" i="58" s="1"/>
  <c r="V22" i="41"/>
  <c r="O19" i="58" s="1"/>
  <c r="H63" i="60" l="1"/>
  <c r="I63" i="60"/>
  <c r="G63" i="60"/>
  <c r="F63" i="60"/>
  <c r="K63" i="60" s="1"/>
  <c r="W19" i="58"/>
  <c r="AW22" i="41"/>
  <c r="AZ22" i="41"/>
  <c r="AY22" i="41"/>
  <c r="AX22" i="41"/>
  <c r="I17" i="41"/>
  <c r="E22" i="59" s="1"/>
  <c r="D58" i="60" s="1"/>
  <c r="I18" i="41"/>
  <c r="E23" i="59" s="1"/>
  <c r="D59" i="60" s="1"/>
  <c r="I19" i="41"/>
  <c r="E24" i="59" s="1"/>
  <c r="D60" i="60" s="1"/>
  <c r="I20" i="41"/>
  <c r="E25" i="59" s="1"/>
  <c r="D61" i="60" s="1"/>
  <c r="I21" i="41"/>
  <c r="E26" i="59" s="1"/>
  <c r="D62" i="60" s="1"/>
  <c r="I22" i="41"/>
  <c r="E27" i="59" s="1"/>
  <c r="D63" i="60" s="1"/>
  <c r="I23" i="41"/>
  <c r="E28" i="59" s="1"/>
  <c r="D64" i="60" s="1"/>
  <c r="I24" i="41"/>
  <c r="E29" i="59" s="1"/>
  <c r="D65" i="60" s="1"/>
  <c r="I25" i="41"/>
  <c r="E30" i="59" s="1"/>
  <c r="D66" i="60" s="1"/>
  <c r="I26" i="41"/>
  <c r="E31" i="59" s="1"/>
  <c r="D67" i="60" s="1"/>
  <c r="I27" i="41"/>
  <c r="E32" i="59" s="1"/>
  <c r="D68" i="60" s="1"/>
  <c r="I28" i="41"/>
  <c r="E33" i="59" s="1"/>
  <c r="D69" i="60" s="1"/>
  <c r="I29" i="41"/>
  <c r="E34" i="59" s="1"/>
  <c r="D70" i="60" s="1"/>
  <c r="I30" i="41"/>
  <c r="E35" i="59" s="1"/>
  <c r="D71" i="60" s="1"/>
  <c r="I31" i="41"/>
  <c r="E36" i="59" s="1"/>
  <c r="D72" i="60" s="1"/>
  <c r="I32" i="41"/>
  <c r="E37" i="59" s="1"/>
  <c r="D73" i="60" s="1"/>
  <c r="I33" i="41"/>
  <c r="E38" i="59" s="1"/>
  <c r="D74" i="60" s="1"/>
  <c r="I34" i="41"/>
  <c r="E39" i="59" s="1"/>
  <c r="D75" i="60" s="1"/>
  <c r="I35" i="41"/>
  <c r="E40" i="59" s="1"/>
  <c r="D76" i="60" s="1"/>
  <c r="I36" i="41"/>
  <c r="E41" i="59" s="1"/>
  <c r="D77" i="60" s="1"/>
  <c r="I16" i="41"/>
  <c r="E21" i="59" s="1"/>
  <c r="D57" i="60" s="1"/>
  <c r="H17" i="41"/>
  <c r="H18" i="41"/>
  <c r="H19" i="41"/>
  <c r="H20" i="41"/>
  <c r="H21" i="41"/>
  <c r="H22" i="41"/>
  <c r="H23" i="41"/>
  <c r="H24" i="41"/>
  <c r="H25" i="41"/>
  <c r="H26" i="41"/>
  <c r="H27" i="41"/>
  <c r="H28" i="41"/>
  <c r="H29" i="41"/>
  <c r="H30" i="41"/>
  <c r="H31" i="41"/>
  <c r="H32" i="41"/>
  <c r="H33" i="41"/>
  <c r="H34" i="41"/>
  <c r="H35" i="41"/>
  <c r="H36" i="41"/>
  <c r="H16" i="41"/>
  <c r="G17" i="41"/>
  <c r="Q22" i="59" s="1"/>
  <c r="E58" i="60" s="1"/>
  <c r="G18" i="41"/>
  <c r="Q23" i="59" s="1"/>
  <c r="E59" i="60" s="1"/>
  <c r="G19" i="41"/>
  <c r="Q24" i="59" s="1"/>
  <c r="E60" i="60" s="1"/>
  <c r="G20" i="41"/>
  <c r="Q25" i="59" s="1"/>
  <c r="E61" i="60" s="1"/>
  <c r="G21" i="41"/>
  <c r="Q26" i="59" s="1"/>
  <c r="E62" i="60" s="1"/>
  <c r="G22" i="41"/>
  <c r="Q27" i="59" s="1"/>
  <c r="E63" i="60" s="1"/>
  <c r="G23" i="41"/>
  <c r="Q28" i="59" s="1"/>
  <c r="E64" i="60" s="1"/>
  <c r="G24" i="41"/>
  <c r="Q29" i="59" s="1"/>
  <c r="E65" i="60" s="1"/>
  <c r="G25" i="41"/>
  <c r="Q30" i="59" s="1"/>
  <c r="E66" i="60" s="1"/>
  <c r="G26" i="41"/>
  <c r="Q31" i="59" s="1"/>
  <c r="E67" i="60" s="1"/>
  <c r="G27" i="41"/>
  <c r="Q32" i="59" s="1"/>
  <c r="E68" i="60" s="1"/>
  <c r="G28" i="41"/>
  <c r="Q33" i="59" s="1"/>
  <c r="E69" i="60" s="1"/>
  <c r="G29" i="41"/>
  <c r="Q34" i="59" s="1"/>
  <c r="E70" i="60" s="1"/>
  <c r="G30" i="41"/>
  <c r="Q35" i="59" s="1"/>
  <c r="E71" i="60" s="1"/>
  <c r="G31" i="41"/>
  <c r="Q36" i="59" s="1"/>
  <c r="E72" i="60" s="1"/>
  <c r="G32" i="41"/>
  <c r="Q37" i="59" s="1"/>
  <c r="E73" i="60" s="1"/>
  <c r="G33" i="41"/>
  <c r="Q38" i="59" s="1"/>
  <c r="E74" i="60" s="1"/>
  <c r="G34" i="41"/>
  <c r="Q39" i="59" s="1"/>
  <c r="E75" i="60" s="1"/>
  <c r="G35" i="41"/>
  <c r="Q40" i="59" s="1"/>
  <c r="E76" i="60" s="1"/>
  <c r="G36" i="41"/>
  <c r="Q41" i="59" s="1"/>
  <c r="E77" i="60" s="1"/>
  <c r="G16" i="41"/>
  <c r="Q21" i="59" s="1"/>
  <c r="E57" i="60" s="1"/>
  <c r="E17" i="41"/>
  <c r="E18" i="41"/>
  <c r="E19" i="41"/>
  <c r="E20" i="41"/>
  <c r="E21" i="41"/>
  <c r="E22" i="41"/>
  <c r="E23" i="41"/>
  <c r="E24" i="41"/>
  <c r="E25" i="41"/>
  <c r="E26" i="41"/>
  <c r="E27" i="41"/>
  <c r="E28" i="41"/>
  <c r="E29" i="41"/>
  <c r="E30" i="41"/>
  <c r="E31" i="41"/>
  <c r="E32" i="41"/>
  <c r="E33" i="41"/>
  <c r="E34" i="41"/>
  <c r="E35" i="41"/>
  <c r="E36" i="41"/>
  <c r="E16" i="41"/>
  <c r="D36" i="41"/>
  <c r="D35" i="41"/>
  <c r="D34" i="41"/>
  <c r="D33" i="41"/>
  <c r="D32" i="41"/>
  <c r="D31" i="41"/>
  <c r="D30" i="41"/>
  <c r="D29" i="41"/>
  <c r="D28" i="41"/>
  <c r="D27" i="41"/>
  <c r="D26" i="41"/>
  <c r="D25" i="41"/>
  <c r="D24" i="41"/>
  <c r="D23" i="41"/>
  <c r="D22" i="41"/>
  <c r="D21" i="41"/>
  <c r="D20" i="41"/>
  <c r="D19" i="41"/>
  <c r="D18" i="41"/>
  <c r="D17" i="41"/>
  <c r="D16" i="41"/>
  <c r="L63" i="60" l="1"/>
  <c r="BB22" i="41"/>
  <c r="BF22" i="41"/>
  <c r="BC22" i="41"/>
  <c r="BG22" i="41"/>
  <c r="BD22" i="41"/>
  <c r="BH22" i="41"/>
  <c r="BA22" i="41"/>
  <c r="AD19" i="58" s="1"/>
  <c r="BE22" i="41"/>
  <c r="AG19" i="58" s="1"/>
  <c r="X92" i="58"/>
  <c r="J43" i="60" s="1"/>
  <c r="X91" i="58"/>
  <c r="J42" i="60" s="1"/>
  <c r="X84" i="58"/>
  <c r="J155" i="60" s="1"/>
  <c r="X62" i="58"/>
  <c r="J108" i="60" s="1"/>
  <c r="X82" i="58"/>
  <c r="J153" i="60" s="1"/>
  <c r="X63" i="58"/>
  <c r="J109" i="60" s="1"/>
  <c r="X70" i="58"/>
  <c r="J121" i="60" s="1"/>
  <c r="X81" i="58"/>
  <c r="J152" i="60" s="1"/>
  <c r="X83" i="58"/>
  <c r="J154" i="60" s="1"/>
  <c r="X77" i="58"/>
  <c r="J143" i="60" s="1"/>
  <c r="X44" i="58"/>
  <c r="J98" i="60" s="1"/>
  <c r="X80" i="58"/>
  <c r="J151" i="60" s="1"/>
  <c r="X64" i="58"/>
  <c r="J110" i="60" s="1"/>
  <c r="X19" i="58"/>
  <c r="J63" i="60" s="1"/>
  <c r="X76" i="58"/>
  <c r="J142" i="60" s="1"/>
  <c r="X42" i="58"/>
  <c r="J96" i="60" s="1"/>
  <c r="X71" i="58"/>
  <c r="J122" i="60" s="1"/>
  <c r="X60" i="58"/>
  <c r="J49" i="60" s="1"/>
  <c r="AU36" i="41"/>
  <c r="V33" i="58" s="1"/>
  <c r="AT36" i="41"/>
  <c r="U33" i="58" s="1"/>
  <c r="AM36" i="41"/>
  <c r="T33" i="58" s="1"/>
  <c r="AL36" i="41"/>
  <c r="S33" i="58" s="1"/>
  <c r="AE36" i="41"/>
  <c r="R33" i="58" s="1"/>
  <c r="AD36" i="41"/>
  <c r="Q33" i="58" s="1"/>
  <c r="W36" i="41"/>
  <c r="P33" i="58" s="1"/>
  <c r="V36" i="41"/>
  <c r="O33" i="58" s="1"/>
  <c r="R41" i="59"/>
  <c r="AU35" i="41"/>
  <c r="V32" i="58" s="1"/>
  <c r="AT35" i="41"/>
  <c r="U32" i="58" s="1"/>
  <c r="AM35" i="41"/>
  <c r="T32" i="58" s="1"/>
  <c r="AL35" i="41"/>
  <c r="S32" i="58" s="1"/>
  <c r="AE35" i="41"/>
  <c r="R32" i="58" s="1"/>
  <c r="AD35" i="41"/>
  <c r="Q32" i="58" s="1"/>
  <c r="W35" i="41"/>
  <c r="V35" i="41"/>
  <c r="O32" i="58" s="1"/>
  <c r="R40" i="59"/>
  <c r="AU34" i="41"/>
  <c r="V31" i="58" s="1"/>
  <c r="AT34" i="41"/>
  <c r="U31" i="58" s="1"/>
  <c r="AM34" i="41"/>
  <c r="T31" i="58" s="1"/>
  <c r="AL34" i="41"/>
  <c r="S31" i="58" s="1"/>
  <c r="AE34" i="41"/>
  <c r="R31" i="58" s="1"/>
  <c r="AD34" i="41"/>
  <c r="Q31" i="58" s="1"/>
  <c r="W34" i="41"/>
  <c r="V34" i="41"/>
  <c r="O31" i="58" s="1"/>
  <c r="R39" i="59"/>
  <c r="AU33" i="41"/>
  <c r="V30" i="58" s="1"/>
  <c r="AT33" i="41"/>
  <c r="U30" i="58" s="1"/>
  <c r="AM33" i="41"/>
  <c r="T30" i="58" s="1"/>
  <c r="AL33" i="41"/>
  <c r="S30" i="58" s="1"/>
  <c r="AE33" i="41"/>
  <c r="R30" i="58" s="1"/>
  <c r="AD33" i="41"/>
  <c r="Q30" i="58" s="1"/>
  <c r="W33" i="41"/>
  <c r="V33" i="41"/>
  <c r="O30" i="58" s="1"/>
  <c r="R38" i="59"/>
  <c r="C33" i="41" a="1"/>
  <c r="C33" i="41" s="1"/>
  <c r="AU32" i="41"/>
  <c r="V29" i="58" s="1"/>
  <c r="AR32" i="41"/>
  <c r="AP32" i="41"/>
  <c r="AN32" i="41"/>
  <c r="AM32" i="41"/>
  <c r="T29" i="58" s="1"/>
  <c r="AJ32" i="41"/>
  <c r="AH32" i="41"/>
  <c r="AF32" i="41"/>
  <c r="AL32" i="41" s="1"/>
  <c r="S29" i="58" s="1"/>
  <c r="AE32" i="41"/>
  <c r="R29" i="58" s="1"/>
  <c r="AB32" i="41"/>
  <c r="Z32" i="41"/>
  <c r="X32" i="41"/>
  <c r="W32" i="41"/>
  <c r="T32" i="41"/>
  <c r="R32" i="41"/>
  <c r="R37" i="59"/>
  <c r="AU31" i="41"/>
  <c r="V28" i="58" s="1"/>
  <c r="AR31" i="41"/>
  <c r="AP31" i="41"/>
  <c r="AN31" i="41"/>
  <c r="AM31" i="41"/>
  <c r="T28" i="58" s="1"/>
  <c r="AJ31" i="41"/>
  <c r="AH31" i="41"/>
  <c r="AF31" i="41"/>
  <c r="AE31" i="41"/>
  <c r="R28" i="58" s="1"/>
  <c r="AB31" i="41"/>
  <c r="Z31" i="41"/>
  <c r="X31" i="41"/>
  <c r="W31" i="41"/>
  <c r="T31" i="41"/>
  <c r="R31" i="41"/>
  <c r="R36" i="59"/>
  <c r="AU30" i="41"/>
  <c r="V27" i="58" s="1"/>
  <c r="AT30" i="41"/>
  <c r="U27" i="58" s="1"/>
  <c r="AM30" i="41"/>
  <c r="T27" i="58" s="1"/>
  <c r="AL30" i="41"/>
  <c r="S27" i="58" s="1"/>
  <c r="AE30" i="41"/>
  <c r="R27" i="58" s="1"/>
  <c r="AD30" i="41"/>
  <c r="Q27" i="58" s="1"/>
  <c r="W30" i="41"/>
  <c r="V30" i="41"/>
  <c r="O27" i="58" s="1"/>
  <c r="R35" i="59"/>
  <c r="AU29" i="41"/>
  <c r="V26" i="58" s="1"/>
  <c r="AR29" i="41"/>
  <c r="AP29" i="41"/>
  <c r="AN29" i="41"/>
  <c r="AM29" i="41"/>
  <c r="T26" i="58" s="1"/>
  <c r="AJ29" i="41"/>
  <c r="AH29" i="41"/>
  <c r="AF29" i="41"/>
  <c r="AE29" i="41"/>
  <c r="R26" i="58" s="1"/>
  <c r="AB29" i="41"/>
  <c r="Z29" i="41"/>
  <c r="X29" i="41"/>
  <c r="W29" i="41"/>
  <c r="P26" i="58" s="1"/>
  <c r="T29" i="41"/>
  <c r="R29" i="41"/>
  <c r="P29" i="41"/>
  <c r="R34" i="59"/>
  <c r="AU28" i="41"/>
  <c r="V25" i="58" s="1"/>
  <c r="AR28" i="41"/>
  <c r="AP28" i="41"/>
  <c r="AN28" i="41"/>
  <c r="AM28" i="41"/>
  <c r="T25" i="58" s="1"/>
  <c r="AJ28" i="41"/>
  <c r="AH28" i="41"/>
  <c r="AF28" i="41"/>
  <c r="AE28" i="41"/>
  <c r="R25" i="58" s="1"/>
  <c r="AB28" i="41"/>
  <c r="Z28" i="41"/>
  <c r="X28" i="41"/>
  <c r="W28" i="41"/>
  <c r="T28" i="41"/>
  <c r="R28" i="41"/>
  <c r="P28" i="41"/>
  <c r="R33" i="59"/>
  <c r="AU27" i="41"/>
  <c r="V24" i="58" s="1"/>
  <c r="AP27" i="41"/>
  <c r="AN27" i="41"/>
  <c r="AM27" i="41"/>
  <c r="T24" i="58" s="1"/>
  <c r="AJ27" i="41"/>
  <c r="AH27" i="41"/>
  <c r="AF27" i="41"/>
  <c r="AE27" i="41"/>
  <c r="R24" i="58" s="1"/>
  <c r="AB27" i="41"/>
  <c r="Z27" i="41"/>
  <c r="X27" i="41"/>
  <c r="W27" i="41"/>
  <c r="T27" i="41"/>
  <c r="V27" i="41" s="1"/>
  <c r="O24" i="58" s="1"/>
  <c r="C27" i="41" a="1"/>
  <c r="C27" i="41" s="1"/>
  <c r="AU26" i="41"/>
  <c r="V23" i="58" s="1"/>
  <c r="AT26" i="41"/>
  <c r="U23" i="58" s="1"/>
  <c r="AM26" i="41"/>
  <c r="T23" i="58" s="1"/>
  <c r="AL26" i="41"/>
  <c r="S23" i="58" s="1"/>
  <c r="AE26" i="41"/>
  <c r="R23" i="58" s="1"/>
  <c r="AD26" i="41"/>
  <c r="Q23" i="58" s="1"/>
  <c r="W26" i="41"/>
  <c r="V26" i="41"/>
  <c r="O23" i="58" s="1"/>
  <c r="R31" i="59"/>
  <c r="AU25" i="41"/>
  <c r="V22" i="58" s="1"/>
  <c r="AT25" i="41"/>
  <c r="U22" i="58" s="1"/>
  <c r="AM25" i="41"/>
  <c r="T22" i="58" s="1"/>
  <c r="AL25" i="41"/>
  <c r="S22" i="58" s="1"/>
  <c r="AE25" i="41"/>
  <c r="R22" i="58" s="1"/>
  <c r="AD25" i="41"/>
  <c r="Q22" i="58" s="1"/>
  <c r="W25" i="41"/>
  <c r="P22" i="58" s="1"/>
  <c r="V25" i="41"/>
  <c r="O22" i="58" s="1"/>
  <c r="R30" i="59"/>
  <c r="AU24" i="41"/>
  <c r="V21" i="58" s="1"/>
  <c r="AT24" i="41"/>
  <c r="U21" i="58" s="1"/>
  <c r="AM24" i="41"/>
  <c r="T21" i="58" s="1"/>
  <c r="AL24" i="41"/>
  <c r="S21" i="58" s="1"/>
  <c r="AE24" i="41"/>
  <c r="R21" i="58" s="1"/>
  <c r="AD24" i="41"/>
  <c r="Q21" i="58" s="1"/>
  <c r="W24" i="41"/>
  <c r="V24" i="41"/>
  <c r="O21" i="58" s="1"/>
  <c r="R29" i="59"/>
  <c r="AU23" i="41"/>
  <c r="V20" i="58" s="1"/>
  <c r="AT23" i="41"/>
  <c r="U20" i="58" s="1"/>
  <c r="AM23" i="41"/>
  <c r="T20" i="58" s="1"/>
  <c r="AL23" i="41"/>
  <c r="S20" i="58" s="1"/>
  <c r="AE23" i="41"/>
  <c r="R20" i="58" s="1"/>
  <c r="AD23" i="41"/>
  <c r="Q20" i="58" s="1"/>
  <c r="W23" i="41"/>
  <c r="V23" i="41"/>
  <c r="O20" i="58" s="1"/>
  <c r="R28" i="59"/>
  <c r="R27" i="59"/>
  <c r="AU21" i="41"/>
  <c r="V18" i="58" s="1"/>
  <c r="AT21" i="41"/>
  <c r="U18" i="58" s="1"/>
  <c r="AM21" i="41"/>
  <c r="T18" i="58" s="1"/>
  <c r="AL21" i="41"/>
  <c r="S18" i="58" s="1"/>
  <c r="AE21" i="41"/>
  <c r="R18" i="58" s="1"/>
  <c r="AD21" i="41"/>
  <c r="Q18" i="58" s="1"/>
  <c r="W21" i="41"/>
  <c r="V21" i="41"/>
  <c r="O18" i="58" s="1"/>
  <c r="R26" i="59"/>
  <c r="AU20" i="41"/>
  <c r="V17" i="58" s="1"/>
  <c r="AR20" i="41"/>
  <c r="AP20" i="41"/>
  <c r="AN20" i="41"/>
  <c r="AM20" i="41"/>
  <c r="T17" i="58" s="1"/>
  <c r="AJ20" i="41"/>
  <c r="AH20" i="41"/>
  <c r="AF20" i="41"/>
  <c r="AE20" i="41"/>
  <c r="R17" i="58" s="1"/>
  <c r="AB20" i="41"/>
  <c r="Z20" i="41"/>
  <c r="X20" i="41"/>
  <c r="W20" i="41"/>
  <c r="T20" i="41"/>
  <c r="R20" i="41"/>
  <c r="P20" i="41"/>
  <c r="R25" i="59"/>
  <c r="AU19" i="41"/>
  <c r="V16" i="58" s="1"/>
  <c r="AT19" i="41"/>
  <c r="U16" i="58" s="1"/>
  <c r="AM19" i="41"/>
  <c r="T16" i="58" s="1"/>
  <c r="AL19" i="41"/>
  <c r="S16" i="58" s="1"/>
  <c r="AE19" i="41"/>
  <c r="R16" i="58" s="1"/>
  <c r="AD19" i="41"/>
  <c r="Q16" i="58" s="1"/>
  <c r="W19" i="41"/>
  <c r="P16" i="58" s="1"/>
  <c r="V19" i="41"/>
  <c r="O16" i="58" s="1"/>
  <c r="R24" i="59"/>
  <c r="AU18" i="41"/>
  <c r="V15" i="58" s="1"/>
  <c r="AR18" i="41"/>
  <c r="AP18" i="41"/>
  <c r="AN18" i="41"/>
  <c r="AM18" i="41"/>
  <c r="T15" i="58" s="1"/>
  <c r="AJ18" i="41"/>
  <c r="AH18" i="41"/>
  <c r="AF18" i="41"/>
  <c r="AE18" i="41"/>
  <c r="R15" i="58" s="1"/>
  <c r="AB18" i="41"/>
  <c r="Z18" i="41"/>
  <c r="X18" i="41"/>
  <c r="W18" i="41"/>
  <c r="P15" i="58" s="1"/>
  <c r="T18" i="41"/>
  <c r="R18" i="41"/>
  <c r="P18" i="41"/>
  <c r="R23" i="59"/>
  <c r="AU17" i="41"/>
  <c r="V14" i="58" s="1"/>
  <c r="AR17" i="41"/>
  <c r="AP17" i="41"/>
  <c r="AN17" i="41"/>
  <c r="AM17" i="41"/>
  <c r="T14" i="58" s="1"/>
  <c r="AJ17" i="41"/>
  <c r="AH17" i="41"/>
  <c r="AF17" i="41"/>
  <c r="AE17" i="41"/>
  <c r="R14" i="58" s="1"/>
  <c r="AB17" i="41"/>
  <c r="Z17" i="41"/>
  <c r="X17" i="41"/>
  <c r="W17" i="41"/>
  <c r="T17" i="41"/>
  <c r="R17" i="41"/>
  <c r="P17" i="41"/>
  <c r="R22" i="59"/>
  <c r="AU16" i="41"/>
  <c r="V13" i="58" s="1"/>
  <c r="AR16" i="41"/>
  <c r="AP16" i="41"/>
  <c r="AN16" i="41"/>
  <c r="AT16" i="41" s="1"/>
  <c r="U13" i="58" s="1"/>
  <c r="AM16" i="41"/>
  <c r="T13" i="58" s="1"/>
  <c r="AJ16" i="41"/>
  <c r="AH16" i="41"/>
  <c r="AF16" i="41"/>
  <c r="AE16" i="41"/>
  <c r="R13" i="58" s="1"/>
  <c r="AB16" i="41"/>
  <c r="Z16" i="41"/>
  <c r="X16" i="41"/>
  <c r="W16" i="41"/>
  <c r="T16" i="41"/>
  <c r="R16" i="41"/>
  <c r="P16" i="41"/>
  <c r="R21" i="59"/>
  <c r="C16" i="41" a="1"/>
  <c r="C16" i="41" s="1"/>
  <c r="B16" i="41" a="1"/>
  <c r="B16" i="41" s="1"/>
  <c r="AD29" i="41" l="1"/>
  <c r="Q26" i="58" s="1"/>
  <c r="AT32" i="41"/>
  <c r="U29" i="58" s="1"/>
  <c r="X22" i="58"/>
  <c r="J66" i="60" s="1"/>
  <c r="I66" i="60"/>
  <c r="H66" i="60"/>
  <c r="G67" i="60"/>
  <c r="L67" i="60" s="1"/>
  <c r="F67" i="60"/>
  <c r="K67" i="60" s="1"/>
  <c r="F64" i="60"/>
  <c r="G64" i="60"/>
  <c r="F60" i="60"/>
  <c r="K60" i="60" s="1"/>
  <c r="G60" i="60"/>
  <c r="F68" i="60"/>
  <c r="G68" i="60"/>
  <c r="G71" i="60"/>
  <c r="F71" i="60"/>
  <c r="F66" i="60"/>
  <c r="K66" i="60" s="1"/>
  <c r="G66" i="60"/>
  <c r="I60" i="60"/>
  <c r="H60" i="60"/>
  <c r="F74" i="60"/>
  <c r="K74" i="60" s="1"/>
  <c r="G74" i="60"/>
  <c r="L74" i="60" s="1"/>
  <c r="G76" i="60"/>
  <c r="L76" i="60" s="1"/>
  <c r="F76" i="60"/>
  <c r="K76" i="60" s="1"/>
  <c r="X15" i="58"/>
  <c r="J59" i="60" s="1"/>
  <c r="I59" i="60"/>
  <c r="H59" i="60"/>
  <c r="F62" i="60"/>
  <c r="G62" i="60"/>
  <c r="X26" i="58"/>
  <c r="J70" i="60" s="1"/>
  <c r="I70" i="60"/>
  <c r="H70" i="60"/>
  <c r="G75" i="60"/>
  <c r="L75" i="60" s="1"/>
  <c r="F75" i="60"/>
  <c r="K75" i="60" s="1"/>
  <c r="G65" i="60"/>
  <c r="F65" i="60"/>
  <c r="G77" i="60"/>
  <c r="L77" i="60" s="1"/>
  <c r="F77" i="60"/>
  <c r="K77" i="60" s="1"/>
  <c r="H77" i="60"/>
  <c r="I77" i="60"/>
  <c r="AW16" i="41"/>
  <c r="P13" i="58"/>
  <c r="Y42" i="58"/>
  <c r="M96" i="60" s="1"/>
  <c r="Z42" i="58"/>
  <c r="Z81" i="58"/>
  <c r="Y81" i="58"/>
  <c r="Z76" i="58"/>
  <c r="Y76" i="58"/>
  <c r="Y70" i="58"/>
  <c r="Z70" i="58"/>
  <c r="AW17" i="41"/>
  <c r="P14" i="58"/>
  <c r="X16" i="58"/>
  <c r="J60" i="60" s="1"/>
  <c r="AW27" i="41"/>
  <c r="P24" i="58"/>
  <c r="AY28" i="41"/>
  <c r="P25" i="58"/>
  <c r="AW30" i="41"/>
  <c r="P27" i="58"/>
  <c r="Z19" i="58"/>
  <c r="Y19" i="58"/>
  <c r="Y63" i="58"/>
  <c r="Z63" i="58"/>
  <c r="AY26" i="41"/>
  <c r="P23" i="58"/>
  <c r="Z64" i="58"/>
  <c r="Y64" i="58"/>
  <c r="Y82" i="58"/>
  <c r="Z82" i="58"/>
  <c r="AW21" i="41"/>
  <c r="P18" i="58"/>
  <c r="AZ31" i="41"/>
  <c r="P28" i="58"/>
  <c r="AW32" i="41"/>
  <c r="P29" i="58"/>
  <c r="AW33" i="41"/>
  <c r="P30" i="58"/>
  <c r="Z80" i="58"/>
  <c r="Y80" i="58"/>
  <c r="Z62" i="58"/>
  <c r="Y62" i="58"/>
  <c r="AL16" i="41"/>
  <c r="S13" i="58" s="1"/>
  <c r="AW20" i="41"/>
  <c r="P17" i="58"/>
  <c r="AW34" i="41"/>
  <c r="P31" i="58"/>
  <c r="Y44" i="58"/>
  <c r="Z44" i="58"/>
  <c r="Y84" i="58"/>
  <c r="Z84" i="58"/>
  <c r="AH84" i="58" s="1"/>
  <c r="Z22" i="58"/>
  <c r="AW23" i="41"/>
  <c r="P20" i="58"/>
  <c r="AW35" i="41"/>
  <c r="P32" i="58"/>
  <c r="Z60" i="58"/>
  <c r="Y60" i="58"/>
  <c r="Y77" i="58"/>
  <c r="Z77" i="58"/>
  <c r="Z91" i="58"/>
  <c r="Y91" i="58"/>
  <c r="AW24" i="41"/>
  <c r="P21" i="58"/>
  <c r="X33" i="58"/>
  <c r="J77" i="60" s="1"/>
  <c r="Y71" i="58"/>
  <c r="Z71" i="58"/>
  <c r="Y83" i="58"/>
  <c r="Z83" i="58"/>
  <c r="Y92" i="58"/>
  <c r="Z92" i="58"/>
  <c r="AT17" i="41"/>
  <c r="U14" i="58" s="1"/>
  <c r="AL27" i="41"/>
  <c r="S24" i="58" s="1"/>
  <c r="V28" i="41"/>
  <c r="O25" i="58" s="1"/>
  <c r="AL28" i="41"/>
  <c r="S25" i="58" s="1"/>
  <c r="V29" i="41"/>
  <c r="O26" i="58" s="1"/>
  <c r="AD18" i="41"/>
  <c r="Q15" i="58" s="1"/>
  <c r="AL29" i="41"/>
  <c r="V31" i="41"/>
  <c r="O28" i="58" s="1"/>
  <c r="AD27" i="41"/>
  <c r="Q24" i="58" s="1"/>
  <c r="AT27" i="41"/>
  <c r="U24" i="58" s="1"/>
  <c r="AT20" i="41"/>
  <c r="U17" i="58" s="1"/>
  <c r="AV19" i="41"/>
  <c r="W16" i="58" s="1"/>
  <c r="AD28" i="41"/>
  <c r="Q25" i="58" s="1"/>
  <c r="AT31" i="41"/>
  <c r="U28" i="58" s="1"/>
  <c r="AD32" i="41"/>
  <c r="Q29" i="58" s="1"/>
  <c r="AV35" i="41"/>
  <c r="W32" i="58" s="1"/>
  <c r="AX35" i="41"/>
  <c r="BF35" i="41" s="1"/>
  <c r="AY36" i="41"/>
  <c r="BC36" i="41" s="1"/>
  <c r="AY31" i="41"/>
  <c r="AZ25" i="41"/>
  <c r="AZ24" i="41"/>
  <c r="AZ21" i="41"/>
  <c r="AX17" i="41"/>
  <c r="AD17" i="41"/>
  <c r="Q14" i="58" s="1"/>
  <c r="AL20" i="41"/>
  <c r="S17" i="58" s="1"/>
  <c r="AL31" i="41"/>
  <c r="S28" i="58" s="1"/>
  <c r="V16" i="41"/>
  <c r="O13" i="58" s="1"/>
  <c r="V20" i="41"/>
  <c r="O17" i="58" s="1"/>
  <c r="AT29" i="41"/>
  <c r="U26" i="58" s="1"/>
  <c r="V32" i="41"/>
  <c r="AY35" i="41"/>
  <c r="AV36" i="41"/>
  <c r="AD16" i="41"/>
  <c r="Q13" i="58" s="1"/>
  <c r="AY17" i="41"/>
  <c r="AY21" i="41"/>
  <c r="AZ32" i="41"/>
  <c r="V17" i="41"/>
  <c r="O14" i="58" s="1"/>
  <c r="AD20" i="41"/>
  <c r="Q17" i="58" s="1"/>
  <c r="AV25" i="41"/>
  <c r="W22" i="58" s="1"/>
  <c r="Y22" i="58" s="1"/>
  <c r="M66" i="60" s="1"/>
  <c r="AZ28" i="41"/>
  <c r="AV33" i="41"/>
  <c r="W30" i="58" s="1"/>
  <c r="AZ33" i="41"/>
  <c r="BD33" i="41" s="1"/>
  <c r="V18" i="41"/>
  <c r="O15" i="58" s="1"/>
  <c r="AV26" i="41"/>
  <c r="W23" i="58" s="1"/>
  <c r="AZ26" i="41"/>
  <c r="BD26" i="41" s="1"/>
  <c r="AT28" i="41"/>
  <c r="U25" i="58" s="1"/>
  <c r="AV30" i="41"/>
  <c r="W27" i="58" s="1"/>
  <c r="AD31" i="41"/>
  <c r="Q28" i="58" s="1"/>
  <c r="AZ36" i="41"/>
  <c r="AV34" i="41"/>
  <c r="W31" i="58" s="1"/>
  <c r="AX18" i="41"/>
  <c r="AW18" i="41"/>
  <c r="AZ18" i="41"/>
  <c r="AY19" i="41"/>
  <c r="AX19" i="41"/>
  <c r="AW19" i="41"/>
  <c r="AW29" i="41"/>
  <c r="AY29" i="41"/>
  <c r="AX29" i="41"/>
  <c r="AV16" i="41"/>
  <c r="W13" i="58" s="1"/>
  <c r="AZ19" i="41"/>
  <c r="AX30" i="41"/>
  <c r="BB30" i="41" s="1"/>
  <c r="AZ30" i="41"/>
  <c r="AY30" i="41"/>
  <c r="AX36" i="41"/>
  <c r="BB36" i="41" s="1"/>
  <c r="AY27" i="41"/>
  <c r="AZ27" i="41"/>
  <c r="AX32" i="41"/>
  <c r="AY32" i="41"/>
  <c r="AT18" i="41"/>
  <c r="U15" i="58" s="1"/>
  <c r="AV21" i="41"/>
  <c r="W18" i="58" s="1"/>
  <c r="AX21" i="41"/>
  <c r="AV23" i="41"/>
  <c r="W20" i="58" s="1"/>
  <c r="AV24" i="41"/>
  <c r="AX24" i="41"/>
  <c r="BB24" i="41" s="1"/>
  <c r="AX27" i="41"/>
  <c r="AZ16" i="41"/>
  <c r="AY16" i="41"/>
  <c r="AX16" i="41"/>
  <c r="AL17" i="41"/>
  <c r="S14" i="58" s="1"/>
  <c r="AL18" i="41"/>
  <c r="S15" i="58" s="1"/>
  <c r="AY18" i="41"/>
  <c r="AZ20" i="41"/>
  <c r="AY20" i="41"/>
  <c r="AX20" i="41"/>
  <c r="AZ23" i="41"/>
  <c r="AY23" i="41"/>
  <c r="AX23" i="41"/>
  <c r="AY24" i="41"/>
  <c r="BC24" i="41" s="1"/>
  <c r="AX25" i="41"/>
  <c r="AY25" i="41"/>
  <c r="BC25" i="41" s="1"/>
  <c r="AZ29" i="41"/>
  <c r="AX34" i="41"/>
  <c r="AZ34" i="41"/>
  <c r="AY34" i="41"/>
  <c r="AW26" i="41"/>
  <c r="AZ17" i="41"/>
  <c r="AW25" i="41"/>
  <c r="AX26" i="41"/>
  <c r="AW28" i="41"/>
  <c r="AW31" i="41"/>
  <c r="AX33" i="41"/>
  <c r="BB33" i="41" s="1"/>
  <c r="AZ35" i="41"/>
  <c r="BD35" i="41" s="1"/>
  <c r="AW36" i="41"/>
  <c r="AX28" i="41"/>
  <c r="AX31" i="41"/>
  <c r="AY33" i="41"/>
  <c r="BC33" i="41" s="1"/>
  <c r="BC30" i="41" l="1"/>
  <c r="BC26" i="41"/>
  <c r="BC34" i="41"/>
  <c r="BD30" i="41"/>
  <c r="BD34" i="41"/>
  <c r="BB34" i="41"/>
  <c r="BD24" i="41"/>
  <c r="M103" i="60"/>
  <c r="F40" i="62" s="1"/>
  <c r="C16" i="62" s="1"/>
  <c r="BB25" i="41"/>
  <c r="Z15" i="58"/>
  <c r="L66" i="60"/>
  <c r="Z26" i="58"/>
  <c r="AE42" i="58"/>
  <c r="X32" i="58"/>
  <c r="J76" i="60" s="1"/>
  <c r="I76" i="60"/>
  <c r="H76" i="60"/>
  <c r="X13" i="58"/>
  <c r="J57" i="60" s="1"/>
  <c r="I57" i="60"/>
  <c r="H57" i="60"/>
  <c r="AE44" i="58"/>
  <c r="M98" i="60"/>
  <c r="AE80" i="58"/>
  <c r="M151" i="60"/>
  <c r="X18" i="58"/>
  <c r="J62" i="60" s="1"/>
  <c r="I62" i="60"/>
  <c r="H62" i="60"/>
  <c r="K62" i="60" s="1"/>
  <c r="X23" i="58"/>
  <c r="J67" i="60" s="1"/>
  <c r="H67" i="60"/>
  <c r="I67" i="60"/>
  <c r="X25" i="58"/>
  <c r="J69" i="60" s="1"/>
  <c r="H69" i="60"/>
  <c r="I69" i="60"/>
  <c r="AE70" i="58"/>
  <c r="M121" i="60"/>
  <c r="AE92" i="58"/>
  <c r="M43" i="60"/>
  <c r="X31" i="58"/>
  <c r="J75" i="60" s="1"/>
  <c r="H75" i="60"/>
  <c r="I75" i="60"/>
  <c r="AE76" i="58"/>
  <c r="M142" i="60"/>
  <c r="X28" i="58"/>
  <c r="J72" i="60" s="1"/>
  <c r="I72" i="60"/>
  <c r="H72" i="60"/>
  <c r="X21" i="58"/>
  <c r="J65" i="60" s="1"/>
  <c r="H65" i="60"/>
  <c r="K65" i="60" s="1"/>
  <c r="I65" i="60"/>
  <c r="L65" i="60" s="1"/>
  <c r="F72" i="60"/>
  <c r="G72" i="60"/>
  <c r="AE91" i="58"/>
  <c r="M42" i="60"/>
  <c r="X20" i="58"/>
  <c r="J64" i="60" s="1"/>
  <c r="I64" i="60"/>
  <c r="L64" i="60" s="1"/>
  <c r="H64" i="60"/>
  <c r="K64" i="60" s="1"/>
  <c r="X30" i="58"/>
  <c r="J74" i="60" s="1"/>
  <c r="I74" i="60"/>
  <c r="H74" i="60"/>
  <c r="X24" i="58"/>
  <c r="J68" i="60" s="1"/>
  <c r="I68" i="60"/>
  <c r="L68" i="60" s="1"/>
  <c r="H68" i="60"/>
  <c r="AE83" i="58"/>
  <c r="M154" i="60"/>
  <c r="AE82" i="58"/>
  <c r="M153" i="60"/>
  <c r="AE63" i="58"/>
  <c r="M109" i="60"/>
  <c r="AE81" i="58"/>
  <c r="M152" i="60"/>
  <c r="AE84" i="58"/>
  <c r="M155" i="60"/>
  <c r="F58" i="60"/>
  <c r="G58" i="60"/>
  <c r="F70" i="60"/>
  <c r="K70" i="60" s="1"/>
  <c r="G70" i="60"/>
  <c r="L70" i="60" s="1"/>
  <c r="X17" i="58"/>
  <c r="J61" i="60" s="1"/>
  <c r="H61" i="60"/>
  <c r="I61" i="60"/>
  <c r="G61" i="60"/>
  <c r="F61" i="60"/>
  <c r="K61" i="60" s="1"/>
  <c r="AE77" i="58"/>
  <c r="M143" i="60"/>
  <c r="X29" i="58"/>
  <c r="J73" i="60" s="1"/>
  <c r="H73" i="60"/>
  <c r="I73" i="60"/>
  <c r="AE64" i="58"/>
  <c r="M110" i="60"/>
  <c r="AE19" i="58"/>
  <c r="M63" i="60"/>
  <c r="L62" i="60"/>
  <c r="K68" i="60"/>
  <c r="AE62" i="58"/>
  <c r="M108" i="60"/>
  <c r="X27" i="58"/>
  <c r="J71" i="60" s="1"/>
  <c r="H71" i="60"/>
  <c r="K71" i="60" s="1"/>
  <c r="I71" i="60"/>
  <c r="L71" i="60" s="1"/>
  <c r="G59" i="60"/>
  <c r="L59" i="60" s="1"/>
  <c r="F59" i="60"/>
  <c r="K59" i="60" s="1"/>
  <c r="G57" i="60"/>
  <c r="L57" i="60" s="1"/>
  <c r="F57" i="60"/>
  <c r="G69" i="60"/>
  <c r="F69" i="60"/>
  <c r="AE71" i="58"/>
  <c r="M122" i="60"/>
  <c r="AE60" i="58"/>
  <c r="M49" i="60"/>
  <c r="M52" i="60" s="1"/>
  <c r="F36" i="62" s="1"/>
  <c r="C13" i="62" s="1"/>
  <c r="X14" i="58"/>
  <c r="J58" i="60" s="1"/>
  <c r="I58" i="60"/>
  <c r="H58" i="60"/>
  <c r="L60" i="60"/>
  <c r="BE33" i="41"/>
  <c r="AG30" i="58" s="1"/>
  <c r="BA33" i="41"/>
  <c r="AD30" i="58" s="1"/>
  <c r="BH25" i="41"/>
  <c r="BD25" i="41"/>
  <c r="AA71" i="58"/>
  <c r="AH71" i="58"/>
  <c r="AA22" i="58"/>
  <c r="BE20" i="41"/>
  <c r="AG17" i="58" s="1"/>
  <c r="AA63" i="58"/>
  <c r="AH63" i="58"/>
  <c r="Z24" i="58"/>
  <c r="AA76" i="58"/>
  <c r="AH76" i="58"/>
  <c r="BG18" i="41"/>
  <c r="BH24" i="41"/>
  <c r="W21" i="58"/>
  <c r="Y21" i="58" s="1"/>
  <c r="M65" i="60" s="1"/>
  <c r="BF23" i="41"/>
  <c r="BB23" i="41"/>
  <c r="BG21" i="41"/>
  <c r="BC21" i="41"/>
  <c r="BE32" i="41"/>
  <c r="AG29" i="58" s="1"/>
  <c r="AA64" i="58"/>
  <c r="AH64" i="58"/>
  <c r="BE27" i="41"/>
  <c r="AG24" i="58" s="1"/>
  <c r="Z33" i="58"/>
  <c r="AA60" i="58"/>
  <c r="AH60" i="58"/>
  <c r="Z28" i="58"/>
  <c r="Y16" i="58"/>
  <c r="Z16" i="58"/>
  <c r="AA81" i="58"/>
  <c r="AH81" i="58"/>
  <c r="BE36" i="41"/>
  <c r="AG33" i="58" s="1"/>
  <c r="BA36" i="41"/>
  <c r="AD33" i="58" s="1"/>
  <c r="BF18" i="41"/>
  <c r="BG17" i="41"/>
  <c r="AV31" i="41"/>
  <c r="W28" i="58" s="1"/>
  <c r="Y28" i="58" s="1"/>
  <c r="BH23" i="41"/>
  <c r="BD23" i="41"/>
  <c r="BG16" i="41"/>
  <c r="BC16" i="41"/>
  <c r="BA19" i="41"/>
  <c r="AD16" i="58" s="1"/>
  <c r="BE19" i="41"/>
  <c r="AG16" i="58" s="1"/>
  <c r="BH36" i="41"/>
  <c r="BD36" i="41"/>
  <c r="BB35" i="41"/>
  <c r="Y32" i="58"/>
  <c r="Z32" i="58"/>
  <c r="AH44" i="58"/>
  <c r="AA44" i="58"/>
  <c r="AH62" i="58"/>
  <c r="AA62" i="58"/>
  <c r="AA26" i="58"/>
  <c r="AH19" i="58"/>
  <c r="AA19" i="58"/>
  <c r="AA42" i="58"/>
  <c r="AH42" i="58"/>
  <c r="BF16" i="41"/>
  <c r="BB16" i="41"/>
  <c r="BE29" i="41"/>
  <c r="AG26" i="58" s="1"/>
  <c r="AH26" i="58" s="1"/>
  <c r="BH16" i="41"/>
  <c r="BD16" i="41"/>
  <c r="BG36" i="41"/>
  <c r="W33" i="58"/>
  <c r="Y33" i="58" s="1"/>
  <c r="AA92" i="58"/>
  <c r="AH92" i="58"/>
  <c r="BE24" i="41"/>
  <c r="AG21" i="58" s="1"/>
  <c r="BA24" i="41"/>
  <c r="AD21" i="58" s="1"/>
  <c r="BE35" i="41"/>
  <c r="AG32" i="58" s="1"/>
  <c r="BA35" i="41"/>
  <c r="AD32" i="58" s="1"/>
  <c r="AA15" i="58"/>
  <c r="BE17" i="41"/>
  <c r="AG14" i="58" s="1"/>
  <c r="BE26" i="41"/>
  <c r="AG23" i="58" s="1"/>
  <c r="BA26" i="41"/>
  <c r="AD23" i="58" s="1"/>
  <c r="AH77" i="58"/>
  <c r="AA77" i="58"/>
  <c r="BG23" i="41"/>
  <c r="BC23" i="41"/>
  <c r="AV27" i="41"/>
  <c r="W24" i="58" s="1"/>
  <c r="Y24" i="58" s="1"/>
  <c r="M68" i="60" s="1"/>
  <c r="BG20" i="41"/>
  <c r="BC20" i="41"/>
  <c r="AV28" i="41"/>
  <c r="W25" i="58" s="1"/>
  <c r="Y25" i="58" s="1"/>
  <c r="AV20" i="41"/>
  <c r="W17" i="58" s="1"/>
  <c r="Y17" i="58" s="1"/>
  <c r="M61" i="60" s="1"/>
  <c r="BC19" i="41"/>
  <c r="BG19" i="41"/>
  <c r="BG35" i="41"/>
  <c r="BC35" i="41"/>
  <c r="BF17" i="41"/>
  <c r="AV29" i="41"/>
  <c r="W26" i="58" s="1"/>
  <c r="Y26" i="58" s="1"/>
  <c r="M70" i="60" s="1"/>
  <c r="S26" i="58"/>
  <c r="Z20" i="58"/>
  <c r="Y20" i="58"/>
  <c r="M64" i="60" s="1"/>
  <c r="Y31" i="58"/>
  <c r="M75" i="60" s="1"/>
  <c r="Z31" i="58"/>
  <c r="AH80" i="58"/>
  <c r="AA80" i="58"/>
  <c r="BA21" i="41"/>
  <c r="AD18" i="58" s="1"/>
  <c r="BE21" i="41"/>
  <c r="AG18" i="58" s="1"/>
  <c r="BE30" i="41"/>
  <c r="AG27" i="58" s="1"/>
  <c r="BA30" i="41"/>
  <c r="AD27" i="58" s="1"/>
  <c r="AA70" i="58"/>
  <c r="AH70" i="58"/>
  <c r="Z13" i="58"/>
  <c r="Y13" i="58"/>
  <c r="BE18" i="41"/>
  <c r="AG15" i="58" s="1"/>
  <c r="AH15" i="58" s="1"/>
  <c r="BE31" i="41"/>
  <c r="AG28" i="58" s="1"/>
  <c r="BA31" i="41"/>
  <c r="AD28" i="58" s="1"/>
  <c r="BB21" i="41"/>
  <c r="BF21" i="41"/>
  <c r="BE28" i="41"/>
  <c r="AG25" i="58" s="1"/>
  <c r="BB26" i="41"/>
  <c r="BF20" i="41"/>
  <c r="BB20" i="41"/>
  <c r="BB19" i="41"/>
  <c r="BF19" i="41"/>
  <c r="BB31" i="41"/>
  <c r="BE25" i="41"/>
  <c r="AG22" i="58" s="1"/>
  <c r="AH22" i="58" s="1"/>
  <c r="BA25" i="41"/>
  <c r="AD22" i="58" s="1"/>
  <c r="AE22" i="58" s="1"/>
  <c r="BB28" i="41"/>
  <c r="BH17" i="41"/>
  <c r="BH20" i="41"/>
  <c r="BD20" i="41"/>
  <c r="BB32" i="41"/>
  <c r="BD19" i="41"/>
  <c r="BH19" i="41"/>
  <c r="BH18" i="41"/>
  <c r="AV32" i="41"/>
  <c r="W29" i="58" s="1"/>
  <c r="Y29" i="58" s="1"/>
  <c r="M73" i="60" s="1"/>
  <c r="O29" i="58"/>
  <c r="BD21" i="41"/>
  <c r="BH21" i="41"/>
  <c r="AH83" i="58"/>
  <c r="AA83" i="58"/>
  <c r="AA91" i="58"/>
  <c r="AH91" i="58"/>
  <c r="BE23" i="41"/>
  <c r="AG20" i="58" s="1"/>
  <c r="BA23" i="41"/>
  <c r="AD20" i="58" s="1"/>
  <c r="BE34" i="41"/>
  <c r="AG31" i="58" s="1"/>
  <c r="BA34" i="41"/>
  <c r="AD31" i="58" s="1"/>
  <c r="Z30" i="58"/>
  <c r="Y30" i="58"/>
  <c r="AH82" i="58"/>
  <c r="AA82" i="58"/>
  <c r="Y23" i="58"/>
  <c r="Z23" i="58"/>
  <c r="Z25" i="58"/>
  <c r="BE16" i="41"/>
  <c r="AG13" i="58" s="1"/>
  <c r="BA16" i="41"/>
  <c r="AD13" i="58" s="1"/>
  <c r="AV18" i="41"/>
  <c r="W15" i="58" s="1"/>
  <c r="Y15" i="58" s="1"/>
  <c r="M59" i="60" s="1"/>
  <c r="BH28" i="41"/>
  <c r="BH26" i="41"/>
  <c r="BH33" i="41"/>
  <c r="BG26" i="41"/>
  <c r="AV17" i="41"/>
  <c r="W14" i="58" s="1"/>
  <c r="Y14" i="58" s="1"/>
  <c r="M58" i="60" s="1"/>
  <c r="BG25" i="41"/>
  <c r="BH34" i="41"/>
  <c r="BF25" i="41"/>
  <c r="BH31" i="41"/>
  <c r="BH32" i="41"/>
  <c r="BG31" i="41"/>
  <c r="BG28" i="41"/>
  <c r="BF28" i="41"/>
  <c r="BG34" i="41"/>
  <c r="BF27" i="41"/>
  <c r="BF30" i="41"/>
  <c r="BG33" i="41"/>
  <c r="BH35" i="41"/>
  <c r="BF26" i="41"/>
  <c r="BF34" i="41"/>
  <c r="BG24" i="41"/>
  <c r="BF24" i="41"/>
  <c r="BG32" i="41"/>
  <c r="BH27" i="41"/>
  <c r="BF36" i="41"/>
  <c r="BG30" i="41"/>
  <c r="BF29" i="41"/>
  <c r="BH29" i="41"/>
  <c r="BF31" i="41"/>
  <c r="BF33" i="41"/>
  <c r="BF32" i="41"/>
  <c r="BG27" i="41"/>
  <c r="BH30" i="41"/>
  <c r="BG29" i="41"/>
  <c r="BA28" i="41" l="1"/>
  <c r="AD25" i="58" s="1"/>
  <c r="Z18" i="58"/>
  <c r="Y18" i="58"/>
  <c r="M62" i="60" s="1"/>
  <c r="BB27" i="41"/>
  <c r="L72" i="60"/>
  <c r="L69" i="60"/>
  <c r="K69" i="60"/>
  <c r="M123" i="60"/>
  <c r="F43" i="62" s="1"/>
  <c r="C18" i="62" s="1"/>
  <c r="Z29" i="58"/>
  <c r="Z21" i="58"/>
  <c r="AA21" i="58" s="1"/>
  <c r="M44" i="60"/>
  <c r="F35" i="62" s="1"/>
  <c r="C12" i="62" s="1"/>
  <c r="AE25" i="58"/>
  <c r="M69" i="60"/>
  <c r="Z14" i="58"/>
  <c r="AH14" i="58" s="1"/>
  <c r="M116" i="60"/>
  <c r="F42" i="62" s="1"/>
  <c r="C17" i="62" s="1"/>
  <c r="AE33" i="58"/>
  <c r="M77" i="60"/>
  <c r="G73" i="60"/>
  <c r="L73" i="60" s="1"/>
  <c r="F73" i="60"/>
  <c r="K73" i="60" s="1"/>
  <c r="K57" i="60"/>
  <c r="AE32" i="58"/>
  <c r="M76" i="60"/>
  <c r="M156" i="60"/>
  <c r="F47" i="62" s="1"/>
  <c r="C22" i="62" s="1"/>
  <c r="AE23" i="58"/>
  <c r="M67" i="60"/>
  <c r="M57" i="60"/>
  <c r="AB91" i="58"/>
  <c r="Y27" i="58"/>
  <c r="Z17" i="58"/>
  <c r="AH17" i="58" s="1"/>
  <c r="L58" i="60"/>
  <c r="AE30" i="58"/>
  <c r="M74" i="60"/>
  <c r="Z27" i="58"/>
  <c r="AA27" i="58" s="1"/>
  <c r="AB62" i="58"/>
  <c r="K58" i="60"/>
  <c r="AE28" i="58"/>
  <c r="M72" i="60"/>
  <c r="AE16" i="58"/>
  <c r="M60" i="60"/>
  <c r="L61" i="60"/>
  <c r="K72" i="60"/>
  <c r="M146" i="60"/>
  <c r="F46" i="62" s="1"/>
  <c r="C21" i="62" s="1"/>
  <c r="BA18" i="41"/>
  <c r="AD15" i="58" s="1"/>
  <c r="AE15" i="58" s="1"/>
  <c r="BC32" i="41"/>
  <c r="AH27" i="58"/>
  <c r="BC17" i="41"/>
  <c r="AA33" i="58"/>
  <c r="AH33" i="58"/>
  <c r="BC18" i="41"/>
  <c r="AH30" i="58"/>
  <c r="AA30" i="58"/>
  <c r="AE13" i="58"/>
  <c r="BB17" i="41"/>
  <c r="AH32" i="58"/>
  <c r="AA32" i="58"/>
  <c r="AH16" i="58"/>
  <c r="AA16" i="58"/>
  <c r="BA27" i="41"/>
  <c r="AD24" i="58" s="1"/>
  <c r="AE24" i="58" s="1"/>
  <c r="BA20" i="41"/>
  <c r="AD17" i="58" s="1"/>
  <c r="AE17" i="58" s="1"/>
  <c r="BD32" i="41"/>
  <c r="AH13" i="58"/>
  <c r="AA13" i="58"/>
  <c r="BB18" i="41"/>
  <c r="BC29" i="41"/>
  <c r="AH25" i="58"/>
  <c r="AA25" i="58"/>
  <c r="AA31" i="58"/>
  <c r="AH31" i="58"/>
  <c r="AA18" i="58"/>
  <c r="AH18" i="58"/>
  <c r="BB29" i="41"/>
  <c r="AE21" i="58"/>
  <c r="BC27" i="41"/>
  <c r="AA28" i="58"/>
  <c r="AH28" i="58"/>
  <c r="AA24" i="58"/>
  <c r="AH24" i="58"/>
  <c r="AH23" i="58"/>
  <c r="AA23" i="58"/>
  <c r="AB70" i="58"/>
  <c r="AE31" i="58"/>
  <c r="AE18" i="58"/>
  <c r="BD31" i="41"/>
  <c r="AH21" i="58"/>
  <c r="BD27" i="41"/>
  <c r="AE20" i="58"/>
  <c r="BD28" i="41"/>
  <c r="AB41" i="58"/>
  <c r="BA32" i="41"/>
  <c r="AD29" i="58" s="1"/>
  <c r="AE29" i="58" s="1"/>
  <c r="BC28" i="41"/>
  <c r="BD18" i="41"/>
  <c r="BD17" i="41"/>
  <c r="AH20" i="58"/>
  <c r="AA20" i="58"/>
  <c r="BD29" i="41"/>
  <c r="BA17" i="41"/>
  <c r="AD14" i="58" s="1"/>
  <c r="AE14" i="58" s="1"/>
  <c r="AA17" i="58"/>
  <c r="BA29" i="41"/>
  <c r="AD26" i="58" s="1"/>
  <c r="AE26" i="58" s="1"/>
  <c r="AA14" i="58"/>
  <c r="BC31" i="41"/>
  <c r="AA29" i="58"/>
  <c r="AH29" i="58"/>
  <c r="BB37" i="41"/>
  <c r="BD37" i="41" l="1"/>
  <c r="BC37" i="41"/>
  <c r="AB24" i="58"/>
  <c r="L78" i="60"/>
  <c r="E38" i="62" s="1"/>
  <c r="AE27" i="58"/>
  <c r="M71" i="60"/>
  <c r="AB30" i="58"/>
  <c r="M78" i="60"/>
  <c r="F38" i="62" s="1"/>
  <c r="C14" i="62" s="1"/>
  <c r="K78" i="60"/>
  <c r="D38" i="62" s="1"/>
  <c r="AB13" i="58"/>
  <c r="BA37" i="41"/>
  <c r="O40" i="38"/>
  <c r="O39" i="38"/>
  <c r="O36" i="38"/>
  <c r="O37" i="38"/>
  <c r="O38" i="38"/>
  <c r="O41" i="38"/>
  <c r="O35" i="38"/>
  <c r="O34" i="38"/>
  <c r="O33" i="38"/>
  <c r="O32" i="38"/>
  <c r="O30" i="38"/>
  <c r="O31" i="38"/>
  <c r="O24" i="38"/>
  <c r="O25" i="38"/>
  <c r="O26" i="38"/>
  <c r="O27" i="38"/>
  <c r="O28" i="38"/>
  <c r="O29" i="38"/>
  <c r="O23" i="38"/>
  <c r="O21" i="38"/>
  <c r="O22" i="38"/>
  <c r="O20" i="38"/>
  <c r="O17" i="38"/>
  <c r="O18" i="38"/>
  <c r="O14" i="38"/>
  <c r="O15" i="38"/>
  <c r="O16" i="38"/>
  <c r="O13" i="38" l="1"/>
  <c r="O16" i="37" l="1"/>
  <c r="R5" i="59" s="1"/>
  <c r="I19" i="37"/>
  <c r="E8" i="59" s="1"/>
  <c r="D16" i="60" s="1"/>
  <c r="I17" i="37"/>
  <c r="E6" i="59" s="1"/>
  <c r="D14" i="60" s="1"/>
  <c r="I18" i="37"/>
  <c r="E7" i="59" s="1"/>
  <c r="D15" i="60" s="1"/>
  <c r="I16" i="37"/>
  <c r="E5" i="59" s="1"/>
  <c r="D13" i="60" s="1"/>
  <c r="H17" i="37"/>
  <c r="H18" i="37"/>
  <c r="H19" i="37"/>
  <c r="H16" i="37"/>
  <c r="E17" i="37"/>
  <c r="E18" i="37"/>
  <c r="E19" i="37"/>
  <c r="E16" i="37"/>
  <c r="D19" i="37"/>
  <c r="D17" i="37"/>
  <c r="D18" i="37"/>
  <c r="D16" i="37"/>
  <c r="O59" i="38"/>
  <c r="O58" i="38"/>
  <c r="O57" i="38"/>
  <c r="O56" i="38"/>
  <c r="O94" i="38" l="1"/>
  <c r="O95" i="38"/>
  <c r="O96" i="38"/>
  <c r="AU16" i="37" l="1"/>
  <c r="V56" i="58" s="1"/>
  <c r="AT16" i="37"/>
  <c r="U56" i="58" s="1"/>
  <c r="AM16" i="37"/>
  <c r="T56" i="58" s="1"/>
  <c r="AL16" i="37"/>
  <c r="S56" i="58" s="1"/>
  <c r="AE16" i="37"/>
  <c r="AD16" i="37"/>
  <c r="Q56" i="58" s="1"/>
  <c r="W16" i="37"/>
  <c r="P56" i="58" s="1"/>
  <c r="V16" i="37"/>
  <c r="O56" i="58" s="1"/>
  <c r="G13" i="60" l="1"/>
  <c r="F13" i="60"/>
  <c r="K13" i="60" s="1"/>
  <c r="I13" i="60"/>
  <c r="H13" i="60"/>
  <c r="AX16" i="37"/>
  <c r="BF16" i="37" s="1"/>
  <c r="R56" i="58"/>
  <c r="X56" i="58" s="1"/>
  <c r="AY16" i="37"/>
  <c r="BG16" i="37" s="1"/>
  <c r="AW16" i="37"/>
  <c r="BE16" i="37" s="1"/>
  <c r="AG56" i="58" s="1"/>
  <c r="AZ16" i="37"/>
  <c r="BH16" i="37" s="1"/>
  <c r="AV16" i="37"/>
  <c r="W56" i="58" s="1"/>
  <c r="K17" i="60" l="1"/>
  <c r="D32" i="62" s="1"/>
  <c r="Z56" i="58"/>
  <c r="Z97" i="58" s="1"/>
  <c r="J13" i="60"/>
  <c r="L13" i="60"/>
  <c r="L17" i="60" s="1"/>
  <c r="E32" i="62" s="1"/>
  <c r="Y56" i="58"/>
  <c r="BA16" i="37"/>
  <c r="AD56" i="58" s="1"/>
  <c r="BB16" i="37"/>
  <c r="BB20" i="37" s="1"/>
  <c r="BD16" i="37"/>
  <c r="BD20" i="37" s="1"/>
  <c r="BC16" i="37"/>
  <c r="BC20" i="37" s="1"/>
  <c r="M13" i="60" l="1"/>
  <c r="M17" i="60" s="1"/>
  <c r="F32" i="62" s="1"/>
  <c r="C9" i="62" s="1"/>
  <c r="C25" i="62" s="1"/>
  <c r="Y97" i="58"/>
  <c r="AE56" i="58"/>
  <c r="AA56" i="58"/>
  <c r="AB56" i="58" s="1"/>
  <c r="AH56" i="58"/>
  <c r="BA2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P12"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21"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29"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1"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8"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56"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82"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94"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07"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0"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7"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35"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41"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50"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0"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8"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<sst xmlns="http://schemas.openxmlformats.org/spreadsheetml/2006/main" count="3900" uniqueCount="1046">
  <si>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</si>
  <si>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</si>
  <si>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</si>
  <si>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</si>
  <si>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</si>
  <si>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</si>
  <si>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</si>
  <si>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</si>
  <si>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</si>
  <si>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</si>
  <si>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</si>
  <si>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</si>
  <si>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</si>
  <si>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</si>
  <si>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</si>
  <si>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</si>
  <si>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</si>
  <si>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</si>
  <si>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</si>
  <si>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</si>
  <si>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</si>
  <si>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</si>
  <si>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</si>
  <si>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</si>
  <si>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</si>
  <si>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</si>
  <si>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</si>
  <si>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</si>
  <si>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</si>
  <si>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</si>
  <si>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</si>
  <si>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</si>
  <si>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</si>
  <si>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</si>
  <si>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</si>
  <si>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</si>
  <si>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</si>
  <si>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</si>
  <si>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</si>
  <si>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</si>
  <si>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</si>
  <si>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</si>
  <si>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</si>
  <si>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</si>
  <si>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</si>
  <si>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</si>
  <si>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</si>
  <si>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</si>
  <si>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</si>
  <si>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</si>
  <si>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</si>
  <si>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</si>
  <si>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</si>
  <si>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</si>
  <si>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</si>
  <si>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</si>
  <si>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</si>
  <si>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</si>
  <si>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</si>
  <si>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</si>
  <si>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</si>
  <si>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</si>
  <si>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</si>
  <si>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</si>
  <si>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</si>
  <si>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</si>
  <si>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</si>
  <si>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</si>
  <si>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</si>
  <si>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</si>
  <si>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</si>
  <si>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</si>
  <si>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</si>
  <si>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</si>
  <si>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</si>
  <si>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</si>
  <si>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</si>
  <si>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</si>
  <si>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</si>
  <si>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</si>
  <si>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</si>
  <si>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</si>
  <si>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</si>
  <si>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</si>
  <si>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</si>
  <si>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</si>
  <si>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</si>
  <si>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</si>
  <si>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</si>
  <si>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</si>
  <si>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</si>
  <si>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</si>
  <si>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</si>
  <si>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</si>
  <si>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</si>
  <si>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</si>
  <si>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</si>
  <si>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</si>
  <si>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</si>
  <si>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</si>
  <si>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</si>
  <si>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</si>
  <si>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</si>
  <si>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</si>
  <si>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</si>
  <si>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</si>
  <si>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</si>
  <si>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</si>
  <si>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</si>
  <si>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</si>
  <si>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</si>
  <si>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</si>
  <si>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</si>
  <si>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</si>
  <si>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</si>
  <si>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</si>
  <si>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</si>
  <si>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</si>
  <si>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</si>
  <si>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</si>
  <si>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</si>
  <si>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</si>
  <si>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</si>
  <si>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</si>
  <si>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</si>
  <si>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</si>
  <si>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</si>
  <si>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</si>
  <si>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</si>
  <si>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</si>
  <si>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</si>
  <si>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</si>
  <si>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</si>
  <si>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</si>
  <si>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</si>
  <si>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</si>
  <si>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2.2. Fortalecer la moralidad publica realizando  880 acciones de prevención y control a la función pública.</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</si>
  <si>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</si>
  <si>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</si>
  <si>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</si>
  <si>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</si>
  <si>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</si>
  <si>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</si>
  <si>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</si>
  <si>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</si>
  <si>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</si>
  <si>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</si>
  <si>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</si>
  <si>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</si>
  <si>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</si>
  <si>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</si>
  <si>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</si>
  <si>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</si>
  <si>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</si>
  <si>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</si>
  <si>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</si>
  <si>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</si>
  <si>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</si>
  <si>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</si>
  <si>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</si>
  <si>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</si>
  <si>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</si>
  <si>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</si>
  <si>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</si>
  <si>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</si>
  <si>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</si>
  <si>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</si>
  <si>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</si>
  <si>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1.1.1 Realizar 344.000 intervenciones dentro del ejercicio del Ministerio Público para prevenir la vulneración de derechos y/o lograr el  restablecimiento de los mismos.</t>
  </si>
  <si>
    <t>Intervenciones realizadas en defensa de los derechos</t>
  </si>
  <si>
    <t>1.1.2 Orientar 267.100 personas en garantía de derechos.</t>
  </si>
  <si>
    <t>Personas orientadas en garantía de derechos</t>
  </si>
  <si>
    <t>Personas asistidas en garantía de derechos</t>
  </si>
  <si>
    <t>1.1.3 Asistir 140.200 personas en garantía de derechos.</t>
  </si>
  <si>
    <t>1.1.4 Asistir a 35.876 personas en mecanismos alternativos de solución de conflictos.</t>
  </si>
  <si>
    <t>1.1.5 Atender y gestionar 62.700 peticiones y/o requerimientos presentados por la comunidad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</si>
  <si>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</si>
  <si>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</si>
  <si>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</si>
  <si>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</si>
  <si>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</si>
  <si>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1.1.8 Asistir a 20.000 audiencias públicas y realizar las actuaciones que se requieran en protección de los derechos y defensa del interés público, en temas de urbanismo, espacio público, actividad económica y de los comportamientos contrarios a la convivencia (Ley 1801 de 2016)</t>
  </si>
  <si>
    <t>&gt;=95%</t>
  </si>
  <si>
    <t>1.1.9 Realizar 12.000 intervenciones de manera oportuna para evitar situaciones de caducidad y perdida de fuerza ejecutoria en las actuaciones administrativas y policivas</t>
  </si>
  <si>
    <t>1.1.10 Impulsar 2.800 expedientes que contengan orden de policía (MULTA) en firme y ejecutoriada, para que se efectúen cobros persuasivos y/o se de traslado para el cobro coactivo.</t>
  </si>
  <si>
    <t>Estados de vulneración establecidos</t>
  </si>
  <si>
    <t>1.2.1 Sensibilizar a 173.000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</si>
  <si>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Personas sensibilizadas en el Distrito Capital</t>
  </si>
  <si>
    <t>1.2.2 Adelantar 28.400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</si>
  <si>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21.700 acciones constitucionales, la vulneración de derechos  con énfasis en sujetos de especial protección constitucional.</t>
  </si>
  <si>
    <t>Acciones en favor de las víctimas del conflicto armado interno adelantadas</t>
  </si>
  <si>
    <t>Acciones constitucionales elaboradas para prevenir vulneración de derechos</t>
  </si>
  <si>
    <t>Seguimientos realizados por el Ministerio Público a las medidas de protección impuestas por las Comisarias de Familia</t>
  </si>
  <si>
    <t>1.2.5 Participar en 4.322 comités, mesas y consejos interinstitucionales en garantía de derechos, con énfasis en temas relacionados con sujetos de especial protección constitucional, en particular, persona mayor, mujer y población migrante.</t>
  </si>
  <si>
    <t>1.2.6 Realizar 666 seguimientos a la amenaza y vulneración de los derechos, con énfasis en sujetos de especial protección constitucional, en particular, persona mayor, mujer y población migrante</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</si>
  <si>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</si>
  <si>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</si>
  <si>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</si>
  <si>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</si>
  <si>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</si>
  <si>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</si>
  <si>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</si>
  <si>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1.3.4 Realizar 1 coordinación interinstitucional para focalizar los servicios y ayudas efectivas que soliciten las poblaciones vulnerables con énfasis en sujetos de especial protección constitucional, en particular, personas mayores, mujeres y población migrante.</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</si>
  <si>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</si>
  <si>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</si>
  <si>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</si>
  <si>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</si>
  <si>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2.2.2 Realizar 90 acciones de prevención y control a la función pública - seguimientos, para fortalecer la moralidad pública en el Distrito Capital.</t>
  </si>
  <si>
    <t>2.2.1 Realizar 790 acciones de prevención y control a la función pública para fortalecer la moralidad pública.</t>
  </si>
  <si>
    <t>2.3.1 Realizar 55 audiencias públicas y/o mesas de trabajo, las cuales permitan la participación ciudadana, con énfasis en los Derechos e intereses colectivos.</t>
  </si>
  <si>
    <t>2.3.2 Realizar 140 acompañamientos a los ciudadanos que intervienen en los diferentes espacios de participación ciudadana.</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</si>
  <si>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</si>
  <si>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</si>
  <si>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</si>
  <si>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</si>
  <si>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</si>
  <si>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</si>
  <si>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</si>
  <si>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</si>
  <si>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98.250 Intervenciones realizadas de oficio o a petición de parte por los Agentes del Ministerio Público</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</si>
  <si>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</si>
  <si>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</si>
  <si>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</si>
  <si>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73.600 Peticiones atendidas y clasificadas como Orientación</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</si>
  <si>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</si>
  <si>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38.200 Peticiones atendidas y clasificadas como Asistencia</t>
  </si>
  <si>
    <t>1. Recibir las solicitudes de conciliación y unión marital de hecho.
2. Realizar registro de la solicitud en el aplicativo SICAAC.  
3. Atender las solicitudes de conciliación y unión marital de hecho según lineamientos institucionales.</t>
  </si>
  <si>
    <t>10.500 Solicitudes de conciliación y uniones maritales de hecho atendidas</t>
  </si>
  <si>
    <t>16.200 Peticiones o requerimientos ciudadanos atendidos en garantía de derecho o intervención</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</si>
  <si>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</si>
  <si>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</si>
  <si>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</si>
  <si>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</si>
  <si>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</si>
  <si>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5.000 Audiencias asistidas con actuaciones</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</si>
  <si>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</si>
  <si>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</si>
  <si>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700 Expedientes de policía impulsados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</si>
  <si>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</si>
  <si>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</si>
  <si>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48.000 personas sensibilizadas</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</si>
  <si>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</si>
  <si>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6.800 acciones en favor de las víctimas del conflicto armado interno realizadas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</si>
  <si>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</si>
  <si>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6.100 Acciones constitucionales elaboradas</t>
  </si>
  <si>
    <t>1. Identificar las medidas de protección establecidas por la Comisaría de Familia
2. Realizar el seguimiento a la medida de protección.
3. Registrar en el sistema de información misional el seguimiento realizado y las actuaciones que éste generó.</t>
  </si>
  <si>
    <t>1.200 seguimientos realizados por los Agentes del Ministerio Público a las medidas de protección establecidas por las Comisarias de Familia</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</si>
  <si>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</si>
  <si>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1.092 espacios de participación interinstitucional con presencia y acompañamiento de la Entidad</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</si>
  <si>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</si>
  <si>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 xml:space="preserve">182 Seguimientos realizados a la amenaza y vulneración de los derechos </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</si>
  <si>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</si>
  <si>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2 Actividades realizadas para acercar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</si>
  <si>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</si>
  <si>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</si>
  <si>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</si>
  <si>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</si>
  <si>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1, Verificar que entidades del orden local o distrital, entregan ayudas a las poblaciones vulnerables.
2, Evaluar las rutas para acceder a las mismas.
3, Realizar una mesa de trabajo con las entidades para establecer en lo posible una sola ruta de atención de manera integral por todas las instituciones del Distrito Capital D.C.</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</si>
  <si>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</si>
  <si>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</si>
  <si>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</si>
  <si>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</si>
  <si>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</si>
  <si>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</si>
  <si>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</si>
  <si>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</si>
  <si>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</si>
  <si>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</si>
  <si>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</si>
  <si>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</si>
  <si>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Coordinaciones Interinstitucionales Realizadas</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</si>
  <si>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</si>
  <si>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</si>
  <si>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</si>
  <si>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</si>
  <si>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</si>
  <si>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</si>
  <si>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</si>
  <si>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Coordinación interinstitucional realizada</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</si>
  <si>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</si>
  <si>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</si>
  <si>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</si>
  <si>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Coordinaciones Interinstitucionales realizadas
(Esta meta tiene prevista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</si>
  <si>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</si>
  <si>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</si>
  <si>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</si>
  <si>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</si>
  <si>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</si>
  <si>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</si>
  <si>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</si>
  <si>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</si>
  <si>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Nota: Si este documento se encuentra impreso se considera Copia no Controlada. La versión vigente está publicada en la intranet de la Personería de Bogotá, D. C.</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</si>
  <si>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</si>
  <si>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</si>
  <si>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</si>
  <si>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</si>
  <si>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</si>
  <si>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</si>
  <si>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</si>
  <si>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</si>
  <si>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</si>
  <si>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</si>
  <si>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</si>
  <si>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</si>
  <si>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</si>
  <si>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</si>
  <si>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</si>
  <si>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</si>
  <si>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</si>
  <si>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</si>
  <si>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</si>
  <si>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</si>
  <si>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SANDRA ELIZABETH GARCIA ANGARITA
Personera Delegada para la Coordinación de Prevención y Control a la Función Pública
BIVIANA  ROCIO AGUILLON MAYORGA
Personera Delegada para la Coordinación de gestión de Personerías Locales</t>
  </si>
  <si>
    <t>3 Informes de Prevención y Control a la Función Publica en los cuales se evaluaron políticas ambientales, manejo de recursos hídricos, protección y bienestar animal y desarrollo urbano, en el Distrito Capital.</t>
  </si>
  <si>
    <t>1 Informe de seguimiento a los resultados de  acciones de prevención y control a la función publica en los cuales se evaluaron políticas ambientales, manejo de recursos hídricos, protección y bienestar animal y desarrollo urbano, en el Distrito Capital.</t>
  </si>
  <si>
    <t>200 Informes de Acción de Prevención y Control a la Función Publica en el Distrito Capital, para fortalecer la moralidad pública</t>
  </si>
  <si>
    <t>Acciones de Prevención y Control a la Función Pública realizadas, con informe.</t>
  </si>
  <si>
    <t>Seguimientos realizados sobre acciones previas, con informe</t>
  </si>
  <si>
    <t xml:space="preserve">40 Acompañamientos a los ciudadanos realizados. </t>
  </si>
  <si>
    <t>20 Espacios de dialogo realizados</t>
  </si>
  <si>
    <t>20 Informes de seguimientos realizados para fortalecer la moralidad pública en el Distrito Capital</t>
  </si>
  <si>
    <t>7 Audiencias públicas y/o mesas de trabajo realizadas.</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</si>
  <si>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</si>
  <si>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</si>
  <si>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 Descongestionar 4500 procesos disciplinarios con criterios de calidad, efectividad y garantía del debido proceso.</t>
  </si>
  <si>
    <t xml:space="preserve">3.1.1 Identificar y decidir de fondo 4.500  procesos, priorizando aquellos que se encuentren con riesgo de prescripción y/o vencidos en su etapa procesal (indagación, investigación y juzgamiento). </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</si>
  <si>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</si>
  <si>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</si>
  <si>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</si>
  <si>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</si>
  <si>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</si>
  <si>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</si>
  <si>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</si>
  <si>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</si>
  <si>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</si>
  <si>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</si>
  <si>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</si>
  <si>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</si>
  <si>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</si>
  <si>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</si>
  <si>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</si>
  <si>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</si>
  <si>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</si>
  <si>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</si>
  <si>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</si>
  <si>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</si>
  <si>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</si>
  <si>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</si>
  <si>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</si>
  <si>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</si>
  <si>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</si>
  <si>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</si>
  <si>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</si>
  <si>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</si>
  <si>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</si>
  <si>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</si>
  <si>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</si>
  <si>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</si>
  <si>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</si>
  <si>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</si>
  <si>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</si>
  <si>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</si>
  <si>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</si>
  <si>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</si>
  <si>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</si>
  <si>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</si>
  <si>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</si>
  <si>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</si>
  <si>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</si>
  <si>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</si>
  <si>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</si>
  <si>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</si>
  <si>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</si>
  <si>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</si>
  <si>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</si>
  <si>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</si>
  <si>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</si>
  <si>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</si>
  <si>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</si>
  <si>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</si>
  <si>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</si>
  <si>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</si>
  <si>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</si>
  <si>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</si>
  <si>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</si>
  <si>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</si>
  <si>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</si>
  <si>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</si>
  <si>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</si>
  <si>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</si>
  <si>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</si>
  <si>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</si>
  <si>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</si>
  <si>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</si>
  <si>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</si>
  <si>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</si>
  <si>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</si>
  <si>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</si>
  <si>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</si>
  <si>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</si>
  <si>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</si>
  <si>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</si>
  <si>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</si>
  <si>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</si>
  <si>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</si>
  <si>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</si>
  <si>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</si>
  <si>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</si>
  <si>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1. Analizar informe del plan de Acción del SGC de la vigencia anterior
2. Elaborar el Plan de Acción del SGC para la sostenibilidad y mejora de la vigencia 
3. Ejecutar el Plan de Acción del SGC para la sostenibilidad y mejora.
4. Hacer seguimiento a la ejecución del Plan.
5. Generar informe de avance en la ejecución del plan.</t>
  </si>
  <si>
    <t>Avance en la implementación del MIPG en por lo menos el 23%</t>
  </si>
  <si>
    <t>Direccionamiento estratégico y Planeación
Evaluación de Resultados</t>
  </si>
  <si>
    <t>Tecnológicos
Talento Humano</t>
  </si>
  <si>
    <t>Tecnológicos
Financieros
Talento Humano</t>
  </si>
  <si>
    <t>1.  Definir el plan de Acciondel SGA
2. Ejecutar el Plan de Acción
3. Hacer seguimiento al avance</t>
  </si>
  <si>
    <t>Avance en la implementación del Sisema de Gestión Ambiental en un 38%</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</si>
  <si>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</si>
  <si>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</si>
  <si>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</si>
  <si>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</si>
  <si>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</si>
  <si>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</si>
  <si>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</si>
  <si>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</si>
  <si>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</si>
  <si>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</si>
  <si>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</si>
  <si>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</si>
  <si>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</si>
  <si>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2 Lineamientos Implementados en la vigencia</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</si>
  <si>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</si>
  <si>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</si>
  <si>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</si>
  <si>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</si>
  <si>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</si>
  <si>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</si>
  <si>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</si>
  <si>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</si>
  <si>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</si>
  <si>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</si>
  <si>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</si>
  <si>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</si>
  <si>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</si>
  <si>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</si>
  <si>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</si>
  <si>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</si>
  <si>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</si>
  <si>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</si>
  <si>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</si>
  <si>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</si>
  <si>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</si>
  <si>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4.3.2 Incluir el 97% de las Novedades en la nómina oportunamente, para liquidación y pago </t>
  </si>
  <si>
    <t xml:space="preserve">4.3.3 Lograr el 90 % de usuarios internos  satisfechos con las solicitudes de servicios atendidas de la SGTH (Certificaciones laborales, bonos pensionales y autorizaciones de retiro de cesantías).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</si>
  <si>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</si>
  <si>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</si>
  <si>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</si>
  <si>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</si>
  <si>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t>4.3.8 Realizar 36 capacitaciones sobre los Sistemas de Gestión y Evaluación del Desempeño Laboral de la Entidad.</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</si>
  <si>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</si>
  <si>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</si>
  <si>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</si>
  <si>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</si>
  <si>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</si>
  <si>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</si>
  <si>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</si>
  <si>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</si>
  <si>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</si>
  <si>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</si>
  <si>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</si>
  <si>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</si>
  <si>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</si>
  <si>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</si>
  <si>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</si>
  <si>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</si>
  <si>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</si>
  <si>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</si>
  <si>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</si>
  <si>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</si>
  <si>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</si>
  <si>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</si>
  <si>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</si>
  <si>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</si>
  <si>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</si>
  <si>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</si>
  <si>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</si>
  <si>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</si>
  <si>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</si>
  <si>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</si>
  <si>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</si>
  <si>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</si>
  <si>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</si>
  <si>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</si>
  <si>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</si>
  <si>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</si>
  <si>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</si>
  <si>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</si>
  <si>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</si>
  <si>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</si>
  <si>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</si>
  <si>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</si>
  <si>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</si>
  <si>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</si>
  <si>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</si>
  <si>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</si>
  <si>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</si>
  <si>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</si>
  <si>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</si>
  <si>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</si>
  <si>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</si>
  <si>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</si>
  <si>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</si>
  <si>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</si>
  <si>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</si>
  <si>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</si>
  <si>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</si>
  <si>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</si>
  <si>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</si>
  <si>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</si>
  <si>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</si>
  <si>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</si>
  <si>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</si>
  <si>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</si>
  <si>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</si>
  <si>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</si>
  <si>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</si>
  <si>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</si>
  <si>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</si>
  <si>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</si>
  <si>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</si>
  <si>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</si>
  <si>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</si>
  <si>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</si>
  <si>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</si>
  <si>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</si>
  <si>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</si>
  <si>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</si>
  <si>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</si>
  <si>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</si>
  <si>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JOSE HUGO TORRES HERNANDEZ / Subdirector de Gestión Financiera</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</si>
  <si>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</si>
  <si>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</si>
  <si>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</si>
  <si>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</si>
  <si>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</si>
  <si>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</si>
  <si>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</si>
  <si>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</si>
  <si>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</si>
  <si>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</si>
  <si>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</si>
  <si>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</si>
  <si>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</si>
  <si>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</si>
  <si>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</si>
  <si>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</si>
  <si>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</si>
  <si>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</si>
  <si>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</si>
  <si>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</si>
  <si>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</si>
  <si>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</si>
  <si>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</si>
  <si>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</si>
  <si>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</si>
  <si>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</si>
  <si>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</si>
  <si>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</si>
  <si>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</si>
  <si>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</si>
  <si>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</si>
  <si>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</si>
  <si>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</si>
  <si>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</si>
  <si>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</si>
  <si>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</si>
  <si>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</si>
  <si>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</si>
  <si>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</si>
  <si>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</si>
  <si>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</si>
  <si>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</si>
  <si>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</si>
  <si>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</si>
  <si>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</si>
  <si>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</si>
  <si>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</si>
  <si>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</si>
  <si>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</si>
  <si>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</si>
  <si>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</si>
  <si>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</si>
  <si>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</si>
  <si>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</si>
  <si>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</si>
  <si>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</si>
  <si>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</si>
  <si>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</si>
  <si>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</si>
  <si>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</si>
  <si>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</si>
  <si>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</si>
  <si>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</si>
  <si>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</si>
  <si>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</si>
  <si>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</si>
  <si>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</si>
  <si>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</si>
  <si>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</si>
  <si>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2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</si>
  <si>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</si>
  <si>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</si>
  <si>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</si>
  <si>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</si>
  <si>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</si>
  <si>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</si>
  <si>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</si>
  <si>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</si>
  <si>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</si>
  <si>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</si>
  <si>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</si>
  <si>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</si>
  <si>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</si>
  <si>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</si>
  <si>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</si>
  <si>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</si>
  <si>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</si>
  <si>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</si>
  <si>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</si>
  <si>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</si>
  <si>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</si>
  <si>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</si>
  <si>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</si>
  <si>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</si>
  <si>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</si>
  <si>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</si>
  <si>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</si>
  <si>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</si>
  <si>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</si>
  <si>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</si>
  <si>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</si>
  <si>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</si>
  <si>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</si>
  <si>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</si>
  <si>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</si>
  <si>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</si>
  <si>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</si>
  <si>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</si>
  <si>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</si>
  <si>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</si>
  <si>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</si>
  <si>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</si>
  <si>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</si>
  <si>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</si>
  <si>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</si>
  <si>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</si>
  <si>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5.3.1 Desarrollar diez (10) actividades de apropiación social del conocimiento para la creación de la cultura de la investigación e innovación.</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</si>
  <si>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</si>
  <si>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</si>
  <si>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</si>
  <si>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</si>
  <si>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</si>
  <si>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</si>
  <si>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</si>
  <si>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</si>
  <si>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</si>
  <si>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</si>
  <si>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</si>
  <si>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</si>
  <si>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</si>
  <si>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</si>
  <si>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t>NOTA: Si este documento se encuentra impreso se considera Copia no Controlada. La versión vigente esta publicada en la intranet de la Personería de Bogotá D.C.</t>
  </si>
  <si>
    <t>PLAN OPERATIVO ANUAL 
2021</t>
  </si>
  <si>
    <r>
      <t xml:space="preserve">Código: </t>
    </r>
    <r>
      <rPr>
        <sz val="10"/>
        <rFont val="Arial"/>
        <family val="2"/>
      </rPr>
      <t>01-PL-09</t>
    </r>
  </si>
  <si>
    <r>
      <t xml:space="preserve">Página: 
</t>
    </r>
    <r>
      <rPr>
        <sz val="10"/>
        <rFont val="Arial"/>
        <family val="2"/>
      </rPr>
      <t>1 de 2</t>
    </r>
  </si>
  <si>
    <r>
      <t xml:space="preserve">Vigencia desde: 
</t>
    </r>
    <r>
      <rPr>
        <sz val="10"/>
        <rFont val="Arial"/>
        <family val="2"/>
      </rPr>
      <t>30-01-2021</t>
    </r>
  </si>
  <si>
    <t>CONTROL DE CAMBIOS</t>
  </si>
  <si>
    <t>VERSIÓN</t>
  </si>
  <si>
    <t>FECHA</t>
  </si>
  <si>
    <t>DESCRIPCIÓN DE LA MODIFICACIÓN</t>
  </si>
  <si>
    <t>Versión inicial del documento.</t>
  </si>
  <si>
    <t>Responsables de Procesos
Referentes de Gestión
Procesos Institucionales</t>
  </si>
  <si>
    <t>Elaboró</t>
  </si>
  <si>
    <t>Revisó</t>
  </si>
  <si>
    <t>Aprobó</t>
  </si>
  <si>
    <t>Germán Uriel Rojas
Director de Planeación ( E )</t>
  </si>
  <si>
    <t>Comité Institucional de Gestión y Desempeño</t>
  </si>
  <si>
    <r>
      <t xml:space="preserve">Página: 
</t>
    </r>
    <r>
      <rPr>
        <sz val="10"/>
        <rFont val="Arial"/>
        <family val="2"/>
      </rPr>
      <t>2 de 2</t>
    </r>
  </si>
  <si>
    <r>
      <t xml:space="preserve">Versión: </t>
    </r>
    <r>
      <rPr>
        <sz val="10"/>
        <rFont val="Arial"/>
        <family val="2"/>
      </rPr>
      <t>1</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</si>
  <si>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</si>
  <si>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1.2.4 Fortalecer el ejercicio del ministerio público ante las comisarias de familia, mediante el seguimiento a 4.200 medidas de protección que estas imponen.</t>
  </si>
  <si>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</si>
  <si>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</si>
  <si>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</si>
  <si>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</si>
  <si>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</si>
  <si>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</si>
  <si>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</si>
  <si>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</si>
  <si>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</si>
  <si>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</si>
  <si>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</si>
  <si>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</si>
  <si>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P.D. para Asuntos Penales I, Penales II, Policivos y Civiles, Derechos Humanos, Familia y Orientación y Asistencia.
P.D. para la Coordinación de la Gestión de Personerías Locales y sus Personerías Locales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</si>
  <si>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</si>
  <si>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</si>
  <si>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</si>
  <si>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</si>
  <si>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</si>
  <si>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</si>
  <si>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</si>
  <si>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</si>
  <si>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</si>
  <si>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</si>
  <si>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</si>
  <si>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</si>
  <si>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</si>
  <si>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</si>
  <si>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</si>
  <si>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1.1.11 Establecer de forma periódica, 60 estados de la vulneración de  los derechos humanos en las localidades, dando a conocer a las Entidades correspondientes los hechos observados que requieren su intervención.</t>
  </si>
  <si>
    <t>4.1.3 Realizar el 100% de las actividades definidas en la estrategia de servicios ciudadanos digitales, que permitan acceder a los tramites y servicios de la Entidad a través de canales digitales rápidos, fiables y seguros</t>
  </si>
  <si>
    <t>4.5.2 Realizar 8 jornadas de sensibilización a funcionarios de la Personería de Bogotá D.C. sobre la prevención de las faltas disciplinarias más recurrentes en la Entidad.</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</si>
  <si>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</si>
  <si>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</si>
  <si>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</si>
  <si>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</si>
  <si>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</si>
  <si>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</si>
  <si>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</si>
  <si>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</si>
  <si>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</si>
  <si>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</si>
  <si>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</si>
  <si>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</si>
  <si>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</si>
  <si>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</si>
  <si>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</si>
  <si>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</si>
  <si>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SANDRA PATRICIA MACHADO ARQUEZ / JEFE OFICINA ASESORA DE COMUNICACIONES</t>
  </si>
  <si>
    <t>PAULA ANDREA GIRON URIBE
PERSONERA DELEGADA PARA LA COORDINACIÓN DEL MINISTERIO PÚBLICO Y LOS DERECHOS HUMANOS
BIVIANA  ROCIO AGUILLON MAYORGA
PERSONERA DELEGADA PARA LA COORDINACIÓN DE GESTIÓN DE PERSONERÍAS LOCALES</t>
  </si>
  <si>
    <t>Silvia Juliana Arciniegas Morales 
Personera Delegada para la Coordinación de Potestad Disciplinaria</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</si>
  <si>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</si>
  <si>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</si>
  <si>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</si>
  <si>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Recibir, revisar y radicar las comunicaciones oficiales externas o internas en el Grupo de Correspodencia.
Distribuir las comunicaciones recibidas a los destinatarios internos (dependencias) o externos.
Realizar el registro en las planilas o controles correspondientes.</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</si>
  <si>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</si>
  <si>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</si>
  <si>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</si>
  <si>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</si>
  <si>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</si>
  <si>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</si>
  <si>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</si>
  <si>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</si>
  <si>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</si>
  <si>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</si>
  <si>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</si>
  <si>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</si>
  <si>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</si>
  <si>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</si>
  <si>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</si>
  <si>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</si>
  <si>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</si>
  <si>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</si>
  <si>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</si>
  <si>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</si>
  <si>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</si>
  <si>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</si>
  <si>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HÉCTOR HERNÁN GONZÁLEZ NARANJO / DIRECTOR DE PLANEACIÓN</t>
  </si>
  <si>
    <t>PROGRAMADO</t>
  </si>
  <si>
    <t>EJECUTADO</t>
  </si>
  <si>
    <t>CUMPLIMIENTO ACUMULADO
POA AÑO</t>
  </si>
  <si>
    <t>CUMPLIMIENTO ACUMULADO EN EL CUATRIENIO</t>
  </si>
  <si>
    <t>TOTAL EJECUTADO AÑO</t>
  </si>
  <si>
    <t>CONTRIBUCIÓN A META ESTRATEGICA EN EL CUATRIENIO</t>
  </si>
  <si>
    <t>CUATRIENIO</t>
  </si>
  <si>
    <t>GRADO DE CUMPLIMIENTO META ESTRATÉGICA</t>
  </si>
  <si>
    <t>META 
POA CUATRIENIO</t>
  </si>
  <si>
    <t>TOTAL PROGAMADO 
AÑO</t>
  </si>
  <si>
    <r>
      <t xml:space="preserve">INFORME DE SEGUIMIENTO 
PLAN OPERATIVO ANUAL -POA-
</t>
    </r>
    <r>
      <rPr>
        <b/>
        <sz val="18"/>
        <rFont val="Arial"/>
        <family val="2"/>
      </rPr>
      <t>(Plan de Acción Institucional)</t>
    </r>
  </si>
  <si>
    <t xml:space="preserve">PERIODO: </t>
  </si>
  <si>
    <t xml:space="preserve">TRIMESTRE 1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</si>
  <si>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</si>
  <si>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</si>
  <si>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</si>
  <si>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</si>
  <si>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</si>
  <si>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</si>
  <si>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</si>
  <si>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</si>
  <si>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</si>
  <si>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</si>
  <si>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</si>
  <si>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</si>
  <si>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</si>
  <si>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</si>
  <si>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</si>
  <si>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</si>
  <si>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</si>
  <si>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</si>
  <si>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</si>
  <si>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</si>
  <si>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</si>
  <si>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</si>
  <si>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</si>
  <si>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</si>
  <si>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</si>
  <si>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</si>
  <si>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</si>
  <si>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</si>
  <si>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</si>
  <si>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</si>
  <si>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</si>
  <si>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</si>
  <si>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</si>
  <si>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</si>
  <si>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</si>
  <si>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</si>
  <si>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</si>
  <si>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</si>
  <si>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</si>
  <si>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</si>
  <si>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</si>
  <si>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</si>
  <si>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</si>
  <si>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</si>
  <si>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</si>
  <si>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</si>
  <si>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</si>
  <si>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</si>
  <si>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</si>
  <si>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</si>
  <si>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</si>
  <si>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</si>
  <si>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</si>
  <si>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</si>
  <si>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</si>
  <si>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</si>
  <si>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</si>
  <si>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</si>
  <si>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</si>
  <si>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</si>
  <si>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</si>
  <si>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</si>
  <si>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</si>
  <si>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</si>
  <si>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</si>
  <si>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</si>
  <si>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</si>
  <si>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</si>
  <si>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</si>
  <si>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</si>
  <si>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</si>
  <si>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</si>
  <si>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</si>
  <si>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</si>
  <si>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</si>
  <si>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</si>
  <si>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</si>
  <si>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</si>
  <si>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</si>
  <si>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</si>
  <si>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</si>
  <si>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</si>
  <si>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</si>
  <si>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</si>
  <si>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</si>
  <si>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</si>
  <si>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</si>
  <si>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</si>
  <si>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</si>
  <si>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</si>
  <si>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</si>
  <si>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</si>
  <si>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</si>
  <si>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</si>
  <si>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</si>
  <si>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</si>
  <si>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</si>
  <si>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05-RI-21</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</si>
  <si>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</si>
  <si>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</si>
  <si>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</si>
  <si>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</si>
  <si>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</si>
  <si>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</si>
  <si>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</si>
  <si>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</si>
  <si>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</si>
  <si>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</si>
  <si>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</si>
  <si>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</si>
  <si>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</si>
  <si>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</si>
  <si>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</si>
  <si>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</si>
  <si>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</si>
  <si>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</si>
  <si>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</si>
  <si>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</si>
  <si>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</si>
  <si>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</si>
  <si>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</si>
  <si>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</si>
  <si>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</si>
  <si>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</si>
  <si>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</si>
  <si>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</si>
  <si>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</si>
  <si>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</si>
  <si>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</si>
  <si>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</si>
  <si>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</si>
  <si>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</si>
  <si>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</si>
  <si>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</si>
  <si>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</si>
  <si>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</si>
  <si>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</si>
  <si>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</si>
  <si>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</si>
  <si>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</si>
  <si>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</si>
  <si>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</si>
  <si>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</si>
  <si>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</si>
  <si>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</si>
  <si>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</si>
  <si>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</si>
  <si>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</si>
  <si>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 xml:space="preserve"> PLAN OPERATIVO ANUAL 2020</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</si>
  <si>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</si>
  <si>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</si>
  <si>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</si>
  <si>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</si>
  <si>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</si>
  <si>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</si>
  <si>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</si>
  <si>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</si>
  <si>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Trimestre</t>
  </si>
  <si>
    <t>Ejecución Acumulada Año</t>
  </si>
  <si>
    <t>Año 2020</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</si>
  <si>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</si>
  <si>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</si>
  <si>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</si>
  <si>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</si>
  <si>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</si>
  <si>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</si>
  <si>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</si>
  <si>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</si>
  <si>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</si>
  <si>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</si>
  <si>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</si>
  <si>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</si>
  <si>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</si>
  <si>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</si>
  <si>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</si>
  <si>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</si>
  <si>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</si>
  <si>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</si>
  <si>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Acumulada Corte
31/03/2021</t>
  </si>
  <si>
    <t>Ejecución Acumulada Corte
31/03/2021</t>
  </si>
  <si>
    <t>Acumulado Corte 31/03/2021</t>
  </si>
  <si>
    <t>Identifificación del Indicador</t>
  </si>
  <si>
    <t>Año 2021</t>
  </si>
  <si>
    <t>Primer Trimestre</t>
  </si>
  <si>
    <t>Fecha de corte: 31 de marzo de 2021</t>
  </si>
  <si>
    <t>Observaciones / Recomendaciones</t>
  </si>
  <si>
    <t>INFORME DETALLADO DESEMPEÑO DE PROCESOS 
SGC</t>
  </si>
  <si>
    <t>PLAN OPERATIVO ANUAL 2020</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</si>
  <si>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</si>
  <si>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</si>
  <si>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</si>
  <si>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</si>
  <si>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</si>
  <si>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</si>
  <si>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</si>
  <si>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</si>
  <si>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</si>
  <si>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</si>
  <si>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</si>
  <si>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</si>
  <si>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</si>
  <si>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</si>
  <si>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</si>
  <si>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Desempeño Promedio 
Año 2021</t>
  </si>
  <si>
    <t>Este indicador corresponde a una meta transversal. 
Alcanza un cumplimiento al corte del 20%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</si>
  <si>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corresponde a una meta transversal. 
Alcanza un cumplimiento al corte del 16%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</si>
  <si>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alcanza un cumplimiento al corte del 13,6%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</si>
  <si>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alcanza un cumplimiento al corte del 33,3%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</si>
  <si>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Para el periodo no se programó avance.</t>
  </si>
  <si>
    <t>Este indicador alcanza un cumplimiento al corte del 20%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</si>
  <si>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alcanza un cumplimiento al corte del 16,7%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</si>
  <si>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 xml:space="preserve">No de Indicadores con ejecución menor a la programada </t>
  </si>
  <si>
    <t>Este indicador alcanza un cumplimiento al corte del 50%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</si>
  <si>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CUMPLIMIENTO PROGRAMACIÓN EN EL PERIODO</t>
  </si>
  <si>
    <t>Este indicador está programado de manera constante en dos periodos en el año con una magnitud del 90% promedio; en el primer trimestre alcanza un cumplimiento al corte del 88,7% sobre el programado, por cuanto el reporte de porcentaje de percepción es menor al esperado con 79,8%.
De acuerdo con los rangos de cumplimiento definidos para este indicador, en este periodo y en el corte acumulado se encuentra en el nivel aceptable..
Se recomienda al proceso revisar la programación frente al contexto interno y externo y establecer las acciones correctivas y/o de mejora que le permitan dar cumplimiento a la meta en el siguiente periodo.</t>
  </si>
  <si>
    <t>Se evidencia una mayor ejecución que supera la programación del trimestre con 7.938 intervenciones adicionales equivalente al 36% de porcentaje adicional de cumplimiento, la que puede verificarse en el reporte mensualizado donde la ejecución supera en todos los meses la programación.
En el año alcanza un cumplimiento del 30.5%.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</si>
  <si>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Se evidencia una mayor ejecución que supera la programación del trimestre con 4,2% de acciones entregadas en un término menor de 5 días equivalente a 4,4% de porcentaje adicional de cumplimiento.
En el año alcanza un cumplimiento del 30.5%.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</si>
  <si>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Se evidencia una mayor ejecución que supera en alto grado la programación del trimestre con 446 espacios interinstitucionales adicionales equivalente a 227,6% de porcentaje adicional de cumplimiento; esta situación puede verificarse en el reporte mensualizado donde se observa ejecución en el mes de enero que no tenia  programación y en febrero y marzo se presenta ejecución de mas del doble frente a la programación con 120 y 117 espacios interinstitucionales adicionales respectivamente, lo que genera una desviación muy significativa.
En el año alcanza un cumplimiento del 58.8%.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tendencia en aumento por cuanto en el primer trimestre del año ya se ha superado el 58% del total de la programación para el 2021.</t>
  </si>
  <si>
    <t>Se evidencia una mayor ejecución que supera la programación del trimestre con 23 seguimientos adicionales equivalente a 56,1% de porcentaje adicional de cumplimiento; esta situación puede verificarse en el reporte mensualizado donde se observa ejecución mayor en cada mes lo que genera desviación.
En el año alcanza un cumplimiento del 35,2%.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</si>
  <si>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Meta anual cumplida.
De acuerdo con los rangos de cumplimiento definidos para este indicador, alcanzó el nivel satisfactorio.</t>
  </si>
  <si>
    <t>Se evidencia una mayor ejecución que supera ampliamente la programación del trimestre con 24 acciones de prevención y control adicionales equivalente a 185% de porcentaje adicional de cumplimiento; esta situación puede verificarse en el reporte mensualizado donde se observa en el mes de marzo ejecución de más del triple frente a la programación, lo que genera una desviación significativa.
En el año alcanza un cumplimiento del 19%.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</si>
  <si>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Se evidencia una mayor ejecución que duplica la programación del trimestre con 2 audiencias y/o mesas realizadas adicionales equivalente a 100% de porcentaje adicional de cumplimiento lo que genera una desviación significativa.
En el año alcanza un cumplimiento del 29%.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</si>
  <si>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Para el periodo no se programó avance; sin embargo al corte se observa en el reporte el desarrollo de doce (12) visitas de seguimiento a OCID, lo que le permite alcanzar un cumplimiento del 23.5%
Se recomienda realizar monitoreo al indicador para que se logre la coherencia en la ejecución frente a la programación prevista para la vigencia.</t>
  </si>
  <si>
    <t>Este indicador alcanza un cumplimiento al corte del 10%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</si>
  <si>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alcanza un cumplimiento al corte del 24,1%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 y para que se logre la coherencia en la ejecución frente a la programación prevista para la vigencia.</t>
  </si>
  <si>
    <t>Este indicador alcanza un cumplimiento al corte del  30,8%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 y para que se logre la coherencia en la ejecución frente a la programación prevista para la vigencia.</t>
  </si>
  <si>
    <t>Este indicador esta programado de manera constante en el año con 100% de magnitud esperada en cada periodo a partir del segundo trimestre de 2021; sin embargo al corte se observa en el reporte el desarrollo de 2 procesos asumidos por poder preferente, lo que le permite alcanzar un cumplimiento del 25%
Se recomienda realizar monitoreo al indicador para que se logre la coherencia en la ejecución frente a la programación prevista para la vigencia.</t>
  </si>
  <si>
    <t>Este indicador esta programado de manera constante en el año con 97% de magnitud esperada en cada periodo; sin embargo al corte se observa en el reporte mayor ejecución promedio representada en 99,4% promedio acumulado en el trimestre, esta situación puede verificarse en el reporte mensualizado donde se observa en los meses de enero y febrero ejecución del 100% y en marzo del 98,2% lo que genera un promedio mayor.
Alcanza un cumplimiento al corte del 25,6% sobre el total programado en el año.
Se recomienda realizar monitoreo al indicador para que se logre la coherencia en la ejecución frente a la programación prevista para la vigencia.</t>
  </si>
  <si>
    <t>Este indicador esta programado de manera constante en el año con 100 % de magnitud esperada en cada periodo, alcanza un cumplimiento al corte del 25%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</si>
  <si>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se encuentra conforme a lo planeado.
Alcanza un cumplimiento al corte del 25% sobre el total programado en el año.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</si>
  <si>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alcanza un cumplimiento al corte del 25%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</si>
  <si>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evidencia una menor ejecución muy inferior frente a la programación del trimestre con 4,336 personas asistidas menos en relación con la programación para el periodo alcanzando el 50,4% de cumplimiento.
Alcanza un cumplimiento al corte del 11,6% sobre el total programado en el año.
De acuerdo con los rangos de cumplimiento definidos para este indicador, en este periodo y en el corte acumulado se ubica el nivel insatisfactorio.
Se recomienda al proceso revisar la programación frente al contexto interno y externo y establecer las acciones correctivas y/o de mejora que le permitan dar cumplimiento a la meta y  la coherencia en la ejecución frente a la programación prevista para la vigencia.</t>
  </si>
  <si>
    <t>Se evidencia una menor ejecución muy inferior frente a la programación del trimestre con 1.082 personas asistidas en mecanismos alternativos de solución de conflictos menos en relación con la programación para el periodo alcanzando el 55,3% de cumplimiento.
Alcanza un cumplimiento al corte del 12,7% sobre el total programado en el año.
De acuerdo con los rangos de cumplimiento definidos para este indicador, en este periodo y en el corte acumulado se ubica el nivel insatisfactorio.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</si>
  <si>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menor ejecución muy inferior frente a la programación del trimestre con 1 espacio realizado en relación con la programación para el periodo de 5 espacios alcanzando el 20% de cumplimiento.
Alcanza un cumplimiento al corte del 5% sobre el total programado en el año.
De acuerdo con los rangos de cumplimiento definidos para este indicador, en este periodo y en el corte acumulado se ubica el nivel insatisfactorio.
Se recomienda al proceso realizar monitoreo, seguimiento y establecer las acciones correctivas y/o de mejora que le permitan dar cumplimiento a la meta y  la coherencia en la ejecución frente a la programación prevista para la vigencia.</t>
  </si>
  <si>
    <t>Se evidencia una menor ejecución, muy inferior frente a la programación del trimestre con 152 intervenciones (impulsos procesales) realizados oportunamente menos en relación con la programación para el periodo alcanzando el 76,3% de cumplimiento.
Alcanza un cumplimiento al corte del 16,3% sobre el total programado en el año.
De acuerdo con los rangos de cumplimiento definidos para este indicador, en este periodo y en el corte acumulado se ubica el nivel insatisfactorio.
Se recomienda al proceso revisar la programación frente al contexto interno y externo para que se establezcan las acciones correctivas y/o de mejora que le permitan dar cumplimiento a la meta y la coherencia en la ejecución frente a la programación prevista para la vigencia.</t>
  </si>
  <si>
    <t>Se evidencia una menor ejecución muy inferior frente a la programación del trimestre con 71 expedientes menos en relación con la programación para el periodo alcanzando el 51% de cumplimiento.
Alcanza un cumplimiento al corte del 10,6% sobre el total programado en el año.
De acuerdo con los rangos de cumplimiento definidos para este indicador, en este periodo y en el corte acumulado se ubica el nivel insatisfactorio.
Se recomienda al proceso revisar la programación frente al contexto interno y externo y establecer las acciones correctivas y/o de mejora que le permitan dar cumplimiento a la meta y  la coherencia en la ejecución frente a la programación prevista para la vigencia.</t>
  </si>
  <si>
    <t>Se evidencia una menor ejecución frente la programación del trimestre con 96 acciones en favor de la víctimas menos en relación con la programación para el periodo alcanzando el 93,2% de cumplimiento.
Alcanza un cumplimiento al corte del 19,2%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la coherencia en la ejecución frente a la programación prevista para la vigencia.</t>
  </si>
  <si>
    <t>Se evidencia una menor ejecución frente la programación del trimestre con 161 acciones constitucionales menos en relación con la programación para el periodo alcanzando el 88,1% de cumplimiento.
Alcanza un cumplimiento al corte del 19,5%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la coherencia en la ejecución frente a la programación prevista para la vigencia.</t>
  </si>
  <si>
    <t>Este indicador esta programado de manera constante en el año con 100% de magnitud esperada en cada periodo, se evidencia una menor ejecución, muy inferior frente a la programación del trimestre con 27,7% menos en relación con la programación para el periodo alcanzando el 72,3% de cumplimiento.
Alcanza un cumplimiento al corte del 18,1% sobre el total programado en el año.
De acuerdo con los rangos de cumplimiento definidos para este indicador, en este periodo y en el corte acumulado se ubica el nivel aceptable.
Se recomienda al proceso monitorear la ejecución y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</si>
  <si>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menor ejecución, muy inferior frente a la programación del trimestre con 4,3% porcentaje de compromisos programados y ejecutados menos en relación con la programación para el periodo alcanzando el 69,57% de cumplimiento.
Alcanza un cumplimiento al corte del 10,25% sobre el total programado en el año.
De acuerdo con los rangos de cumplimiento definidos para este indicador, en este periodo y en el corte acumulado se ubica el nivel insatisfactorio.
Se recomienda al proceso realizar monitoreo a las actividades que dan desarrollo a la meta, revisar la programación frente al contexto y establecer las acciones correctivas y/o de mejora que le permitan dar cumplimiento a la meta y la coherencia en la ejecución frente a la programación prevista para la vigencia.</t>
  </si>
  <si>
    <t>Se evidencia una menor ejecución, muy inferior frente a la programación del trimestre con 24% porcentaje del PAA ejecutado menos en relación con la programación para el periodo, alcanzando el 57,9% de cumplimiento. Esta situación puede verificarse en el reporte mensual.
Alcanza un cumplimiento al corte del 34,7% sobre el total programado en el año.
De acuerdo con los rangos de cumplimiento definidos para este indicador, en este periodo y en el corte acumulado se ubica el nivel insatisfactorio.
Se recomienda al proceso realizar monitoreo a las actividades que dan desarrollo a la meta, revisar la programación frente al contexto y establecer las acciones correctivas y/o de mejora que le permitan dar cumplimiento a la meta y la coherencia en la ejecución frente a la programación prevista para la vigencia.</t>
  </si>
  <si>
    <t>Este indicador esta programado de manera constante en el año con 80% de magnitud esperada en cada periodo; alcanza un cumplimiento al corte del 25%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</si>
  <si>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evidencia una mayor ejecución que supera la programación del trimestre con 2 actividades para el diseño o ajuste adicionales equivalente al 40% de porcentaje adicional de cumplimiento, la que puede verificarse en el reporte mensualizado donde la ejecución supera la programación en los meses de febrero y marzo.
En el año alcanza un cumplimiento del 28%.
De acuerdo con los rangos de cumplimiento definidos para este indicador, en este trimestre y en el corte acumulado se encuentra en el nivel satisfactorio.
Se recomienda al proceso hacer seguimiento, revisar la programación y establecer las acciones de mejora teniendo en cuenta la tendencia, que permita mitigar la desviación.</t>
  </si>
  <si>
    <t>Se evidencia una mayor ejecución que supera la programación del trimestre con 1 actividad para implementación de instrumentos archivísticos adicionales equivalente al 20% de porcentaje adicional de cumplimiento, la que puede verificarse en el reporte mensualizado donde la ejecución supera la programación en el mes de enero.
En el año alcanza un cumplimiento del 24%.
De acuerdo con los rangos de cumplimiento definidos para este indicador, en este trimestre y en el corte acumulado se encuentra en el nivel satisfactorio.
Se recomienda al proceso hacer seguimiento, revisar la programación y establecer las acciones de mejora teniendo en cuenta la tendencia, que permita mitigar la desviación..</t>
  </si>
  <si>
    <t>Se evidencia una mayor ejecución que supera la programación del trimestre con 4 medidas de preservación emitidas adicionales equivalente a 66,7% de porcentaje adicional de cumplimiento; esta situación puede verificarse en el reporte mensualizado donde se observa ejecución mayor en el mes de febrero lo que genera la desviación.
En el año alcanza un cumplimiento del 41,7%.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</si>
  <si>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Para el periodo no se programó avance; sin embargo al corte se observa en el reporte el desarrollo de una (1) actividad de apropiación social del conocimiento, lo que le permite alcanzar un cumplimiento del 33.3%
Se recomienda realizar monitoreo al indicador para que se logre la coherencia en la ejecución frente a la programación prevista para la vigencia.</t>
  </si>
  <si>
    <t>Se evidencia una menor ejecución frente la programación del trimestre con 112 personas orientadas menos en relación con la programación para el periodo alcanzando el 99,4% de cumplimiento.
Alcanza un cumplimiento al corte del 23,5%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la coherencia en la ejecución frente a la programación prevista para la vigencia.</t>
  </si>
  <si>
    <t>Se evidencia una menor ejecución, muy inferior frente a la programación del trimestre con 918 peticiones o requerimientos atendidos menos en relación con la programación para el periodo alcanzando el 73,9% de cumplimiento.
Alcanza un cumplimiento al corte del 16,1% sobre el total programado en el año.
De acuerdo con los rangos de cumplimiento definidos para este indicador, en este periodo y en el corte acumulado se ubica el nivel insatisfactorio.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</si>
  <si>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menor ejecución frente la programación del trimestre con 43 audiencias públicas menos en relación con la programación para el periodo alcanzando el 95,8% de cumplimiento.
Alcanza un cumplimiento al corte del 19,5%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la coherencia en la ejecución frente a la programación prevista para la vigencia.</t>
  </si>
  <si>
    <t>Se evidencia una mayor ejecución que supera en alto grado la programación del trimestre con 20.047 personas sensibilizadas adicionales equivalente a 378,2% de porcentaje adicional de cumplimiento; esta situación puede verificarse en el reporte mensualizado donde se observa ejecución en los meses de enero y febrero que no tenían programación y en el mes de marzo se presenta ejecución de mas del triple frente a la programación con 17.684 personas sensibilizadas, lo que genera una desviación muy significativa.
En el año alcanza un cumplimiento del 52.8%.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tendencia en aumento por cuanto en el primer trimestre del año ya se ha superado el 52% del total de la programación para el 2021.</t>
  </si>
  <si>
    <t>Se evidencia una mayor ejecución que supera en alto grado la programación del trimestre con 164 seguimientos realizados adicionales equivalente a 164% de porcentaje adicional de cumplimiento; esta situación puede verificarse en el reporte mensualizado donde se observa ejecución en los meses de enero y febrero que no tenían programación lo que genera una desviación muy significativa.
En el año alcanza un cumplimiento del 22%.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</si>
  <si>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Se evidencia una mayor ejecución que supera en alto grado la programación del trimestre con 15 acompañamientos a ciudadanos adicionales equivalente a 188% de porcentaje adicional de cumplimiento; esta situación puede verificarse en el reporte mensualizado, lo que genera una desviación muy significativa.
En el año alcanza un cumplimiento del 58%.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tendencia en aumento por cuanto en el primer trimestre del año ya se ha superado el 58% del total de la programación para el 2021.</t>
  </si>
  <si>
    <t xml:space="preserve">Este indicador no presenta avance en la ejecución por cuanto el reporte entregado está en cero.
Se recomienda al proceso revisar la programación frente al contexto interno y externo y establecer las acciones correctivas y/o de mejora  que le permitan dar cumplimiento a la meta. </t>
  </si>
  <si>
    <t>Se evidencia una mayor ejecución que supera la programación del trimestre con 69 seguimientos adicionales equivalente a 27,6% de porcentaje adicional de cumplimiento; esta situación puede verificarse en el reporte mensualizado donde se observa ejecución mayor en los meses de enero y febrero lo que genera la desviación.
En el año alcanza un cumplimiento del 35,4%.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del indicador.</t>
  </si>
  <si>
    <t>Se evidencia una menor ejecución frente la programación del trimestre con 1,6% de avance menos en relación con la programación para el periodo alcanzando el 93,9% de cumplimiento.
Alcanza un cumplimiento al corte del 24,8%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para que se logre la coherencia en la ejecución frente a la programación prevista para la vigencia.</t>
  </si>
  <si>
    <t>Se evidencia una menor ejecución frente la programación del trimestre con 0,5% de avance menos en relación con la programación para el periodo alcanzando el 98,7% de cumplimiento.
Alcanza un cumplimiento al corte del 38,4%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para que se logre la coherencia en la ejecución frente a la programación prevista para la vigencia.</t>
  </si>
  <si>
    <t>Este indicador esta programado de manera constante en el año con 100 % de magnitud esperada en cada periodo, alcanza un cumplimiento al corte del 24,9% sobre el total programado. Se evidencia una menor ejecución frente la programación del trimestre con  0,4% menos en relación con la programación para el periodo alcanzando el 99,6% de cumplimiento.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se logre la coherencia en la ejecución frente a la programación prevista para la vigencia.</t>
  </si>
  <si>
    <t>Este indicador esta programado de manera constante en el año con 97% de magnitud esperada en cada periodo, alcanza un cumplimiento al corte del 25,8% sobre el total programado. Se evidencia una mayor ejecución frente la programación del trimestre con  3% adicional en relación con la programación para el periodo alcanzando el 103,1% de cumplimiento.
De acuerdo con los rangos de cumplimiento definidos para este indicador, en este periodo y en el corte acumulado se alcanza el nivel satisfactorio.
Se recomienda continuar haciendo monitoreo al indicador y establecer las acciones de mejora que permitan la coherencia en la ejecución frente a la programación prevista para la vigencia.</t>
  </si>
  <si>
    <t>Se evidencia una menor ejecución frente la programación del trimestre con 1,6% de porcentaje de presupuesto ejecutado menos en relación con la programación para el periodo alcanzando el 92,73% de cumplimiento.
Alcanza un cumplimiento al corte del 21,47% sobre el total programado en el año.
De acuerdo con los rangos de cumplimiento definidos para este indicador, en este periodo y en el corte acumulado se alcanza el nivel aceptable.
Se recomienda continuar haciendo monitoreo al indicador y establecer las acciones de mejora que permitan dar cumplimiento a la meta y la coherencia en la ejecución frente a la programación prevista para la vigencia.</t>
  </si>
  <si>
    <t>Este indicador esta programado de manera constante en el año con 95% de magnitud esperada en cada periodo, alcanza un cumplimiento al corte del 25,3% sobre el total programado. Se evidencia una mayor ejecución frente la programación del trimestre con  1,2% de comunicaciones oficiales adicionales en relación con la programación para el periodo alcanzando el 103,1% de cumplimiento.
De acuerdo con los rangos de cumplimiento definidos para este indicador, en este periodo y en el corte acumulado se alcanza el nivel satisfactorio.
Se recomienda continuar haciendo monitoreo al indicador y establecer las acciones de mejora que permitan la coherencia en la ejecución frente a la programación prevista para la vigencia.</t>
  </si>
  <si>
    <t>Se evidencia una mayor ejecución que supera la programación del trimestre con 15 procesos con decisión de fondo adicionales equivalente a 65,2% de porcentaje adicional de cumplimiento; esta situación puede verificarse en el reporte mensualizado donde se observa ejecución en todos los meses lo que genera la desviación.
En el año alcanza un cumplimiento del 41,7%.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</si>
  <si>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PERSONERÍA DE 
BOGOTÁ, D. C.</t>
  </si>
  <si>
    <t>Sobre ejecución</t>
  </si>
  <si>
    <t>Satisfactorio</t>
  </si>
  <si>
    <t>Aceptable</t>
  </si>
  <si>
    <t>Insatisfactorio</t>
  </si>
  <si>
    <t>PERSONERIA DE 
BOGOTA, D.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</si>
</sst>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dd/mm/yyyy;@"/>
    <numFmt numFmtId="166" formatCode="#,##0.0"/>
    <numFmt numFmtId="167" formatCode="0;[Red]0"/>
    <numFmt numFmtId="168" formatCode="0.000%"/>
    <numFmt numFmtId="169" formatCode="0.00000000000000000%"/>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sz val="18"/>
      <color rgb="FFFF0000"/>
      <name val="Arial"/>
      <family val="2"/>
    </font>
    <font>
      <b/>
      <sz val="10"/>
      <color rgb="FFFF0000"/>
      <name val="Century Gothic"/>
      <family val="2"/>
    </font>
    <font>
      <sz val="18"/>
      <color theme="0" tint="-0.249977111117893"/>
      <name val="Arial"/>
      <family val="2"/>
    </font>
    <font>
      <sz val="18"/>
      <color theme="1"/>
      <name val="Arial"/>
      <family val="2"/>
    </font>
    <font>
      <sz val="12"/>
      <color theme="0" tint="-0.249977111117893"/>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sz val="12"/>
      <color theme="2" tint="-9.9978637043366805E-2"/>
      <name val="Arial"/>
      <family val="2"/>
    </font>
    <font>
      <sz val="12"/>
      <color theme="0" tint="-0.14999847407452621"/>
      <name val="Arial"/>
      <family val="2"/>
    </font>
    <font>
      <sz val="14"/>
      <color theme="0" tint="-0.14999847407452621"/>
      <name val="Arial"/>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sz val="11"/>
      <color theme="0"/>
      <name val="Arial"/>
      <family val="2"/>
    </font>
  </fonts>
  <fills count="3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C000"/>
        <bgColor indexed="64"/>
      </patternFill>
    </fill>
    <fill>
      <patternFill patternType="solid">
        <fgColor theme="2" tint="-0.499984740745262"/>
        <bgColor indexed="64"/>
      </patternFill>
    </fill>
    <fill>
      <patternFill patternType="solid">
        <fgColor rgb="FF92D050"/>
        <bgColor indexed="64"/>
      </patternFill>
    </fill>
    <fill>
      <patternFill patternType="solid">
        <fgColor rgb="FFFF3300"/>
        <bgColor indexed="64"/>
      </patternFill>
    </fill>
  </fills>
  <borders count="7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59">
    <xf numFmtId="0" fontId="0" fillId="0" borderId="0"/>
    <xf numFmtId="0" fontId="5" fillId="0" borderId="1"/>
    <xf numFmtId="0" fontId="7" fillId="0" borderId="1"/>
    <xf numFmtId="9" fontId="5" fillId="0" borderId="1" applyFill="0" applyBorder="0" applyAlignment="0" applyProtection="0"/>
    <xf numFmtId="0" fontId="5" fillId="0" borderId="1"/>
    <xf numFmtId="43" fontId="13" fillId="0" borderId="0" applyFont="0" applyFill="0" applyBorder="0" applyAlignment="0" applyProtection="0"/>
    <xf numFmtId="9" fontId="13" fillId="0" borderId="0" applyFont="0" applyFill="0" applyBorder="0" applyAlignment="0" applyProtection="0"/>
    <xf numFmtId="43"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14" fillId="0" borderId="1" applyBorder="0" applyProtection="0"/>
    <xf numFmtId="0" fontId="15" fillId="0" borderId="1" applyNumberFormat="0" applyBorder="0" applyProtection="0"/>
    <xf numFmtId="0" fontId="4" fillId="0" borderId="1"/>
    <xf numFmtId="0" fontId="4" fillId="0" borderId="1"/>
    <xf numFmtId="0" fontId="16" fillId="0" borderId="1"/>
    <xf numFmtId="0" fontId="3" fillId="0" borderId="1"/>
    <xf numFmtId="43" fontId="3" fillId="0" borderId="1" applyFont="0" applyFill="0" applyBorder="0" applyAlignment="0" applyProtection="0"/>
    <xf numFmtId="0" fontId="5" fillId="0" borderId="1"/>
    <xf numFmtId="43" fontId="5" fillId="0" borderId="1" applyFont="0" applyFill="0" applyBorder="0" applyAlignment="0" applyProtection="0"/>
    <xf numFmtId="43" fontId="5" fillId="0" borderId="1" applyFont="0" applyFill="0" applyBorder="0" applyAlignment="0" applyProtection="0"/>
    <xf numFmtId="0" fontId="2" fillId="0" borderId="1"/>
    <xf numFmtId="0" fontId="2" fillId="0" borderId="1"/>
    <xf numFmtId="0" fontId="2" fillId="0" borderId="1"/>
    <xf numFmtId="0" fontId="5" fillId="0" borderId="1"/>
    <xf numFmtId="0" fontId="2" fillId="0" borderId="1"/>
    <xf numFmtId="43" fontId="2" fillId="0" borderId="1" applyFont="0" applyFill="0" applyBorder="0" applyAlignment="0" applyProtection="0"/>
    <xf numFmtId="0" fontId="2" fillId="0" borderId="1"/>
    <xf numFmtId="9" fontId="2" fillId="0" borderId="1" applyFont="0" applyFill="0" applyBorder="0" applyAlignment="0" applyProtection="0"/>
    <xf numFmtId="0" fontId="5" fillId="0" borderId="1"/>
    <xf numFmtId="0" fontId="5" fillId="0" borderId="1"/>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xf numFmtId="0" fontId="1" fillId="0" borderId="1"/>
    <xf numFmtId="0" fontId="1" fillId="0" borderId="1"/>
    <xf numFmtId="0" fontId="1" fillId="0" borderId="1"/>
    <xf numFmtId="0" fontId="1" fillId="0" borderId="1"/>
    <xf numFmtId="43" fontId="1" fillId="0" borderId="1" applyFont="0" applyFill="0" applyBorder="0" applyAlignment="0" applyProtection="0"/>
    <xf numFmtId="0" fontId="5" fillId="0" borderId="1"/>
    <xf numFmtId="0" fontId="5" fillId="0" borderId="1"/>
    <xf numFmtId="43" fontId="5" fillId="0" borderId="1" applyFont="0" applyFill="0" applyBorder="0" applyAlignment="0" applyProtection="0"/>
    <xf numFmtId="41" fontId="5" fillId="0" borderId="1" applyFont="0" applyFill="0" applyBorder="0" applyAlignment="0" applyProtection="0"/>
    <xf numFmtId="0" fontId="1" fillId="0" borderId="1"/>
    <xf numFmtId="0" fontId="5" fillId="0" borderId="1" applyNumberFormat="0" applyFont="0" applyFill="0" applyBorder="0" applyAlignment="0" applyProtection="0">
      <alignment vertical="top"/>
    </xf>
    <xf numFmtId="0" fontId="1" fillId="0" borderId="1"/>
    <xf numFmtId="9" fontId="1" fillId="0" borderId="1" applyFont="0" applyFill="0" applyBorder="0" applyAlignment="0" applyProtection="0"/>
    <xf numFmtId="41" fontId="1" fillId="0" borderId="1" applyFont="0" applyFill="0" applyBorder="0" applyAlignment="0" applyProtection="0"/>
    <xf numFmtId="43" fontId="5" fillId="0" borderId="1" applyFont="0" applyFill="0" applyBorder="0" applyAlignment="0" applyProtection="0"/>
    <xf numFmtId="43" fontId="5" fillId="0" borderId="1" applyFont="0" applyFill="0" applyBorder="0" applyAlignment="0" applyProtection="0"/>
  </cellStyleXfs>
  <cellXfs count="1101">
    <xf numFmtId="0" fontId="0" fillId="0" borderId="0" xfId="0"/>
    <xf numFmtId="0" fontId="6" fillId="0" borderId="0" xfId="0" applyFont="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22" fillId="3" borderId="18" xfId="0" applyFont="1" applyFill="1" applyBorder="1" applyAlignment="1">
      <alignment horizontal="left"/>
    </xf>
    <xf numFmtId="0" fontId="5" fillId="0" borderId="1" xfId="23" applyAlignment="1">
      <alignment vertical="center"/>
    </xf>
    <xf numFmtId="0" fontId="22" fillId="3" borderId="3" xfId="23" applyFont="1" applyFill="1" applyBorder="1" applyAlignment="1">
      <alignment horizontal="left"/>
    </xf>
    <xf numFmtId="0" fontId="22" fillId="3" borderId="18" xfId="23" applyFont="1" applyFill="1" applyBorder="1" applyAlignment="1">
      <alignment horizontal="left"/>
    </xf>
    <xf numFmtId="0" fontId="21" fillId="3" borderId="5" xfId="23" applyFont="1" applyFill="1" applyBorder="1" applyAlignment="1">
      <alignment horizontal="left"/>
    </xf>
    <xf numFmtId="0" fontId="21" fillId="3" borderId="19" xfId="23" applyFont="1" applyFill="1" applyBorder="1" applyAlignment="1">
      <alignment horizontal="center"/>
    </xf>
    <xf numFmtId="0" fontId="6" fillId="0" borderId="1" xfId="0" applyFont="1" applyBorder="1" applyAlignment="1">
      <alignment vertical="center"/>
    </xf>
    <xf numFmtId="0" fontId="22" fillId="3" borderId="31" xfId="0" applyFont="1" applyFill="1" applyBorder="1" applyAlignment="1">
      <alignment horizontal="left"/>
    </xf>
    <xf numFmtId="0" fontId="32" fillId="0" borderId="0" xfId="0" applyFont="1"/>
    <xf numFmtId="0" fontId="5" fillId="0" borderId="0" xfId="0" applyFont="1"/>
    <xf numFmtId="0" fontId="8" fillId="7" borderId="2" xfId="23" applyFont="1" applyFill="1" applyBorder="1" applyAlignment="1">
      <alignment horizontal="left" vertical="center" wrapText="1"/>
    </xf>
    <xf numFmtId="0" fontId="17" fillId="0" borderId="1" xfId="0" applyFont="1" applyBorder="1" applyAlignment="1">
      <alignment vertical="center"/>
    </xf>
    <xf numFmtId="0" fontId="18" fillId="0" borderId="0" xfId="0" applyFont="1"/>
    <xf numFmtId="0" fontId="34" fillId="0" borderId="2" xfId="0" applyFont="1" applyBorder="1" applyAlignment="1">
      <alignment vertical="center"/>
    </xf>
    <xf numFmtId="3" fontId="18" fillId="7" borderId="3" xfId="5" applyNumberFormat="1" applyFont="1" applyFill="1" applyBorder="1" applyAlignment="1" applyProtection="1">
      <alignment horizontal="center" vertical="center"/>
    </xf>
    <xf numFmtId="0" fontId="8" fillId="7" borderId="2" xfId="23" applyFont="1" applyFill="1" applyBorder="1" applyAlignment="1">
      <alignment vertical="center" wrapText="1"/>
    </xf>
    <xf numFmtId="0" fontId="8" fillId="7" borderId="2" xfId="9" applyFont="1" applyFill="1" applyBorder="1" applyAlignment="1">
      <alignment horizontal="left" vertical="center" wrapText="1"/>
    </xf>
    <xf numFmtId="0" fontId="8" fillId="7" borderId="2" xfId="9" applyFont="1" applyFill="1" applyBorder="1" applyAlignment="1">
      <alignment horizontal="left" vertical="center"/>
    </xf>
    <xf numFmtId="0" fontId="30" fillId="7" borderId="2" xfId="9" applyFont="1" applyFill="1" applyBorder="1" applyAlignment="1">
      <alignment horizontal="left" vertical="center" wrapText="1"/>
    </xf>
    <xf numFmtId="3" fontId="18" fillId="7" borderId="3" xfId="0" applyNumberFormat="1" applyFont="1" applyFill="1" applyBorder="1" applyAlignment="1" applyProtection="1">
      <alignment horizontal="center" vertical="center"/>
    </xf>
    <xf numFmtId="3" fontId="18" fillId="7" borderId="3" xfId="6" applyNumberFormat="1" applyFont="1" applyFill="1" applyBorder="1" applyAlignment="1" applyProtection="1">
      <alignment horizontal="center" vertical="center"/>
    </xf>
    <xf numFmtId="0" fontId="22" fillId="3" borderId="3" xfId="0" applyFont="1" applyFill="1" applyBorder="1" applyAlignment="1" applyProtection="1">
      <alignment horizontal="left"/>
    </xf>
    <xf numFmtId="0" fontId="22" fillId="3" borderId="18" xfId="0" applyFont="1" applyFill="1" applyBorder="1" applyAlignment="1" applyProtection="1">
      <alignment horizontal="left"/>
    </xf>
    <xf numFmtId="0" fontId="21" fillId="3" borderId="5" xfId="0" applyFont="1" applyFill="1" applyBorder="1" applyAlignment="1" applyProtection="1">
      <alignment horizontal="left"/>
    </xf>
    <xf numFmtId="0" fontId="21" fillId="3" borderId="19" xfId="0" applyFont="1" applyFill="1" applyBorder="1" applyAlignment="1" applyProtection="1">
      <alignment horizontal="center"/>
    </xf>
    <xf numFmtId="0" fontId="17" fillId="0" borderId="2" xfId="0" applyFont="1" applyBorder="1" applyAlignment="1" applyProtection="1">
      <alignment horizontal="justify" vertical="center" wrapText="1"/>
    </xf>
    <xf numFmtId="9" fontId="17" fillId="0" borderId="2" xfId="6" applyFont="1" applyBorder="1" applyAlignment="1" applyProtection="1">
      <alignment horizontal="center" vertical="center" wrapText="1"/>
    </xf>
    <xf numFmtId="9" fontId="17" fillId="0" borderId="3" xfId="0" applyNumberFormat="1" applyFont="1" applyBorder="1" applyAlignment="1" applyProtection="1">
      <alignment horizontal="center" vertical="center" wrapText="1"/>
    </xf>
    <xf numFmtId="0" fontId="20" fillId="0" borderId="6" xfId="20" applyFont="1" applyBorder="1" applyAlignment="1" applyProtection="1">
      <alignment horizontal="left" vertical="center" wrapText="1"/>
    </xf>
    <xf numFmtId="3" fontId="36" fillId="11" borderId="3" xfId="0" applyNumberFormat="1" applyFont="1" applyFill="1" applyBorder="1" applyAlignment="1" applyProtection="1">
      <alignment horizontal="center" vertical="center"/>
    </xf>
    <xf numFmtId="9" fontId="36" fillId="11" borderId="3" xfId="6" applyFont="1" applyFill="1" applyBorder="1" applyAlignment="1" applyProtection="1">
      <alignment horizontal="center" vertical="center"/>
    </xf>
    <xf numFmtId="0" fontId="22" fillId="3" borderId="32" xfId="0" applyFont="1" applyFill="1" applyBorder="1"/>
    <xf numFmtId="0" fontId="21" fillId="3" borderId="17" xfId="0" applyFont="1" applyFill="1" applyBorder="1"/>
    <xf numFmtId="0" fontId="17" fillId="0" borderId="1" xfId="1" applyFont="1" applyAlignment="1">
      <alignment horizontal="left" vertical="center"/>
    </xf>
    <xf numFmtId="0" fontId="17" fillId="0" borderId="3" xfId="0" applyFont="1" applyBorder="1" applyAlignment="1">
      <alignment horizontal="center" vertical="center" wrapText="1"/>
    </xf>
    <xf numFmtId="3" fontId="18" fillId="7" borderId="3" xfId="7" applyNumberFormat="1" applyFont="1" applyFill="1" applyBorder="1" applyAlignment="1" applyProtection="1">
      <alignment horizontal="center" vertical="center"/>
    </xf>
    <xf numFmtId="9" fontId="18" fillId="5" borderId="3" xfId="8" applyFont="1" applyFill="1" applyBorder="1" applyAlignment="1" applyProtection="1">
      <alignment horizontal="center" vertical="center"/>
    </xf>
    <xf numFmtId="0" fontId="12" fillId="0" borderId="1" xfId="1" applyFont="1" applyAlignment="1">
      <alignment vertical="center"/>
    </xf>
    <xf numFmtId="0" fontId="12" fillId="0" borderId="1" xfId="1" applyFont="1" applyAlignment="1">
      <alignment horizontal="center" vertical="center"/>
    </xf>
    <xf numFmtId="0" fontId="8" fillId="7" borderId="2" xfId="1" applyFont="1" applyFill="1" applyBorder="1" applyAlignment="1">
      <alignment vertical="center" wrapText="1"/>
    </xf>
    <xf numFmtId="165" fontId="8" fillId="0" borderId="2" xfId="1" applyNumberFormat="1" applyFont="1" applyBorder="1" applyAlignment="1">
      <alignment horizontal="center" vertical="center" wrapText="1"/>
    </xf>
    <xf numFmtId="14" fontId="17" fillId="0" borderId="1" xfId="1" applyNumberFormat="1" applyFont="1" applyAlignment="1" applyProtection="1">
      <alignment vertical="center"/>
      <protection locked="0"/>
    </xf>
    <xf numFmtId="0" fontId="8" fillId="0" borderId="1" xfId="1" applyFont="1" applyAlignment="1">
      <alignment horizontal="center" vertical="center"/>
    </xf>
    <xf numFmtId="0" fontId="6" fillId="0" borderId="1" xfId="1" applyFont="1" applyAlignment="1">
      <alignment horizontal="left" vertical="center"/>
    </xf>
    <xf numFmtId="0" fontId="12" fillId="0" borderId="1" xfId="1" applyFont="1" applyAlignment="1">
      <alignment vertical="center" wrapText="1"/>
    </xf>
    <xf numFmtId="0" fontId="17" fillId="0" borderId="2" xfId="0" applyFont="1" applyBorder="1" applyAlignment="1">
      <alignment horizontal="justify" vertical="center" wrapText="1"/>
    </xf>
    <xf numFmtId="9" fontId="17" fillId="0" borderId="2" xfId="8" applyFont="1" applyBorder="1" applyAlignment="1" applyProtection="1">
      <alignment horizontal="center" vertical="center" wrapText="1"/>
    </xf>
    <xf numFmtId="3" fontId="41" fillId="7" borderId="3" xfId="7" applyNumberFormat="1" applyFont="1" applyFill="1" applyBorder="1" applyAlignment="1" applyProtection="1">
      <alignment horizontal="center" vertical="center"/>
    </xf>
    <xf numFmtId="0" fontId="23" fillId="0" borderId="2" xfId="1" applyFont="1" applyBorder="1" applyAlignment="1">
      <alignment horizontal="center" vertical="top" wrapText="1"/>
    </xf>
    <xf numFmtId="0" fontId="24" fillId="0" borderId="2" xfId="1" applyFont="1" applyBorder="1" applyAlignment="1">
      <alignment horizontal="center" vertical="top" wrapText="1"/>
    </xf>
    <xf numFmtId="0" fontId="23" fillId="7" borderId="2" xfId="1" applyFont="1" applyFill="1" applyBorder="1" applyAlignment="1">
      <alignment horizontal="center" vertical="top" wrapText="1"/>
    </xf>
    <xf numFmtId="0" fontId="24" fillId="7" borderId="2" xfId="1" applyFont="1" applyFill="1" applyBorder="1" applyAlignment="1">
      <alignment horizontal="center" vertical="top" wrapText="1"/>
    </xf>
    <xf numFmtId="3" fontId="36" fillId="11" borderId="31" xfId="0" applyNumberFormat="1" applyFont="1" applyFill="1" applyBorder="1" applyAlignment="1" applyProtection="1">
      <alignment horizontal="center" vertical="center"/>
    </xf>
    <xf numFmtId="9" fontId="17" fillId="0" borderId="3" xfId="8" applyFont="1" applyBorder="1" applyAlignment="1" applyProtection="1">
      <alignment horizontal="center" vertical="center" wrapText="1"/>
    </xf>
    <xf numFmtId="9" fontId="36" fillId="11" borderId="31" xfId="6" applyFont="1" applyFill="1" applyBorder="1" applyAlignment="1" applyProtection="1">
      <alignment horizontal="center" vertical="center"/>
    </xf>
    <xf numFmtId="0" fontId="17" fillId="0" borderId="2" xfId="34" applyFont="1" applyBorder="1" applyAlignment="1" applyProtection="1">
      <alignment horizontal="left" vertical="center" wrapText="1"/>
      <protection locked="0"/>
    </xf>
    <xf numFmtId="0" fontId="20" fillId="0" borderId="6" xfId="34" applyFont="1" applyBorder="1" applyAlignment="1">
      <alignment horizontal="left" vertical="center"/>
    </xf>
    <xf numFmtId="9" fontId="36" fillId="11" borderId="2" xfId="6" applyFont="1" applyFill="1" applyBorder="1" applyAlignment="1" applyProtection="1">
      <alignment horizontal="center" vertical="center"/>
    </xf>
    <xf numFmtId="1" fontId="36" fillId="11" borderId="3" xfId="6" applyNumberFormat="1" applyFont="1" applyFill="1" applyBorder="1" applyAlignment="1" applyProtection="1">
      <alignment horizontal="center" vertical="center"/>
    </xf>
    <xf numFmtId="9" fontId="18" fillId="7" borderId="3" xfId="6" applyFont="1" applyFill="1" applyBorder="1" applyAlignment="1" applyProtection="1">
      <alignment horizontal="center" vertical="center"/>
    </xf>
    <xf numFmtId="9" fontId="36" fillId="7" borderId="3" xfId="6" applyFont="1" applyFill="1" applyBorder="1" applyAlignment="1" applyProtection="1">
      <alignment horizontal="center" vertical="center"/>
    </xf>
    <xf numFmtId="3" fontId="36" fillId="7" borderId="3" xfId="7" applyNumberFormat="1"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9" fontId="19" fillId="4" borderId="9" xfId="3" applyFont="1" applyFill="1" applyBorder="1" applyAlignment="1" applyProtection="1">
      <alignment horizontal="center" vertical="center"/>
    </xf>
    <xf numFmtId="0" fontId="17" fillId="0" borderId="6" xfId="34" applyFont="1" applyBorder="1" applyAlignment="1" applyProtection="1">
      <alignment horizontal="left" vertical="center" wrapText="1"/>
      <protection locked="0"/>
    </xf>
    <xf numFmtId="0" fontId="17" fillId="2" borderId="2" xfId="1" applyFont="1" applyFill="1" applyBorder="1" applyAlignment="1" applyProtection="1">
      <alignment horizontal="center" vertical="center" wrapText="1"/>
      <protection locked="0"/>
    </xf>
    <xf numFmtId="0" fontId="23" fillId="0" borderId="2" xfId="1" applyFont="1" applyFill="1" applyBorder="1" applyAlignment="1" applyProtection="1">
      <alignment horizontal="center" vertical="top" wrapText="1"/>
    </xf>
    <xf numFmtId="0" fontId="24" fillId="0" borderId="2" xfId="1" applyFont="1" applyFill="1" applyBorder="1" applyAlignment="1" applyProtection="1">
      <alignment horizontal="center" vertical="top" wrapText="1"/>
    </xf>
    <xf numFmtId="0" fontId="23" fillId="7" borderId="2" xfId="1" applyFont="1" applyFill="1" applyBorder="1" applyAlignment="1" applyProtection="1">
      <alignment horizontal="center" vertical="top" wrapText="1"/>
    </xf>
    <xf numFmtId="0" fontId="24" fillId="7" borderId="2" xfId="1" applyFont="1" applyFill="1" applyBorder="1" applyAlignment="1" applyProtection="1">
      <alignment horizontal="center" vertical="top" wrapText="1"/>
    </xf>
    <xf numFmtId="0" fontId="8" fillId="7" borderId="2" xfId="1" applyFont="1" applyFill="1" applyBorder="1" applyAlignment="1" applyProtection="1">
      <alignment vertical="center" wrapText="1"/>
    </xf>
    <xf numFmtId="0" fontId="9" fillId="9" borderId="2" xfId="1" applyFont="1" applyFill="1" applyBorder="1" applyAlignment="1" applyProtection="1">
      <alignment horizontal="center" vertical="center" wrapText="1"/>
    </xf>
    <xf numFmtId="0" fontId="20" fillId="0" borderId="6" xfId="34" applyFont="1" applyBorder="1" applyAlignment="1" applyProtection="1">
      <alignment horizontal="left" vertical="center"/>
    </xf>
    <xf numFmtId="165" fontId="8" fillId="0" borderId="2" xfId="1" applyNumberFormat="1" applyFont="1" applyFill="1" applyBorder="1" applyAlignment="1" applyProtection="1">
      <alignment horizontal="center" vertical="center" wrapText="1"/>
    </xf>
    <xf numFmtId="3" fontId="18" fillId="7" borderId="3" xfId="8" applyNumberFormat="1" applyFont="1" applyFill="1" applyBorder="1" applyAlignment="1" applyProtection="1">
      <alignment horizontal="center" vertical="center"/>
    </xf>
    <xf numFmtId="0" fontId="20" fillId="0" borderId="6" xfId="34" applyFont="1" applyBorder="1" applyAlignment="1" applyProtection="1">
      <alignment horizontal="left" vertical="center" wrapText="1"/>
    </xf>
    <xf numFmtId="9" fontId="18" fillId="7" borderId="3" xfId="8"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1" fontId="36" fillId="18" borderId="3" xfId="6" applyNumberFormat="1" applyFont="1" applyFill="1" applyBorder="1" applyAlignment="1" applyProtection="1">
      <alignment horizontal="center" vertical="center"/>
    </xf>
    <xf numFmtId="9" fontId="36" fillId="18" borderId="3" xfId="6" applyFont="1" applyFill="1" applyBorder="1" applyAlignment="1" applyProtection="1">
      <alignment horizontal="center" vertical="center"/>
    </xf>
    <xf numFmtId="9" fontId="8" fillId="4" borderId="9" xfId="3" applyFont="1" applyFill="1" applyBorder="1" applyAlignment="1" applyProtection="1">
      <alignment horizontal="center" vertical="center"/>
    </xf>
    <xf numFmtId="1" fontId="17" fillId="0" borderId="2" xfId="8" applyNumberFormat="1" applyFont="1" applyBorder="1" applyAlignment="1" applyProtection="1">
      <alignment horizontal="center" vertical="center" wrapText="1"/>
    </xf>
    <xf numFmtId="9" fontId="36" fillId="7" borderId="3" xfId="8" applyFont="1" applyFill="1" applyBorder="1" applyAlignment="1" applyProtection="1">
      <alignment horizontal="center" vertical="center"/>
    </xf>
    <xf numFmtId="1" fontId="36" fillId="7" borderId="3" xfId="38" applyNumberFormat="1" applyFont="1" applyFill="1" applyBorder="1" applyAlignment="1" applyProtection="1">
      <alignment horizontal="center" vertical="center"/>
    </xf>
    <xf numFmtId="3" fontId="36" fillId="7" borderId="3" xfId="36" applyNumberFormat="1" applyFont="1" applyFill="1" applyBorder="1" applyAlignment="1" applyProtection="1">
      <alignment horizontal="center" vertical="center"/>
    </xf>
    <xf numFmtId="9" fontId="36" fillId="0" borderId="3" xfId="36" applyNumberFormat="1" applyFont="1" applyBorder="1" applyAlignment="1" applyProtection="1">
      <alignment horizontal="center" vertical="center" wrapText="1"/>
      <protection locked="0"/>
    </xf>
    <xf numFmtId="4" fontId="36" fillId="7" borderId="3" xfId="36" applyNumberFormat="1" applyFont="1" applyFill="1" applyBorder="1" applyAlignment="1" applyProtection="1">
      <alignment horizontal="center" vertical="center"/>
    </xf>
    <xf numFmtId="0" fontId="0" fillId="0" borderId="0" xfId="0" applyProtection="1"/>
    <xf numFmtId="0" fontId="32" fillId="0" borderId="2" xfId="0" applyFont="1" applyBorder="1" applyAlignment="1" applyProtection="1">
      <alignment vertical="center"/>
    </xf>
    <xf numFmtId="0" fontId="32"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6" fillId="0" borderId="34" xfId="0" applyFont="1" applyBorder="1" applyAlignment="1" applyProtection="1">
      <alignment vertical="center"/>
    </xf>
    <xf numFmtId="0" fontId="46" fillId="0" borderId="1" xfId="0" applyFont="1" applyBorder="1" applyAlignment="1" applyProtection="1">
      <alignment vertical="center"/>
    </xf>
    <xf numFmtId="0" fontId="46" fillId="0" borderId="36" xfId="0" applyFont="1" applyBorder="1" applyAlignment="1" applyProtection="1">
      <alignment vertical="center"/>
    </xf>
    <xf numFmtId="0" fontId="47" fillId="0" borderId="34" xfId="0" applyFont="1" applyBorder="1" applyAlignment="1" applyProtection="1">
      <alignment vertical="center"/>
    </xf>
    <xf numFmtId="0" fontId="30" fillId="0" borderId="36" xfId="0" applyFont="1" applyFill="1" applyBorder="1" applyAlignment="1" applyProtection="1">
      <alignment vertical="center" wrapText="1"/>
    </xf>
    <xf numFmtId="0" fontId="47" fillId="0" borderId="36" xfId="0" applyFont="1" applyBorder="1" applyAlignment="1" applyProtection="1">
      <alignment vertical="center"/>
    </xf>
    <xf numFmtId="0" fontId="44" fillId="0" borderId="34" xfId="0" applyFont="1" applyBorder="1" applyAlignment="1" applyProtection="1"/>
    <xf numFmtId="14" fontId="17"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4" fillId="0" borderId="1" xfId="0" applyFont="1" applyBorder="1" applyAlignment="1" applyProtection="1">
      <alignment vertical="center"/>
    </xf>
    <xf numFmtId="0" fontId="0" fillId="0" borderId="1" xfId="0" applyBorder="1" applyAlignment="1" applyProtection="1">
      <alignment vertical="center"/>
    </xf>
    <xf numFmtId="0" fontId="44" fillId="0" borderId="36" xfId="0" applyFont="1" applyBorder="1" applyAlignment="1" applyProtection="1">
      <alignment vertical="center"/>
    </xf>
    <xf numFmtId="0" fontId="0" fillId="0" borderId="1" xfId="0" applyBorder="1" applyAlignment="1" applyProtection="1">
      <alignment horizontal="center"/>
    </xf>
    <xf numFmtId="0" fontId="0" fillId="0" borderId="36" xfId="0" applyBorder="1" applyAlignment="1" applyProtection="1">
      <alignment horizontal="center"/>
    </xf>
    <xf numFmtId="0" fontId="44"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49" fillId="9" borderId="2" xfId="0" applyFont="1" applyFill="1" applyBorder="1" applyAlignment="1" applyProtection="1">
      <alignment vertical="center"/>
    </xf>
    <xf numFmtId="0" fontId="21"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4" fillId="0" borderId="1" xfId="0" applyFont="1" applyBorder="1" applyAlignment="1" applyProtection="1"/>
    <xf numFmtId="0" fontId="44" fillId="0" borderId="1" xfId="0" applyFont="1" applyBorder="1" applyProtection="1"/>
    <xf numFmtId="0" fontId="44" fillId="0" borderId="1" xfId="0" applyFont="1" applyBorder="1" applyAlignment="1" applyProtection="1">
      <alignment horizontal="center"/>
    </xf>
    <xf numFmtId="0" fontId="48" fillId="0" borderId="1" xfId="0" applyFont="1" applyBorder="1" applyAlignment="1" applyProtection="1"/>
    <xf numFmtId="0" fontId="49" fillId="0" borderId="1"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horizontal="center" vertical="center"/>
    </xf>
    <xf numFmtId="0" fontId="6" fillId="0" borderId="0" xfId="0" applyFont="1" applyAlignment="1" applyProtection="1">
      <alignment vertical="center"/>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6" fillId="0" borderId="1" xfId="0" applyFont="1" applyBorder="1" applyAlignment="1" applyProtection="1">
      <alignment vertical="center"/>
    </xf>
    <xf numFmtId="3" fontId="17" fillId="0" borderId="2" xfId="0" applyNumberFormat="1"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3" xfId="0" applyNumberFormat="1" applyFont="1" applyBorder="1" applyAlignment="1" applyProtection="1">
      <alignment horizontal="justify" vertical="center" wrapText="1"/>
    </xf>
    <xf numFmtId="0" fontId="17" fillId="0" borderId="31" xfId="0" applyFont="1" applyBorder="1" applyAlignment="1" applyProtection="1">
      <alignment horizontal="justify" vertical="center" wrapText="1"/>
    </xf>
    <xf numFmtId="0" fontId="17" fillId="0" borderId="6" xfId="20" applyFont="1" applyBorder="1" applyAlignment="1" applyProtection="1">
      <alignment horizontal="justify" vertical="center" wrapText="1"/>
    </xf>
    <xf numFmtId="3" fontId="36" fillId="0" borderId="3" xfId="5" applyNumberFormat="1" applyFont="1" applyBorder="1" applyAlignment="1" applyProtection="1">
      <alignment horizontal="center" vertical="center" wrapText="1"/>
    </xf>
    <xf numFmtId="9" fontId="36" fillId="0" borderId="3" xfId="6" applyFont="1" applyBorder="1" applyAlignment="1" applyProtection="1">
      <alignment horizontal="center" vertical="center" wrapText="1"/>
    </xf>
    <xf numFmtId="0" fontId="17" fillId="0" borderId="31" xfId="20" applyFont="1" applyBorder="1" applyAlignment="1" applyProtection="1">
      <alignment horizontal="justify" vertical="center" wrapText="1"/>
    </xf>
    <xf numFmtId="9" fontId="17" fillId="0" borderId="2" xfId="8" applyFont="1" applyFill="1" applyBorder="1" applyAlignment="1" applyProtection="1">
      <alignment horizontal="center" vertical="center" wrapText="1"/>
    </xf>
    <xf numFmtId="0" fontId="17" fillId="0" borderId="2" xfId="20" applyFont="1" applyBorder="1" applyAlignment="1" applyProtection="1">
      <alignment horizontal="justify" vertical="center" wrapText="1"/>
    </xf>
    <xf numFmtId="0" fontId="17" fillId="0" borderId="12" xfId="0" applyFont="1" applyBorder="1" applyAlignment="1" applyProtection="1">
      <alignment horizontal="justify" vertical="center" wrapText="1"/>
    </xf>
    <xf numFmtId="0" fontId="17" fillId="0" borderId="10" xfId="20" applyFont="1" applyBorder="1" applyAlignment="1" applyProtection="1">
      <alignment horizontal="justify" vertical="center" wrapText="1"/>
    </xf>
    <xf numFmtId="0" fontId="17" fillId="18" borderId="2" xfId="0" applyFont="1" applyFill="1" applyBorder="1" applyAlignment="1" applyProtection="1">
      <alignment horizontal="justify" vertical="center" wrapText="1"/>
    </xf>
    <xf numFmtId="9" fontId="17" fillId="18" borderId="2" xfId="8" applyFont="1" applyFill="1" applyBorder="1" applyAlignment="1" applyProtection="1">
      <alignment horizontal="center" vertical="center" wrapText="1"/>
    </xf>
    <xf numFmtId="3" fontId="17" fillId="18" borderId="2" xfId="0" applyNumberFormat="1" applyFont="1" applyFill="1" applyBorder="1" applyAlignment="1" applyProtection="1">
      <alignment horizontal="center" vertical="center" wrapText="1"/>
    </xf>
    <xf numFmtId="0" fontId="17" fillId="18" borderId="3" xfId="0" applyFont="1" applyFill="1" applyBorder="1" applyAlignment="1" applyProtection="1">
      <alignment horizontal="center" vertical="center" wrapText="1"/>
    </xf>
    <xf numFmtId="0" fontId="17" fillId="18" borderId="3" xfId="0" applyFont="1" applyFill="1" applyBorder="1" applyAlignment="1" applyProtection="1">
      <alignment horizontal="justify" vertical="center" wrapText="1"/>
    </xf>
    <xf numFmtId="0" fontId="17" fillId="18" borderId="31" xfId="0" applyFont="1" applyFill="1" applyBorder="1" applyAlignment="1" applyProtection="1">
      <alignment horizontal="justify" vertical="center" wrapText="1"/>
    </xf>
    <xf numFmtId="0" fontId="17" fillId="18" borderId="6" xfId="20" applyFont="1" applyFill="1" applyBorder="1" applyAlignment="1" applyProtection="1">
      <alignment horizontal="justify" vertical="center" wrapText="1"/>
    </xf>
    <xf numFmtId="3" fontId="36" fillId="18" borderId="3" xfId="5" applyNumberFormat="1" applyFont="1" applyFill="1" applyBorder="1" applyAlignment="1" applyProtection="1">
      <alignment horizontal="center" vertical="center" wrapText="1"/>
    </xf>
    <xf numFmtId="0" fontId="17" fillId="0" borderId="11" xfId="20" applyFont="1" applyBorder="1" applyAlignment="1" applyProtection="1">
      <alignment horizontal="justify" vertical="center" wrapText="1"/>
    </xf>
    <xf numFmtId="3" fontId="36" fillId="0" borderId="2" xfId="5" applyNumberFormat="1" applyFont="1" applyBorder="1" applyAlignment="1" applyProtection="1">
      <alignment horizontal="center" vertical="center" wrapText="1"/>
    </xf>
    <xf numFmtId="9" fontId="17" fillId="0" borderId="2" xfId="0" applyNumberFormat="1" applyFont="1" applyBorder="1" applyAlignment="1" applyProtection="1">
      <alignment horizontal="center" vertical="center" wrapText="1"/>
    </xf>
    <xf numFmtId="9" fontId="38" fillId="0" borderId="2" xfId="0" applyNumberFormat="1" applyFont="1" applyBorder="1" applyAlignment="1" applyProtection="1">
      <alignment horizontal="center" vertical="center" wrapText="1" readingOrder="1"/>
    </xf>
    <xf numFmtId="0" fontId="39" fillId="0" borderId="2" xfId="0" applyFont="1" applyBorder="1" applyAlignment="1" applyProtection="1">
      <alignment horizontal="center" vertical="center" wrapText="1" readingOrder="1"/>
    </xf>
    <xf numFmtId="0" fontId="36" fillId="0" borderId="2" xfId="0" applyFont="1" applyBorder="1" applyAlignment="1" applyProtection="1">
      <alignment horizontal="justify" vertical="top" wrapText="1" readingOrder="1"/>
    </xf>
    <xf numFmtId="9" fontId="17" fillId="18" borderId="2" xfId="6" applyFont="1" applyFill="1" applyBorder="1" applyAlignment="1" applyProtection="1">
      <alignment horizontal="center" vertical="center" wrapText="1"/>
    </xf>
    <xf numFmtId="9" fontId="17" fillId="18" borderId="2" xfId="0"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justify" vertical="center" wrapText="1"/>
    </xf>
    <xf numFmtId="0" fontId="17" fillId="18" borderId="2" xfId="20" applyFont="1" applyFill="1" applyBorder="1" applyAlignment="1" applyProtection="1">
      <alignment horizontal="justify" vertical="center" wrapText="1"/>
    </xf>
    <xf numFmtId="9" fontId="36" fillId="18" borderId="2" xfId="5" applyNumberFormat="1" applyFont="1" applyFill="1" applyBorder="1" applyAlignment="1" applyProtection="1">
      <alignment horizontal="center" vertical="center" wrapText="1"/>
    </xf>
    <xf numFmtId="0" fontId="17" fillId="18" borderId="2" xfId="0" applyNumberFormat="1" applyFont="1" applyFill="1" applyBorder="1" applyAlignment="1" applyProtection="1">
      <alignment horizontal="center" vertical="center" wrapText="1"/>
    </xf>
    <xf numFmtId="9" fontId="17" fillId="0" borderId="2" xfId="6" applyFont="1" applyBorder="1" applyAlignment="1" applyProtection="1">
      <alignment horizontal="justify" vertical="center" wrapText="1"/>
    </xf>
    <xf numFmtId="9" fontId="36" fillId="0" borderId="3" xfId="5" applyNumberFormat="1" applyFont="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1" fontId="17" fillId="0" borderId="2" xfId="0" applyNumberFormat="1" applyFont="1" applyBorder="1" applyAlignment="1" applyProtection="1">
      <alignment horizontal="center" vertical="center" wrapText="1"/>
    </xf>
    <xf numFmtId="1" fontId="36" fillId="0" borderId="3" xfId="5" applyNumberFormat="1" applyFont="1" applyBorder="1" applyAlignment="1" applyProtection="1">
      <alignment horizontal="center" vertical="center" wrapText="1"/>
    </xf>
    <xf numFmtId="9" fontId="17" fillId="0" borderId="3" xfId="6" applyFont="1" applyBorder="1" applyAlignment="1" applyProtection="1">
      <alignment horizontal="center" vertical="center" wrapText="1"/>
    </xf>
    <xf numFmtId="9" fontId="17" fillId="0" borderId="3" xfId="6" applyFont="1" applyBorder="1" applyAlignment="1" applyProtection="1">
      <alignment horizontal="justify" vertical="center" wrapText="1"/>
    </xf>
    <xf numFmtId="9" fontId="17" fillId="18" borderId="3" xfId="0" applyNumberFormat="1" applyFont="1" applyFill="1" applyBorder="1" applyAlignment="1" applyProtection="1">
      <alignment horizontal="center" vertical="center" wrapText="1"/>
    </xf>
    <xf numFmtId="0" fontId="17" fillId="18" borderId="3" xfId="9" applyFont="1" applyFill="1" applyBorder="1" applyAlignment="1" applyProtection="1">
      <alignment horizontal="justify" vertical="center" wrapText="1"/>
    </xf>
    <xf numFmtId="0" fontId="17" fillId="18" borderId="31" xfId="9" applyFont="1" applyFill="1" applyBorder="1" applyAlignment="1" applyProtection="1">
      <alignment horizontal="justify" vertical="center" wrapText="1"/>
    </xf>
    <xf numFmtId="0" fontId="17" fillId="18" borderId="2" xfId="34" applyFont="1" applyFill="1" applyBorder="1" applyAlignment="1" applyProtection="1">
      <alignment horizontal="justify" vertical="center" wrapText="1"/>
    </xf>
    <xf numFmtId="9" fontId="36" fillId="18" borderId="3" xfId="5" applyNumberFormat="1" applyFont="1" applyFill="1" applyBorder="1" applyAlignment="1" applyProtection="1">
      <alignment horizontal="center" vertical="center" wrapText="1"/>
    </xf>
    <xf numFmtId="9" fontId="17" fillId="18" borderId="2" xfId="34" applyNumberFormat="1" applyFont="1" applyFill="1" applyBorder="1" applyAlignment="1" applyProtection="1">
      <alignment horizontal="center" vertical="center" wrapText="1"/>
    </xf>
    <xf numFmtId="0" fontId="17" fillId="18" borderId="2" xfId="9" applyFont="1" applyFill="1" applyBorder="1" applyAlignment="1" applyProtection="1">
      <alignment horizontal="justify" vertical="center" wrapText="1"/>
    </xf>
    <xf numFmtId="0" fontId="17" fillId="18" borderId="2" xfId="9" applyFont="1" applyFill="1" applyBorder="1" applyAlignment="1" applyProtection="1">
      <alignment horizontal="center" vertical="center" wrapText="1"/>
    </xf>
    <xf numFmtId="0" fontId="17" fillId="18" borderId="3" xfId="9" applyFont="1" applyFill="1" applyBorder="1" applyAlignment="1" applyProtection="1">
      <alignment horizontal="center" vertical="center" wrapText="1"/>
    </xf>
    <xf numFmtId="1" fontId="36" fillId="18" borderId="3" xfId="5" applyNumberFormat="1" applyFont="1" applyFill="1" applyBorder="1" applyAlignment="1" applyProtection="1">
      <alignment horizontal="center" vertical="center" wrapText="1"/>
    </xf>
    <xf numFmtId="10" fontId="17" fillId="0" borderId="3" xfId="0" applyNumberFormat="1"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17" fillId="0" borderId="3" xfId="32" applyFont="1" applyBorder="1" applyAlignment="1" applyProtection="1">
      <alignment horizontal="justify" vertical="center" wrapText="1"/>
    </xf>
    <xf numFmtId="1" fontId="41" fillId="0" borderId="3" xfId="36" applyNumberFormat="1" applyFont="1" applyFill="1" applyBorder="1" applyAlignment="1" applyProtection="1">
      <alignment horizontal="center" vertical="center" wrapText="1"/>
    </xf>
    <xf numFmtId="0" fontId="17" fillId="0" borderId="6" xfId="34" applyFont="1" applyBorder="1" applyAlignment="1" applyProtection="1">
      <alignment horizontal="justify" vertical="center" wrapText="1"/>
    </xf>
    <xf numFmtId="9" fontId="17" fillId="0" borderId="3" xfId="36" applyNumberFormat="1" applyFont="1" applyBorder="1" applyAlignment="1" applyProtection="1">
      <alignment horizontal="center" vertical="center" wrapText="1"/>
    </xf>
    <xf numFmtId="1" fontId="17" fillId="18" borderId="2" xfId="0" applyNumberFormat="1" applyFont="1" applyFill="1" applyBorder="1" applyAlignment="1" applyProtection="1">
      <alignment horizontal="center" vertical="center" wrapText="1"/>
    </xf>
    <xf numFmtId="167" fontId="17" fillId="18" borderId="3" xfId="36" applyNumberFormat="1" applyFont="1" applyFill="1" applyBorder="1" applyAlignment="1" applyProtection="1">
      <alignment horizontal="center" vertical="center" wrapText="1"/>
    </xf>
    <xf numFmtId="0" fontId="17" fillId="18" borderId="2" xfId="0" applyFont="1" applyFill="1" applyBorder="1" applyAlignment="1" applyProtection="1">
      <alignment horizontal="center" vertical="center" wrapText="1"/>
    </xf>
    <xf numFmtId="0" fontId="17" fillId="18" borderId="3" xfId="36" applyNumberFormat="1" applyFont="1" applyFill="1" applyBorder="1" applyAlignment="1" applyProtection="1">
      <alignment horizontal="center" vertical="center" wrapText="1"/>
    </xf>
    <xf numFmtId="0" fontId="42" fillId="18" borderId="2" xfId="0" applyFont="1" applyFill="1" applyBorder="1" applyAlignment="1" applyProtection="1">
      <alignment horizontal="justify" vertical="center" wrapText="1"/>
    </xf>
    <xf numFmtId="0" fontId="17" fillId="0" borderId="3" xfId="34" applyFont="1" applyBorder="1" applyAlignment="1" applyProtection="1">
      <alignment horizontal="justify" vertical="center" wrapText="1"/>
    </xf>
    <xf numFmtId="0" fontId="36" fillId="18" borderId="2" xfId="0" applyFont="1" applyFill="1" applyBorder="1" applyAlignment="1" applyProtection="1">
      <alignment horizontal="justify" vertical="top" wrapText="1" readingOrder="1"/>
    </xf>
    <xf numFmtId="0" fontId="17" fillId="18" borderId="6" xfId="34" applyFont="1" applyFill="1" applyBorder="1" applyAlignment="1" applyProtection="1">
      <alignment horizontal="justify" vertical="center" wrapText="1"/>
    </xf>
    <xf numFmtId="1" fontId="17" fillId="18" borderId="3" xfId="5" applyNumberFormat="1" applyFont="1" applyFill="1" applyBorder="1" applyAlignment="1" applyProtection="1">
      <alignment horizontal="center" vertical="center" wrapText="1"/>
    </xf>
    <xf numFmtId="0" fontId="39" fillId="0" borderId="5" xfId="0" applyFont="1" applyBorder="1" applyAlignment="1" applyProtection="1">
      <alignment horizontal="justify" vertical="top" wrapText="1"/>
    </xf>
    <xf numFmtId="0" fontId="17" fillId="0" borderId="3" xfId="36" applyNumberFormat="1" applyFont="1" applyBorder="1" applyAlignment="1" applyProtection="1">
      <alignment horizontal="center" vertical="center" wrapText="1"/>
    </xf>
    <xf numFmtId="0" fontId="39" fillId="0" borderId="2" xfId="0" applyFont="1" applyBorder="1" applyAlignment="1" applyProtection="1">
      <alignment horizontal="justify" vertical="top" wrapText="1"/>
    </xf>
    <xf numFmtId="0" fontId="39" fillId="3" borderId="2" xfId="0" applyFont="1" applyFill="1" applyBorder="1" applyAlignment="1" applyProtection="1">
      <alignment horizontal="justify" vertical="top" wrapText="1"/>
    </xf>
    <xf numFmtId="0" fontId="12" fillId="0" borderId="1" xfId="1" applyFont="1" applyBorder="1" applyAlignment="1" applyProtection="1">
      <alignment horizontal="center" vertical="center"/>
    </xf>
    <xf numFmtId="0" fontId="12" fillId="0" borderId="1" xfId="1" applyFont="1" applyBorder="1" applyAlignment="1" applyProtection="1">
      <alignment vertical="center"/>
    </xf>
    <xf numFmtId="0" fontId="6" fillId="0" borderId="1" xfId="1" applyFont="1" applyBorder="1" applyAlignment="1" applyProtection="1">
      <alignment horizontal="left" vertical="center"/>
    </xf>
    <xf numFmtId="0" fontId="22" fillId="3" borderId="32" xfId="0" applyFont="1" applyFill="1" applyBorder="1" applyAlignment="1" applyProtection="1"/>
    <xf numFmtId="0" fontId="21" fillId="3" borderId="17" xfId="0" applyFont="1" applyFill="1" applyBorder="1" applyAlignment="1" applyProtection="1"/>
    <xf numFmtId="0" fontId="22" fillId="3" borderId="31" xfId="0" applyFont="1" applyFill="1" applyBorder="1" applyAlignment="1" applyProtection="1">
      <alignment horizontal="left"/>
    </xf>
    <xf numFmtId="0" fontId="21" fillId="3" borderId="10" xfId="0" applyFont="1" applyFill="1" applyBorder="1" applyAlignment="1" applyProtection="1">
      <alignment horizontal="left"/>
    </xf>
    <xf numFmtId="0" fontId="22" fillId="3" borderId="33" xfId="0" applyFont="1" applyFill="1" applyBorder="1" applyAlignment="1" applyProtection="1"/>
    <xf numFmtId="0" fontId="21" fillId="3" borderId="21" xfId="0" applyFont="1" applyFill="1" applyBorder="1" applyAlignment="1" applyProtection="1"/>
    <xf numFmtId="0" fontId="34" fillId="0" borderId="2" xfId="0" applyFont="1" applyBorder="1" applyAlignment="1" applyProtection="1">
      <alignment vertical="center"/>
    </xf>
    <xf numFmtId="0" fontId="17" fillId="0" borderId="1" xfId="0" applyFont="1" applyBorder="1" applyAlignment="1" applyProtection="1">
      <alignment vertical="center"/>
    </xf>
    <xf numFmtId="0" fontId="17" fillId="2" borderId="2" xfId="1" applyFont="1" applyFill="1" applyBorder="1" applyAlignment="1" applyProtection="1">
      <alignment horizontal="center" vertical="center" wrapText="1"/>
    </xf>
    <xf numFmtId="0" fontId="17" fillId="0" borderId="2" xfId="20" applyNumberFormat="1" applyFont="1" applyBorder="1" applyAlignment="1" applyProtection="1">
      <alignment horizontal="left" vertical="center" wrapText="1"/>
    </xf>
    <xf numFmtId="0" fontId="17" fillId="0" borderId="6" xfId="20" applyFont="1" applyBorder="1" applyAlignment="1" applyProtection="1">
      <alignment horizontal="left" vertical="center" wrapText="1"/>
    </xf>
    <xf numFmtId="0" fontId="17" fillId="0" borderId="6" xfId="34" applyFont="1" applyBorder="1" applyAlignment="1" applyProtection="1">
      <alignment horizontal="left" vertical="center" wrapText="1"/>
    </xf>
    <xf numFmtId="9" fontId="18" fillId="0" borderId="3" xfId="6" applyFont="1" applyBorder="1" applyAlignment="1" applyProtection="1">
      <alignment horizontal="center" vertical="center" wrapText="1"/>
    </xf>
    <xf numFmtId="9" fontId="18" fillId="0" borderId="3" xfId="6" applyFont="1" applyFill="1" applyBorder="1" applyAlignment="1" applyProtection="1">
      <alignment horizontal="center" vertical="center" wrapText="1"/>
    </xf>
    <xf numFmtId="0" fontId="17" fillId="0" borderId="2" xfId="34" applyNumberFormat="1" applyFont="1" applyBorder="1" applyAlignment="1" applyProtection="1">
      <alignment horizontal="left" vertical="center" wrapText="1"/>
    </xf>
    <xf numFmtId="9" fontId="18" fillId="0" borderId="3" xfId="8" applyFont="1" applyBorder="1" applyAlignment="1" applyProtection="1">
      <alignment horizontal="center" vertical="center" wrapText="1"/>
    </xf>
    <xf numFmtId="9" fontId="18" fillId="0" borderId="3" xfId="8" applyFont="1" applyFill="1" applyBorder="1" applyAlignment="1" applyProtection="1">
      <alignment horizontal="center" vertical="center" wrapText="1"/>
    </xf>
    <xf numFmtId="0" fontId="18" fillId="0" borderId="3" xfId="5" applyNumberFormat="1" applyFont="1" applyBorder="1" applyAlignment="1" applyProtection="1">
      <alignment horizontal="center" vertical="center" wrapText="1"/>
    </xf>
    <xf numFmtId="0" fontId="18" fillId="0" borderId="3" xfId="5" applyNumberFormat="1" applyFont="1" applyFill="1" applyBorder="1" applyAlignment="1" applyProtection="1">
      <alignment horizontal="center" vertical="center" wrapText="1"/>
    </xf>
    <xf numFmtId="0" fontId="18" fillId="0" borderId="3" xfId="7" applyNumberFormat="1" applyFont="1" applyBorder="1" applyAlignment="1" applyProtection="1">
      <alignment horizontal="center" vertical="center" wrapText="1"/>
    </xf>
    <xf numFmtId="0" fontId="18" fillId="0" borderId="3" xfId="7" applyNumberFormat="1"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14" fontId="17" fillId="0" borderId="1" xfId="1" applyNumberFormat="1" applyFont="1" applyBorder="1" applyAlignment="1" applyProtection="1">
      <alignment vertical="center"/>
    </xf>
    <xf numFmtId="0" fontId="8" fillId="0" borderId="1" xfId="1" applyFont="1" applyFill="1" applyBorder="1" applyAlignment="1" applyProtection="1">
      <alignment horizontal="center" vertical="center"/>
    </xf>
    <xf numFmtId="0" fontId="12" fillId="0" borderId="1" xfId="1" applyFont="1" applyFill="1" applyBorder="1" applyAlignment="1" applyProtection="1">
      <alignment vertical="center"/>
    </xf>
    <xf numFmtId="0" fontId="12" fillId="0" borderId="1" xfId="1" applyFont="1" applyBorder="1" applyAlignment="1" applyProtection="1">
      <alignment vertical="center" wrapText="1"/>
    </xf>
    <xf numFmtId="0" fontId="22" fillId="3" borderId="32" xfId="0" applyFont="1" applyFill="1" applyBorder="1" applyProtection="1"/>
    <xf numFmtId="0" fontId="21" fillId="3" borderId="17" xfId="0" applyFont="1" applyFill="1" applyBorder="1" applyProtection="1"/>
    <xf numFmtId="0" fontId="17" fillId="0" borderId="1" xfId="1" applyFont="1" applyAlignment="1" applyProtection="1">
      <alignment horizontal="left" vertical="center"/>
    </xf>
    <xf numFmtId="0" fontId="23" fillId="0" borderId="2" xfId="1" applyFont="1" applyBorder="1" applyAlignment="1" applyProtection="1">
      <alignment horizontal="center" vertical="top" wrapText="1"/>
    </xf>
    <xf numFmtId="0" fontId="24" fillId="0" borderId="2" xfId="1" applyFont="1" applyBorder="1" applyAlignment="1" applyProtection="1">
      <alignment horizontal="center" vertical="top" wrapText="1"/>
    </xf>
    <xf numFmtId="0" fontId="17" fillId="0" borderId="2" xfId="34" applyFont="1" applyBorder="1" applyAlignment="1" applyProtection="1">
      <alignment horizontal="left" vertical="center" wrapText="1"/>
    </xf>
    <xf numFmtId="0" fontId="17" fillId="0" borderId="6" xfId="34" applyFont="1" applyBorder="1" applyAlignment="1" applyProtection="1">
      <alignment horizontal="center" vertical="center" wrapText="1"/>
    </xf>
    <xf numFmtId="0" fontId="36" fillId="0" borderId="3" xfId="36" applyNumberFormat="1" applyFont="1" applyBorder="1" applyAlignment="1" applyProtection="1">
      <alignment horizontal="center" vertical="center" wrapText="1"/>
    </xf>
    <xf numFmtId="0" fontId="36" fillId="0" borderId="3" xfId="36" applyNumberFormat="1" applyFont="1" applyFill="1" applyBorder="1" applyAlignment="1" applyProtection="1">
      <alignment horizontal="center" vertical="center" wrapText="1"/>
    </xf>
    <xf numFmtId="3" fontId="36" fillId="7" borderId="3" xfId="0" applyNumberFormat="1" applyFont="1" applyFill="1" applyBorder="1" applyAlignment="1" applyProtection="1">
      <alignment horizontal="center" vertical="center"/>
    </xf>
    <xf numFmtId="0" fontId="17" fillId="0" borderId="2" xfId="1" applyFont="1" applyBorder="1" applyAlignment="1" applyProtection="1">
      <alignment horizontal="center" vertical="center" wrapText="1"/>
    </xf>
    <xf numFmtId="0" fontId="12" fillId="0" borderId="1" xfId="1" applyFont="1" applyAlignment="1" applyProtection="1">
      <alignment horizontal="center" vertical="center"/>
    </xf>
    <xf numFmtId="0" fontId="12" fillId="0" borderId="1" xfId="1" applyFont="1" applyAlignment="1" applyProtection="1">
      <alignment vertical="center"/>
    </xf>
    <xf numFmtId="165" fontId="8" fillId="0" borderId="2" xfId="1" applyNumberFormat="1" applyFont="1" applyBorder="1" applyAlignment="1" applyProtection="1">
      <alignment horizontal="center" vertical="center" wrapText="1"/>
    </xf>
    <xf numFmtId="14" fontId="17" fillId="0" borderId="1" xfId="1" applyNumberFormat="1" applyFont="1" applyAlignment="1" applyProtection="1">
      <alignment vertical="center"/>
    </xf>
    <xf numFmtId="0" fontId="8" fillId="0" borderId="1" xfId="1" applyFont="1" applyAlignment="1" applyProtection="1">
      <alignment horizontal="center" vertical="center"/>
    </xf>
    <xf numFmtId="0" fontId="6" fillId="0" borderId="1" xfId="1" applyFont="1" applyAlignment="1" applyProtection="1">
      <alignment horizontal="left" vertical="center"/>
    </xf>
    <xf numFmtId="0" fontId="12" fillId="0" borderId="1" xfId="1" applyFont="1" applyAlignment="1" applyProtection="1">
      <alignment vertical="center" wrapText="1"/>
    </xf>
    <xf numFmtId="0" fontId="17" fillId="0" borderId="2" xfId="34" applyFont="1" applyBorder="1" applyAlignment="1" applyProtection="1">
      <alignment horizontal="center" vertical="center" wrapText="1"/>
    </xf>
    <xf numFmtId="0" fontId="17" fillId="0" borderId="2" xfId="0" applyFont="1" applyBorder="1" applyAlignment="1" applyProtection="1">
      <alignment vertical="center" wrapText="1"/>
    </xf>
    <xf numFmtId="0" fontId="23" fillId="0" borderId="2" xfId="1" applyFont="1" applyBorder="1" applyAlignment="1" applyProtection="1">
      <alignment horizontal="center" vertical="center" wrapText="1"/>
    </xf>
    <xf numFmtId="0" fontId="24" fillId="0" borderId="2" xfId="1" applyFont="1" applyBorder="1" applyAlignment="1" applyProtection="1">
      <alignment horizontal="center" vertical="center" wrapText="1"/>
    </xf>
    <xf numFmtId="0" fontId="23" fillId="7" borderId="2" xfId="1" applyFont="1" applyFill="1" applyBorder="1" applyAlignment="1" applyProtection="1">
      <alignment horizontal="center" vertical="center" wrapText="1"/>
    </xf>
    <xf numFmtId="0" fontId="24" fillId="7" borderId="2" xfId="1" applyFont="1" applyFill="1" applyBorder="1" applyAlignment="1" applyProtection="1">
      <alignment horizontal="center" vertical="center" wrapText="1"/>
    </xf>
    <xf numFmtId="0" fontId="17" fillId="0" borderId="6" xfId="20" applyFont="1" applyBorder="1" applyAlignment="1" applyProtection="1">
      <alignment horizontal="center" vertical="center" wrapText="1"/>
    </xf>
    <xf numFmtId="0" fontId="41" fillId="0" borderId="3" xfId="7" applyNumberFormat="1" applyFont="1" applyBorder="1" applyAlignment="1" applyProtection="1">
      <alignment horizontal="center" vertical="center" wrapText="1"/>
    </xf>
    <xf numFmtId="0" fontId="41" fillId="0" borderId="3" xfId="7" applyNumberFormat="1" applyFont="1" applyFill="1" applyBorder="1" applyAlignment="1" applyProtection="1">
      <alignment horizontal="center" vertical="center" wrapText="1"/>
    </xf>
    <xf numFmtId="3" fontId="41" fillId="7" borderId="3" xfId="0" applyNumberFormat="1" applyFont="1" applyFill="1" applyBorder="1" applyAlignment="1" applyProtection="1">
      <alignment horizontal="center" vertical="center"/>
    </xf>
    <xf numFmtId="3" fontId="17" fillId="0" borderId="6" xfId="20" applyNumberFormat="1" applyFont="1" applyBorder="1" applyAlignment="1" applyProtection="1">
      <alignment horizontal="center" vertical="center" wrapText="1"/>
    </xf>
    <xf numFmtId="9" fontId="41" fillId="0" borderId="3" xfId="8" applyFont="1" applyBorder="1" applyAlignment="1" applyProtection="1">
      <alignment horizontal="center" vertical="center" wrapText="1"/>
    </xf>
    <xf numFmtId="0" fontId="17" fillId="0" borderId="2" xfId="20" applyFont="1" applyBorder="1" applyAlignment="1" applyProtection="1">
      <alignment horizontal="left" vertical="center" wrapText="1"/>
    </xf>
    <xf numFmtId="0" fontId="20" fillId="0" borderId="6" xfId="20" applyFont="1" applyBorder="1" applyAlignment="1" applyProtection="1">
      <alignment horizontal="center" vertical="center" wrapText="1"/>
    </xf>
    <xf numFmtId="0" fontId="43" fillId="0" borderId="0" xfId="0" applyFont="1" applyAlignment="1" applyProtection="1">
      <alignment horizontal="center" vertical="center" wrapText="1"/>
    </xf>
    <xf numFmtId="4" fontId="36" fillId="7" borderId="3" xfId="7" applyNumberFormat="1" applyFont="1" applyFill="1" applyBorder="1" applyAlignment="1" applyProtection="1">
      <alignment horizontal="center" vertical="center"/>
    </xf>
    <xf numFmtId="3" fontId="17" fillId="0" borderId="3" xfId="0" applyNumberFormat="1" applyFont="1" applyBorder="1" applyAlignment="1" applyProtection="1">
      <alignment horizontal="center" vertical="center" wrapText="1"/>
    </xf>
    <xf numFmtId="0" fontId="36" fillId="0" borderId="3" xfId="7" applyNumberFormat="1" applyFont="1" applyBorder="1" applyAlignment="1" applyProtection="1">
      <alignment horizontal="center" vertical="center" wrapText="1"/>
    </xf>
    <xf numFmtId="0" fontId="36" fillId="0" borderId="3" xfId="7" applyNumberFormat="1" applyFont="1" applyFill="1" applyBorder="1" applyAlignment="1" applyProtection="1">
      <alignment horizontal="center" vertical="center" wrapText="1"/>
    </xf>
    <xf numFmtId="9" fontId="36" fillId="0" borderId="3" xfId="7" applyNumberFormat="1" applyFont="1" applyBorder="1" applyAlignment="1" applyProtection="1">
      <alignment horizontal="center" vertical="center" wrapText="1"/>
    </xf>
    <xf numFmtId="166" fontId="17" fillId="0" borderId="3" xfId="0" applyNumberFormat="1" applyFont="1" applyBorder="1" applyAlignment="1" applyProtection="1">
      <alignment horizontal="center" vertical="center" wrapText="1"/>
    </xf>
    <xf numFmtId="166" fontId="36" fillId="7" borderId="3" xfId="0" applyNumberFormat="1" applyFont="1" applyFill="1" applyBorder="1" applyAlignment="1" applyProtection="1">
      <alignment horizontal="center" vertical="center"/>
    </xf>
    <xf numFmtId="4" fontId="36" fillId="7" borderId="3" xfId="0" applyNumberFormat="1" applyFont="1" applyFill="1" applyBorder="1" applyAlignment="1" applyProtection="1">
      <alignment horizontal="center"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8" fillId="3" borderId="32" xfId="0" applyFont="1" applyFill="1" applyBorder="1" applyProtection="1"/>
    <xf numFmtId="0" fontId="17" fillId="3" borderId="17" xfId="0" applyFont="1" applyFill="1" applyBorder="1" applyProtection="1"/>
    <xf numFmtId="0" fontId="8" fillId="3" borderId="31" xfId="0" applyFont="1" applyFill="1" applyBorder="1" applyAlignment="1" applyProtection="1">
      <alignment horizontal="left"/>
    </xf>
    <xf numFmtId="0" fontId="8" fillId="3" borderId="18" xfId="0" applyFont="1" applyFill="1" applyBorder="1" applyAlignment="1" applyProtection="1">
      <alignment horizontal="left"/>
    </xf>
    <xf numFmtId="0" fontId="17" fillId="0" borderId="1" xfId="0" applyFont="1" applyBorder="1" applyAlignment="1" applyProtection="1">
      <alignment horizontal="center" vertical="center"/>
    </xf>
    <xf numFmtId="0" fontId="8" fillId="0" borderId="2" xfId="0" applyFont="1" applyBorder="1" applyAlignment="1" applyProtection="1">
      <alignment vertical="center"/>
    </xf>
    <xf numFmtId="0" fontId="8" fillId="0" borderId="2" xfId="1" applyFont="1" applyBorder="1" applyAlignment="1" applyProtection="1">
      <alignment horizontal="center" vertical="top" wrapText="1"/>
    </xf>
    <xf numFmtId="0" fontId="8" fillId="7" borderId="2" xfId="1" applyFont="1" applyFill="1" applyBorder="1" applyAlignment="1" applyProtection="1">
      <alignment horizontal="center" vertical="top" wrapText="1"/>
    </xf>
    <xf numFmtId="0" fontId="17" fillId="0" borderId="3" xfId="35" applyFont="1" applyBorder="1" applyAlignment="1" applyProtection="1">
      <alignment horizontal="center" vertical="center" wrapText="1"/>
    </xf>
    <xf numFmtId="0" fontId="5" fillId="0" borderId="37" xfId="34" applyBorder="1" applyAlignment="1" applyProtection="1">
      <alignment horizontal="left" vertical="center" wrapText="1"/>
    </xf>
    <xf numFmtId="0" fontId="17" fillId="0" borderId="37" xfId="34" applyFont="1" applyBorder="1" applyAlignment="1" applyProtection="1">
      <alignment horizontal="left" vertical="center" wrapText="1"/>
    </xf>
    <xf numFmtId="0" fontId="17" fillId="0" borderId="2" xfId="23" applyFont="1" applyBorder="1" applyAlignment="1" applyProtection="1">
      <alignment horizontal="left" vertical="center" wrapText="1"/>
    </xf>
    <xf numFmtId="0" fontId="5" fillId="0" borderId="2" xfId="34" applyBorder="1" applyAlignment="1" applyProtection="1">
      <alignment horizontal="justify" vertical="center" wrapText="1"/>
    </xf>
    <xf numFmtId="0" fontId="17" fillId="0" borderId="2" xfId="34" applyFont="1" applyBorder="1" applyAlignment="1" applyProtection="1">
      <alignment horizontal="justify" vertical="center" wrapText="1"/>
    </xf>
    <xf numFmtId="0" fontId="17" fillId="0" borderId="2" xfId="9" applyFont="1" applyBorder="1" applyAlignment="1" applyProtection="1">
      <alignment horizontal="center" vertical="center" wrapText="1"/>
    </xf>
    <xf numFmtId="0" fontId="20" fillId="0" borderId="2" xfId="34" applyFont="1" applyBorder="1" applyAlignment="1" applyProtection="1">
      <alignment horizontal="left" vertical="center" wrapText="1"/>
    </xf>
    <xf numFmtId="164" fontId="36" fillId="3" borderId="3" xfId="36" applyNumberFormat="1" applyFont="1" applyFill="1" applyBorder="1" applyAlignment="1" applyProtection="1">
      <alignment horizontal="center" vertical="center" wrapText="1"/>
    </xf>
    <xf numFmtId="0" fontId="5" fillId="0" borderId="2" xfId="34" applyBorder="1" applyAlignment="1" applyProtection="1">
      <alignment horizontal="left" vertical="center" wrapText="1"/>
    </xf>
    <xf numFmtId="0" fontId="36" fillId="0" borderId="3" xfId="37" applyNumberFormat="1" applyFont="1" applyBorder="1" applyAlignment="1" applyProtection="1">
      <alignment horizontal="center" vertical="center" wrapText="1"/>
    </xf>
    <xf numFmtId="0" fontId="36" fillId="0" borderId="3" xfId="38" applyNumberFormat="1" applyFont="1" applyBorder="1" applyAlignment="1" applyProtection="1">
      <alignment horizontal="center" vertical="center" wrapText="1"/>
    </xf>
    <xf numFmtId="0" fontId="36" fillId="0" borderId="3" xfId="39" applyNumberFormat="1" applyFont="1" applyBorder="1" applyAlignment="1" applyProtection="1">
      <alignment horizontal="center" vertical="center" wrapText="1"/>
    </xf>
    <xf numFmtId="0" fontId="36" fillId="0" borderId="3" xfId="39" applyNumberFormat="1" applyFont="1" applyFill="1" applyBorder="1" applyAlignment="1" applyProtection="1">
      <alignment horizontal="center" vertical="center" wrapText="1"/>
    </xf>
    <xf numFmtId="0" fontId="36" fillId="0" borderId="3" xfId="40" applyNumberFormat="1" applyFont="1" applyBorder="1" applyAlignment="1" applyProtection="1">
      <alignment horizontal="center" vertical="center" wrapText="1"/>
    </xf>
    <xf numFmtId="1" fontId="36" fillId="7" borderId="3" xfId="9" applyNumberFormat="1" applyFont="1" applyFill="1" applyBorder="1" applyAlignment="1" applyProtection="1">
      <alignment horizontal="center" vertical="center"/>
    </xf>
    <xf numFmtId="0" fontId="17" fillId="0" borderId="1" xfId="1" applyFont="1" applyAlignment="1" applyProtection="1">
      <alignment horizontal="center" vertical="center"/>
    </xf>
    <xf numFmtId="0" fontId="17" fillId="0" borderId="1" xfId="1" applyFont="1" applyAlignment="1" applyProtection="1">
      <alignment vertical="center"/>
    </xf>
    <xf numFmtId="0" fontId="17" fillId="0" borderId="1" xfId="1" applyFont="1" applyAlignment="1" applyProtection="1">
      <alignment vertical="center" wrapText="1"/>
    </xf>
    <xf numFmtId="0" fontId="17" fillId="0" borderId="1" xfId="0" applyFont="1" applyBorder="1" applyAlignment="1" applyProtection="1">
      <alignment vertical="center" wrapText="1"/>
    </xf>
    <xf numFmtId="10" fontId="17" fillId="0" borderId="2" xfId="0" applyNumberFormat="1" applyFont="1" applyBorder="1" applyAlignment="1" applyProtection="1">
      <alignment horizontal="center" vertical="center" wrapText="1"/>
    </xf>
    <xf numFmtId="0" fontId="17" fillId="0" borderId="2" xfId="32" applyFont="1" applyBorder="1" applyAlignment="1" applyProtection="1">
      <alignment vertical="center" wrapText="1"/>
    </xf>
    <xf numFmtId="0" fontId="17" fillId="0" borderId="3" xfId="34" applyFont="1" applyBorder="1" applyAlignment="1" applyProtection="1">
      <alignment vertical="center" wrapText="1"/>
    </xf>
    <xf numFmtId="0" fontId="6" fillId="0" borderId="0" xfId="0" applyFont="1" applyAlignment="1" applyProtection="1">
      <alignment horizontal="center" vertical="center"/>
    </xf>
    <xf numFmtId="0" fontId="17" fillId="2" borderId="2" xfId="1" applyFont="1" applyFill="1" applyBorder="1" applyAlignment="1" applyProtection="1">
      <alignment vertical="center" wrapText="1"/>
    </xf>
    <xf numFmtId="0" fontId="17" fillId="2" borderId="3" xfId="1" applyFont="1" applyFill="1" applyBorder="1" applyAlignment="1" applyProtection="1">
      <alignment horizontal="center" vertical="center" wrapText="1"/>
    </xf>
    <xf numFmtId="0" fontId="17" fillId="0" borderId="3" xfId="34" applyFont="1" applyBorder="1" applyAlignment="1" applyProtection="1">
      <alignment horizontal="center" vertical="center" wrapText="1"/>
    </xf>
    <xf numFmtId="9" fontId="17" fillId="3" borderId="3" xfId="0" applyNumberFormat="1" applyFont="1" applyFill="1" applyBorder="1" applyAlignment="1" applyProtection="1">
      <alignment horizontal="center" vertical="center" wrapText="1"/>
    </xf>
    <xf numFmtId="0" fontId="17" fillId="3" borderId="6" xfId="34" applyFont="1" applyFill="1" applyBorder="1" applyAlignment="1" applyProtection="1">
      <alignment horizontal="left" vertical="center" wrapText="1"/>
    </xf>
    <xf numFmtId="0" fontId="17" fillId="3" borderId="6" xfId="34" applyFont="1" applyFill="1" applyBorder="1" applyAlignment="1" applyProtection="1">
      <alignment horizontal="center" vertical="center" wrapText="1"/>
    </xf>
    <xf numFmtId="9" fontId="36" fillId="0" borderId="3" xfId="6" applyFont="1" applyFill="1" applyBorder="1" applyAlignment="1" applyProtection="1">
      <alignment horizontal="center" vertical="center" wrapText="1"/>
    </xf>
    <xf numFmtId="0" fontId="12" fillId="0" borderId="0" xfId="0" applyFont="1" applyAlignment="1" applyProtection="1">
      <alignment horizontal="right" vertical="center"/>
    </xf>
    <xf numFmtId="0" fontId="12" fillId="0" borderId="1" xfId="1" applyFont="1" applyAlignment="1" applyProtection="1">
      <alignment horizontal="right" vertical="center"/>
    </xf>
    <xf numFmtId="0" fontId="12" fillId="0" borderId="1" xfId="1" applyFont="1" applyAlignment="1" applyProtection="1">
      <alignment horizontal="right" vertical="center" wrapText="1"/>
    </xf>
    <xf numFmtId="0" fontId="17" fillId="2" borderId="2" xfId="1" applyFont="1" applyFill="1" applyBorder="1" applyAlignment="1" applyProtection="1">
      <alignment horizontal="left" vertical="center" wrapText="1"/>
    </xf>
    <xf numFmtId="0" fontId="17" fillId="0" borderId="6" xfId="34" applyFont="1" applyBorder="1" applyAlignment="1" applyProtection="1">
      <alignment horizontal="left" vertical="center"/>
    </xf>
    <xf numFmtId="1" fontId="17" fillId="0" borderId="3" xfId="0" applyNumberFormat="1" applyFont="1" applyBorder="1" applyAlignment="1" applyProtection="1">
      <alignment horizontal="center" vertical="center" wrapText="1"/>
    </xf>
    <xf numFmtId="167" fontId="36" fillId="0" borderId="3" xfId="36" applyNumberFormat="1" applyFont="1" applyBorder="1" applyAlignment="1" applyProtection="1">
      <alignment horizontal="center" vertical="center" wrapText="1"/>
    </xf>
    <xf numFmtId="0" fontId="20" fillId="0" borderId="6" xfId="34" applyFont="1" applyBorder="1" applyAlignment="1" applyProtection="1">
      <alignment horizontal="center" vertical="center"/>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17" fillId="0" borderId="3" xfId="0" applyFont="1" applyBorder="1" applyAlignment="1" applyProtection="1">
      <alignment horizontal="center" vertical="center" wrapText="1"/>
    </xf>
    <xf numFmtId="9" fontId="17" fillId="0" borderId="3" xfId="7" applyNumberFormat="1" applyFont="1" applyBorder="1" applyAlignment="1" applyProtection="1">
      <alignment horizontal="center" vertical="center" wrapText="1"/>
    </xf>
    <xf numFmtId="0" fontId="17" fillId="0" borderId="3" xfId="7" applyNumberFormat="1" applyFont="1" applyBorder="1" applyAlignment="1" applyProtection="1">
      <alignment horizontal="center" vertical="center" wrapText="1"/>
    </xf>
    <xf numFmtId="9" fontId="17" fillId="7" borderId="3" xfId="8" applyFont="1" applyFill="1" applyBorder="1" applyAlignment="1" applyProtection="1">
      <alignment horizontal="center" vertical="center"/>
    </xf>
    <xf numFmtId="3" fontId="17" fillId="7" borderId="3" xfId="7" applyNumberFormat="1" applyFont="1" applyFill="1" applyBorder="1" applyAlignment="1" applyProtection="1">
      <alignment horizontal="center" vertical="center"/>
    </xf>
    <xf numFmtId="0" fontId="17" fillId="0" borderId="3" xfId="7" applyNumberFormat="1" applyFont="1" applyFill="1" applyBorder="1" applyAlignment="1" applyProtection="1">
      <alignment horizontal="center" vertical="center" wrapText="1"/>
    </xf>
    <xf numFmtId="3" fontId="17" fillId="7" borderId="3" xfId="0" applyNumberFormat="1" applyFont="1" applyFill="1" applyBorder="1" applyAlignment="1" applyProtection="1">
      <alignment horizontal="center" vertical="center"/>
    </xf>
    <xf numFmtId="0" fontId="17" fillId="0" borderId="2" xfId="0" applyFont="1" applyFill="1" applyBorder="1" applyAlignment="1" applyProtection="1">
      <alignment horizontal="justify" vertical="center" wrapText="1"/>
    </xf>
    <xf numFmtId="164" fontId="18" fillId="7" borderId="3" xfId="6" applyNumberFormat="1" applyFont="1" applyFill="1" applyBorder="1" applyAlignment="1" applyProtection="1">
      <alignment horizontal="center" vertical="center"/>
    </xf>
    <xf numFmtId="9" fontId="18" fillId="0" borderId="3" xfId="8" applyFont="1" applyFill="1" applyBorder="1" applyAlignment="1" applyProtection="1">
      <alignment horizontal="center" vertical="center"/>
    </xf>
    <xf numFmtId="9" fontId="19" fillId="4" borderId="45" xfId="3" applyFont="1" applyFill="1" applyBorder="1" applyAlignment="1" applyProtection="1">
      <alignment horizontal="center" vertical="center"/>
    </xf>
    <xf numFmtId="9" fontId="36" fillId="0" borderId="3" xfId="6" applyFont="1" applyBorder="1" applyAlignment="1" applyProtection="1">
      <alignment horizontal="center" vertical="center" wrapText="1"/>
      <protection locked="0"/>
    </xf>
    <xf numFmtId="9" fontId="36" fillId="7" borderId="2" xfId="6" applyFont="1" applyFill="1" applyBorder="1" applyAlignment="1" applyProtection="1">
      <alignment horizontal="center" vertical="center"/>
    </xf>
    <xf numFmtId="10" fontId="18" fillId="0" borderId="3" xfId="8" applyNumberFormat="1" applyFont="1" applyFill="1" applyBorder="1" applyAlignment="1" applyProtection="1">
      <alignment horizontal="center" vertical="center"/>
    </xf>
    <xf numFmtId="9" fontId="6" fillId="0" borderId="0" xfId="0" applyNumberFormat="1" applyFont="1" applyAlignment="1" applyProtection="1">
      <alignment vertical="center"/>
    </xf>
    <xf numFmtId="9" fontId="18" fillId="7" borderId="2" xfId="6" applyFont="1" applyFill="1" applyBorder="1" applyAlignment="1" applyProtection="1">
      <alignment horizontal="center" vertical="center"/>
    </xf>
    <xf numFmtId="9" fontId="17" fillId="7" borderId="3" xfId="6" applyFont="1" applyFill="1" applyBorder="1" applyAlignment="1" applyProtection="1">
      <alignment horizontal="center" vertical="center"/>
    </xf>
    <xf numFmtId="9" fontId="18" fillId="0" borderId="3" xfId="6" applyFont="1" applyFill="1" applyBorder="1" applyAlignment="1" applyProtection="1">
      <alignment horizontal="center" vertical="center"/>
    </xf>
    <xf numFmtId="164" fontId="18" fillId="0" borderId="3" xfId="6" applyNumberFormat="1" applyFont="1" applyFill="1" applyBorder="1" applyAlignment="1" applyProtection="1">
      <alignment horizontal="center" vertical="center"/>
    </xf>
    <xf numFmtId="10" fontId="36" fillId="0" borderId="3" xfId="7" applyNumberFormat="1" applyFont="1" applyBorder="1" applyAlignment="1" applyProtection="1">
      <alignment horizontal="center" vertical="center" wrapText="1"/>
    </xf>
    <xf numFmtId="164" fontId="36" fillId="7" borderId="3" xfId="8" applyNumberFormat="1" applyFont="1" applyFill="1" applyBorder="1" applyAlignment="1" applyProtection="1">
      <alignment horizontal="center" vertical="center"/>
    </xf>
    <xf numFmtId="164" fontId="18" fillId="5" borderId="3" xfId="8" applyNumberFormat="1" applyFont="1" applyFill="1" applyBorder="1" applyAlignment="1" applyProtection="1">
      <alignment horizontal="center" vertical="center"/>
    </xf>
    <xf numFmtId="4" fontId="18" fillId="7" borderId="3" xfId="8" applyNumberFormat="1" applyFont="1" applyFill="1" applyBorder="1" applyAlignment="1" applyProtection="1">
      <alignment horizontal="center" vertical="center"/>
    </xf>
    <xf numFmtId="164" fontId="36" fillId="0" borderId="3" xfId="6" applyNumberFormat="1" applyFont="1" applyBorder="1" applyAlignment="1" applyProtection="1">
      <alignment horizontal="center" vertical="center" wrapText="1"/>
    </xf>
    <xf numFmtId="164" fontId="36" fillId="7" borderId="3" xfId="6" applyNumberFormat="1" applyFont="1" applyFill="1" applyBorder="1" applyAlignment="1" applyProtection="1">
      <alignment horizontal="center" vertical="center"/>
    </xf>
    <xf numFmtId="10" fontId="36" fillId="3" borderId="3" xfId="36" applyNumberFormat="1" applyFont="1" applyFill="1" applyBorder="1" applyAlignment="1" applyProtection="1">
      <alignment horizontal="center" vertical="center" wrapText="1"/>
    </xf>
    <xf numFmtId="10" fontId="36" fillId="3" borderId="3" xfId="6" applyNumberFormat="1" applyFont="1" applyFill="1" applyBorder="1" applyAlignment="1" applyProtection="1">
      <alignment horizontal="center" vertical="center" wrapText="1"/>
    </xf>
    <xf numFmtId="10" fontId="36" fillId="0" borderId="3" xfId="6" applyNumberFormat="1" applyFont="1" applyBorder="1" applyAlignment="1" applyProtection="1">
      <alignment horizontal="center" vertical="center" wrapText="1"/>
    </xf>
    <xf numFmtId="10" fontId="36" fillId="7" borderId="3" xfId="6" applyNumberFormat="1" applyFont="1" applyFill="1" applyBorder="1" applyAlignment="1" applyProtection="1">
      <alignment horizontal="center" vertical="center"/>
    </xf>
    <xf numFmtId="10" fontId="36" fillId="0" borderId="3" xfId="6" applyNumberFormat="1" applyFont="1" applyFill="1" applyBorder="1" applyAlignment="1" applyProtection="1">
      <alignment horizontal="center" vertical="center" wrapText="1"/>
    </xf>
    <xf numFmtId="164" fontId="36" fillId="3" borderId="3" xfId="6" applyNumberFormat="1" applyFont="1" applyFill="1" applyBorder="1" applyAlignment="1" applyProtection="1">
      <alignment horizontal="center" vertical="center" wrapText="1"/>
    </xf>
    <xf numFmtId="164" fontId="36" fillId="0" borderId="3" xfId="6" applyNumberFormat="1" applyFont="1" applyFill="1" applyBorder="1" applyAlignment="1" applyProtection="1">
      <alignment horizontal="center" vertical="center" wrapText="1"/>
    </xf>
    <xf numFmtId="164" fontId="17" fillId="7" borderId="3" xfId="6" applyNumberFormat="1" applyFont="1" applyFill="1" applyBorder="1" applyAlignment="1" applyProtection="1">
      <alignment horizontal="center" vertical="center"/>
    </xf>
    <xf numFmtId="164" fontId="36" fillId="0" borderId="2" xfId="6" applyNumberFormat="1" applyFont="1" applyFill="1" applyBorder="1" applyAlignment="1" applyProtection="1">
      <alignment horizontal="center" vertical="center" wrapText="1"/>
    </xf>
    <xf numFmtId="164" fontId="36" fillId="0" borderId="2" xfId="6" applyNumberFormat="1" applyFont="1" applyBorder="1" applyAlignment="1" applyProtection="1">
      <alignment horizontal="center" vertical="center" wrapText="1"/>
    </xf>
    <xf numFmtId="10" fontId="18" fillId="7" borderId="3" xfId="6" applyNumberFormat="1" applyFont="1" applyFill="1" applyBorder="1" applyAlignment="1" applyProtection="1">
      <alignment horizontal="center" vertical="center"/>
    </xf>
    <xf numFmtId="164" fontId="41" fillId="0" borderId="3" xfId="6" applyNumberFormat="1" applyFont="1" applyBorder="1" applyAlignment="1" applyProtection="1">
      <alignment horizontal="center" vertical="center" wrapText="1"/>
    </xf>
    <xf numFmtId="164" fontId="41" fillId="7" borderId="3" xfId="6" applyNumberFormat="1" applyFont="1" applyFill="1" applyBorder="1" applyAlignment="1" applyProtection="1">
      <alignment horizontal="center" vertical="center"/>
    </xf>
    <xf numFmtId="9" fontId="17" fillId="0" borderId="3" xfId="8" applyFont="1" applyBorder="1" applyAlignment="1" applyProtection="1">
      <alignment horizontal="center" vertical="center" wrapText="1"/>
    </xf>
    <xf numFmtId="0" fontId="8" fillId="7" borderId="2" xfId="1"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9" fontId="19" fillId="4" borderId="9" xfId="3" applyFont="1" applyFill="1" applyBorder="1" applyAlignment="1" applyProtection="1">
      <alignment horizontal="center" vertical="center"/>
    </xf>
    <xf numFmtId="0" fontId="17" fillId="0" borderId="1" xfId="1" applyFont="1" applyAlignment="1" applyProtection="1">
      <alignment vertical="center"/>
    </xf>
    <xf numFmtId="0" fontId="26" fillId="15" borderId="2" xfId="23" applyFont="1" applyFill="1" applyBorder="1" applyAlignment="1">
      <alignment horizontal="center" vertical="center"/>
    </xf>
    <xf numFmtId="164" fontId="17" fillId="0" borderId="3" xfId="6" applyNumberFormat="1" applyFont="1" applyBorder="1" applyAlignment="1" applyProtection="1">
      <alignment horizontal="center" vertical="center" wrapText="1"/>
    </xf>
    <xf numFmtId="0" fontId="11" fillId="12" borderId="7" xfId="1" applyFont="1" applyFill="1" applyBorder="1" applyAlignment="1" applyProtection="1">
      <alignment vertical="center"/>
    </xf>
    <xf numFmtId="0" fontId="11" fillId="12" borderId="11" xfId="1" applyFont="1" applyFill="1" applyBorder="1" applyAlignment="1" applyProtection="1">
      <alignment vertical="center"/>
    </xf>
    <xf numFmtId="0" fontId="11" fillId="12" borderId="6" xfId="1" applyFont="1" applyFill="1" applyBorder="1" applyAlignment="1" applyProtection="1">
      <alignment vertical="center"/>
    </xf>
    <xf numFmtId="0" fontId="51" fillId="0" borderId="0" xfId="0" applyFont="1" applyFill="1" applyAlignment="1" applyProtection="1">
      <alignment horizontal="center" vertical="center"/>
    </xf>
    <xf numFmtId="0" fontId="5" fillId="0" borderId="1" xfId="23" applyAlignment="1">
      <alignment horizontal="center" vertical="center"/>
    </xf>
    <xf numFmtId="0" fontId="27" fillId="0" borderId="1" xfId="23" applyFont="1" applyAlignment="1">
      <alignment horizontal="center" vertical="center"/>
    </xf>
    <xf numFmtId="0" fontId="5" fillId="0" borderId="1" xfId="23"/>
    <xf numFmtId="9" fontId="52" fillId="7" borderId="3" xfId="6" applyFont="1" applyFill="1" applyBorder="1" applyAlignment="1" applyProtection="1">
      <alignment horizontal="center" vertical="center"/>
    </xf>
    <xf numFmtId="3" fontId="52" fillId="7" borderId="3" xfId="6" applyNumberFormat="1" applyFont="1" applyFill="1" applyBorder="1" applyAlignment="1" applyProtection="1">
      <alignment horizontal="center" vertical="center"/>
    </xf>
    <xf numFmtId="164" fontId="52" fillId="7" borderId="3" xfId="6" applyNumberFormat="1" applyFont="1" applyFill="1" applyBorder="1" applyAlignment="1" applyProtection="1">
      <alignment horizontal="center" vertical="center"/>
    </xf>
    <xf numFmtId="3" fontId="54" fillId="7" borderId="3" xfId="0" applyNumberFormat="1" applyFont="1" applyFill="1" applyBorder="1" applyAlignment="1" applyProtection="1">
      <alignment horizontal="center" vertical="center"/>
    </xf>
    <xf numFmtId="164" fontId="36" fillId="5" borderId="3" xfId="8" applyNumberFormat="1" applyFont="1" applyFill="1" applyBorder="1" applyAlignment="1" applyProtection="1">
      <alignment horizontal="center" vertical="center"/>
    </xf>
    <xf numFmtId="9" fontId="36" fillId="5" borderId="3" xfId="8" applyFont="1" applyFill="1" applyBorder="1" applyAlignment="1" applyProtection="1">
      <alignment horizontal="center" vertical="center"/>
    </xf>
    <xf numFmtId="164" fontId="36" fillId="5" borderId="3" xfId="6" applyNumberFormat="1" applyFont="1" applyFill="1" applyBorder="1" applyAlignment="1" applyProtection="1">
      <alignment horizontal="center" vertical="center"/>
    </xf>
    <xf numFmtId="9" fontId="55" fillId="5" borderId="3" xfId="6" applyNumberFormat="1" applyFont="1" applyFill="1" applyBorder="1" applyAlignment="1" applyProtection="1">
      <alignment horizontal="center" vertical="center"/>
    </xf>
    <xf numFmtId="9" fontId="36" fillId="5" borderId="3" xfId="6" applyNumberFormat="1" applyFont="1" applyFill="1" applyBorder="1" applyAlignment="1" applyProtection="1">
      <alignment horizontal="center" vertical="center"/>
    </xf>
    <xf numFmtId="3" fontId="52" fillId="7" borderId="3" xfId="8" applyNumberFormat="1" applyFont="1" applyFill="1" applyBorder="1" applyAlignment="1" applyProtection="1">
      <alignment horizontal="center" vertical="center"/>
    </xf>
    <xf numFmtId="10" fontId="56" fillId="0" borderId="3" xfId="8" applyNumberFormat="1" applyFont="1" applyFill="1" applyBorder="1" applyAlignment="1" applyProtection="1">
      <alignment horizontal="center" vertical="center"/>
    </xf>
    <xf numFmtId="9" fontId="56" fillId="0" borderId="3" xfId="6" applyFont="1" applyFill="1" applyBorder="1" applyAlignment="1" applyProtection="1">
      <alignment horizontal="center" vertical="center"/>
    </xf>
    <xf numFmtId="164" fontId="56" fillId="0" borderId="3" xfId="6" applyNumberFormat="1" applyFont="1" applyFill="1" applyBorder="1" applyAlignment="1" applyProtection="1">
      <alignment horizontal="center" vertical="center"/>
    </xf>
    <xf numFmtId="164" fontId="18" fillId="0" borderId="3" xfId="8" applyNumberFormat="1" applyFont="1" applyFill="1" applyBorder="1" applyAlignment="1" applyProtection="1">
      <alignment horizontal="center" vertical="center"/>
    </xf>
    <xf numFmtId="164" fontId="56" fillId="0" borderId="3" xfId="8" applyNumberFormat="1" applyFont="1" applyFill="1" applyBorder="1" applyAlignment="1" applyProtection="1">
      <alignment horizontal="center" vertical="center"/>
    </xf>
    <xf numFmtId="9" fontId="6" fillId="0" borderId="0" xfId="0" applyNumberFormat="1" applyFont="1" applyAlignment="1">
      <alignment vertical="center"/>
    </xf>
    <xf numFmtId="9" fontId="57" fillId="0" borderId="3" xfId="6" applyFont="1" applyBorder="1" applyAlignment="1" applyProtection="1">
      <alignment horizontal="center" vertical="center" wrapText="1"/>
      <protection locked="0"/>
    </xf>
    <xf numFmtId="9" fontId="57" fillId="0" borderId="3" xfId="6" applyFont="1" applyFill="1" applyBorder="1" applyAlignment="1" applyProtection="1">
      <alignment horizontal="center" vertical="center" wrapText="1"/>
      <protection locked="0"/>
    </xf>
    <xf numFmtId="9" fontId="18" fillId="0" borderId="3" xfId="8" applyNumberFormat="1" applyFont="1" applyFill="1" applyBorder="1" applyAlignment="1" applyProtection="1">
      <alignment horizontal="center" vertical="center"/>
    </xf>
    <xf numFmtId="9" fontId="56" fillId="0" borderId="3" xfId="8" applyNumberFormat="1" applyFont="1" applyFill="1" applyBorder="1" applyAlignment="1" applyProtection="1">
      <alignment horizontal="center" vertical="center"/>
    </xf>
    <xf numFmtId="9" fontId="56" fillId="0" borderId="3" xfId="8" applyFont="1" applyFill="1" applyBorder="1" applyAlignment="1" applyProtection="1">
      <alignment horizontal="center" vertical="center"/>
    </xf>
    <xf numFmtId="164" fontId="58" fillId="0" borderId="3" xfId="6" applyNumberFormat="1" applyFont="1" applyBorder="1" applyAlignment="1" applyProtection="1">
      <alignment horizontal="center" vertical="center" wrapText="1"/>
    </xf>
    <xf numFmtId="9" fontId="57" fillId="0" borderId="3" xfId="6" applyFont="1" applyBorder="1" applyAlignment="1" applyProtection="1">
      <alignment horizontal="center" vertical="center" wrapText="1"/>
    </xf>
    <xf numFmtId="9" fontId="57" fillId="0" borderId="3" xfId="6" applyFont="1" applyFill="1" applyBorder="1" applyAlignment="1" applyProtection="1">
      <alignment horizontal="center" vertical="center" wrapText="1"/>
    </xf>
    <xf numFmtId="4" fontId="52" fillId="7" borderId="3" xfId="8" applyNumberFormat="1" applyFont="1" applyFill="1" applyBorder="1" applyAlignment="1" applyProtection="1">
      <alignment horizontal="center" vertical="center"/>
    </xf>
    <xf numFmtId="164" fontId="57" fillId="0" borderId="2" xfId="6" applyNumberFormat="1" applyFont="1" applyBorder="1" applyAlignment="1" applyProtection="1">
      <alignment horizontal="center" vertical="center" wrapText="1"/>
    </xf>
    <xf numFmtId="10" fontId="52" fillId="7" borderId="3" xfId="6" applyNumberFormat="1" applyFont="1" applyFill="1" applyBorder="1" applyAlignment="1" applyProtection="1">
      <alignment horizontal="center" vertical="center"/>
    </xf>
    <xf numFmtId="164" fontId="39" fillId="5" borderId="3" xfId="8" applyNumberFormat="1" applyFont="1" applyFill="1" applyBorder="1" applyAlignment="1" applyProtection="1">
      <alignment horizontal="center" vertical="center"/>
    </xf>
    <xf numFmtId="164" fontId="55" fillId="5" borderId="3" xfId="8" applyNumberFormat="1" applyFont="1" applyFill="1" applyBorder="1" applyAlignment="1" applyProtection="1">
      <alignment horizontal="center" vertical="center"/>
    </xf>
    <xf numFmtId="10" fontId="39" fillId="5" borderId="3" xfId="8" applyNumberFormat="1" applyFont="1" applyFill="1" applyBorder="1" applyAlignment="1" applyProtection="1">
      <alignment horizontal="center" vertical="center"/>
    </xf>
    <xf numFmtId="10" fontId="55" fillId="5" borderId="3" xfId="8" applyNumberFormat="1" applyFont="1" applyFill="1" applyBorder="1" applyAlignment="1" applyProtection="1">
      <alignment horizontal="center" vertical="center"/>
    </xf>
    <xf numFmtId="164" fontId="57" fillId="0" borderId="3" xfId="6" applyNumberFormat="1" applyFont="1" applyFill="1" applyBorder="1" applyAlignment="1" applyProtection="1">
      <alignment horizontal="center" vertical="center" wrapText="1"/>
    </xf>
    <xf numFmtId="3" fontId="17" fillId="0" borderId="2" xfId="20" applyNumberFormat="1" applyFont="1" applyBorder="1" applyAlignment="1" applyProtection="1">
      <alignment horizontal="center" vertical="center" wrapText="1"/>
    </xf>
    <xf numFmtId="164" fontId="17" fillId="0" borderId="2" xfId="6" applyNumberFormat="1" applyFont="1" applyBorder="1" applyAlignment="1" applyProtection="1">
      <alignment horizontal="center" vertical="center" wrapText="1"/>
    </xf>
    <xf numFmtId="3" fontId="17" fillId="0" borderId="31" xfId="20" applyNumberFormat="1" applyFont="1" applyBorder="1" applyAlignment="1" applyProtection="1">
      <alignment horizontal="center" vertical="center" wrapText="1"/>
    </xf>
    <xf numFmtId="164" fontId="17" fillId="0" borderId="31" xfId="6" applyNumberFormat="1" applyFont="1" applyBorder="1" applyAlignment="1" applyProtection="1">
      <alignment horizontal="center" vertical="center" wrapText="1"/>
    </xf>
    <xf numFmtId="3" fontId="59" fillId="0" borderId="2" xfId="20" applyNumberFormat="1" applyFont="1" applyBorder="1" applyAlignment="1" applyProtection="1">
      <alignment horizontal="center" vertical="center" wrapText="1"/>
    </xf>
    <xf numFmtId="3" fontId="59" fillId="0" borderId="2" xfId="20" applyNumberFormat="1" applyFont="1" applyFill="1" applyBorder="1" applyAlignment="1" applyProtection="1">
      <alignment horizontal="center" vertical="center" wrapText="1"/>
    </xf>
    <xf numFmtId="3" fontId="17" fillId="18" borderId="2" xfId="20" applyNumberFormat="1" applyFont="1" applyFill="1" applyBorder="1" applyAlignment="1" applyProtection="1">
      <alignment horizontal="center" vertical="center" wrapText="1"/>
    </xf>
    <xf numFmtId="164" fontId="6" fillId="0" borderId="0" xfId="6" applyNumberFormat="1" applyFont="1" applyAlignment="1" applyProtection="1">
      <alignment vertical="center"/>
    </xf>
    <xf numFmtId="164" fontId="29" fillId="0" borderId="0" xfId="6" applyNumberFormat="1" applyFont="1" applyAlignment="1" applyProtection="1">
      <alignment horizontal="center" vertical="center"/>
    </xf>
    <xf numFmtId="0" fontId="60" fillId="0" borderId="0" xfId="0" applyFont="1" applyAlignment="1" applyProtection="1">
      <alignment horizontal="center" vertical="center"/>
    </xf>
    <xf numFmtId="164" fontId="60" fillId="0" borderId="0" xfId="0" applyNumberFormat="1" applyFont="1" applyAlignment="1" applyProtection="1">
      <alignment horizontal="center" vertical="center"/>
    </xf>
    <xf numFmtId="164" fontId="17" fillId="0" borderId="31" xfId="20" applyNumberFormat="1" applyFont="1" applyBorder="1" applyAlignment="1" applyProtection="1">
      <alignment horizontal="center" vertical="center" wrapText="1"/>
    </xf>
    <xf numFmtId="0" fontId="6" fillId="0" borderId="1" xfId="0" applyFont="1" applyBorder="1" applyAlignment="1" applyProtection="1">
      <alignment horizontal="center" vertical="center"/>
    </xf>
    <xf numFmtId="0" fontId="17" fillId="18" borderId="31" xfId="20" applyFont="1" applyFill="1" applyBorder="1" applyAlignment="1" applyProtection="1">
      <alignment horizontal="center" vertical="center" wrapText="1"/>
    </xf>
    <xf numFmtId="0" fontId="17" fillId="0" borderId="31" xfId="34" applyFont="1" applyBorder="1" applyAlignment="1" applyProtection="1">
      <alignment horizontal="center" vertical="center" wrapText="1"/>
    </xf>
    <xf numFmtId="0" fontId="17" fillId="18" borderId="31" xfId="0" applyFont="1" applyFill="1" applyBorder="1" applyAlignment="1" applyProtection="1">
      <alignment horizontal="center" vertical="center" wrapText="1"/>
    </xf>
    <xf numFmtId="164" fontId="17" fillId="18" borderId="31" xfId="6" applyNumberFormat="1" applyFont="1" applyFill="1" applyBorder="1" applyAlignment="1" applyProtection="1">
      <alignment horizontal="center" vertical="center" wrapText="1"/>
    </xf>
    <xf numFmtId="164" fontId="17" fillId="18" borderId="31" xfId="20" applyNumberFormat="1" applyFont="1" applyFill="1" applyBorder="1" applyAlignment="1" applyProtection="1">
      <alignment horizontal="center" vertical="center" wrapText="1"/>
    </xf>
    <xf numFmtId="166" fontId="17" fillId="0" borderId="2" xfId="20" applyNumberFormat="1" applyFont="1" applyBorder="1" applyAlignment="1" applyProtection="1">
      <alignment horizontal="center" vertical="center" wrapText="1"/>
    </xf>
    <xf numFmtId="4" fontId="17" fillId="0" borderId="2" xfId="20" applyNumberFormat="1" applyFont="1" applyBorder="1" applyAlignment="1" applyProtection="1">
      <alignment horizontal="center" vertical="center" wrapText="1"/>
    </xf>
    <xf numFmtId="166" fontId="17" fillId="0" borderId="31" xfId="20" applyNumberFormat="1" applyFont="1" applyBorder="1" applyAlignment="1" applyProtection="1">
      <alignment horizontal="center" vertical="center" wrapText="1"/>
    </xf>
    <xf numFmtId="4" fontId="17" fillId="0" borderId="31" xfId="20" applyNumberFormat="1" applyFont="1" applyBorder="1" applyAlignment="1" applyProtection="1">
      <alignment horizontal="center" vertical="center" wrapText="1"/>
    </xf>
    <xf numFmtId="3" fontId="61" fillId="18" borderId="2" xfId="20" applyNumberFormat="1" applyFont="1" applyFill="1" applyBorder="1" applyAlignment="1" applyProtection="1">
      <alignment horizontal="center" vertical="center" wrapText="1"/>
    </xf>
    <xf numFmtId="166" fontId="59" fillId="0" borderId="2" xfId="20" applyNumberFormat="1" applyFont="1" applyBorder="1" applyAlignment="1" applyProtection="1">
      <alignment horizontal="center" vertical="center" wrapText="1"/>
    </xf>
    <xf numFmtId="164" fontId="59" fillId="0" borderId="2" xfId="6" applyNumberFormat="1" applyFont="1" applyBorder="1" applyAlignment="1" applyProtection="1">
      <alignment horizontal="center" vertical="center" wrapText="1"/>
    </xf>
    <xf numFmtId="10" fontId="59" fillId="0" borderId="2" xfId="6" applyNumberFormat="1" applyFont="1" applyBorder="1" applyAlignment="1" applyProtection="1">
      <alignment horizontal="center" vertical="center" wrapText="1"/>
    </xf>
    <xf numFmtId="4" fontId="59" fillId="0" borderId="2" xfId="20" applyNumberFormat="1" applyFont="1" applyBorder="1" applyAlignment="1" applyProtection="1">
      <alignment horizontal="center" vertical="center" wrapText="1"/>
    </xf>
    <xf numFmtId="9" fontId="59" fillId="0" borderId="2" xfId="6" applyFont="1" applyBorder="1" applyAlignment="1" applyProtection="1">
      <alignment horizontal="center" vertical="center" wrapText="1"/>
    </xf>
    <xf numFmtId="164" fontId="17" fillId="18" borderId="2" xfId="6" applyNumberFormat="1" applyFont="1" applyFill="1" applyBorder="1" applyAlignment="1" applyProtection="1">
      <alignment horizontal="center" vertical="center" wrapText="1"/>
    </xf>
    <xf numFmtId="164" fontId="17" fillId="18" borderId="6" xfId="6" applyNumberFormat="1" applyFont="1" applyFill="1" applyBorder="1" applyAlignment="1" applyProtection="1">
      <alignment horizontal="center" vertical="center" wrapText="1"/>
    </xf>
    <xf numFmtId="164" fontId="53" fillId="5" borderId="3" xfId="8" applyNumberFormat="1" applyFont="1" applyFill="1" applyBorder="1" applyAlignment="1" applyProtection="1">
      <alignment horizontal="center" vertical="center"/>
    </xf>
    <xf numFmtId="164" fontId="50" fillId="5" borderId="3" xfId="8" applyNumberFormat="1" applyFont="1" applyFill="1" applyBorder="1" applyAlignment="1" applyProtection="1">
      <alignment horizontal="center" vertical="center"/>
    </xf>
    <xf numFmtId="9" fontId="17" fillId="0" borderId="2" xfId="20" applyNumberFormat="1" applyFont="1" applyBorder="1" applyAlignment="1" applyProtection="1">
      <alignment horizontal="center" vertical="center" wrapText="1"/>
    </xf>
    <xf numFmtId="9" fontId="17" fillId="0" borderId="31" xfId="6" applyFont="1" applyBorder="1" applyAlignment="1" applyProtection="1">
      <alignment horizontal="center" vertical="center" wrapText="1"/>
    </xf>
    <xf numFmtId="10" fontId="36" fillId="5" borderId="3" xfId="8" applyNumberFormat="1" applyFont="1" applyFill="1" applyBorder="1" applyAlignment="1" applyProtection="1">
      <alignment horizontal="center" vertical="center"/>
    </xf>
    <xf numFmtId="9" fontId="36" fillId="5" borderId="3" xfId="8" applyNumberFormat="1" applyFont="1" applyFill="1" applyBorder="1" applyAlignment="1" applyProtection="1">
      <alignment horizontal="center" vertical="center"/>
    </xf>
    <xf numFmtId="164" fontId="61" fillId="18" borderId="2" xfId="6" applyNumberFormat="1" applyFont="1" applyFill="1" applyBorder="1" applyAlignment="1" applyProtection="1">
      <alignment horizontal="center" vertical="center" wrapText="1"/>
    </xf>
    <xf numFmtId="164" fontId="17" fillId="18" borderId="2" xfId="34" applyNumberFormat="1" applyFont="1" applyFill="1" applyBorder="1" applyAlignment="1" applyProtection="1">
      <alignment horizontal="center" vertical="center" wrapText="1"/>
    </xf>
    <xf numFmtId="9" fontId="59" fillId="0" borderId="2" xfId="20" applyNumberFormat="1" applyFont="1" applyBorder="1" applyAlignment="1" applyProtection="1">
      <alignment horizontal="center" vertical="center" wrapText="1"/>
    </xf>
    <xf numFmtId="1" fontId="59" fillId="0" borderId="2" xfId="0" applyNumberFormat="1" applyFont="1" applyBorder="1" applyAlignment="1" applyProtection="1">
      <alignment horizontal="center" vertical="center" wrapText="1"/>
    </xf>
    <xf numFmtId="1" fontId="57" fillId="0" borderId="3" xfId="5" applyNumberFormat="1" applyFont="1" applyBorder="1" applyAlignment="1" applyProtection="1">
      <alignment horizontal="center" vertical="center" wrapText="1"/>
    </xf>
    <xf numFmtId="164" fontId="17" fillId="18" borderId="3" xfId="6" applyNumberFormat="1" applyFont="1" applyFill="1" applyBorder="1" applyAlignment="1" applyProtection="1">
      <alignment horizontal="center" vertical="center" wrapText="1"/>
    </xf>
    <xf numFmtId="10" fontId="17" fillId="18" borderId="3" xfId="6" applyNumberFormat="1" applyFont="1" applyFill="1" applyBorder="1" applyAlignment="1" applyProtection="1">
      <alignment horizontal="center" vertical="center" wrapText="1"/>
    </xf>
    <xf numFmtId="10" fontId="29" fillId="0" borderId="0" xfId="6" applyNumberFormat="1" applyFont="1" applyAlignment="1" applyProtection="1">
      <alignment horizontal="center" vertical="center"/>
    </xf>
    <xf numFmtId="168" fontId="36" fillId="0" borderId="3" xfId="6" applyNumberFormat="1" applyFont="1" applyBorder="1" applyAlignment="1" applyProtection="1">
      <alignment horizontal="center" vertical="center" wrapText="1"/>
    </xf>
    <xf numFmtId="164" fontId="62" fillId="18" borderId="2" xfId="34" applyNumberFormat="1" applyFont="1" applyFill="1" applyBorder="1" applyAlignment="1" applyProtection="1">
      <alignment horizontal="center" vertical="center" wrapText="1"/>
    </xf>
    <xf numFmtId="1" fontId="63" fillId="18" borderId="3" xfId="5" applyNumberFormat="1" applyFont="1" applyFill="1" applyBorder="1" applyAlignment="1" applyProtection="1">
      <alignment horizontal="center" vertical="center" wrapText="1"/>
    </xf>
    <xf numFmtId="9" fontId="62" fillId="18" borderId="2" xfId="34" applyNumberFormat="1" applyFont="1" applyFill="1" applyBorder="1" applyAlignment="1" applyProtection="1">
      <alignment horizontal="center" vertical="center" wrapText="1"/>
    </xf>
    <xf numFmtId="164" fontId="17" fillId="3" borderId="31" xfId="6" applyNumberFormat="1" applyFont="1" applyFill="1" applyBorder="1" applyAlignment="1" applyProtection="1">
      <alignment horizontal="center" vertical="center" wrapText="1"/>
    </xf>
    <xf numFmtId="164" fontId="17" fillId="3" borderId="6" xfId="6" applyNumberFormat="1" applyFont="1" applyFill="1" applyBorder="1" applyAlignment="1" applyProtection="1">
      <alignment horizontal="center" vertical="center" wrapText="1"/>
    </xf>
    <xf numFmtId="10" fontId="17" fillId="3" borderId="3" xfId="6" applyNumberFormat="1" applyFont="1" applyFill="1" applyBorder="1" applyAlignment="1" applyProtection="1">
      <alignment horizontal="center" vertical="center" wrapText="1"/>
    </xf>
    <xf numFmtId="164" fontId="17" fillId="3" borderId="3" xfId="6" applyNumberFormat="1" applyFont="1" applyFill="1" applyBorder="1" applyAlignment="1" applyProtection="1">
      <alignment horizontal="center" vertical="center" wrapText="1"/>
    </xf>
    <xf numFmtId="164" fontId="18" fillId="0" borderId="2" xfId="8" applyNumberFormat="1" applyFont="1" applyFill="1" applyBorder="1" applyAlignment="1" applyProtection="1">
      <alignment horizontal="center" vertical="center"/>
    </xf>
    <xf numFmtId="9" fontId="17" fillId="0" borderId="2" xfId="34" applyNumberFormat="1" applyFont="1" applyBorder="1" applyAlignment="1" applyProtection="1">
      <alignment horizontal="center" vertical="center" wrapText="1"/>
    </xf>
    <xf numFmtId="4" fontId="42" fillId="18" borderId="2" xfId="0" applyNumberFormat="1" applyFont="1" applyFill="1" applyBorder="1" applyAlignment="1" applyProtection="1">
      <alignment horizontal="center" vertical="center" wrapText="1"/>
    </xf>
    <xf numFmtId="3" fontId="42" fillId="18" borderId="2" xfId="0" applyNumberFormat="1" applyFont="1" applyFill="1" applyBorder="1" applyAlignment="1" applyProtection="1">
      <alignment horizontal="center" vertical="center" wrapText="1"/>
    </xf>
    <xf numFmtId="166" fontId="42" fillId="18" borderId="2" xfId="0" applyNumberFormat="1" applyFont="1" applyFill="1" applyBorder="1" applyAlignment="1" applyProtection="1">
      <alignment horizontal="center" vertical="center" wrapText="1"/>
    </xf>
    <xf numFmtId="3" fontId="62" fillId="18" borderId="2" xfId="0" applyNumberFormat="1" applyFont="1" applyFill="1" applyBorder="1" applyAlignment="1" applyProtection="1">
      <alignment horizontal="center" vertical="center" wrapText="1"/>
    </xf>
    <xf numFmtId="4" fontId="62" fillId="18" borderId="2" xfId="0" applyNumberFormat="1" applyFont="1" applyFill="1" applyBorder="1" applyAlignment="1" applyProtection="1">
      <alignment horizontal="center" vertical="center" wrapText="1"/>
    </xf>
    <xf numFmtId="166" fontId="62" fillId="18" borderId="2" xfId="0" applyNumberFormat="1" applyFont="1" applyFill="1" applyBorder="1" applyAlignment="1" applyProtection="1">
      <alignment horizontal="center" vertical="center" wrapText="1"/>
    </xf>
    <xf numFmtId="3" fontId="17" fillId="18" borderId="2" xfId="34" applyNumberFormat="1" applyFont="1" applyFill="1" applyBorder="1" applyAlignment="1" applyProtection="1">
      <alignment horizontal="center" vertical="center" wrapText="1"/>
    </xf>
    <xf numFmtId="164" fontId="18" fillId="18" borderId="31" xfId="34" applyNumberFormat="1" applyFont="1" applyFill="1" applyBorder="1" applyAlignment="1" applyProtection="1">
      <alignment horizontal="center" vertical="center" wrapText="1"/>
    </xf>
    <xf numFmtId="164" fontId="29" fillId="0" borderId="2" xfId="6" applyNumberFormat="1" applyFont="1" applyBorder="1" applyAlignment="1" applyProtection="1">
      <alignment horizontal="center" vertical="center"/>
    </xf>
    <xf numFmtId="164" fontId="60" fillId="0" borderId="2" xfId="0" applyNumberFormat="1" applyFont="1" applyBorder="1" applyAlignment="1" applyProtection="1">
      <alignment horizontal="center" vertical="center"/>
    </xf>
    <xf numFmtId="0" fontId="6" fillId="0" borderId="2" xfId="0" applyFont="1" applyBorder="1" applyAlignment="1" applyProtection="1">
      <alignment vertical="center"/>
    </xf>
    <xf numFmtId="3" fontId="17" fillId="0" borderId="2" xfId="34" applyNumberFormat="1" applyFont="1" applyBorder="1" applyAlignment="1" applyProtection="1">
      <alignment horizontal="center" vertical="center" wrapText="1"/>
    </xf>
    <xf numFmtId="10" fontId="17" fillId="0" borderId="31" xfId="6" applyNumberFormat="1" applyFont="1" applyBorder="1" applyAlignment="1" applyProtection="1">
      <alignment horizontal="center" vertical="center" wrapText="1"/>
    </xf>
    <xf numFmtId="10" fontId="18" fillId="0" borderId="31" xfId="34" applyNumberFormat="1" applyFont="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1" fillId="12" borderId="50" xfId="1" applyFont="1" applyFill="1" applyBorder="1" applyAlignment="1" applyProtection="1">
      <alignment vertical="center"/>
    </xf>
    <xf numFmtId="3" fontId="59" fillId="0" borderId="2" xfId="34" applyNumberFormat="1" applyFont="1" applyBorder="1" applyAlignment="1" applyProtection="1">
      <alignment horizontal="center" vertical="center" wrapText="1"/>
    </xf>
    <xf numFmtId="3" fontId="61" fillId="18" borderId="2" xfId="34" applyNumberFormat="1" applyFont="1" applyFill="1" applyBorder="1" applyAlignment="1" applyProtection="1">
      <alignment horizontal="center" vertical="center" wrapText="1"/>
    </xf>
    <xf numFmtId="0" fontId="17" fillId="3" borderId="2" xfId="0" applyFont="1" applyFill="1" applyBorder="1" applyAlignment="1" applyProtection="1">
      <alignment horizontal="justify" vertical="center" wrapText="1"/>
    </xf>
    <xf numFmtId="9" fontId="17" fillId="3" borderId="2" xfId="6" applyFont="1" applyFill="1" applyBorder="1" applyAlignment="1" applyProtection="1">
      <alignment horizontal="center" vertical="center" wrapText="1"/>
    </xf>
    <xf numFmtId="9" fontId="17" fillId="3" borderId="3" xfId="6" applyFont="1" applyFill="1" applyBorder="1" applyAlignment="1" applyProtection="1">
      <alignment horizontal="center" vertical="center" wrapText="1"/>
    </xf>
    <xf numFmtId="9" fontId="17" fillId="3" borderId="3" xfId="6" applyFont="1" applyFill="1" applyBorder="1" applyAlignment="1" applyProtection="1">
      <alignment horizontal="justify" vertical="center" wrapText="1"/>
    </xf>
    <xf numFmtId="0" fontId="17" fillId="3" borderId="31" xfId="0" applyFont="1" applyFill="1" applyBorder="1" applyAlignment="1" applyProtection="1">
      <alignment horizontal="justify" vertical="center" wrapText="1"/>
    </xf>
    <xf numFmtId="0" fontId="17" fillId="3" borderId="6" xfId="20" applyFont="1" applyFill="1" applyBorder="1" applyAlignment="1" applyProtection="1">
      <alignment horizontal="justify" vertical="center" wrapText="1"/>
    </xf>
    <xf numFmtId="9" fontId="36" fillId="3" borderId="3" xfId="5" applyNumberFormat="1" applyFont="1" applyFill="1" applyBorder="1" applyAlignment="1" applyProtection="1">
      <alignment horizontal="center" vertical="center" wrapText="1"/>
    </xf>
    <xf numFmtId="9" fontId="17" fillId="3" borderId="2" xfId="20" applyNumberFormat="1" applyFont="1" applyFill="1" applyBorder="1" applyAlignment="1" applyProtection="1">
      <alignment horizontal="center" vertical="center" wrapText="1"/>
    </xf>
    <xf numFmtId="164" fontId="17" fillId="3" borderId="2" xfId="20" applyNumberFormat="1" applyFont="1" applyFill="1" applyBorder="1" applyAlignment="1" applyProtection="1">
      <alignment horizontal="center" vertical="center" wrapText="1"/>
    </xf>
    <xf numFmtId="9" fontId="59" fillId="3" borderId="2" xfId="20" applyNumberFormat="1" applyFont="1" applyFill="1" applyBorder="1" applyAlignment="1" applyProtection="1">
      <alignment horizontal="center" vertical="center" wrapText="1"/>
    </xf>
    <xf numFmtId="164" fontId="17" fillId="3" borderId="31" xfId="20" applyNumberFormat="1" applyFont="1" applyFill="1" applyBorder="1" applyAlignment="1" applyProtection="1">
      <alignment horizontal="center" vertical="center" wrapText="1"/>
    </xf>
    <xf numFmtId="1" fontId="17" fillId="3" borderId="2" xfId="0" applyNumberFormat="1" applyFont="1" applyFill="1" applyBorder="1" applyAlignment="1" applyProtection="1">
      <alignment horizontal="center" vertical="center" wrapText="1"/>
    </xf>
    <xf numFmtId="0" fontId="17" fillId="3" borderId="3" xfId="0" applyNumberFormat="1" applyFont="1" applyFill="1" applyBorder="1" applyAlignment="1" applyProtection="1">
      <alignment horizontal="center" vertical="center" wrapText="1"/>
    </xf>
    <xf numFmtId="0" fontId="17" fillId="3" borderId="3" xfId="0" applyNumberFormat="1" applyFont="1" applyFill="1" applyBorder="1" applyAlignment="1" applyProtection="1">
      <alignment horizontal="justify" vertical="center" wrapText="1"/>
    </xf>
    <xf numFmtId="1" fontId="36" fillId="3" borderId="3" xfId="5" applyNumberFormat="1" applyFont="1" applyFill="1" applyBorder="1" applyAlignment="1" applyProtection="1">
      <alignment horizontal="center" vertical="center" wrapText="1"/>
    </xf>
    <xf numFmtId="1" fontId="57" fillId="3" borderId="3" xfId="5" applyNumberFormat="1" applyFont="1" applyFill="1" applyBorder="1" applyAlignment="1" applyProtection="1">
      <alignment horizontal="center" vertical="center" wrapText="1"/>
    </xf>
    <xf numFmtId="4" fontId="17" fillId="3" borderId="31" xfId="20" applyNumberFormat="1" applyFont="1" applyFill="1" applyBorder="1" applyAlignment="1" applyProtection="1">
      <alignment horizontal="center" vertical="center" wrapText="1"/>
    </xf>
    <xf numFmtId="0" fontId="64" fillId="0" borderId="53" xfId="0" applyFont="1" applyBorder="1" applyAlignment="1" applyProtection="1">
      <alignment horizontal="left" vertical="center"/>
    </xf>
    <xf numFmtId="0" fontId="64" fillId="0" borderId="52" xfId="0" applyFont="1" applyBorder="1" applyAlignment="1" applyProtection="1">
      <alignment horizontal="center" vertical="center"/>
    </xf>
    <xf numFmtId="0" fontId="64" fillId="0" borderId="51" xfId="0" applyFont="1" applyBorder="1" applyAlignment="1" applyProtection="1">
      <alignment horizontal="right" vertical="center"/>
    </xf>
    <xf numFmtId="0" fontId="64" fillId="0" borderId="1" xfId="0" applyFont="1" applyBorder="1" applyAlignment="1" applyProtection="1">
      <alignment vertical="center"/>
    </xf>
    <xf numFmtId="0" fontId="32" fillId="0" borderId="3" xfId="0" applyFont="1" applyBorder="1" applyAlignment="1">
      <alignment vertical="center"/>
    </xf>
    <xf numFmtId="0" fontId="32" fillId="0" borderId="3" xfId="0" applyFont="1" applyBorder="1" applyAlignment="1">
      <alignment vertical="center" wrapText="1"/>
    </xf>
    <xf numFmtId="0" fontId="32" fillId="0" borderId="5" xfId="0" applyFont="1" applyBorder="1" applyAlignment="1">
      <alignment horizontal="center" vertical="center"/>
    </xf>
    <xf numFmtId="0" fontId="32" fillId="0" borderId="5" xfId="0" applyFont="1" applyBorder="1" applyAlignment="1">
      <alignment vertical="center" wrapText="1"/>
    </xf>
    <xf numFmtId="0" fontId="32" fillId="0" borderId="5" xfId="0" applyFont="1" applyBorder="1" applyAlignment="1">
      <alignment horizontal="center" vertical="center" wrapText="1"/>
    </xf>
    <xf numFmtId="0" fontId="0" fillId="0" borderId="2" xfId="0" applyBorder="1" applyAlignment="1">
      <alignment horizontal="center" vertical="center"/>
    </xf>
    <xf numFmtId="0" fontId="5" fillId="7" borderId="2" xfId="0" applyFont="1" applyFill="1" applyBorder="1" applyAlignment="1">
      <alignment horizontal="justify" vertical="center"/>
    </xf>
    <xf numFmtId="0" fontId="0" fillId="0" borderId="2" xfId="0" applyBorder="1" applyAlignment="1">
      <alignment horizontal="justify" vertical="center" wrapText="1"/>
    </xf>
    <xf numFmtId="9" fontId="37"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 fontId="37" fillId="24" borderId="2" xfId="0" applyNumberFormat="1" applyFont="1" applyFill="1" applyBorder="1" applyAlignment="1" applyProtection="1">
      <alignment horizontal="center" vertical="center"/>
      <protection hidden="1"/>
    </xf>
    <xf numFmtId="1" fontId="37" fillId="0" borderId="2" xfId="0" applyNumberFormat="1" applyFont="1" applyBorder="1" applyAlignment="1">
      <alignment horizontal="center" vertical="center"/>
    </xf>
    <xf numFmtId="0" fontId="5" fillId="25" borderId="2" xfId="0" applyFont="1" applyFill="1" applyBorder="1" applyAlignment="1">
      <alignment horizontal="justify" vertical="center"/>
    </xf>
    <xf numFmtId="0" fontId="5" fillId="0" borderId="2" xfId="0" applyFont="1" applyBorder="1" applyAlignment="1">
      <alignment horizontal="center" vertical="center"/>
    </xf>
    <xf numFmtId="0" fontId="0" fillId="26" borderId="2" xfId="0" applyFill="1" applyBorder="1" applyAlignment="1">
      <alignment horizontal="justify" vertical="center"/>
    </xf>
    <xf numFmtId="0" fontId="0" fillId="7" borderId="2" xfId="0" applyFill="1" applyBorder="1" applyAlignment="1">
      <alignment horizontal="justify" vertical="center"/>
    </xf>
    <xf numFmtId="0" fontId="0" fillId="25"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5"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5" fillId="0" borderId="2" xfId="0" applyFont="1" applyBorder="1" applyAlignment="1">
      <alignment horizontal="center" vertical="center" wrapText="1"/>
    </xf>
    <xf numFmtId="9" fontId="0" fillId="0" borderId="2" xfId="6" applyFont="1" applyBorder="1" applyAlignment="1">
      <alignment horizontal="center" vertical="center"/>
    </xf>
    <xf numFmtId="0" fontId="68" fillId="0" borderId="2" xfId="0" applyFont="1" applyBorder="1" applyAlignment="1">
      <alignment horizontal="justify" vertical="center"/>
    </xf>
    <xf numFmtId="3" fontId="5" fillId="0" borderId="2" xfId="0" applyNumberFormat="1" applyFont="1" applyBorder="1" applyAlignment="1" applyProtection="1">
      <alignment horizontal="center" vertical="center" wrapText="1"/>
    </xf>
    <xf numFmtId="1" fontId="0" fillId="0" borderId="2" xfId="0" applyNumberFormat="1" applyBorder="1" applyAlignment="1">
      <alignment horizontal="center" vertical="center"/>
    </xf>
    <xf numFmtId="0" fontId="68" fillId="0" borderId="2" xfId="0" applyFont="1" applyBorder="1" applyAlignment="1">
      <alignment horizontal="justify" vertical="center" wrapText="1"/>
    </xf>
    <xf numFmtId="0" fontId="0" fillId="3" borderId="2" xfId="0" applyFill="1" applyBorder="1" applyAlignment="1">
      <alignment horizontal="justify" vertical="center"/>
    </xf>
    <xf numFmtId="0" fontId="68" fillId="0" borderId="0" xfId="0" applyFont="1" applyAlignment="1">
      <alignment horizontal="justify" vertical="center"/>
    </xf>
    <xf numFmtId="0" fontId="5" fillId="0" borderId="1" xfId="9"/>
    <xf numFmtId="0" fontId="17" fillId="0" borderId="2" xfId="34" applyFont="1" applyBorder="1" applyAlignment="1" applyProtection="1">
      <alignment horizontal="left" vertical="center" wrapText="1"/>
    </xf>
    <xf numFmtId="0" fontId="20" fillId="0" borderId="6" xfId="34" applyFont="1" applyBorder="1" applyAlignment="1" applyProtection="1">
      <alignment horizontal="left" vertical="center" wrapText="1"/>
    </xf>
    <xf numFmtId="0" fontId="47" fillId="0" borderId="1" xfId="52" applyFont="1" applyAlignment="1" applyProtection="1">
      <alignment horizontal="center" vertical="center" wrapText="1"/>
      <protection hidden="1"/>
    </xf>
    <xf numFmtId="0" fontId="47" fillId="0" borderId="1" xfId="52" applyFont="1" applyFill="1" applyAlignment="1" applyProtection="1">
      <alignment horizontal="center" vertical="center" wrapText="1"/>
      <protection hidden="1"/>
    </xf>
    <xf numFmtId="0" fontId="69" fillId="0" borderId="1" xfId="52" applyFont="1" applyProtection="1">
      <protection hidden="1"/>
    </xf>
    <xf numFmtId="49" fontId="69" fillId="0" borderId="1" xfId="52" applyNumberFormat="1" applyFont="1" applyProtection="1">
      <protection hidden="1"/>
    </xf>
    <xf numFmtId="0" fontId="69" fillId="0" borderId="1" xfId="52" applyFont="1" applyAlignment="1" applyProtection="1">
      <alignment horizontal="center" vertical="center"/>
      <protection hidden="1"/>
    </xf>
    <xf numFmtId="0" fontId="69" fillId="0" borderId="1" xfId="52" applyFont="1" applyFill="1" applyAlignment="1" applyProtection="1">
      <alignment horizontal="left" vertical="center"/>
      <protection hidden="1"/>
    </xf>
    <xf numFmtId="0" fontId="1" fillId="0" borderId="1" xfId="52" applyProtection="1">
      <protection hidden="1"/>
    </xf>
    <xf numFmtId="0" fontId="70" fillId="0" borderId="1" xfId="9" applyFont="1" applyProtection="1">
      <protection hidden="1"/>
    </xf>
    <xf numFmtId="0" fontId="47" fillId="0" borderId="1" xfId="52" applyFont="1" applyProtection="1">
      <protection hidden="1"/>
    </xf>
    <xf numFmtId="0" fontId="69" fillId="0" borderId="1" xfId="52" applyFont="1" applyFill="1" applyBorder="1" applyProtection="1">
      <protection hidden="1"/>
    </xf>
    <xf numFmtId="0" fontId="69" fillId="0" borderId="1" xfId="52" applyFont="1" applyFill="1" applyBorder="1" applyAlignment="1" applyProtection="1">
      <alignment horizontal="center" vertical="center"/>
      <protection hidden="1"/>
    </xf>
    <xf numFmtId="0" fontId="21" fillId="0" borderId="0" xfId="0" applyFont="1" applyProtection="1">
      <protection hidden="1"/>
    </xf>
    <xf numFmtId="0" fontId="21" fillId="0" borderId="1" xfId="0" applyFont="1" applyBorder="1" applyAlignment="1" applyProtection="1">
      <alignment horizontal="center" vertical="center"/>
      <protection hidden="1"/>
    </xf>
    <xf numFmtId="0" fontId="21" fillId="0" borderId="1" xfId="0" applyFont="1" applyBorder="1" applyProtection="1">
      <protection hidden="1"/>
    </xf>
    <xf numFmtId="0" fontId="21" fillId="0" borderId="0" xfId="0" applyFont="1" applyAlignment="1" applyProtection="1">
      <alignment horizontal="justify" vertical="center"/>
      <protection hidden="1"/>
    </xf>
    <xf numFmtId="0" fontId="8" fillId="0" borderId="1" xfId="0" applyFont="1" applyBorder="1" applyAlignment="1" applyProtection="1">
      <alignment horizontal="justify" vertical="center"/>
      <protection hidden="1"/>
    </xf>
    <xf numFmtId="0" fontId="40" fillId="0" borderId="1" xfId="0" applyFont="1" applyBorder="1" applyAlignment="1" applyProtection="1">
      <alignment horizontal="justify" vertical="center"/>
      <protection hidden="1"/>
    </xf>
    <xf numFmtId="0" fontId="71" fillId="0" borderId="0" xfId="0" applyFont="1" applyProtection="1">
      <protection hidden="1"/>
    </xf>
    <xf numFmtId="0" fontId="21" fillId="0" borderId="0" xfId="0" applyFont="1" applyAlignment="1" applyProtection="1">
      <alignment horizontal="center" vertical="center"/>
      <protection hidden="1"/>
    </xf>
    <xf numFmtId="0" fontId="21" fillId="0" borderId="60" xfId="0" applyFont="1" applyBorder="1" applyProtection="1">
      <protection hidden="1"/>
    </xf>
    <xf numFmtId="0" fontId="21" fillId="0" borderId="5" xfId="0" applyFont="1" applyBorder="1" applyAlignment="1" applyProtection="1">
      <alignment horizontal="center" vertical="center"/>
      <protection hidden="1"/>
    </xf>
    <xf numFmtId="164" fontId="21" fillId="0" borderId="2" xfId="0" applyNumberFormat="1" applyFont="1" applyBorder="1" applyAlignment="1" applyProtection="1">
      <alignment horizontal="center" vertical="center" wrapText="1"/>
      <protection hidden="1"/>
    </xf>
    <xf numFmtId="164" fontId="21" fillId="0" borderId="1" xfId="0" applyNumberFormat="1" applyFont="1" applyBorder="1" applyAlignment="1" applyProtection="1">
      <alignment horizontal="center" vertical="center" wrapText="1"/>
      <protection hidden="1"/>
    </xf>
    <xf numFmtId="0" fontId="21" fillId="0" borderId="40" xfId="0" applyFont="1" applyBorder="1" applyProtection="1">
      <protection hidden="1"/>
    </xf>
    <xf numFmtId="0" fontId="21" fillId="0" borderId="61" xfId="0" applyFont="1" applyBorder="1" applyProtection="1">
      <protection hidden="1"/>
    </xf>
    <xf numFmtId="0" fontId="22" fillId="0" borderId="63" xfId="0" applyFont="1" applyBorder="1" applyAlignment="1" applyProtection="1">
      <alignment horizontal="center" vertical="center"/>
      <protection hidden="1"/>
    </xf>
    <xf numFmtId="164" fontId="22" fillId="0" borderId="63" xfId="0" applyNumberFormat="1" applyFont="1" applyBorder="1" applyAlignment="1" applyProtection="1">
      <alignment horizontal="center" vertical="center" wrapText="1"/>
      <protection hidden="1"/>
    </xf>
    <xf numFmtId="164" fontId="22" fillId="0" borderId="64" xfId="0" applyNumberFormat="1" applyFont="1" applyBorder="1" applyAlignment="1" applyProtection="1">
      <alignment horizontal="center" vertical="center" wrapText="1"/>
      <protection hidden="1"/>
    </xf>
    <xf numFmtId="164" fontId="22" fillId="0" borderId="1" xfId="0" applyNumberFormat="1" applyFont="1" applyBorder="1" applyAlignment="1" applyProtection="1">
      <alignment horizontal="center" vertical="center" wrapText="1"/>
      <protection hidden="1"/>
    </xf>
    <xf numFmtId="0" fontId="22" fillId="0" borderId="1" xfId="0" applyFont="1" applyBorder="1" applyAlignment="1" applyProtection="1">
      <alignment vertical="center" wrapText="1"/>
      <protection hidden="1"/>
    </xf>
    <xf numFmtId="0" fontId="17" fillId="0" borderId="0" xfId="0" applyFont="1" applyProtection="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justify" vertical="center"/>
      <protection hidden="1"/>
    </xf>
    <xf numFmtId="0" fontId="8" fillId="28" borderId="0" xfId="0" applyFont="1" applyFill="1" applyProtection="1">
      <protection hidden="1"/>
    </xf>
    <xf numFmtId="3" fontId="21" fillId="0" borderId="2" xfId="0" applyNumberFormat="1" applyFont="1" applyBorder="1" applyAlignment="1" applyProtection="1">
      <alignment horizontal="center" vertical="center"/>
      <protection hidden="1"/>
    </xf>
    <xf numFmtId="0" fontId="21" fillId="0" borderId="2" xfId="0" applyFont="1" applyBorder="1" applyAlignment="1" applyProtection="1">
      <alignment horizontal="justify" vertical="center" wrapText="1"/>
      <protection hidden="1"/>
    </xf>
    <xf numFmtId="0" fontId="21" fillId="0" borderId="2" xfId="0" applyFont="1" applyBorder="1" applyAlignment="1" applyProtection="1">
      <alignment horizontal="center" vertical="center" wrapText="1"/>
      <protection hidden="1"/>
    </xf>
    <xf numFmtId="166" fontId="21" fillId="0" borderId="2" xfId="0" applyNumberFormat="1" applyFont="1" applyBorder="1" applyAlignment="1" applyProtection="1">
      <alignment horizontal="center" vertical="center"/>
      <protection hidden="1"/>
    </xf>
    <xf numFmtId="164" fontId="21" fillId="0" borderId="2" xfId="8" applyNumberFormat="1" applyFont="1" applyFill="1" applyBorder="1" applyAlignment="1" applyProtection="1">
      <alignment horizontal="center" vertical="center" wrapText="1"/>
      <protection hidden="1"/>
    </xf>
    <xf numFmtId="164" fontId="21" fillId="0" borderId="2" xfId="8" applyNumberFormat="1" applyFont="1" applyFill="1" applyBorder="1" applyAlignment="1" applyProtection="1">
      <alignment horizontal="center" vertical="center"/>
      <protection hidden="1"/>
    </xf>
    <xf numFmtId="169" fontId="21" fillId="0" borderId="0" xfId="0" applyNumberFormat="1" applyFont="1" applyProtection="1">
      <protection hidden="1"/>
    </xf>
    <xf numFmtId="9" fontId="22" fillId="0" borderId="2" xfId="0" applyNumberFormat="1" applyFont="1" applyBorder="1" applyAlignment="1" applyProtection="1">
      <alignment horizontal="center" vertical="center" wrapText="1"/>
      <protection hidden="1"/>
    </xf>
    <xf numFmtId="164" fontId="22" fillId="0" borderId="2" xfId="0" applyNumberFormat="1" applyFont="1" applyBorder="1" applyAlignment="1" applyProtection="1">
      <alignment horizontal="center" vertical="center" wrapText="1"/>
      <protection hidden="1"/>
    </xf>
    <xf numFmtId="0" fontId="22" fillId="28" borderId="0" xfId="0" applyFont="1" applyFill="1" applyProtection="1">
      <protection hidden="1"/>
    </xf>
    <xf numFmtId="9" fontId="21" fillId="0" borderId="2" xfId="0" applyNumberFormat="1" applyFont="1" applyBorder="1" applyAlignment="1" applyProtection="1">
      <alignment horizontal="center" vertical="center" wrapText="1"/>
      <protection hidden="1"/>
    </xf>
    <xf numFmtId="9" fontId="37" fillId="0" borderId="2" xfId="0" applyNumberFormat="1" applyFont="1" applyBorder="1" applyAlignment="1" applyProtection="1">
      <alignment horizontal="center" vertical="center" wrapText="1"/>
      <protection hidden="1"/>
    </xf>
    <xf numFmtId="0" fontId="8" fillId="0" borderId="0" xfId="0" applyFont="1" applyProtection="1">
      <protection hidden="1"/>
    </xf>
    <xf numFmtId="164" fontId="21" fillId="3" borderId="2" xfId="0" applyNumberFormat="1" applyFont="1" applyFill="1" applyBorder="1" applyAlignment="1" applyProtection="1">
      <alignment horizontal="center" vertical="center" wrapText="1"/>
      <protection hidden="1"/>
    </xf>
    <xf numFmtId="164" fontId="21" fillId="0" borderId="0" xfId="0" applyNumberFormat="1" applyFont="1" applyProtection="1">
      <protection hidden="1"/>
    </xf>
    <xf numFmtId="9" fontId="22" fillId="0" borderId="1" xfId="0" applyNumberFormat="1" applyFont="1" applyBorder="1" applyAlignment="1" applyProtection="1">
      <alignment horizontal="center" vertical="center" wrapText="1"/>
      <protection hidden="1"/>
    </xf>
    <xf numFmtId="9" fontId="21" fillId="0" borderId="6" xfId="0" applyNumberFormat="1" applyFont="1" applyBorder="1" applyAlignment="1" applyProtection="1">
      <alignment horizontal="center" vertical="center" wrapText="1"/>
      <protection hidden="1"/>
    </xf>
    <xf numFmtId="166" fontId="21" fillId="0" borderId="2" xfId="51" applyNumberFormat="1" applyFont="1" applyFill="1" applyBorder="1" applyAlignment="1" applyProtection="1">
      <alignment horizontal="center" vertical="center"/>
      <protection hidden="1"/>
    </xf>
    <xf numFmtId="166" fontId="21" fillId="0" borderId="0" xfId="0" applyNumberFormat="1" applyFont="1" applyProtection="1">
      <protection hidden="1"/>
    </xf>
    <xf numFmtId="164" fontId="37" fillId="0" borderId="2" xfId="8" applyNumberFormat="1" applyFont="1" applyFill="1" applyBorder="1" applyAlignment="1" applyProtection="1">
      <alignment horizontal="center" vertical="center" wrapText="1"/>
      <protection hidden="1"/>
    </xf>
    <xf numFmtId="9" fontId="21" fillId="0" borderId="2" xfId="8" applyFont="1" applyFill="1" applyBorder="1" applyAlignment="1" applyProtection="1">
      <alignment horizontal="center" vertical="center" wrapText="1"/>
      <protection hidden="1"/>
    </xf>
    <xf numFmtId="164" fontId="37" fillId="0" borderId="2" xfId="0" applyNumberFormat="1" applyFont="1" applyBorder="1" applyAlignment="1" applyProtection="1">
      <alignment horizontal="center" vertical="center" wrapText="1"/>
      <protection hidden="1"/>
    </xf>
    <xf numFmtId="164" fontId="21" fillId="0" borderId="1" xfId="8" applyNumberFormat="1" applyFont="1" applyFill="1" applyProtection="1">
      <protection hidden="1"/>
    </xf>
    <xf numFmtId="9" fontId="21" fillId="0" borderId="1" xfId="8" applyFont="1" applyFill="1" applyProtection="1">
      <protection hidden="1"/>
    </xf>
    <xf numFmtId="43" fontId="21" fillId="0" borderId="0" xfId="5" applyFont="1" applyFill="1" applyProtection="1">
      <protection hidden="1"/>
    </xf>
    <xf numFmtId="10" fontId="21" fillId="0" borderId="2" xfId="0" applyNumberFormat="1" applyFont="1" applyBorder="1" applyAlignment="1" applyProtection="1">
      <alignment horizontal="center" vertical="center" wrapText="1"/>
      <protection hidden="1"/>
    </xf>
    <xf numFmtId="10" fontId="22" fillId="0" borderId="2" xfId="0" applyNumberFormat="1" applyFont="1" applyBorder="1" applyAlignment="1" applyProtection="1">
      <alignment horizontal="center" vertical="center" wrapText="1"/>
      <protection hidden="1"/>
    </xf>
    <xf numFmtId="9" fontId="21" fillId="0" borderId="2" xfId="0" applyNumberFormat="1" applyFont="1" applyBorder="1" applyAlignment="1" applyProtection="1">
      <alignment horizontal="justify" vertical="center" wrapText="1"/>
      <protection hidden="1"/>
    </xf>
    <xf numFmtId="0" fontId="22" fillId="0" borderId="1" xfId="0" applyFont="1" applyBorder="1" applyAlignment="1" applyProtection="1">
      <alignment horizontal="center"/>
      <protection hidden="1"/>
    </xf>
    <xf numFmtId="3" fontId="21" fillId="0" borderId="2" xfId="51" applyNumberFormat="1" applyFont="1" applyFill="1" applyBorder="1" applyAlignment="1" applyProtection="1">
      <alignment horizontal="center" vertical="center"/>
      <protection hidden="1"/>
    </xf>
    <xf numFmtId="0" fontId="40" fillId="0" borderId="1" xfId="0" applyFont="1" applyBorder="1" applyAlignment="1" applyProtection="1">
      <protection hidden="1"/>
    </xf>
    <xf numFmtId="0" fontId="71" fillId="0" borderId="0" xfId="0" applyFont="1" applyAlignment="1" applyProtection="1">
      <alignment horizontal="justify" vertical="center"/>
      <protection hidden="1"/>
    </xf>
    <xf numFmtId="0" fontId="22" fillId="0" borderId="1" xfId="0" applyFont="1" applyBorder="1" applyAlignment="1" applyProtection="1">
      <alignment horizontal="justify" vertical="center" wrapText="1"/>
      <protection hidden="1"/>
    </xf>
    <xf numFmtId="0" fontId="8" fillId="28" borderId="0" xfId="0" applyFont="1" applyFill="1" applyAlignment="1" applyProtection="1">
      <alignment horizontal="justify" vertical="center"/>
      <protection hidden="1"/>
    </xf>
    <xf numFmtId="0" fontId="22" fillId="28" borderId="0" xfId="0" applyFont="1" applyFill="1" applyAlignment="1" applyProtection="1">
      <alignment horizontal="justify" vertical="center"/>
      <protection hidden="1"/>
    </xf>
    <xf numFmtId="0" fontId="8" fillId="0" borderId="0" xfId="0" applyFont="1" applyAlignment="1" applyProtection="1">
      <alignment horizontal="justify" vertical="center"/>
      <protection hidden="1"/>
    </xf>
    <xf numFmtId="0" fontId="22" fillId="0" borderId="1" xfId="0" applyFont="1" applyBorder="1" applyAlignment="1" applyProtection="1">
      <alignment horizontal="justify" vertical="center"/>
      <protection hidden="1"/>
    </xf>
    <xf numFmtId="9" fontId="21" fillId="0" borderId="2" xfId="6" applyFont="1" applyBorder="1" applyAlignment="1" applyProtection="1">
      <alignment horizontal="center" vertical="center"/>
      <protection hidden="1"/>
    </xf>
    <xf numFmtId="9" fontId="21" fillId="0" borderId="2" xfId="0" applyNumberFormat="1" applyFont="1" applyBorder="1" applyAlignment="1" applyProtection="1">
      <alignment horizontal="center" vertical="center"/>
      <protection hidden="1"/>
    </xf>
    <xf numFmtId="3" fontId="21" fillId="0" borderId="55" xfId="0" applyNumberFormat="1" applyFont="1" applyBorder="1" applyAlignment="1" applyProtection="1">
      <alignment horizontal="center" vertical="center"/>
      <protection hidden="1"/>
    </xf>
    <xf numFmtId="0" fontId="11" fillId="0" borderId="1" xfId="0" applyFont="1" applyBorder="1" applyAlignment="1" applyProtection="1">
      <alignment vertical="center"/>
      <protection hidden="1"/>
    </xf>
    <xf numFmtId="0" fontId="8" fillId="0" borderId="1" xfId="0" applyFont="1" applyBorder="1" applyAlignment="1" applyProtection="1">
      <alignment vertical="center"/>
      <protection hidden="1"/>
    </xf>
    <xf numFmtId="164" fontId="37" fillId="3" borderId="2" xfId="0" applyNumberFormat="1" applyFont="1" applyFill="1" applyBorder="1" applyAlignment="1" applyProtection="1">
      <alignment horizontal="center" vertical="center" wrapText="1"/>
      <protection hidden="1"/>
    </xf>
    <xf numFmtId="0" fontId="17" fillId="0" borderId="1" xfId="0" applyFont="1" applyBorder="1" applyProtection="1">
      <protection hidden="1"/>
    </xf>
    <xf numFmtId="9" fontId="21" fillId="0" borderId="2" xfId="6" applyFont="1" applyFill="1" applyBorder="1" applyAlignment="1" applyProtection="1">
      <alignment horizontal="center" vertical="center"/>
      <protection hidden="1"/>
    </xf>
    <xf numFmtId="9" fontId="37" fillId="0" borderId="2" xfId="8" applyFont="1" applyFill="1" applyBorder="1" applyAlignment="1" applyProtection="1">
      <alignment horizontal="center" vertical="center" wrapText="1"/>
      <protection hidden="1"/>
    </xf>
    <xf numFmtId="4" fontId="21" fillId="0" borderId="2" xfId="51" applyNumberFormat="1" applyFont="1" applyFill="1" applyBorder="1" applyAlignment="1" applyProtection="1">
      <alignment horizontal="center" vertical="center"/>
      <protection hidden="1"/>
    </xf>
    <xf numFmtId="164" fontId="11" fillId="12" borderId="11" xfId="1" applyNumberFormat="1" applyFont="1" applyFill="1" applyBorder="1" applyAlignment="1" applyProtection="1">
      <alignment horizontal="center" vertical="center"/>
    </xf>
    <xf numFmtId="10" fontId="11" fillId="12" borderId="50" xfId="1" applyNumberFormat="1" applyFont="1" applyFill="1" applyBorder="1" applyAlignment="1" applyProtection="1">
      <alignment horizontal="center" vertical="center"/>
    </xf>
    <xf numFmtId="0" fontId="21" fillId="0" borderId="0" xfId="0" applyFont="1"/>
    <xf numFmtId="0" fontId="21" fillId="0" borderId="1" xfId="0" applyFont="1" applyBorder="1" applyAlignment="1">
      <alignment horizontal="center" vertical="center"/>
    </xf>
    <xf numFmtId="0" fontId="21" fillId="0" borderId="0" xfId="0" applyFont="1" applyAlignment="1">
      <alignment horizontal="center" vertical="center"/>
    </xf>
    <xf numFmtId="0" fontId="72" fillId="0" borderId="0" xfId="0" applyFont="1"/>
    <xf numFmtId="0" fontId="22" fillId="0" borderId="1" xfId="0" applyFont="1" applyBorder="1" applyAlignment="1">
      <alignment horizontal="center" vertical="center" wrapText="1"/>
    </xf>
    <xf numFmtId="0" fontId="21" fillId="0" borderId="2" xfId="0" applyFont="1" applyBorder="1"/>
    <xf numFmtId="164" fontId="21" fillId="0" borderId="2"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21" fillId="0" borderId="3" xfId="0" applyFont="1" applyBorder="1"/>
    <xf numFmtId="0" fontId="22" fillId="0" borderId="62" xfId="0" applyFont="1" applyBorder="1"/>
    <xf numFmtId="164" fontId="22" fillId="0" borderId="64" xfId="0" applyNumberFormat="1" applyFont="1" applyBorder="1" applyAlignment="1">
      <alignment horizontal="center" vertical="center" wrapText="1"/>
    </xf>
    <xf numFmtId="9" fontId="22" fillId="0" borderId="1" xfId="0" applyNumberFormat="1" applyFont="1" applyBorder="1" applyAlignment="1">
      <alignment horizontal="center" vertical="center" wrapText="1"/>
    </xf>
    <xf numFmtId="0" fontId="17" fillId="0" borderId="0" xfId="0" applyFont="1"/>
    <xf numFmtId="0" fontId="17" fillId="0" borderId="0" xfId="0" applyFont="1" applyAlignment="1">
      <alignment horizontal="center" vertical="center"/>
    </xf>
    <xf numFmtId="0" fontId="22" fillId="25" borderId="2"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1" fillId="0" borderId="40" xfId="0" applyFont="1" applyBorder="1"/>
    <xf numFmtId="1" fontId="21" fillId="30" borderId="2" xfId="0" applyNumberFormat="1" applyFont="1" applyFill="1" applyBorder="1" applyAlignment="1">
      <alignment horizontal="center" vertical="center" wrapText="1"/>
    </xf>
    <xf numFmtId="1" fontId="21" fillId="30" borderId="41" xfId="0" applyNumberFormat="1" applyFont="1" applyFill="1" applyBorder="1" applyAlignment="1">
      <alignment horizontal="center" vertical="center" wrapText="1"/>
    </xf>
    <xf numFmtId="0" fontId="22" fillId="0" borderId="56" xfId="0" applyFont="1" applyBorder="1"/>
    <xf numFmtId="1" fontId="22" fillId="30" borderId="57" xfId="0" applyNumberFormat="1" applyFont="1" applyFill="1" applyBorder="1" applyAlignment="1">
      <alignment horizontal="center" vertical="center" wrapText="1"/>
    </xf>
    <xf numFmtId="1" fontId="22" fillId="30" borderId="65" xfId="0" applyNumberFormat="1" applyFont="1" applyFill="1" applyBorder="1" applyAlignment="1">
      <alignment horizontal="center" vertical="center" wrapText="1"/>
    </xf>
    <xf numFmtId="0" fontId="40" fillId="0" borderId="1" xfId="0" applyFont="1" applyBorder="1" applyAlignment="1">
      <alignment horizontal="center" vertical="center"/>
    </xf>
    <xf numFmtId="1" fontId="21" fillId="0" borderId="6" xfId="0" applyNumberFormat="1" applyFont="1" applyBorder="1" applyAlignment="1">
      <alignment horizontal="center" vertical="center"/>
    </xf>
    <xf numFmtId="1" fontId="21" fillId="0" borderId="0" xfId="0" applyNumberFormat="1" applyFont="1" applyAlignment="1">
      <alignment horizontal="center" vertical="center"/>
    </xf>
    <xf numFmtId="1" fontId="21" fillId="31" borderId="2" xfId="0" applyNumberFormat="1" applyFont="1" applyFill="1" applyBorder="1" applyAlignment="1">
      <alignment horizontal="center" vertical="center" wrapText="1"/>
    </xf>
    <xf numFmtId="1" fontId="21" fillId="32" borderId="2" xfId="0" applyNumberFormat="1" applyFont="1" applyFill="1" applyBorder="1" applyAlignment="1">
      <alignment horizontal="center" vertical="center" wrapText="1"/>
    </xf>
    <xf numFmtId="0" fontId="49" fillId="0" borderId="0" xfId="0" applyFont="1" applyAlignment="1" applyProtection="1">
      <alignment vertical="center" wrapText="1"/>
      <protection hidden="1"/>
    </xf>
    <xf numFmtId="0" fontId="22" fillId="0" borderId="1" xfId="0" applyFont="1" applyBorder="1" applyAlignment="1" applyProtection="1">
      <alignment horizontal="center" vertical="center"/>
      <protection hidden="1"/>
    </xf>
    <xf numFmtId="0" fontId="72" fillId="0" borderId="2" xfId="0" applyFont="1" applyBorder="1" applyProtection="1">
      <protection hidden="1"/>
    </xf>
    <xf numFmtId="0" fontId="32" fillId="0" borderId="2" xfId="0" applyFont="1" applyBorder="1" applyAlignment="1">
      <alignment horizontal="justify" vertical="center"/>
    </xf>
    <xf numFmtId="0" fontId="8" fillId="0" borderId="2" xfId="0" applyFont="1" applyBorder="1" applyAlignment="1">
      <alignment horizontal="center" vertical="center"/>
    </xf>
    <xf numFmtId="0" fontId="71"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8" fillId="0" borderId="8" xfId="0" applyFont="1" applyFill="1" applyBorder="1" applyAlignment="1">
      <alignment horizontal="center" vertical="center"/>
    </xf>
    <xf numFmtId="0" fontId="0" fillId="0" borderId="1" xfId="0" applyBorder="1"/>
    <xf numFmtId="0" fontId="21" fillId="0" borderId="2" xfId="0" applyFont="1" applyBorder="1" applyProtection="1">
      <protection hidden="1"/>
    </xf>
    <xf numFmtId="0" fontId="21" fillId="0" borderId="2" xfId="0" applyFont="1" applyBorder="1" applyAlignment="1" applyProtection="1">
      <alignment horizontal="center" vertical="center"/>
      <protection hidden="1"/>
    </xf>
    <xf numFmtId="0" fontId="22" fillId="0" borderId="62" xfId="0" applyFont="1" applyBorder="1" applyAlignment="1" applyProtection="1">
      <alignment horizontal="left" vertical="center"/>
      <protection hidden="1"/>
    </xf>
    <xf numFmtId="0" fontId="22" fillId="0" borderId="62" xfId="0" applyFont="1" applyBorder="1" applyAlignment="1" applyProtection="1">
      <alignment horizontal="left" vertical="center" wrapText="1"/>
      <protection hidden="1"/>
    </xf>
    <xf numFmtId="0" fontId="22" fillId="9" borderId="58" xfId="0" applyFont="1" applyFill="1" applyBorder="1" applyAlignment="1" applyProtection="1">
      <alignment horizontal="center" vertical="center" wrapText="1"/>
      <protection hidden="1"/>
    </xf>
    <xf numFmtId="0" fontId="22" fillId="9" borderId="59" xfId="0" applyFont="1" applyFill="1" applyBorder="1" applyAlignment="1" applyProtection="1">
      <alignment horizontal="center" vertical="center"/>
      <protection hidden="1"/>
    </xf>
    <xf numFmtId="0" fontId="48" fillId="34" borderId="2" xfId="0" applyFont="1" applyFill="1" applyBorder="1" applyAlignment="1" applyProtection="1">
      <alignment horizontal="center" vertical="center" wrapText="1"/>
      <protection hidden="1"/>
    </xf>
    <xf numFmtId="1" fontId="21" fillId="33" borderId="2" xfId="0" applyNumberFormat="1" applyFont="1" applyFill="1" applyBorder="1" applyAlignment="1">
      <alignment horizontal="center" vertical="center" wrapText="1"/>
    </xf>
    <xf numFmtId="0" fontId="22" fillId="0" borderId="2" xfId="0" applyFont="1" applyBorder="1"/>
    <xf numFmtId="1" fontId="22" fillId="30" borderId="2" xfId="0" applyNumberFormat="1" applyFont="1" applyFill="1" applyBorder="1" applyAlignment="1">
      <alignment horizontal="center" vertical="center" wrapText="1"/>
    </xf>
    <xf numFmtId="1" fontId="22" fillId="31" borderId="2" xfId="0" applyNumberFormat="1" applyFont="1" applyFill="1" applyBorder="1" applyAlignment="1">
      <alignment horizontal="center" vertical="center" wrapText="1"/>
    </xf>
    <xf numFmtId="1" fontId="22" fillId="32" borderId="2" xfId="0" applyNumberFormat="1" applyFont="1" applyFill="1" applyBorder="1" applyAlignment="1">
      <alignment horizontal="center" vertical="center" wrapText="1"/>
    </xf>
    <xf numFmtId="1" fontId="22" fillId="33" borderId="2" xfId="0" applyNumberFormat="1" applyFont="1" applyFill="1" applyBorder="1" applyAlignment="1">
      <alignment horizontal="center" vertical="center" wrapText="1"/>
    </xf>
    <xf numFmtId="0" fontId="17" fillId="23" borderId="0" xfId="0" applyFont="1" applyFill="1" applyProtection="1">
      <protection hidden="1"/>
    </xf>
    <xf numFmtId="0" fontId="8" fillId="8" borderId="2" xfId="0" applyFont="1" applyFill="1" applyBorder="1" applyAlignment="1" applyProtection="1">
      <alignment horizontal="center" vertical="center"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17" fillId="0" borderId="3" xfId="0" applyFont="1" applyBorder="1" applyAlignment="1" applyProtection="1">
      <alignment horizontal="justify" vertical="center" wrapText="1"/>
    </xf>
    <xf numFmtId="0" fontId="9" fillId="9" borderId="2" xfId="1" applyFont="1" applyFill="1" applyBorder="1" applyAlignment="1" applyProtection="1">
      <alignment horizontal="center" vertical="center" wrapText="1"/>
    </xf>
    <xf numFmtId="0" fontId="22" fillId="29" borderId="2" xfId="0" applyFont="1" applyFill="1" applyBorder="1" applyAlignment="1" applyProtection="1">
      <alignment horizontal="center" vertical="center" wrapText="1"/>
      <protection hidden="1"/>
    </xf>
    <xf numFmtId="0" fontId="22" fillId="27" borderId="2" xfId="0" applyFont="1" applyFill="1" applyBorder="1" applyAlignment="1" applyProtection="1">
      <alignment horizontal="center" vertical="center" wrapText="1"/>
      <protection hidden="1"/>
    </xf>
    <xf numFmtId="0" fontId="22" fillId="29" borderId="2" xfId="0" applyFont="1" applyFill="1" applyBorder="1" applyAlignment="1" applyProtection="1">
      <alignment horizontal="center" vertical="center"/>
      <protection hidden="1"/>
    </xf>
    <xf numFmtId="0" fontId="22" fillId="0" borderId="2" xfId="0" applyFont="1" applyBorder="1" applyAlignment="1" applyProtection="1">
      <alignment horizontal="center"/>
      <protection hidden="1"/>
    </xf>
    <xf numFmtId="0" fontId="11"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40" fillId="0" borderId="1" xfId="0" applyFont="1" applyBorder="1" applyAlignment="1" applyProtection="1">
      <alignment horizontal="center"/>
      <protection hidden="1"/>
    </xf>
    <xf numFmtId="0" fontId="8" fillId="0" borderId="1" xfId="0" applyFont="1" applyBorder="1" applyAlignment="1">
      <alignment horizontal="center" vertical="center"/>
    </xf>
    <xf numFmtId="0" fontId="22" fillId="25" borderId="2" xfId="0"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6" fillId="0" borderId="1" xfId="1" applyFont="1" applyBorder="1" applyAlignment="1" applyProtection="1">
      <alignment horizontal="left" vertical="center"/>
    </xf>
    <xf numFmtId="0" fontId="44" fillId="9" borderId="2" xfId="0" applyFont="1" applyFill="1" applyBorder="1" applyAlignment="1">
      <alignment horizontal="center" vertical="center" wrapText="1"/>
    </xf>
    <xf numFmtId="0" fontId="22" fillId="9" borderId="2" xfId="0" applyFont="1" applyFill="1" applyBorder="1" applyAlignment="1">
      <alignment horizontal="center" vertical="center"/>
    </xf>
    <xf numFmtId="0" fontId="22" fillId="9" borderId="2" xfId="0" applyFont="1" applyFill="1" applyBorder="1" applyAlignment="1">
      <alignment horizontal="center" vertical="center" wrapText="1"/>
    </xf>
    <xf numFmtId="0" fontId="73" fillId="0" borderId="1" xfId="0" applyFont="1" applyFill="1" applyBorder="1" applyAlignment="1">
      <alignment horizontal="center" vertical="center" wrapText="1"/>
    </xf>
    <xf numFmtId="1" fontId="59" fillId="0" borderId="1" xfId="0" applyNumberFormat="1" applyFont="1" applyBorder="1" applyAlignment="1">
      <alignment horizontal="center" vertical="center"/>
    </xf>
    <xf numFmtId="164" fontId="5" fillId="0" borderId="2" xfId="0" applyNumberFormat="1" applyFont="1" applyFill="1" applyBorder="1" applyAlignment="1" applyProtection="1">
      <alignment horizontal="justify" vertical="center" wrapText="1"/>
      <protection hidden="1"/>
    </xf>
    <xf numFmtId="164" fontId="21" fillId="0" borderId="2" xfId="6" applyNumberFormat="1" applyFont="1" applyFill="1" applyBorder="1" applyAlignment="1" applyProtection="1">
      <alignment horizontal="center" vertical="center"/>
      <protection hidden="1"/>
    </xf>
    <xf numFmtId="164" fontId="37" fillId="0" borderId="2" xfId="0" applyNumberFormat="1" applyFont="1" applyFill="1" applyBorder="1" applyAlignment="1" applyProtection="1">
      <alignment horizontal="justify" vertical="center" wrapText="1"/>
      <protection hidden="1"/>
    </xf>
    <xf numFmtId="0" fontId="6" fillId="0" borderId="1" xfId="1" applyFont="1" applyBorder="1" applyAlignment="1" applyProtection="1">
      <alignment horizontal="left" vertical="center"/>
    </xf>
    <xf numFmtId="0" fontId="17" fillId="0" borderId="1" xfId="1" applyFont="1" applyBorder="1" applyAlignment="1" applyProtection="1">
      <alignment horizontal="left" vertical="center"/>
    </xf>
    <xf numFmtId="164" fontId="19" fillId="4" borderId="9" xfId="3" applyNumberFormat="1" applyFont="1" applyFill="1" applyBorder="1" applyAlignment="1" applyProtection="1">
      <alignment horizontal="center" vertical="center"/>
    </xf>
    <xf numFmtId="164" fontId="21" fillId="0" borderId="0" xfId="6" applyNumberFormat="1" applyFont="1" applyProtection="1">
      <protection hidden="1"/>
    </xf>
    <xf numFmtId="10" fontId="21" fillId="0" borderId="0" xfId="6" applyNumberFormat="1" applyFont="1" applyProtection="1">
      <protection hidden="1"/>
    </xf>
    <xf numFmtId="43" fontId="21" fillId="0" borderId="0" xfId="5" applyFont="1" applyProtection="1">
      <protection hidden="1"/>
    </xf>
    <xf numFmtId="0" fontId="17" fillId="0" borderId="0" xfId="0" applyFont="1" applyFill="1" applyProtection="1">
      <protection hidden="1"/>
    </xf>
    <xf numFmtId="164" fontId="37" fillId="0" borderId="2" xfId="0" applyNumberFormat="1" applyFont="1" applyBorder="1" applyAlignment="1" applyProtection="1">
      <alignment horizontal="justify" vertical="center" wrapText="1"/>
      <protection hidden="1"/>
    </xf>
    <xf numFmtId="164" fontId="22" fillId="0" borderId="1" xfId="0" applyNumberFormat="1" applyFont="1" applyBorder="1" applyAlignment="1" applyProtection="1">
      <alignment horizontal="justify" vertical="center" wrapText="1"/>
      <protection hidden="1"/>
    </xf>
    <xf numFmtId="164" fontId="5" fillId="0" borderId="2" xfId="0" applyNumberFormat="1" applyFont="1" applyBorder="1" applyAlignment="1" applyProtection="1">
      <alignment horizontal="justify" vertical="center" wrapText="1"/>
      <protection hidden="1"/>
    </xf>
    <xf numFmtId="164" fontId="37" fillId="0" borderId="1" xfId="0" applyNumberFormat="1" applyFont="1" applyBorder="1" applyAlignment="1" applyProtection="1">
      <alignment horizontal="justify" vertical="center" wrapText="1"/>
      <protection hidden="1"/>
    </xf>
    <xf numFmtId="0" fontId="21" fillId="32" borderId="0" xfId="0" applyFont="1" applyFill="1"/>
    <xf numFmtId="0" fontId="69" fillId="0" borderId="0" xfId="0" applyFont="1"/>
    <xf numFmtId="0" fontId="21" fillId="35" borderId="0" xfId="0" applyFont="1" applyFill="1"/>
    <xf numFmtId="0" fontId="21" fillId="23" borderId="0" xfId="0" applyFont="1" applyFill="1"/>
    <xf numFmtId="0" fontId="21" fillId="36" borderId="0" xfId="0" applyFont="1" applyFill="1"/>
    <xf numFmtId="0" fontId="37" fillId="0" borderId="38" xfId="0" applyFont="1" applyBorder="1" applyAlignment="1" applyProtection="1">
      <alignment horizontal="center"/>
    </xf>
    <xf numFmtId="0" fontId="37" fillId="0" borderId="37" xfId="0" applyFont="1" applyBorder="1" applyAlignment="1" applyProtection="1">
      <alignment horizontal="center"/>
    </xf>
    <xf numFmtId="0" fontId="37" fillId="0" borderId="40" xfId="0" applyFont="1" applyBorder="1" applyAlignment="1" applyProtection="1">
      <alignment horizontal="center"/>
    </xf>
    <xf numFmtId="0" fontId="37" fillId="0" borderId="2" xfId="0" applyFont="1" applyBorder="1" applyAlignment="1" applyProtection="1">
      <alignment horizontal="center"/>
    </xf>
    <xf numFmtId="0" fontId="8" fillId="0" borderId="37"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2" fillId="0" borderId="37" xfId="0" applyFont="1" applyBorder="1" applyAlignment="1" applyProtection="1">
      <alignment horizontal="left" vertical="center"/>
    </xf>
    <xf numFmtId="0" fontId="32" fillId="0" borderId="39" xfId="0" applyFont="1" applyBorder="1" applyAlignment="1" applyProtection="1">
      <alignment horizontal="left" vertical="center"/>
    </xf>
    <xf numFmtId="0" fontId="32" fillId="0" borderId="2" xfId="0" applyFont="1" applyBorder="1" applyAlignment="1" applyProtection="1">
      <alignment horizontal="left" vertical="center" wrapText="1"/>
    </xf>
    <xf numFmtId="0" fontId="32" fillId="0" borderId="41" xfId="0" applyFont="1" applyBorder="1" applyAlignment="1" applyProtection="1">
      <alignment horizontal="left" vertical="center" wrapText="1"/>
    </xf>
    <xf numFmtId="0" fontId="37" fillId="0" borderId="34" xfId="0" applyFont="1" applyBorder="1" applyAlignment="1" applyProtection="1">
      <alignment horizontal="center" wrapText="1"/>
    </xf>
    <xf numFmtId="0" fontId="37" fillId="0" borderId="1" xfId="0" applyFont="1" applyBorder="1" applyAlignment="1" applyProtection="1">
      <alignment horizontal="center" wrapText="1"/>
    </xf>
    <xf numFmtId="0" fontId="37" fillId="0" borderId="36" xfId="0" applyFont="1" applyBorder="1" applyAlignment="1" applyProtection="1">
      <alignment horizontal="center" wrapText="1"/>
    </xf>
    <xf numFmtId="0" fontId="30" fillId="19" borderId="2" xfId="0" applyFont="1" applyFill="1" applyBorder="1" applyAlignment="1" applyProtection="1">
      <alignment horizontal="center" vertical="center" wrapText="1"/>
    </xf>
    <xf numFmtId="0" fontId="17" fillId="0" borderId="2" xfId="0"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1" fillId="0" borderId="11" xfId="0" applyFont="1" applyBorder="1" applyAlignment="1" applyProtection="1">
      <alignment horizontal="center" vertical="center"/>
    </xf>
    <xf numFmtId="0" fontId="21" fillId="0" borderId="6" xfId="0" applyFont="1" applyBorder="1" applyAlignment="1" applyProtection="1">
      <alignment horizontal="center" vertical="center"/>
    </xf>
    <xf numFmtId="0" fontId="11" fillId="9" borderId="7" xfId="0" applyFont="1" applyFill="1" applyBorder="1" applyAlignment="1" applyProtection="1">
      <alignment horizontal="center" vertical="center"/>
    </xf>
    <xf numFmtId="0" fontId="11" fillId="9" borderId="42" xfId="0" applyFont="1" applyFill="1" applyBorder="1" applyAlignment="1" applyProtection="1">
      <alignment horizontal="center" vertical="center"/>
    </xf>
    <xf numFmtId="0" fontId="11" fillId="9" borderId="43" xfId="0" applyFont="1" applyFill="1" applyBorder="1" applyAlignment="1" applyProtection="1">
      <alignment horizontal="center" wrapText="1"/>
    </xf>
    <xf numFmtId="0" fontId="11" fillId="9" borderId="11" xfId="0" applyFont="1" applyFill="1" applyBorder="1" applyAlignment="1" applyProtection="1">
      <alignment horizontal="center" wrapText="1"/>
    </xf>
    <xf numFmtId="0" fontId="11" fillId="9" borderId="6" xfId="0" applyFont="1" applyFill="1" applyBorder="1" applyAlignment="1" applyProtection="1">
      <alignment horizontal="center" wrapText="1"/>
    </xf>
    <xf numFmtId="0" fontId="11" fillId="0" borderId="34" xfId="0" applyFont="1" applyFill="1" applyBorder="1" applyAlignment="1" applyProtection="1">
      <alignment horizontal="center" wrapText="1"/>
    </xf>
    <xf numFmtId="0" fontId="11" fillId="0" borderId="1" xfId="0" applyFont="1" applyFill="1" applyBorder="1" applyAlignment="1" applyProtection="1">
      <alignment horizontal="center" wrapText="1"/>
    </xf>
    <xf numFmtId="0" fontId="11" fillId="0" borderId="1"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21" fillId="0" borderId="34"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0" fontId="17" fillId="0" borderId="36" xfId="0" applyFont="1" applyFill="1" applyBorder="1" applyAlignment="1" applyProtection="1">
      <alignment horizontal="center" vertical="center" wrapText="1"/>
    </xf>
    <xf numFmtId="0" fontId="37" fillId="0" borderId="35" xfId="0" applyFont="1" applyBorder="1" applyAlignment="1" applyProtection="1">
      <alignment horizontal="center" wrapText="1"/>
    </xf>
    <xf numFmtId="0" fontId="37" fillId="0" borderId="27" xfId="0" applyFont="1" applyBorder="1" applyAlignment="1" applyProtection="1">
      <alignment horizontal="center" wrapText="1"/>
    </xf>
    <xf numFmtId="0" fontId="37" fillId="0" borderId="23" xfId="0" applyFont="1" applyBorder="1" applyAlignment="1" applyProtection="1">
      <alignment horizontal="center" wrapText="1"/>
    </xf>
    <xf numFmtId="0" fontId="22" fillId="0" borderId="34" xfId="0" applyFont="1" applyBorder="1" applyAlignment="1" applyProtection="1">
      <alignment horizontal="justify" vertical="top" wrapText="1"/>
    </xf>
    <xf numFmtId="0" fontId="22" fillId="0" borderId="1" xfId="0" applyFont="1" applyBorder="1" applyAlignment="1" applyProtection="1">
      <alignment horizontal="justify" vertical="top"/>
    </xf>
    <xf numFmtId="0" fontId="22" fillId="0" borderId="36" xfId="0" applyFont="1" applyBorder="1" applyAlignment="1" applyProtection="1">
      <alignment horizontal="justify" vertical="top"/>
    </xf>
    <xf numFmtId="0" fontId="22" fillId="0" borderId="34" xfId="0" applyFont="1" applyBorder="1" applyAlignment="1" applyProtection="1">
      <alignment horizontal="justify" vertical="top"/>
    </xf>
    <xf numFmtId="0" fontId="8" fillId="8" borderId="2" xfId="0" applyFont="1" applyFill="1" applyBorder="1" applyAlignment="1" applyProtection="1">
      <alignment horizontal="center" vertical="center" wrapText="1"/>
    </xf>
    <xf numFmtId="9" fontId="17" fillId="0" borderId="3" xfId="8" applyFont="1" applyBorder="1" applyAlignment="1" applyProtection="1">
      <alignment horizontal="center" vertical="center" wrapText="1"/>
    </xf>
    <xf numFmtId="9" fontId="17" fillId="0" borderId="5" xfId="8" applyFont="1" applyBorder="1" applyAlignment="1" applyProtection="1">
      <alignment horizontal="center" vertical="center" wrapText="1"/>
    </xf>
    <xf numFmtId="0" fontId="36" fillId="18" borderId="3" xfId="0" applyFont="1" applyFill="1" applyBorder="1" applyAlignment="1" applyProtection="1">
      <alignment horizontal="justify" vertical="top" wrapText="1" readingOrder="1"/>
    </xf>
    <xf numFmtId="0" fontId="36" fillId="18" borderId="4" xfId="0" applyFont="1" applyFill="1" applyBorder="1" applyAlignment="1" applyProtection="1">
      <alignment horizontal="justify" vertical="top" wrapText="1" readingOrder="1"/>
    </xf>
    <xf numFmtId="0" fontId="36" fillId="18" borderId="5" xfId="0" applyFont="1" applyFill="1" applyBorder="1" applyAlignment="1" applyProtection="1">
      <alignment horizontal="justify" vertical="top" wrapText="1" readingOrder="1"/>
    </xf>
    <xf numFmtId="0" fontId="36" fillId="0" borderId="3" xfId="0" applyFont="1" applyFill="1" applyBorder="1" applyAlignment="1" applyProtection="1">
      <alignment horizontal="justify" vertical="top" wrapText="1" readingOrder="1"/>
    </xf>
    <xf numFmtId="0" fontId="36" fillId="0" borderId="5" xfId="0" applyFont="1" applyFill="1" applyBorder="1" applyAlignment="1" applyProtection="1">
      <alignment horizontal="justify" vertical="top" wrapText="1" readingOrder="1"/>
    </xf>
    <xf numFmtId="0" fontId="40" fillId="0" borderId="3" xfId="0" applyFont="1" applyBorder="1" applyAlignment="1" applyProtection="1">
      <alignment horizontal="justify" vertical="top" wrapText="1"/>
    </xf>
    <xf numFmtId="0" fontId="40" fillId="0" borderId="4" xfId="0" applyFont="1" applyBorder="1" applyAlignment="1" applyProtection="1">
      <alignment horizontal="justify" vertical="top" wrapText="1"/>
    </xf>
    <xf numFmtId="0" fontId="40" fillId="0" borderId="5" xfId="0" applyFont="1" applyBorder="1" applyAlignment="1" applyProtection="1">
      <alignment horizontal="justify" vertical="top" wrapText="1"/>
    </xf>
    <xf numFmtId="0" fontId="36" fillId="0" borderId="3" xfId="0" applyFont="1" applyBorder="1" applyAlignment="1" applyProtection="1">
      <alignment horizontal="justify" vertical="top" wrapText="1" readingOrder="1"/>
    </xf>
    <xf numFmtId="0" fontId="36" fillId="0" borderId="4" xfId="0" applyFont="1" applyBorder="1" applyAlignment="1" applyProtection="1">
      <alignment horizontal="justify" vertical="top" wrapText="1" readingOrder="1"/>
    </xf>
    <xf numFmtId="0" fontId="36" fillId="0" borderId="5" xfId="0" applyFont="1" applyBorder="1" applyAlignment="1" applyProtection="1">
      <alignment horizontal="justify" vertical="top" wrapText="1" readingOrder="1"/>
    </xf>
    <xf numFmtId="0" fontId="36" fillId="0" borderId="4" xfId="0" applyFont="1" applyFill="1" applyBorder="1" applyAlignment="1" applyProtection="1">
      <alignment horizontal="justify" vertical="top" wrapText="1" readingOrder="1"/>
    </xf>
    <xf numFmtId="0" fontId="17" fillId="0" borderId="3" xfId="0" applyFont="1" applyBorder="1" applyAlignment="1" applyProtection="1">
      <alignment horizontal="justify" vertical="center" wrapText="1"/>
    </xf>
    <xf numFmtId="0" fontId="17" fillId="0" borderId="5" xfId="0" applyFont="1" applyBorder="1" applyAlignment="1" applyProtection="1">
      <alignment horizontal="justify" vertical="center" wrapText="1"/>
    </xf>
    <xf numFmtId="0" fontId="25" fillId="0" borderId="29"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40" fillId="18" borderId="3" xfId="0" applyFont="1" applyFill="1" applyBorder="1" applyAlignment="1" applyProtection="1">
      <alignment horizontal="justify" vertical="top" wrapText="1"/>
    </xf>
    <xf numFmtId="0" fontId="40" fillId="18" borderId="4" xfId="0" applyFont="1" applyFill="1" applyBorder="1" applyAlignment="1" applyProtection="1">
      <alignment horizontal="justify" vertical="top" wrapText="1"/>
    </xf>
    <xf numFmtId="0" fontId="40" fillId="18" borderId="5" xfId="0" applyFont="1" applyFill="1" applyBorder="1" applyAlignment="1" applyProtection="1">
      <alignment horizontal="justify" vertical="top" wrapText="1"/>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5" fillId="0" borderId="34"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5"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8" fillId="8" borderId="11"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25" fillId="8" borderId="7" xfId="0" applyFont="1" applyFill="1" applyBorder="1" applyAlignment="1" applyProtection="1">
      <alignment horizontal="center" vertical="center" wrapText="1"/>
    </xf>
    <xf numFmtId="0" fontId="25" fillId="8" borderId="11" xfId="0" applyFont="1" applyFill="1" applyBorder="1" applyAlignment="1" applyProtection="1">
      <alignment horizontal="center" vertical="center" wrapText="1"/>
    </xf>
    <xf numFmtId="0" fontId="25" fillId="8" borderId="6"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8" fillId="20" borderId="5" xfId="0"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164" fontId="17" fillId="0" borderId="3" xfId="20" applyNumberFormat="1" applyFont="1" applyBorder="1" applyAlignment="1" applyProtection="1">
      <alignment horizontal="center" vertical="center" wrapText="1"/>
    </xf>
    <xf numFmtId="164" fontId="17" fillId="0" borderId="5" xfId="20" applyNumberFormat="1" applyFont="1" applyBorder="1" applyAlignment="1" applyProtection="1">
      <alignment horizontal="center" vertical="center" wrapText="1"/>
    </xf>
    <xf numFmtId="10" fontId="18" fillId="0" borderId="3" xfId="20" applyNumberFormat="1" applyFont="1" applyBorder="1" applyAlignment="1" applyProtection="1">
      <alignment horizontal="center" vertical="center" wrapText="1"/>
    </xf>
    <xf numFmtId="10" fontId="18" fillId="0" borderId="4" xfId="20" applyNumberFormat="1" applyFont="1" applyBorder="1" applyAlignment="1" applyProtection="1">
      <alignment horizontal="center" vertical="center" wrapText="1"/>
    </xf>
    <xf numFmtId="10" fontId="18" fillId="0" borderId="5" xfId="20" applyNumberFormat="1" applyFont="1" applyBorder="1" applyAlignment="1" applyProtection="1">
      <alignment horizontal="center" vertical="center" wrapText="1"/>
    </xf>
    <xf numFmtId="164" fontId="18" fillId="18" borderId="3" xfId="0" applyNumberFormat="1" applyFont="1" applyFill="1" applyBorder="1" applyAlignment="1" applyProtection="1">
      <alignment horizontal="center" vertical="center" wrapText="1"/>
    </xf>
    <xf numFmtId="0" fontId="18" fillId="18" borderId="4" xfId="0" applyFont="1" applyFill="1" applyBorder="1" applyAlignment="1" applyProtection="1">
      <alignment horizontal="center" vertical="center" wrapText="1"/>
    </xf>
    <xf numFmtId="0" fontId="18" fillId="18" borderId="5" xfId="0" applyFont="1" applyFill="1" applyBorder="1" applyAlignment="1" applyProtection="1">
      <alignment horizontal="center" vertical="center" wrapText="1"/>
    </xf>
    <xf numFmtId="164" fontId="18" fillId="0" borderId="3" xfId="34" applyNumberFormat="1" applyFont="1" applyBorder="1" applyAlignment="1" applyProtection="1">
      <alignment horizontal="center" vertical="center" wrapText="1"/>
    </xf>
    <xf numFmtId="0" fontId="18" fillId="0" borderId="5" xfId="34" applyFont="1" applyBorder="1" applyAlignment="1" applyProtection="1">
      <alignment horizontal="center" vertical="center" wrapText="1"/>
    </xf>
    <xf numFmtId="164" fontId="18" fillId="18" borderId="3" xfId="20" applyNumberFormat="1" applyFont="1" applyFill="1" applyBorder="1" applyAlignment="1" applyProtection="1">
      <alignment horizontal="center" vertical="center" wrapText="1"/>
    </xf>
    <xf numFmtId="164" fontId="18" fillId="18" borderId="4" xfId="20" applyNumberFormat="1" applyFont="1" applyFill="1" applyBorder="1" applyAlignment="1" applyProtection="1">
      <alignment horizontal="center" vertical="center" wrapText="1"/>
    </xf>
    <xf numFmtId="164" fontId="18" fillId="18" borderId="5" xfId="20" applyNumberFormat="1" applyFont="1" applyFill="1" applyBorder="1" applyAlignment="1" applyProtection="1">
      <alignment horizontal="center" vertical="center" wrapText="1"/>
    </xf>
    <xf numFmtId="164" fontId="18" fillId="0" borderId="3" xfId="20" applyNumberFormat="1" applyFont="1" applyBorder="1" applyAlignment="1" applyProtection="1">
      <alignment horizontal="center" vertical="center" wrapText="1"/>
    </xf>
    <xf numFmtId="164" fontId="18" fillId="0" borderId="4" xfId="20" applyNumberFormat="1" applyFont="1" applyBorder="1" applyAlignment="1" applyProtection="1">
      <alignment horizontal="center" vertical="center" wrapText="1"/>
    </xf>
    <xf numFmtId="164" fontId="18" fillId="0" borderId="5" xfId="20" applyNumberFormat="1" applyFont="1" applyBorder="1" applyAlignment="1" applyProtection="1">
      <alignment horizontal="center" vertical="center" wrapText="1"/>
    </xf>
    <xf numFmtId="164" fontId="18" fillId="18" borderId="3" xfId="6" applyNumberFormat="1" applyFont="1" applyFill="1" applyBorder="1" applyAlignment="1" applyProtection="1">
      <alignment horizontal="center" vertical="center" wrapText="1"/>
    </xf>
    <xf numFmtId="164" fontId="18" fillId="18" borderId="4" xfId="6" applyNumberFormat="1" applyFont="1" applyFill="1" applyBorder="1" applyAlignment="1" applyProtection="1">
      <alignment horizontal="center" vertical="center" wrapText="1"/>
    </xf>
    <xf numFmtId="164" fontId="18" fillId="18" borderId="5" xfId="6" applyNumberFormat="1" applyFont="1" applyFill="1" applyBorder="1" applyAlignment="1" applyProtection="1">
      <alignment horizontal="center" vertical="center" wrapText="1"/>
    </xf>
    <xf numFmtId="0" fontId="18" fillId="0" borderId="4" xfId="20" applyFont="1" applyBorder="1" applyAlignment="1" applyProtection="1">
      <alignment horizontal="center" vertical="center" wrapText="1"/>
    </xf>
    <xf numFmtId="0" fontId="18" fillId="0" borderId="5" xfId="20" applyFont="1" applyBorder="1" applyAlignment="1" applyProtection="1">
      <alignment horizontal="center" vertical="center" wrapText="1"/>
    </xf>
    <xf numFmtId="164" fontId="18" fillId="18" borderId="3" xfId="34" applyNumberFormat="1" applyFont="1" applyFill="1" applyBorder="1" applyAlignment="1" applyProtection="1">
      <alignment horizontal="center" vertical="center" wrapText="1"/>
    </xf>
    <xf numFmtId="0" fontId="18" fillId="18" borderId="4" xfId="34" applyFont="1" applyFill="1" applyBorder="1" applyAlignment="1" applyProtection="1">
      <alignment horizontal="center" vertical="center" wrapText="1"/>
    </xf>
    <xf numFmtId="0" fontId="18" fillId="18" borderId="5" xfId="34" applyFont="1" applyFill="1" applyBorder="1" applyAlignment="1" applyProtection="1">
      <alignment horizontal="center" vertical="center" wrapText="1"/>
    </xf>
    <xf numFmtId="0" fontId="22" fillId="0" borderId="7" xfId="0" applyFont="1" applyBorder="1" applyAlignment="1" applyProtection="1">
      <alignment horizontal="center"/>
      <protection hidden="1"/>
    </xf>
    <xf numFmtId="0" fontId="22" fillId="0" borderId="11" xfId="0" applyFont="1" applyBorder="1" applyAlignment="1" applyProtection="1">
      <alignment horizontal="center"/>
      <protection hidden="1"/>
    </xf>
    <xf numFmtId="0" fontId="22" fillId="0" borderId="6" xfId="0" applyFont="1" applyBorder="1" applyAlignment="1" applyProtection="1">
      <alignment horizontal="center"/>
      <protection hidden="1"/>
    </xf>
    <xf numFmtId="0" fontId="22" fillId="29" borderId="2" xfId="0" applyFont="1" applyFill="1" applyBorder="1" applyAlignment="1" applyProtection="1">
      <alignment horizontal="center" vertical="center" wrapText="1"/>
      <protection hidden="1"/>
    </xf>
    <xf numFmtId="0" fontId="32" fillId="7" borderId="2" xfId="0" applyFont="1" applyFill="1" applyBorder="1" applyAlignment="1" applyProtection="1">
      <alignment horizontal="center" vertical="center"/>
      <protection hidden="1"/>
    </xf>
    <xf numFmtId="0" fontId="32" fillId="22" borderId="54" xfId="0" applyFont="1" applyFill="1" applyBorder="1" applyAlignment="1" applyProtection="1">
      <alignment horizontal="center" vertical="center" wrapText="1"/>
      <protection hidden="1"/>
    </xf>
    <xf numFmtId="0" fontId="32" fillId="22" borderId="11" xfId="0" applyFont="1" applyFill="1" applyBorder="1" applyAlignment="1" applyProtection="1">
      <alignment horizontal="center" vertical="center" wrapText="1"/>
      <protection hidden="1"/>
    </xf>
    <xf numFmtId="0" fontId="32" fillId="23" borderId="7" xfId="0" applyFont="1" applyFill="1" applyBorder="1" applyAlignment="1" applyProtection="1">
      <alignment horizontal="center" vertical="center" wrapText="1"/>
      <protection hidden="1"/>
    </xf>
    <xf numFmtId="0" fontId="32" fillId="23" borderId="11" xfId="0" applyFont="1" applyFill="1" applyBorder="1" applyAlignment="1" applyProtection="1">
      <alignment horizontal="center" vertical="center" wrapText="1"/>
      <protection hidden="1"/>
    </xf>
    <xf numFmtId="0" fontId="32" fillId="23" borderId="6" xfId="0" applyFont="1" applyFill="1" applyBorder="1" applyAlignment="1" applyProtection="1">
      <alignment horizontal="center" vertical="center" wrapText="1"/>
      <protection hidden="1"/>
    </xf>
    <xf numFmtId="0" fontId="65" fillId="21" borderId="7" xfId="0" applyFont="1" applyFill="1" applyBorder="1" applyAlignment="1" applyProtection="1">
      <alignment horizontal="center" vertical="center" wrapText="1"/>
      <protection hidden="1"/>
    </xf>
    <xf numFmtId="0" fontId="65" fillId="21" borderId="11" xfId="0" applyFont="1" applyFill="1" applyBorder="1" applyAlignment="1" applyProtection="1">
      <alignment horizontal="center" vertical="center" wrapText="1"/>
      <protection hidden="1"/>
    </xf>
    <xf numFmtId="0" fontId="22" fillId="29" borderId="7" xfId="0" applyFont="1" applyFill="1" applyBorder="1" applyAlignment="1" applyProtection="1">
      <alignment horizontal="center" vertical="center" wrapText="1"/>
      <protection hidden="1"/>
    </xf>
    <xf numFmtId="0" fontId="22" fillId="29" borderId="11" xfId="0" applyFont="1" applyFill="1" applyBorder="1" applyAlignment="1" applyProtection="1">
      <alignment horizontal="center" vertical="center" wrapText="1"/>
      <protection hidden="1"/>
    </xf>
    <xf numFmtId="0" fontId="22" fillId="29" borderId="6" xfId="0" applyFont="1" applyFill="1" applyBorder="1" applyAlignment="1" applyProtection="1">
      <alignment horizontal="center" vertical="center" wrapText="1"/>
      <protection hidden="1"/>
    </xf>
    <xf numFmtId="0" fontId="22" fillId="27" borderId="2" xfId="0" applyFont="1" applyFill="1" applyBorder="1" applyAlignment="1" applyProtection="1">
      <alignment horizontal="center" vertical="center" wrapText="1"/>
      <protection hidden="1"/>
    </xf>
    <xf numFmtId="0" fontId="22" fillId="29" borderId="2" xfId="0" applyFont="1" applyFill="1" applyBorder="1" applyAlignment="1" applyProtection="1">
      <alignment horizontal="center" vertical="center"/>
      <protection hidden="1"/>
    </xf>
    <xf numFmtId="0" fontId="22" fillId="0" borderId="2" xfId="0" applyFont="1" applyBorder="1" applyAlignment="1" applyProtection="1">
      <alignment horizontal="center"/>
      <protection hidden="1"/>
    </xf>
    <xf numFmtId="0" fontId="11"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40" fillId="0" borderId="1" xfId="0" applyFont="1" applyBorder="1" applyAlignment="1" applyProtection="1">
      <alignment horizontal="center"/>
      <protection hidden="1"/>
    </xf>
    <xf numFmtId="0" fontId="22" fillId="25" borderId="13" xfId="0" applyFont="1" applyFill="1" applyBorder="1" applyAlignment="1">
      <alignment horizontal="center" vertical="center"/>
    </xf>
    <xf numFmtId="0" fontId="22" fillId="25" borderId="60" xfId="0" applyFont="1" applyFill="1" applyBorder="1" applyAlignment="1">
      <alignment horizontal="center" vertical="center"/>
    </xf>
    <xf numFmtId="0" fontId="22" fillId="25" borderId="66" xfId="0" applyFont="1" applyFill="1" applyBorder="1" applyAlignment="1">
      <alignment horizontal="center" vertical="center" wrapText="1"/>
    </xf>
    <xf numFmtId="0" fontId="22" fillId="25" borderId="5" xfId="0" applyFont="1" applyFill="1" applyBorder="1" applyAlignment="1">
      <alignment horizontal="center" vertical="center" wrapText="1"/>
    </xf>
    <xf numFmtId="0" fontId="22" fillId="25" borderId="16" xfId="0" applyFont="1" applyFill="1" applyBorder="1" applyAlignment="1">
      <alignment horizontal="center" vertical="center" wrapText="1"/>
    </xf>
    <xf numFmtId="0" fontId="22" fillId="25" borderId="32" xfId="0" applyFont="1" applyFill="1" applyBorder="1" applyAlignment="1">
      <alignment horizontal="center" vertical="center" wrapText="1"/>
    </xf>
    <xf numFmtId="0" fontId="22" fillId="25" borderId="17" xfId="0" applyFont="1" applyFill="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protection hidden="1"/>
    </xf>
    <xf numFmtId="0" fontId="49" fillId="0" borderId="2" xfId="0" applyFont="1" applyBorder="1" applyAlignment="1" applyProtection="1">
      <alignment horizontal="center" vertical="center" wrapText="1"/>
      <protection hidden="1"/>
    </xf>
    <xf numFmtId="0" fontId="22" fillId="9" borderId="16" xfId="0" applyFont="1" applyFill="1" applyBorder="1" applyAlignment="1" applyProtection="1">
      <alignment horizontal="center" vertical="center" wrapText="1"/>
      <protection hidden="1"/>
    </xf>
    <xf numFmtId="0" fontId="22" fillId="9" borderId="57" xfId="0" applyFont="1" applyFill="1" applyBorder="1" applyAlignment="1" applyProtection="1">
      <alignment horizontal="center" vertical="center" wrapText="1"/>
      <protection hidden="1"/>
    </xf>
    <xf numFmtId="0" fontId="22" fillId="9" borderId="38" xfId="0" applyFont="1" applyFill="1" applyBorder="1" applyAlignment="1" applyProtection="1">
      <alignment horizontal="center" vertical="center"/>
      <protection hidden="1"/>
    </xf>
    <xf numFmtId="0" fontId="22" fillId="9" borderId="56" xfId="0" applyFont="1" applyFill="1" applyBorder="1" applyAlignment="1" applyProtection="1">
      <alignment horizontal="center" vertical="center"/>
      <protection hidden="1"/>
    </xf>
    <xf numFmtId="0" fontId="22" fillId="9" borderId="51" xfId="0" applyFont="1" applyFill="1" applyBorder="1" applyAlignment="1" applyProtection="1">
      <alignment horizontal="center" vertical="center" wrapText="1"/>
      <protection hidden="1"/>
    </xf>
    <xf numFmtId="0" fontId="22" fillId="9" borderId="52" xfId="0" applyFont="1" applyFill="1" applyBorder="1" applyAlignment="1" applyProtection="1">
      <alignment horizontal="center" vertical="center" wrapText="1"/>
      <protection hidden="1"/>
    </xf>
    <xf numFmtId="0" fontId="22" fillId="9" borderId="53" xfId="0" applyFont="1" applyFill="1" applyBorder="1" applyAlignment="1" applyProtection="1">
      <alignment horizontal="center" vertical="center" wrapText="1"/>
      <protection hidden="1"/>
    </xf>
    <xf numFmtId="0" fontId="59" fillId="0" borderId="1" xfId="0" applyFont="1" applyBorder="1" applyAlignment="1">
      <alignment horizontal="center" vertical="center" wrapText="1"/>
    </xf>
    <xf numFmtId="0" fontId="40" fillId="0" borderId="1" xfId="0" applyFont="1" applyBorder="1" applyAlignment="1">
      <alignment horizontal="center"/>
    </xf>
    <xf numFmtId="0" fontId="22" fillId="9" borderId="2" xfId="0" applyFont="1" applyFill="1" applyBorder="1" applyAlignment="1">
      <alignment horizontal="center" vertical="center"/>
    </xf>
    <xf numFmtId="0" fontId="22" fillId="9"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11" fillId="0" borderId="47" xfId="0" applyFont="1" applyBorder="1" applyAlignment="1">
      <alignment horizontal="center" vertical="center"/>
    </xf>
    <xf numFmtId="0" fontId="11" fillId="0" borderId="10" xfId="0" applyFont="1" applyBorder="1" applyAlignment="1">
      <alignment horizontal="center" vertical="center"/>
    </xf>
    <xf numFmtId="0" fontId="44" fillId="25" borderId="2" xfId="0" applyFont="1" applyFill="1" applyBorder="1" applyAlignment="1" applyProtection="1">
      <alignment horizontal="center" vertical="center"/>
      <protection hidden="1"/>
    </xf>
    <xf numFmtId="0" fontId="44" fillId="25" borderId="2" xfId="0" applyFont="1" applyFill="1" applyBorder="1" applyAlignment="1" applyProtection="1">
      <alignment horizontal="center" vertical="center" wrapText="1"/>
      <protection hidden="1"/>
    </xf>
    <xf numFmtId="0" fontId="36" fillId="0" borderId="2" xfId="0" applyFont="1" applyBorder="1" applyAlignment="1">
      <alignment horizontal="center" vertical="center"/>
    </xf>
    <xf numFmtId="0" fontId="32" fillId="0" borderId="5" xfId="0" applyFont="1" applyBorder="1" applyAlignment="1">
      <alignment horizontal="center" vertical="center"/>
    </xf>
    <xf numFmtId="0" fontId="22" fillId="25" borderId="2" xfId="0"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30" fillId="10" borderId="3" xfId="1" applyFont="1" applyFill="1" applyBorder="1" applyAlignment="1" applyProtection="1">
      <alignment horizontal="center" vertical="center" wrapText="1"/>
    </xf>
    <xf numFmtId="0" fontId="30" fillId="10" borderId="4" xfId="1" applyFont="1" applyFill="1" applyBorder="1" applyAlignment="1" applyProtection="1">
      <alignment horizontal="center" vertical="center" wrapText="1"/>
    </xf>
    <xf numFmtId="0" fontId="30" fillId="10" borderId="5" xfId="1" applyFont="1" applyFill="1" applyBorder="1" applyAlignment="1" applyProtection="1">
      <alignment horizontal="center" vertical="center" wrapText="1"/>
    </xf>
    <xf numFmtId="0" fontId="8" fillId="14" borderId="7" xfId="1" applyFont="1" applyFill="1" applyBorder="1" applyAlignment="1">
      <alignment horizontal="center" vertical="center" wrapText="1"/>
    </xf>
    <xf numFmtId="0" fontId="8" fillId="14" borderId="11" xfId="1" applyFont="1" applyFill="1" applyBorder="1" applyAlignment="1">
      <alignment horizontal="center" vertical="center" wrapText="1"/>
    </xf>
    <xf numFmtId="0" fontId="8" fillId="14" borderId="6" xfId="1" applyFont="1" applyFill="1" applyBorder="1" applyAlignment="1">
      <alignment horizontal="center" vertical="center" wrapText="1"/>
    </xf>
    <xf numFmtId="0" fontId="30" fillId="14" borderId="3" xfId="1" applyFont="1" applyFill="1" applyBorder="1" applyAlignment="1" applyProtection="1">
      <alignment horizontal="center" vertical="center" wrapText="1"/>
    </xf>
    <xf numFmtId="0" fontId="30" fillId="14" borderId="4" xfId="1" applyFont="1" applyFill="1" applyBorder="1" applyAlignment="1" applyProtection="1">
      <alignment horizontal="center" vertical="center" wrapText="1"/>
    </xf>
    <xf numFmtId="0" fontId="30" fillId="14" borderId="5" xfId="1" applyFont="1" applyFill="1" applyBorder="1" applyAlignment="1" applyProtection="1">
      <alignment horizontal="center" vertical="center" wrapText="1"/>
    </xf>
    <xf numFmtId="0" fontId="17" fillId="0" borderId="12" xfId="1" applyFont="1" applyBorder="1" applyAlignment="1" applyProtection="1">
      <alignment horizontal="left" vertical="center"/>
    </xf>
    <xf numFmtId="0" fontId="17" fillId="0" borderId="1" xfId="1" applyFont="1" applyBorder="1" applyAlignment="1" applyProtection="1">
      <alignment horizontal="left" vertical="center"/>
    </xf>
    <xf numFmtId="0" fontId="17" fillId="0" borderId="8" xfId="1" applyFont="1" applyBorder="1" applyAlignment="1" applyProtection="1">
      <alignment horizontal="left" vertical="center"/>
    </xf>
    <xf numFmtId="0" fontId="10" fillId="10" borderId="2" xfId="1" applyFont="1" applyFill="1" applyBorder="1" applyAlignment="1" applyProtection="1">
      <alignment horizontal="center" vertical="center" wrapText="1"/>
    </xf>
    <xf numFmtId="0" fontId="9" fillId="7" borderId="2" xfId="1" applyFont="1" applyFill="1" applyBorder="1" applyAlignment="1" applyProtection="1">
      <alignment horizontal="center" vertical="center" wrapText="1"/>
    </xf>
    <xf numFmtId="0" fontId="26" fillId="13" borderId="7" xfId="1" applyFont="1" applyFill="1" applyBorder="1" applyAlignment="1">
      <alignment horizontal="center" vertical="center" wrapText="1"/>
    </xf>
    <xf numFmtId="0" fontId="26" fillId="13" borderId="11" xfId="1" applyFont="1" applyFill="1" applyBorder="1" applyAlignment="1">
      <alignment horizontal="center" vertical="center" wrapText="1"/>
    </xf>
    <xf numFmtId="0" fontId="26" fillId="13" borderId="6" xfId="1" applyFont="1" applyFill="1" applyBorder="1" applyAlignment="1">
      <alignment horizontal="center" vertical="center" wrapText="1"/>
    </xf>
    <xf numFmtId="0" fontId="31" fillId="13" borderId="3" xfId="1" applyFont="1" applyFill="1" applyBorder="1" applyAlignment="1" applyProtection="1">
      <alignment horizontal="center" vertical="center" wrapText="1"/>
    </xf>
    <xf numFmtId="0" fontId="31" fillId="13" borderId="4" xfId="1" applyFont="1" applyFill="1" applyBorder="1" applyAlignment="1" applyProtection="1">
      <alignment horizontal="center" vertical="center" wrapText="1"/>
    </xf>
    <xf numFmtId="0" fontId="31" fillId="13" borderId="5" xfId="1" applyFont="1" applyFill="1" applyBorder="1" applyAlignment="1" applyProtection="1">
      <alignment horizontal="center" vertical="center" wrapText="1"/>
    </xf>
    <xf numFmtId="0" fontId="12" fillId="0" borderId="33" xfId="1" applyFont="1" applyBorder="1" applyAlignment="1" applyProtection="1">
      <alignment horizontal="center" vertical="center"/>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35" fillId="0" borderId="29" xfId="0" applyFont="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30" xfId="0" applyFont="1" applyBorder="1" applyAlignment="1" applyProtection="1">
      <alignment horizontal="center" vertical="center"/>
    </xf>
    <xf numFmtId="0" fontId="35" fillId="0" borderId="34" xfId="0" applyFont="1" applyBorder="1" applyAlignment="1" applyProtection="1">
      <alignment horizontal="center" vertical="center"/>
    </xf>
    <xf numFmtId="0" fontId="35" fillId="0" borderId="1" xfId="0" applyFont="1" applyBorder="1" applyAlignment="1" applyProtection="1">
      <alignment horizontal="center" vertical="center"/>
    </xf>
    <xf numFmtId="0" fontId="35" fillId="0" borderId="36" xfId="0" applyFont="1" applyBorder="1" applyAlignment="1" applyProtection="1">
      <alignment horizontal="center" vertical="center"/>
    </xf>
    <xf numFmtId="0" fontId="35" fillId="0" borderId="35" xfId="0" applyFont="1" applyBorder="1" applyAlignment="1" applyProtection="1">
      <alignment horizontal="center" vertical="center"/>
    </xf>
    <xf numFmtId="0" fontId="35" fillId="0" borderId="27" xfId="0" applyFont="1" applyBorder="1" applyAlignment="1" applyProtection="1">
      <alignment horizontal="center" vertical="center"/>
    </xf>
    <xf numFmtId="0" fontId="35" fillId="0" borderId="23" xfId="0" applyFont="1" applyBorder="1" applyAlignment="1" applyProtection="1">
      <alignment horizontal="center" vertical="center"/>
    </xf>
    <xf numFmtId="0" fontId="33" fillId="0" borderId="2" xfId="0" applyFont="1" applyBorder="1" applyAlignment="1" applyProtection="1">
      <alignment horizontal="left" vertical="center"/>
    </xf>
    <xf numFmtId="0" fontId="17" fillId="0" borderId="7" xfId="0" applyFont="1" applyBorder="1" applyAlignment="1" applyProtection="1">
      <alignment horizontal="justify" vertical="center"/>
    </xf>
    <xf numFmtId="0" fontId="17" fillId="0" borderId="6" xfId="0" applyFont="1" applyBorder="1" applyAlignment="1" applyProtection="1">
      <alignment horizontal="justify" vertical="center"/>
    </xf>
    <xf numFmtId="0" fontId="33" fillId="0" borderId="7" xfId="0" applyFont="1" applyBorder="1" applyAlignment="1" applyProtection="1">
      <alignment horizontal="left" vertical="center"/>
    </xf>
    <xf numFmtId="0" fontId="33" fillId="0" borderId="6" xfId="0" applyFont="1" applyBorder="1" applyAlignment="1" applyProtection="1">
      <alignment horizontal="left" vertical="center"/>
    </xf>
    <xf numFmtId="0" fontId="11" fillId="6" borderId="8" xfId="1" applyFont="1" applyFill="1" applyBorder="1" applyAlignment="1" applyProtection="1">
      <alignment horizontal="right" vertical="center"/>
    </xf>
    <xf numFmtId="0" fontId="11" fillId="6" borderId="1" xfId="1" applyFont="1" applyFill="1" applyBorder="1" applyAlignment="1" applyProtection="1">
      <alignment horizontal="right" vertical="center"/>
    </xf>
    <xf numFmtId="0" fontId="8" fillId="8" borderId="2" xfId="0" applyFont="1" applyFill="1" applyBorder="1" applyAlignment="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8" fillId="10" borderId="7"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6" fillId="0" borderId="1" xfId="1" applyFont="1" applyBorder="1" applyAlignment="1" applyProtection="1">
      <alignment horizontal="left" vertical="center"/>
    </xf>
    <xf numFmtId="0" fontId="17" fillId="0" borderId="1" xfId="1" applyFont="1" applyFill="1" applyBorder="1" applyAlignment="1" applyProtection="1">
      <alignment horizontal="left" vertical="center"/>
    </xf>
    <xf numFmtId="0" fontId="8" fillId="0" borderId="1" xfId="1" applyFont="1" applyFill="1" applyBorder="1" applyAlignment="1" applyProtection="1">
      <alignment horizontal="left" vertical="center"/>
    </xf>
    <xf numFmtId="0" fontId="6" fillId="0" borderId="1" xfId="1" applyFont="1" applyAlignment="1" applyProtection="1">
      <alignment vertical="center"/>
    </xf>
    <xf numFmtId="165" fontId="21" fillId="3" borderId="22" xfId="0" quotePrefix="1" applyNumberFormat="1" applyFont="1" applyFill="1" applyBorder="1" applyAlignment="1">
      <alignment horizontal="left"/>
    </xf>
    <xf numFmtId="165" fontId="21" fillId="3" borderId="23" xfId="0" applyNumberFormat="1" applyFont="1" applyFill="1" applyBorder="1" applyAlignment="1">
      <alignment horizontal="left"/>
    </xf>
    <xf numFmtId="0" fontId="8" fillId="7" borderId="2" xfId="1" applyFont="1" applyFill="1" applyBorder="1" applyAlignment="1" applyProtection="1">
      <alignment horizontal="center" vertical="center" wrapText="1"/>
    </xf>
    <xf numFmtId="0" fontId="17" fillId="0" borderId="2" xfId="1" applyFont="1" applyBorder="1" applyAlignment="1" applyProtection="1">
      <alignment horizontal="left" vertical="center" wrapText="1"/>
    </xf>
    <xf numFmtId="10" fontId="19" fillId="4" borderId="44" xfId="3" applyNumberFormat="1" applyFont="1" applyFill="1" applyBorder="1" applyAlignment="1" applyProtection="1">
      <alignment horizontal="center" vertical="center"/>
    </xf>
    <xf numFmtId="10" fontId="19" fillId="4" borderId="45" xfId="3" applyNumberFormat="1" applyFont="1" applyFill="1" applyBorder="1" applyAlignment="1" applyProtection="1">
      <alignment horizontal="center" vertical="center"/>
    </xf>
    <xf numFmtId="10" fontId="19" fillId="4" borderId="9" xfId="3" applyNumberFormat="1" applyFont="1" applyFill="1" applyBorder="1" applyAlignment="1" applyProtection="1">
      <alignment horizontal="center" vertical="center"/>
    </xf>
    <xf numFmtId="0" fontId="6" fillId="0" borderId="1" xfId="1" applyFont="1" applyAlignment="1" applyProtection="1">
      <alignment horizontal="left" vertical="center"/>
    </xf>
    <xf numFmtId="0" fontId="17" fillId="0" borderId="1" xfId="1" applyFont="1" applyAlignment="1" applyProtection="1">
      <alignment horizontal="left" vertical="center"/>
    </xf>
    <xf numFmtId="0" fontId="8" fillId="0" borderId="1" xfId="1" applyFont="1" applyAlignment="1" applyProtection="1">
      <alignment horizontal="left" vertical="center"/>
    </xf>
    <xf numFmtId="0" fontId="8" fillId="0" borderId="20" xfId="1" applyFont="1" applyBorder="1" applyAlignment="1" applyProtection="1">
      <alignment horizontal="left" vertical="center" wrapText="1"/>
    </xf>
    <xf numFmtId="0" fontId="8" fillId="0" borderId="33" xfId="1" applyFont="1" applyBorder="1" applyAlignment="1" applyProtection="1">
      <alignment horizontal="left" vertical="center" wrapText="1"/>
    </xf>
    <xf numFmtId="0" fontId="8" fillId="0" borderId="31" xfId="1" applyFont="1" applyBorder="1" applyAlignment="1" applyProtection="1">
      <alignment horizontal="left" vertical="center" wrapText="1"/>
    </xf>
    <xf numFmtId="0" fontId="8" fillId="0" borderId="46" xfId="1" applyFont="1" applyBorder="1" applyAlignment="1" applyProtection="1">
      <alignment horizontal="left" vertical="center" wrapText="1"/>
    </xf>
    <xf numFmtId="0" fontId="8" fillId="0" borderId="47" xfId="1" applyFont="1" applyBorder="1" applyAlignment="1" applyProtection="1">
      <alignment horizontal="left" vertical="center" wrapText="1"/>
    </xf>
    <xf numFmtId="0" fontId="8" fillId="0" borderId="10" xfId="1" applyFont="1" applyBorder="1" applyAlignment="1" applyProtection="1">
      <alignment horizontal="left" vertical="center" wrapText="1"/>
    </xf>
    <xf numFmtId="0" fontId="9" fillId="0" borderId="2" xfId="1" applyFont="1" applyBorder="1" applyAlignment="1" applyProtection="1">
      <alignment horizontal="center" vertical="center" wrapText="1"/>
    </xf>
    <xf numFmtId="0" fontId="11" fillId="6" borderId="1" xfId="1" applyFont="1" applyFill="1" applyAlignment="1" applyProtection="1">
      <alignment horizontal="right" vertical="center"/>
    </xf>
    <xf numFmtId="0" fontId="17" fillId="0" borderId="5" xfId="0" applyFont="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0" fontId="36" fillId="0" borderId="7" xfId="0" applyFont="1" applyBorder="1" applyAlignment="1" applyProtection="1">
      <alignment horizontal="justify" vertical="center"/>
    </xf>
    <xf numFmtId="0" fontId="36" fillId="0" borderId="6" xfId="0" applyFont="1" applyBorder="1" applyAlignment="1" applyProtection="1">
      <alignment horizontal="justify" vertical="center"/>
    </xf>
    <xf numFmtId="9" fontId="19" fillId="4" borderId="7" xfId="3" applyFont="1" applyFill="1" applyBorder="1" applyAlignment="1" applyProtection="1">
      <alignment horizontal="center" vertical="center"/>
    </xf>
    <xf numFmtId="9" fontId="19" fillId="4" borderId="11" xfId="3" applyFont="1" applyFill="1" applyBorder="1" applyAlignment="1" applyProtection="1">
      <alignment horizontal="center" vertical="center"/>
    </xf>
    <xf numFmtId="9" fontId="19" fillId="4" borderId="6" xfId="3" applyFont="1" applyFill="1" applyBorder="1" applyAlignment="1" applyProtection="1">
      <alignment horizontal="center" vertical="center"/>
    </xf>
    <xf numFmtId="0" fontId="36" fillId="0" borderId="2" xfId="0" applyFont="1" applyBorder="1" applyAlignment="1" applyProtection="1">
      <alignment horizontal="left" vertical="center"/>
    </xf>
    <xf numFmtId="0" fontId="41" fillId="0" borderId="2" xfId="0" applyFont="1" applyBorder="1" applyAlignment="1" applyProtection="1">
      <alignment horizontal="left" vertical="center"/>
    </xf>
    <xf numFmtId="9" fontId="19" fillId="4" borderId="44" xfId="3" applyFont="1" applyFill="1" applyBorder="1" applyAlignment="1" applyProtection="1">
      <alignment horizontal="center" vertical="center"/>
    </xf>
    <xf numFmtId="9" fontId="19" fillId="4" borderId="45" xfId="3" applyFont="1" applyFill="1" applyBorder="1" applyAlignment="1" applyProtection="1">
      <alignment horizontal="center" vertical="center"/>
    </xf>
    <xf numFmtId="9" fontId="19" fillId="4" borderId="9" xfId="3" applyFont="1" applyFill="1" applyBorder="1" applyAlignment="1" applyProtection="1">
      <alignment horizontal="center" vertical="center"/>
    </xf>
    <xf numFmtId="0" fontId="6" fillId="0" borderId="1" xfId="1" applyFont="1" applyAlignment="1">
      <alignment horizontal="left" vertical="center"/>
    </xf>
    <xf numFmtId="0" fontId="12" fillId="0" borderId="33" xfId="1" applyFont="1" applyBorder="1" applyAlignment="1">
      <alignment horizontal="center" vertical="center"/>
    </xf>
    <xf numFmtId="0" fontId="11" fillId="12" borderId="7" xfId="1" applyFont="1" applyFill="1" applyBorder="1" applyAlignment="1">
      <alignment horizontal="right" vertical="center"/>
    </xf>
    <xf numFmtId="0" fontId="11" fillId="12" borderId="11" xfId="1" applyFont="1" applyFill="1" applyBorder="1" applyAlignment="1">
      <alignment horizontal="right" vertical="center"/>
    </xf>
    <xf numFmtId="0" fontId="11" fillId="12" borderId="6" xfId="1" applyFont="1" applyFill="1" applyBorder="1" applyAlignment="1">
      <alignment horizontal="right" vertical="center"/>
    </xf>
    <xf numFmtId="0" fontId="11" fillId="6" borderId="8" xfId="1" applyFont="1" applyFill="1" applyBorder="1" applyAlignment="1">
      <alignment horizontal="right" vertical="center"/>
    </xf>
    <xf numFmtId="0" fontId="11" fillId="6" borderId="1" xfId="1" applyFont="1" applyFill="1" applyAlignment="1">
      <alignment horizontal="right" vertical="center"/>
    </xf>
    <xf numFmtId="0" fontId="6" fillId="0" borderId="1" xfId="1" applyFont="1" applyAlignment="1">
      <alignment vertical="center"/>
    </xf>
    <xf numFmtId="0" fontId="8" fillId="7" borderId="2" xfId="1" applyFont="1" applyFill="1" applyBorder="1" applyAlignment="1">
      <alignment horizontal="center" vertical="center" wrapText="1"/>
    </xf>
    <xf numFmtId="0" fontId="17" fillId="0" borderId="1" xfId="1" applyFont="1" applyAlignment="1" applyProtection="1">
      <alignment horizontal="left" vertical="center"/>
      <protection locked="0"/>
    </xf>
    <xf numFmtId="0" fontId="8" fillId="0" borderId="1" xfId="1" applyFont="1" applyAlignment="1" applyProtection="1">
      <alignment horizontal="left" vertical="center"/>
      <protection locked="0"/>
    </xf>
    <xf numFmtId="0" fontId="17" fillId="0" borderId="20" xfId="1" applyFont="1" applyBorder="1" applyAlignment="1" applyProtection="1">
      <alignment horizontal="left" vertical="center" wrapText="1"/>
      <protection locked="0"/>
    </xf>
    <xf numFmtId="0" fontId="17" fillId="0" borderId="33" xfId="1" applyFont="1" applyBorder="1" applyAlignment="1" applyProtection="1">
      <alignment horizontal="left" vertical="center" wrapText="1"/>
      <protection locked="0"/>
    </xf>
    <xf numFmtId="0" fontId="17" fillId="0" borderId="31" xfId="1" applyFont="1" applyBorder="1" applyAlignment="1" applyProtection="1">
      <alignment horizontal="left" vertical="center" wrapText="1"/>
      <protection locked="0"/>
    </xf>
    <xf numFmtId="0" fontId="17" fillId="0" borderId="46" xfId="1" applyFont="1" applyBorder="1" applyAlignment="1" applyProtection="1">
      <alignment horizontal="left" vertical="center" wrapText="1"/>
      <protection locked="0"/>
    </xf>
    <xf numFmtId="0" fontId="17" fillId="0" borderId="47" xfId="1" applyFont="1" applyBorder="1" applyAlignment="1" applyProtection="1">
      <alignment horizontal="left" vertical="center" wrapText="1"/>
      <protection locked="0"/>
    </xf>
    <xf numFmtId="0" fontId="17" fillId="0" borderId="10" xfId="1" applyFont="1" applyBorder="1" applyAlignment="1" applyProtection="1">
      <alignment horizontal="left" vertical="center" wrapText="1"/>
      <protection locked="0"/>
    </xf>
    <xf numFmtId="0" fontId="17" fillId="0" borderId="3" xfId="0" applyFont="1" applyBorder="1" applyAlignment="1">
      <alignment horizontal="justify" vertical="center" wrapText="1"/>
    </xf>
    <xf numFmtId="0" fontId="17" fillId="0" borderId="5" xfId="0" applyFont="1" applyBorder="1" applyAlignment="1">
      <alignment horizontal="justify" vertical="center" wrapText="1"/>
    </xf>
    <xf numFmtId="0" fontId="9" fillId="0" borderId="2" xfId="1" applyFont="1" applyBorder="1" applyAlignment="1">
      <alignment horizontal="center" vertical="center" wrapText="1"/>
    </xf>
    <xf numFmtId="0" fontId="9" fillId="9" borderId="2" xfId="1" applyFont="1" applyFill="1" applyBorder="1" applyAlignment="1">
      <alignment horizontal="center" vertical="center" wrapText="1"/>
    </xf>
    <xf numFmtId="0" fontId="30" fillId="10" borderId="3" xfId="1" applyFont="1" applyFill="1" applyBorder="1" applyAlignment="1">
      <alignment horizontal="center" vertical="center" wrapText="1"/>
    </xf>
    <xf numFmtId="0" fontId="30" fillId="10" borderId="4" xfId="1" applyFont="1" applyFill="1" applyBorder="1" applyAlignment="1">
      <alignment horizontal="center" vertical="center" wrapText="1"/>
    </xf>
    <xf numFmtId="0" fontId="30" fillId="10" borderId="5" xfId="1" applyFont="1" applyFill="1" applyBorder="1" applyAlignment="1">
      <alignment horizontal="center" vertical="center" wrapText="1"/>
    </xf>
    <xf numFmtId="0" fontId="31" fillId="13" borderId="3" xfId="1" applyFont="1" applyFill="1" applyBorder="1" applyAlignment="1">
      <alignment horizontal="center" vertical="center" wrapText="1"/>
    </xf>
    <xf numFmtId="0" fontId="31" fillId="13" borderId="4" xfId="1" applyFont="1" applyFill="1" applyBorder="1" applyAlignment="1">
      <alignment horizontal="center" vertical="center" wrapText="1"/>
    </xf>
    <xf numFmtId="0" fontId="31" fillId="13" borderId="5" xfId="1" applyFont="1" applyFill="1" applyBorder="1" applyAlignment="1">
      <alignment horizontal="center" vertical="center" wrapText="1"/>
    </xf>
    <xf numFmtId="0" fontId="30" fillId="14" borderId="3" xfId="1" applyFont="1" applyFill="1" applyBorder="1" applyAlignment="1">
      <alignment horizontal="center" vertical="center" wrapText="1"/>
    </xf>
    <xf numFmtId="0" fontId="30" fillId="14" borderId="4" xfId="1" applyFont="1" applyFill="1" applyBorder="1" applyAlignment="1">
      <alignment horizontal="center" vertical="center" wrapText="1"/>
    </xf>
    <xf numFmtId="0" fontId="30" fillId="14" borderId="5" xfId="1" applyFont="1" applyFill="1" applyBorder="1" applyAlignment="1">
      <alignment horizontal="center" vertical="center" wrapText="1"/>
    </xf>
    <xf numFmtId="0" fontId="17" fillId="0" borderId="12" xfId="1" applyFont="1" applyBorder="1" applyAlignment="1">
      <alignment horizontal="left" vertical="center"/>
    </xf>
    <xf numFmtId="0" fontId="17" fillId="0" borderId="1" xfId="1" applyFont="1" applyAlignment="1">
      <alignment horizontal="left" vertical="center"/>
    </xf>
    <xf numFmtId="0" fontId="17" fillId="0" borderId="8" xfId="1" applyFont="1" applyBorder="1" applyAlignment="1">
      <alignment horizontal="left" vertical="center"/>
    </xf>
    <xf numFmtId="0" fontId="33" fillId="0" borderId="2" xfId="0" applyFont="1" applyBorder="1" applyAlignment="1" applyProtection="1">
      <alignment horizontal="left" vertical="center"/>
      <protection locked="0"/>
    </xf>
    <xf numFmtId="0" fontId="17" fillId="0" borderId="7" xfId="0" applyFont="1" applyBorder="1" applyAlignment="1" applyProtection="1">
      <alignment horizontal="justify" vertical="center"/>
      <protection locked="0"/>
    </xf>
    <xf numFmtId="0" fontId="17" fillId="0" borderId="6" xfId="0" applyFont="1" applyBorder="1" applyAlignment="1" applyProtection="1">
      <alignment horizontal="justify" vertical="center"/>
      <protection locked="0"/>
    </xf>
    <xf numFmtId="0" fontId="9" fillId="7" borderId="2" xfId="1" applyFont="1" applyFill="1" applyBorder="1" applyAlignment="1">
      <alignment horizontal="center" vertical="center" wrapText="1"/>
    </xf>
    <xf numFmtId="0" fontId="35" fillId="0" borderId="29" xfId="0" applyFont="1" applyBorder="1" applyAlignment="1">
      <alignment horizontal="center" vertical="center" wrapText="1"/>
    </xf>
    <xf numFmtId="0" fontId="35" fillId="0" borderId="25" xfId="0" applyFont="1" applyBorder="1" applyAlignment="1">
      <alignment horizontal="center" vertical="center"/>
    </xf>
    <xf numFmtId="0" fontId="35" fillId="0" borderId="30" xfId="0" applyFont="1" applyBorder="1" applyAlignment="1">
      <alignment horizontal="center" vertical="center"/>
    </xf>
    <xf numFmtId="0" fontId="35" fillId="0" borderId="34" xfId="0" applyFont="1" applyBorder="1" applyAlignment="1">
      <alignment horizontal="center" vertical="center"/>
    </xf>
    <xf numFmtId="0" fontId="35" fillId="0" borderId="1" xfId="0" applyFont="1" applyBorder="1" applyAlignment="1">
      <alignment horizontal="center" vertical="center"/>
    </xf>
    <xf numFmtId="0" fontId="35" fillId="0" borderId="36" xfId="0" applyFont="1" applyBorder="1" applyAlignment="1">
      <alignment horizontal="center" vertical="center"/>
    </xf>
    <xf numFmtId="0" fontId="35" fillId="0" borderId="35" xfId="0" applyFont="1" applyBorder="1" applyAlignment="1">
      <alignment horizontal="center" vertical="center"/>
    </xf>
    <xf numFmtId="0" fontId="35" fillId="0" borderId="27" xfId="0" applyFont="1" applyBorder="1" applyAlignment="1">
      <alignment horizontal="center" vertical="center"/>
    </xf>
    <xf numFmtId="0" fontId="35" fillId="0" borderId="23" xfId="0" applyFont="1" applyBorder="1" applyAlignment="1">
      <alignment horizontal="center" vertical="center"/>
    </xf>
    <xf numFmtId="0" fontId="10" fillId="10" borderId="2" xfId="1" applyFont="1" applyFill="1" applyBorder="1" applyAlignment="1">
      <alignment horizontal="center" vertical="center" wrapText="1"/>
    </xf>
    <xf numFmtId="0" fontId="33" fillId="0" borderId="7"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17" fillId="0" borderId="20" xfId="1" applyFont="1" applyBorder="1" applyAlignment="1" applyProtection="1">
      <alignment horizontal="left" vertical="center" wrapText="1"/>
    </xf>
    <xf numFmtId="0" fontId="17" fillId="0" borderId="33" xfId="1" applyFont="1" applyBorder="1" applyAlignment="1" applyProtection="1">
      <alignment horizontal="left" vertical="center" wrapText="1"/>
    </xf>
    <xf numFmtId="0" fontId="17" fillId="0" borderId="31" xfId="1" applyFont="1" applyBorder="1" applyAlignment="1" applyProtection="1">
      <alignment horizontal="left" vertical="center" wrapText="1"/>
    </xf>
    <xf numFmtId="0" fontId="17" fillId="0" borderId="46" xfId="1" applyFont="1" applyBorder="1" applyAlignment="1" applyProtection="1">
      <alignment horizontal="left" vertical="center" wrapText="1"/>
    </xf>
    <xf numFmtId="0" fontId="17" fillId="0" borderId="47" xfId="1" applyFont="1" applyBorder="1" applyAlignment="1" applyProtection="1">
      <alignment horizontal="left" vertical="center" wrapText="1"/>
    </xf>
    <xf numFmtId="0" fontId="17" fillId="0" borderId="10" xfId="1" applyFont="1" applyBorder="1" applyAlignment="1" applyProtection="1">
      <alignment horizontal="left" vertical="center" wrapText="1"/>
    </xf>
    <xf numFmtId="0" fontId="8" fillId="0" borderId="3" xfId="0" applyFont="1" applyBorder="1" applyAlignment="1" applyProtection="1">
      <alignment horizontal="justify" vertical="center" wrapText="1"/>
    </xf>
    <xf numFmtId="0" fontId="8" fillId="0" borderId="4" xfId="0" applyFont="1" applyBorder="1" applyAlignment="1" applyProtection="1">
      <alignment horizontal="justify" vertical="center" wrapText="1"/>
    </xf>
    <xf numFmtId="0" fontId="8" fillId="0" borderId="5" xfId="0" applyFont="1" applyBorder="1" applyAlignment="1" applyProtection="1">
      <alignment horizontal="justify" vertical="center" wrapText="1"/>
    </xf>
    <xf numFmtId="0" fontId="17" fillId="0" borderId="4" xfId="0" applyFont="1" applyBorder="1" applyAlignment="1" applyProtection="1">
      <alignment horizontal="justify" vertical="center" wrapText="1"/>
    </xf>
    <xf numFmtId="0" fontId="11" fillId="6" borderId="2" xfId="1" applyFont="1" applyFill="1" applyBorder="1" applyAlignment="1" applyProtection="1">
      <alignment horizontal="right" vertical="center"/>
    </xf>
    <xf numFmtId="0" fontId="18" fillId="0" borderId="2" xfId="0" applyFont="1" applyBorder="1" applyAlignment="1" applyProtection="1">
      <alignment horizontal="left" vertical="center"/>
    </xf>
    <xf numFmtId="0" fontId="8" fillId="0" borderId="2" xfId="1" applyFont="1" applyBorder="1" applyAlignment="1" applyProtection="1">
      <alignment horizontal="center" vertical="center" wrapText="1"/>
    </xf>
    <xf numFmtId="0" fontId="8" fillId="9" borderId="2" xfId="1" applyFont="1" applyFill="1" applyBorder="1" applyAlignment="1" applyProtection="1">
      <alignment horizontal="center" vertical="center" wrapText="1"/>
    </xf>
    <xf numFmtId="0" fontId="8" fillId="12" borderId="7" xfId="1" applyFont="1" applyFill="1" applyBorder="1" applyAlignment="1" applyProtection="1">
      <alignment horizontal="right" vertical="center"/>
    </xf>
    <xf numFmtId="0" fontId="8" fillId="12" borderId="11" xfId="1" applyFont="1" applyFill="1" applyBorder="1" applyAlignment="1" applyProtection="1">
      <alignment horizontal="right" vertical="center"/>
    </xf>
    <xf numFmtId="0" fontId="8" fillId="12" borderId="6" xfId="1" applyFont="1" applyFill="1" applyBorder="1" applyAlignment="1" applyProtection="1">
      <alignment horizontal="right" vertical="center"/>
    </xf>
    <xf numFmtId="0" fontId="8" fillId="14" borderId="3" xfId="1" applyFont="1" applyFill="1" applyBorder="1" applyAlignment="1" applyProtection="1">
      <alignment horizontal="center" vertical="center" wrapText="1"/>
    </xf>
    <xf numFmtId="0" fontId="8" fillId="14" borderId="4" xfId="1" applyFont="1" applyFill="1" applyBorder="1" applyAlignment="1" applyProtection="1">
      <alignment horizontal="center" vertical="center" wrapText="1"/>
    </xf>
    <xf numFmtId="0" fontId="8" fillId="14" borderId="5" xfId="1" applyFont="1" applyFill="1" applyBorder="1" applyAlignment="1" applyProtection="1">
      <alignment horizontal="center" vertical="center" wrapText="1"/>
    </xf>
    <xf numFmtId="0" fontId="8" fillId="10" borderId="2" xfId="1" applyFont="1" applyFill="1" applyBorder="1" applyAlignment="1" applyProtection="1">
      <alignment horizontal="center" vertical="center" wrapText="1"/>
    </xf>
    <xf numFmtId="0" fontId="17" fillId="0" borderId="1" xfId="1" applyFont="1" applyAlignment="1" applyProtection="1">
      <alignment vertical="center"/>
    </xf>
    <xf numFmtId="0" fontId="41" fillId="0" borderId="3" xfId="0" applyFont="1" applyBorder="1" applyAlignment="1" applyProtection="1">
      <alignment horizontal="center" vertical="top" wrapText="1"/>
    </xf>
    <xf numFmtId="0" fontId="41" fillId="0" borderId="4" xfId="0" applyFont="1" applyBorder="1" applyAlignment="1" applyProtection="1">
      <alignment horizontal="center" vertical="top" wrapText="1"/>
    </xf>
    <xf numFmtId="0" fontId="41" fillId="0" borderId="5" xfId="0" applyFont="1" applyBorder="1" applyAlignment="1" applyProtection="1">
      <alignment horizontal="center" vertical="top" wrapText="1"/>
    </xf>
    <xf numFmtId="0" fontId="17" fillId="0" borderId="7" xfId="0" applyFont="1" applyBorder="1" applyAlignment="1" applyProtection="1">
      <alignment horizontal="left" vertical="center"/>
    </xf>
    <xf numFmtId="0" fontId="17" fillId="0" borderId="6" xfId="0" applyFont="1" applyBorder="1" applyAlignment="1" applyProtection="1">
      <alignment horizontal="left" vertical="center"/>
    </xf>
    <xf numFmtId="0" fontId="8" fillId="10" borderId="3" xfId="1" applyFont="1" applyFill="1" applyBorder="1" applyAlignment="1" applyProtection="1">
      <alignment horizontal="center" vertical="center" wrapText="1"/>
    </xf>
    <xf numFmtId="0" fontId="8" fillId="10" borderId="4" xfId="1" applyFont="1" applyFill="1" applyBorder="1" applyAlignment="1" applyProtection="1">
      <alignment horizontal="center" vertical="center" wrapText="1"/>
    </xf>
    <xf numFmtId="0" fontId="8" fillId="10" borderId="5" xfId="1" applyFont="1" applyFill="1" applyBorder="1" applyAlignment="1" applyProtection="1">
      <alignment horizontal="center" vertical="center" wrapText="1"/>
    </xf>
    <xf numFmtId="0" fontId="26" fillId="13" borderId="3" xfId="1" applyFont="1" applyFill="1" applyBorder="1" applyAlignment="1" applyProtection="1">
      <alignment horizontal="center" vertical="center" wrapText="1"/>
    </xf>
    <xf numFmtId="0" fontId="26" fillId="13" borderId="4" xfId="1" applyFont="1" applyFill="1" applyBorder="1" applyAlignment="1" applyProtection="1">
      <alignment horizontal="center" vertical="center" wrapText="1"/>
    </xf>
    <xf numFmtId="0" fontId="26" fillId="13" borderId="5" xfId="1" applyFont="1" applyFill="1" applyBorder="1" applyAlignment="1" applyProtection="1">
      <alignment horizontal="center" vertical="center" wrapText="1"/>
    </xf>
    <xf numFmtId="0" fontId="17" fillId="0" borderId="7" xfId="0" applyFont="1" applyBorder="1" applyAlignment="1" applyProtection="1">
      <alignment horizontal="justify" vertical="center" wrapText="1"/>
    </xf>
    <xf numFmtId="0" fontId="17" fillId="0" borderId="2" xfId="0" applyFont="1" applyBorder="1" applyAlignment="1" applyProtection="1">
      <alignment horizontal="left" vertical="center"/>
    </xf>
    <xf numFmtId="9" fontId="8" fillId="4" borderId="44" xfId="3" applyFont="1" applyFill="1" applyBorder="1" applyAlignment="1" applyProtection="1">
      <alignment horizontal="center" vertical="center"/>
    </xf>
    <xf numFmtId="9" fontId="8" fillId="4" borderId="45" xfId="3" applyFont="1" applyFill="1" applyBorder="1" applyAlignment="1" applyProtection="1">
      <alignment horizontal="center" vertical="center"/>
    </xf>
    <xf numFmtId="9" fontId="8" fillId="4" borderId="9" xfId="3" applyFont="1" applyFill="1" applyBorder="1" applyAlignment="1" applyProtection="1">
      <alignment horizontal="center" vertical="center"/>
    </xf>
    <xf numFmtId="0" fontId="8" fillId="6" borderId="8" xfId="1" applyFont="1" applyFill="1" applyBorder="1" applyAlignment="1" applyProtection="1">
      <alignment horizontal="right" vertical="center"/>
    </xf>
    <xf numFmtId="0" fontId="8" fillId="6" borderId="1" xfId="1" applyFont="1" applyFill="1" applyAlignment="1" applyProtection="1">
      <alignment horizontal="right" vertical="center"/>
    </xf>
    <xf numFmtId="9" fontId="19" fillId="4" borderId="48" xfId="3" applyFont="1" applyFill="1" applyBorder="1" applyAlignment="1" applyProtection="1">
      <alignment horizontal="center" vertical="center"/>
    </xf>
    <xf numFmtId="9" fontId="19" fillId="4" borderId="49" xfId="3" applyFont="1" applyFill="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6" fillId="0" borderId="1" xfId="1" applyFont="1" applyAlignment="1" applyProtection="1">
      <alignment horizontal="right" vertical="center"/>
    </xf>
    <xf numFmtId="164" fontId="19" fillId="4" borderId="44" xfId="3" applyNumberFormat="1" applyFont="1" applyFill="1" applyBorder="1" applyAlignment="1" applyProtection="1">
      <alignment horizontal="center" vertical="center"/>
    </xf>
    <xf numFmtId="164" fontId="19" fillId="4" borderId="45" xfId="3" applyNumberFormat="1" applyFont="1" applyFill="1" applyBorder="1" applyAlignment="1" applyProtection="1">
      <alignment horizontal="center" vertical="center"/>
    </xf>
    <xf numFmtId="164" fontId="19" fillId="4" borderId="9" xfId="3" applyNumberFormat="1" applyFont="1" applyFill="1" applyBorder="1" applyAlignment="1" applyProtection="1">
      <alignment horizontal="center" vertical="center"/>
    </xf>
    <xf numFmtId="0" fontId="22" fillId="3" borderId="16" xfId="0" applyFont="1" applyFill="1" applyBorder="1" applyAlignment="1" applyProtection="1">
      <alignment horizontal="left"/>
    </xf>
    <xf numFmtId="0" fontId="21" fillId="3" borderId="17" xfId="0" applyFont="1" applyFill="1" applyBorder="1" applyAlignment="1" applyProtection="1">
      <alignment horizontal="left"/>
    </xf>
    <xf numFmtId="0" fontId="22" fillId="3" borderId="20" xfId="0" applyFont="1" applyFill="1" applyBorder="1" applyAlignment="1" applyProtection="1">
      <alignment horizontal="left"/>
    </xf>
    <xf numFmtId="0" fontId="21" fillId="3" borderId="21" xfId="0" applyFont="1" applyFill="1" applyBorder="1" applyAlignment="1" applyProtection="1">
      <alignment horizontal="left"/>
    </xf>
    <xf numFmtId="0" fontId="29" fillId="0" borderId="1" xfId="0" applyFont="1" applyBorder="1" applyAlignment="1" applyProtection="1">
      <alignment horizontal="left" vertical="center"/>
    </xf>
    <xf numFmtId="0" fontId="25" fillId="0" borderId="24"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12"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3" fillId="10" borderId="2" xfId="1" applyFont="1" applyFill="1" applyBorder="1" applyAlignment="1" applyProtection="1">
      <alignment horizontal="center" vertical="center" wrapText="1"/>
    </xf>
    <xf numFmtId="0" fontId="28" fillId="0" borderId="2" xfId="23" applyFont="1" applyBorder="1" applyAlignment="1">
      <alignment horizontal="justify" vertical="center" wrapText="1"/>
    </xf>
    <xf numFmtId="0" fontId="17" fillId="0" borderId="2" xfId="23" applyFont="1" applyBorder="1" applyAlignment="1">
      <alignment horizontal="justify" vertical="center" wrapText="1"/>
    </xf>
    <xf numFmtId="0" fontId="26" fillId="17" borderId="2" xfId="23" applyFont="1" applyFill="1" applyBorder="1" applyAlignment="1">
      <alignment horizontal="center" vertical="center"/>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2" fillId="3" borderId="16" xfId="23" applyFont="1" applyFill="1" applyBorder="1" applyAlignment="1">
      <alignment horizontal="left"/>
    </xf>
    <xf numFmtId="0" fontId="21" fillId="3" borderId="17" xfId="23" applyFont="1" applyFill="1" applyBorder="1" applyAlignment="1">
      <alignment horizontal="left"/>
    </xf>
    <xf numFmtId="0" fontId="22" fillId="3" borderId="20" xfId="23" applyFont="1" applyFill="1" applyBorder="1" applyAlignment="1">
      <alignment horizontal="left"/>
    </xf>
    <xf numFmtId="0" fontId="21" fillId="3" borderId="21" xfId="23" applyFont="1" applyFill="1" applyBorder="1" applyAlignment="1">
      <alignment horizontal="left"/>
    </xf>
    <xf numFmtId="165" fontId="21" fillId="3" borderId="22" xfId="23" quotePrefix="1" applyNumberFormat="1" applyFont="1" applyFill="1" applyBorder="1" applyAlignment="1">
      <alignment horizontal="left"/>
    </xf>
    <xf numFmtId="165" fontId="21" fillId="3" borderId="23" xfId="23" applyNumberFormat="1" applyFont="1" applyFill="1" applyBorder="1" applyAlignment="1">
      <alignment horizontal="left"/>
    </xf>
    <xf numFmtId="0" fontId="26" fillId="16" borderId="2" xfId="23" applyFont="1" applyFill="1" applyBorder="1" applyAlignment="1">
      <alignment horizontal="center" vertical="center"/>
    </xf>
    <xf numFmtId="0" fontId="26" fillId="15" borderId="2" xfId="23" applyFont="1" applyFill="1" applyBorder="1" applyAlignment="1">
      <alignment horizontal="center" vertical="center"/>
    </xf>
    <xf numFmtId="0" fontId="8" fillId="0" borderId="54"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0" borderId="70"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40" fillId="0" borderId="46" xfId="0" applyFont="1" applyBorder="1" applyAlignment="1" applyProtection="1">
      <alignment horizontal="center"/>
      <protection hidden="1"/>
    </xf>
    <xf numFmtId="0" fontId="40" fillId="0" borderId="47" xfId="0" applyFont="1" applyBorder="1" applyAlignment="1" applyProtection="1">
      <alignment horizontal="center"/>
      <protection hidden="1"/>
    </xf>
    <xf numFmtId="0" fontId="40" fillId="0" borderId="10" xfId="0" applyFont="1" applyBorder="1" applyAlignment="1" applyProtection="1">
      <alignment horizontal="center"/>
      <protection hidden="1"/>
    </xf>
  </cellXfs>
  <cellStyles count="59">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s>
  <dxfs count="197">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theme="8" tint="0.79998168889431442"/>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theme="3" tint="0.79998168889431442"/>
        </patternFill>
      </fill>
    </dxf>
    <dxf>
      <fill>
        <patternFill>
          <bgColor rgb="FF0070C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theme="3" tint="0.79998168889431442"/>
        </patternFill>
      </fill>
    </dxf>
    <dxf>
      <fill>
        <patternFill>
          <bgColor rgb="FF0070C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s>
  <tableStyles count="0" defaultTableStyle="TableStyleMedium9" defaultPivotStyle="PivotStyleMedium4"/>
  <colors>
    <mruColors>
      <color rgb="FFFF3300"/>
      <color rgb="FFF67B00"/>
      <color rgb="FFFF66FF"/>
      <color rgb="FFFF0000"/>
      <color rgb="FFED720D"/>
      <color rgb="FFE67300"/>
      <color rgb="FFFF7D00"/>
      <color rgb="FFFA7D00"/>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'Resumen Desempeño Procesos POA '!$C$8</c:f>
              <c:strCache>
                <c:ptCount val="1"/>
                <c:pt idx="0">
                  <c:v>Desempeño Promedio 
Año 2021</c:v>
                </c:pt>
              </c:strCache>
            </c:strRef>
          </c:tx>
          <c:spPr>
            <a:solidFill>
              <a:srgbClr val="92D050"/>
            </a:solidFill>
            <a:ln>
              <a:noFill/>
            </a:ln>
            <a:effectLst/>
            <a:scene3d>
              <a:camera prst="orthographicFront"/>
              <a:lightRig rig="threePt" dir="t"/>
            </a:scene3d>
            <a:sp3d>
              <a:bevelT/>
            </a:sp3d>
          </c:spPr>
          <c:invertIfNegative val="0"/>
          <c:dPt>
            <c:idx val="1"/>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4"/>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gradFill flip="none" rotWithShape="1">
                <a:gsLst>
                  <a:gs pos="0">
                    <a:srgbClr val="FF0000"/>
                  </a:gs>
                  <a:gs pos="69000">
                    <a:schemeClr val="accent5">
                      <a:lumMod val="95000"/>
                      <a:lumOff val="5000"/>
                    </a:schemeClr>
                  </a:gs>
                  <a:gs pos="100000">
                    <a:schemeClr val="accent5">
                      <a:lumMod val="60000"/>
                    </a:schemeClr>
                  </a:gs>
                </a:gsLst>
                <a:lin ang="2700000" scaled="1"/>
                <a:tileRect/>
              </a:gra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gradFill>
                <a:gsLst>
                  <a:gs pos="0">
                    <a:srgbClr val="FF0000"/>
                  </a:gs>
                  <a:gs pos="69000">
                    <a:schemeClr val="accent5">
                      <a:lumMod val="95000"/>
                      <a:lumOff val="5000"/>
                    </a:schemeClr>
                  </a:gs>
                  <a:gs pos="100000">
                    <a:schemeClr val="accent5">
                      <a:lumMod val="60000"/>
                    </a:schemeClr>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spPr>
              <a:gradFill>
                <a:gsLst>
                  <a:gs pos="0">
                    <a:srgbClr val="92D050"/>
                  </a:gs>
                  <a:gs pos="69000">
                    <a:schemeClr val="accent5">
                      <a:lumMod val="95000"/>
                      <a:lumOff val="5000"/>
                    </a:schemeClr>
                  </a:gs>
                  <a:gs pos="100000">
                    <a:schemeClr val="accent5">
                      <a:lumMod val="60000"/>
                    </a:schemeClr>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05-F9CC-4A3E-9CFD-5EEDFFF7CEFD}"/>
              </c:ext>
            </c:extLst>
          </c:dPt>
          <c:dPt>
            <c:idx val="10"/>
            <c:invertIfNegative val="0"/>
            <c:bubble3D val="0"/>
            <c:spPr>
              <a:gradFill flip="none" rotWithShape="1">
                <a:gsLst>
                  <a:gs pos="0">
                    <a:srgbClr val="FFFF00"/>
                  </a:gs>
                  <a:gs pos="46000">
                    <a:schemeClr val="accent3">
                      <a:lumMod val="95000"/>
                      <a:lumOff val="5000"/>
                    </a:schemeClr>
                  </a:gs>
                  <a:gs pos="100000">
                    <a:schemeClr val="accent3">
                      <a:lumMod val="60000"/>
                    </a:schemeClr>
                  </a:gs>
                </a:gsLst>
                <a:lin ang="2700000" scaled="1"/>
                <a:tileRect/>
              </a:gra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FF3300"/>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4"/>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Desempeño Procesos POA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'Resumen Desempeño Procesos POA '!$C$9:$C$24</c:f>
              <c:numCache>
                <c:formatCode>0.0%</c:formatCode>
                <c:ptCount val="16"/>
                <c:pt idx="0">
                  <c:v>0.22663476874003191</c:v>
                </c:pt>
                <c:pt idx="1">
                  <c:v>0.1111111111111111</c:v>
                </c:pt>
                <c:pt idx="2">
                  <c:v>0.18095238095238095</c:v>
                </c:pt>
                <c:pt idx="3">
                  <c:v>0.25</c:v>
                </c:pt>
                <c:pt idx="4">
                  <c:v>0.31444444444444447</c:v>
                </c:pt>
                <c:pt idx="5">
                  <c:v>0.1806527385050877</c:v>
                </c:pt>
                <c:pt idx="6">
                  <c:v>0.29224489795918362</c:v>
                </c:pt>
                <c:pt idx="7">
                  <c:v>0.15256107026143792</c:v>
                </c:pt>
                <c:pt idx="8">
                  <c:v>0.25259589357398637</c:v>
                </c:pt>
                <c:pt idx="9">
                  <c:v>0.25336597938144328</c:v>
                </c:pt>
                <c:pt idx="10">
                  <c:v>0.21473684210526317</c:v>
                </c:pt>
                <c:pt idx="11">
                  <c:v>0.18095238095238095</c:v>
                </c:pt>
                <c:pt idx="12">
                  <c:v>0.25578947368421057</c:v>
                </c:pt>
                <c:pt idx="13">
                  <c:v>0.25</c:v>
                </c:pt>
                <c:pt idx="14">
                  <c:v>0.26555555555555554</c:v>
                </c:pt>
                <c:pt idx="15">
                  <c:v>0.17</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57453064268606E-2"/>
          <c:y val="0.19245553643144003"/>
          <c:w val="0.92037993201669466"/>
          <c:h val="0.70948563658458363"/>
        </c:manualLayout>
      </c:layout>
      <c:barChart>
        <c:barDir val="col"/>
        <c:grouping val="clustered"/>
        <c:varyColors val="0"/>
        <c:ser>
          <c:idx val="0"/>
          <c:order val="0"/>
          <c:tx>
            <c:strRef>
              <c:f>'Seguimiento Medición POA 2021'!$E$29</c:f>
              <c:strCache>
                <c:ptCount val="1"/>
              </c:strCache>
            </c:strRef>
          </c:tx>
          <c:spPr>
            <a:solidFill>
              <a:srgbClr val="92D050"/>
            </a:solidFill>
            <a:ln>
              <a:noFill/>
            </a:ln>
            <a:effectLst/>
            <a:scene3d>
              <a:camera prst="orthographicFront"/>
              <a:lightRig rig="threePt" dir="t"/>
            </a:scene3d>
            <a:sp3d>
              <a:bevelT/>
            </a:sp3d>
          </c:spPr>
          <c:invertIfNegative val="0"/>
          <c:dPt>
            <c:idx val="1"/>
            <c:invertIfNegative val="0"/>
            <c:bubble3D val="0"/>
            <c:spPr>
              <a:solidFill>
                <a:srgbClr val="0070C0"/>
              </a:solidFill>
              <a:ln>
                <a:noFill/>
              </a:ln>
              <a:effectLst/>
              <a:scene3d>
                <a:camera prst="orthographicFront"/>
                <a:lightRig rig="threePt" dir="t"/>
              </a:scene3d>
              <a:sp3d>
                <a:bevelT/>
              </a:sp3d>
            </c:spPr>
            <c:extLst>
              <c:ext xmlns:c16="http://schemas.microsoft.com/office/drawing/2014/chart" uri="{C3380CC4-5D6E-409C-BE32-E72D297353CC}">
                <c16:uniqueId val="{00000001-485D-407B-B60C-9F34A67CEA1A}"/>
              </c:ext>
            </c:extLst>
          </c:dPt>
          <c:dPt>
            <c:idx val="2"/>
            <c:invertIfNegative val="0"/>
            <c:bubble3D val="0"/>
            <c:spPr>
              <a:solidFill>
                <a:srgbClr val="FF3300"/>
              </a:solidFill>
              <a:ln>
                <a:noFill/>
              </a:ln>
              <a:effectLst/>
              <a:scene3d>
                <a:camera prst="orthographicFront"/>
                <a:lightRig rig="threePt" dir="t"/>
              </a:scene3d>
              <a:sp3d>
                <a:bevelT/>
              </a:sp3d>
            </c:spPr>
            <c:extLst>
              <c:ext xmlns:c16="http://schemas.microsoft.com/office/drawing/2014/chart" uri="{C3380CC4-5D6E-409C-BE32-E72D297353CC}">
                <c16:uniqueId val="{00000002-485D-407B-B60C-9F34A67CEA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Medición POA 2021'!$D$30:$D$32</c:f>
              <c:strCache>
                <c:ptCount val="3"/>
                <c:pt idx="0">
                  <c:v>No de Indicadores con Meta Cumplida según programación</c:v>
                </c:pt>
                <c:pt idx="1">
                  <c:v>No de Indicadores con ejecución superior a la programada </c:v>
                </c:pt>
                <c:pt idx="2">
                  <c:v>No de Indicadores con ejecución menor a la programada </c:v>
                </c:pt>
              </c:strCache>
            </c:strRef>
          </c:cat>
          <c:val>
            <c:numRef>
              <c:f>'Seguimiento Medición POA 2021'!$E$30:$E$32</c:f>
              <c:numCache>
                <c:formatCode>0</c:formatCode>
                <c:ptCount val="3"/>
                <c:pt idx="0">
                  <c:v>54</c:v>
                </c:pt>
                <c:pt idx="1">
                  <c:v>18</c:v>
                </c:pt>
                <c:pt idx="2">
                  <c:v>12</c:v>
                </c:pt>
              </c:numCache>
            </c:numRef>
          </c:val>
          <c:extLst>
            <c:ext xmlns:c16="http://schemas.microsoft.com/office/drawing/2014/chart" uri="{C3380CC4-5D6E-409C-BE32-E72D297353CC}">
              <c16:uniqueId val="{00000000-485D-407B-B60C-9F34A67CEA1A}"/>
            </c:ext>
          </c:extLst>
        </c:ser>
        <c:dLbls>
          <c:showLegendKey val="0"/>
          <c:showVal val="0"/>
          <c:showCatName val="0"/>
          <c:showSerName val="0"/>
          <c:showPercent val="0"/>
          <c:showBubbleSize val="0"/>
        </c:dLbls>
        <c:gapWidth val="219"/>
        <c:overlap val="-27"/>
        <c:axId val="1489679023"/>
        <c:axId val="1476758527"/>
      </c:barChart>
      <c:catAx>
        <c:axId val="148967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76758527"/>
        <c:crosses val="autoZero"/>
        <c:auto val="1"/>
        <c:lblAlgn val="ctr"/>
        <c:lblOffset val="100"/>
        <c:noMultiLvlLbl val="0"/>
      </c:catAx>
      <c:valAx>
        <c:axId val="14767585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9679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852C26E-39BD-40B3-B13F-5A1375D8B7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694218D4-D837-4D3C-B844-241EAED00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96</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502920</xdr:colOff>
      <xdr:row>5</xdr:row>
      <xdr:rowOff>190500</xdr:rowOff>
    </xdr:from>
    <xdr:to>
      <xdr:col>15</xdr:col>
      <xdr:colOff>586740</xdr:colOff>
      <xdr:row>25</xdr:row>
      <xdr:rowOff>22860</xdr:rowOff>
    </xdr:to>
    <xdr:grpSp>
      <xdr:nvGrpSpPr>
        <xdr:cNvPr id="2" name="Grupo 1">
          <a:extLst>
            <a:ext uri="{FF2B5EF4-FFF2-40B4-BE49-F238E27FC236}">
              <a16:creationId xmlns:a16="http://schemas.microsoft.com/office/drawing/2014/main" id="{78C0C837-61A1-438B-B532-4E5575D7C94C}"/>
            </a:ext>
          </a:extLst>
        </xdr:cNvPr>
        <xdr:cNvGrpSpPr/>
      </xdr:nvGrpSpPr>
      <xdr:grpSpPr>
        <a:xfrm>
          <a:off x="10803367" y="1167653"/>
          <a:ext cx="5606079" cy="4386431"/>
          <a:chOff x="10803367" y="1167653"/>
          <a:chExt cx="5606079" cy="4386431"/>
        </a:xfrm>
      </xdr:grpSpPr>
      <xdr:graphicFrame macro="">
        <xdr:nvGraphicFramePr>
          <xdr:cNvPr id="3" name="Gráfico 2">
            <a:extLst>
              <a:ext uri="{FF2B5EF4-FFF2-40B4-BE49-F238E27FC236}">
                <a16:creationId xmlns:a16="http://schemas.microsoft.com/office/drawing/2014/main" id="{2684F43B-FAE2-4EC4-B56A-AE4BA6DCAFB6}"/>
              </a:ext>
            </a:extLst>
          </xdr:cNvPr>
          <xdr:cNvGraphicFramePr/>
        </xdr:nvGraphicFramePr>
        <xdr:xfrm>
          <a:off x="10803367" y="1167653"/>
          <a:ext cx="5606079" cy="438643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uadroTexto 3">
            <a:extLst>
              <a:ext uri="{FF2B5EF4-FFF2-40B4-BE49-F238E27FC236}">
                <a16:creationId xmlns:a16="http://schemas.microsoft.com/office/drawing/2014/main" id="{3290464B-D308-4247-A6E0-1E28BB470139}"/>
              </a:ext>
            </a:extLst>
          </xdr:cNvPr>
          <xdr:cNvSpPr txBox="1"/>
        </xdr:nvSpPr>
        <xdr:spPr>
          <a:xfrm>
            <a:off x="12564035" y="1447800"/>
            <a:ext cx="2374303" cy="4935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s-CO" sz="1100" b="1"/>
              <a:t>CUMPLIMIENTO PROGRAMACIÓN</a:t>
            </a:r>
          </a:p>
          <a:p>
            <a:pPr algn="ctr"/>
            <a:r>
              <a:rPr lang="es-CO" sz="1100" b="1"/>
              <a:t> EN EL PERIODO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36</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96</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yis/0-PlanEstrategica/PEI-POA2021/POA%202021/Promoci&#243;n%20Defensa%20Derechos/01-FR-03%20Plan%20Operativo%20Anu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yis/0-PlanEstrategica/PEI-POA2021/POA%202021/G%20Administrativa/01-FR-03%20Plan%20Operativo%20Anual%20-%20GESTI&#211;N%20ADMINISTRATIVA-RevDLC28012020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row r="9">
          <cell r="C9" t="str">
            <v>Desempeño 
Promedio 
Año 2020</v>
          </cell>
        </row>
      </sheetData>
      <sheetData sheetId="4"/>
      <sheetData sheetId="5">
        <row r="6">
          <cell r="C6" t="str">
            <v>Fecha de corte: 31 de diciembre de 2020</v>
          </cell>
        </row>
      </sheetData>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cell r="C13" t="str">
            <v>1.1. Realizar 884.816 acciones que promuevan la defensa, garantía y restablecimiento de los derechos de las personas en el Distrito Capital.</v>
          </cell>
        </row>
        <row r="24">
          <cell r="C24" t="str">
            <v>1.2. Realizar 232.288 acciones que propendan por la efectiva defensa y garantía de los derechos de los sujetos de especial protección constitucional, con énfasis en las personas mayores, mujeres y la población migrante en el Distrito Capital.</v>
          </cell>
        </row>
        <row r="30">
          <cell r="C30" t="str">
            <v>1.3. Construir e Implementar 36 estrategias que permitan incrementar la oferta y cobertura de los servicios prestados por la Entidad.</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zoomScale="70" zoomScaleNormal="70" workbookViewId="0">
      <selection activeCell="A5" sqref="A5:F24"/>
    </sheetView>
  </sheetViews>
  <sheetFormatPr baseColWidth="10" defaultColWidth="12.5546875" defaultRowHeight="13.2"/>
  <cols>
    <col min="1" max="1" width="4.33203125" style="94" customWidth="1"/>
    <col min="2" max="2" width="13.6640625" style="94" customWidth="1"/>
    <col min="3" max="3" width="16.44140625" style="94" customWidth="1"/>
    <col min="4" max="4" width="52.44140625" style="94" customWidth="1"/>
    <col min="5" max="5" width="16.44140625" style="94" customWidth="1"/>
    <col min="6" max="6" width="13.6640625" style="94" customWidth="1"/>
    <col min="7" max="16384" width="12.5546875" style="94"/>
  </cols>
  <sheetData>
    <row r="1" spans="1:6" ht="19.5" customHeight="1">
      <c r="A1" s="718"/>
      <c r="B1" s="719"/>
      <c r="C1" s="719"/>
      <c r="D1" s="722" t="s">
        <v>670</v>
      </c>
      <c r="E1" s="724" t="s">
        <v>671</v>
      </c>
      <c r="F1" s="725"/>
    </row>
    <row r="2" spans="1:6" ht="23.25" customHeight="1">
      <c r="A2" s="720"/>
      <c r="B2" s="721"/>
      <c r="C2" s="721"/>
      <c r="D2" s="723"/>
      <c r="E2" s="95" t="s">
        <v>686</v>
      </c>
      <c r="F2" s="96" t="s">
        <v>672</v>
      </c>
    </row>
    <row r="3" spans="1:6" ht="30" customHeight="1">
      <c r="A3" s="720"/>
      <c r="B3" s="721"/>
      <c r="C3" s="721"/>
      <c r="D3" s="723"/>
      <c r="E3" s="726" t="s">
        <v>673</v>
      </c>
      <c r="F3" s="727"/>
    </row>
    <row r="4" spans="1:6" ht="9" customHeight="1">
      <c r="A4" s="97"/>
      <c r="B4" s="98"/>
      <c r="C4" s="98"/>
      <c r="D4" s="98"/>
      <c r="E4" s="98"/>
      <c r="F4" s="99"/>
    </row>
    <row r="5" spans="1:6" ht="17.850000000000001" customHeight="1">
      <c r="A5" s="100"/>
      <c r="B5" s="101"/>
      <c r="C5" s="101"/>
      <c r="D5" s="101"/>
      <c r="E5" s="101"/>
      <c r="F5" s="102"/>
    </row>
    <row r="6" spans="1:6" ht="30" customHeight="1">
      <c r="A6" s="103"/>
      <c r="B6" s="731" t="s">
        <v>674</v>
      </c>
      <c r="C6" s="731"/>
      <c r="D6" s="731"/>
      <c r="E6" s="731"/>
      <c r="F6" s="104"/>
    </row>
    <row r="7" spans="1:6" ht="19.5" customHeight="1">
      <c r="A7" s="103"/>
      <c r="B7" s="69" t="s">
        <v>675</v>
      </c>
      <c r="C7" s="69" t="s">
        <v>676</v>
      </c>
      <c r="D7" s="723" t="s">
        <v>677</v>
      </c>
      <c r="E7" s="723"/>
      <c r="F7" s="105"/>
    </row>
    <row r="8" spans="1:6" ht="15">
      <c r="A8" s="106"/>
      <c r="B8" s="68">
        <v>1</v>
      </c>
      <c r="C8" s="107">
        <v>44226</v>
      </c>
      <c r="D8" s="732" t="s">
        <v>678</v>
      </c>
      <c r="E8" s="732"/>
      <c r="F8" s="99"/>
    </row>
    <row r="9" spans="1:6">
      <c r="A9" s="97"/>
      <c r="B9" s="98"/>
      <c r="C9" s="98"/>
      <c r="D9" s="98"/>
      <c r="E9" s="98"/>
      <c r="F9" s="99"/>
    </row>
    <row r="10" spans="1:6" ht="19.5" customHeight="1">
      <c r="A10" s="108"/>
      <c r="B10" s="109"/>
      <c r="C10" s="109"/>
      <c r="D10" s="109"/>
      <c r="E10" s="110"/>
      <c r="F10" s="111"/>
    </row>
    <row r="11" spans="1:6" ht="19.5" customHeight="1">
      <c r="A11" s="97"/>
      <c r="B11" s="98"/>
      <c r="C11" s="98"/>
      <c r="D11" s="98"/>
      <c r="E11" s="112"/>
      <c r="F11" s="113"/>
    </row>
    <row r="12" spans="1:6" ht="19.5" customHeight="1">
      <c r="A12" s="114"/>
      <c r="B12" s="109"/>
      <c r="C12" s="98"/>
      <c r="D12" s="98"/>
      <c r="E12" s="98"/>
      <c r="F12" s="99"/>
    </row>
    <row r="13" spans="1:6" ht="19.5" customHeight="1">
      <c r="A13" s="114"/>
      <c r="B13" s="109"/>
      <c r="C13" s="115"/>
      <c r="D13" s="109"/>
      <c r="E13" s="109"/>
      <c r="F13" s="111"/>
    </row>
    <row r="14" spans="1:6" ht="19.5" customHeight="1">
      <c r="A14" s="116"/>
      <c r="B14" s="110"/>
      <c r="C14" s="110"/>
      <c r="D14" s="110"/>
      <c r="E14" s="110"/>
      <c r="F14" s="117"/>
    </row>
    <row r="15" spans="1:6" ht="16.350000000000001" customHeight="1">
      <c r="A15" s="116"/>
      <c r="B15" s="110"/>
      <c r="C15" s="110"/>
      <c r="D15" s="110"/>
      <c r="E15" s="109"/>
      <c r="F15" s="111"/>
    </row>
    <row r="16" spans="1:6" ht="16.350000000000001" customHeight="1">
      <c r="A16" s="114"/>
      <c r="B16" s="109"/>
      <c r="C16" s="115"/>
      <c r="D16" s="115"/>
      <c r="E16" s="115"/>
      <c r="F16" s="118"/>
    </row>
    <row r="17" spans="1:6" ht="16.350000000000001" customHeight="1">
      <c r="A17" s="114"/>
      <c r="B17" s="109"/>
      <c r="C17" s="115"/>
      <c r="D17" s="115"/>
      <c r="E17" s="115"/>
      <c r="F17" s="118"/>
    </row>
    <row r="18" spans="1:6" ht="16.350000000000001" customHeight="1">
      <c r="A18" s="119"/>
      <c r="B18" s="120"/>
      <c r="C18" s="120"/>
      <c r="D18" s="120"/>
      <c r="E18" s="115"/>
      <c r="F18" s="118"/>
    </row>
    <row r="19" spans="1:6" ht="16.350000000000001" customHeight="1">
      <c r="A19" s="121"/>
      <c r="B19" s="115"/>
      <c r="C19" s="115"/>
      <c r="D19" s="115"/>
      <c r="E19" s="115"/>
      <c r="F19" s="118"/>
    </row>
    <row r="20" spans="1:6" ht="16.350000000000001" customHeight="1">
      <c r="A20" s="116"/>
      <c r="B20" s="110"/>
      <c r="C20" s="110"/>
      <c r="D20" s="109"/>
      <c r="E20" s="109"/>
      <c r="F20" s="111"/>
    </row>
    <row r="21" spans="1:6" ht="16.350000000000001" customHeight="1">
      <c r="A21" s="116"/>
      <c r="B21" s="110"/>
      <c r="C21" s="110"/>
      <c r="D21" s="109"/>
      <c r="E21" s="109"/>
      <c r="F21" s="111"/>
    </row>
    <row r="22" spans="1:6" ht="16.350000000000001" customHeight="1">
      <c r="A22" s="121"/>
      <c r="B22" s="115"/>
      <c r="C22" s="115"/>
      <c r="D22" s="115"/>
      <c r="E22" s="115"/>
      <c r="F22" s="118"/>
    </row>
    <row r="23" spans="1:6" ht="16.350000000000001" customHeight="1">
      <c r="A23" s="121"/>
      <c r="B23" s="115"/>
      <c r="C23" s="115"/>
      <c r="D23" s="115"/>
      <c r="E23" s="115"/>
      <c r="F23" s="118"/>
    </row>
    <row r="24" spans="1:6" ht="16.350000000000001" customHeight="1">
      <c r="A24" s="121"/>
      <c r="B24" s="115"/>
      <c r="C24" s="115"/>
      <c r="D24" s="115"/>
      <c r="E24" s="115"/>
      <c r="F24" s="118"/>
    </row>
    <row r="25" spans="1:6" ht="25.5" customHeight="1">
      <c r="A25" s="740" t="s">
        <v>680</v>
      </c>
      <c r="B25" s="741"/>
      <c r="C25" s="742"/>
      <c r="D25" s="122" t="s">
        <v>681</v>
      </c>
      <c r="E25" s="738" t="s">
        <v>682</v>
      </c>
      <c r="F25" s="739"/>
    </row>
    <row r="26" spans="1:6" ht="65.25" customHeight="1">
      <c r="A26" s="735" t="s">
        <v>679</v>
      </c>
      <c r="B26" s="736"/>
      <c r="C26" s="737"/>
      <c r="D26" s="123" t="s">
        <v>683</v>
      </c>
      <c r="E26" s="733" t="s">
        <v>684</v>
      </c>
      <c r="F26" s="734"/>
    </row>
    <row r="27" spans="1:6" ht="21" customHeight="1">
      <c r="A27" s="121"/>
      <c r="B27" s="115"/>
      <c r="C27" s="115"/>
      <c r="D27" s="115"/>
      <c r="E27" s="115"/>
      <c r="F27" s="118"/>
    </row>
    <row r="28" spans="1:6" ht="39.75" customHeight="1">
      <c r="A28" s="728" t="s">
        <v>669</v>
      </c>
      <c r="B28" s="729"/>
      <c r="C28" s="729"/>
      <c r="D28" s="729"/>
      <c r="E28" s="729"/>
      <c r="F28" s="730"/>
    </row>
    <row r="29" spans="1:6" ht="17.25" customHeight="1" thickBot="1">
      <c r="A29" s="124"/>
      <c r="B29" s="125"/>
      <c r="C29" s="125"/>
      <c r="D29" s="125"/>
      <c r="E29" s="125"/>
      <c r="F29" s="126"/>
    </row>
    <row r="30" spans="1:6" ht="27" customHeight="1"/>
    <row r="31" spans="1:6" ht="15.6" customHeight="1">
      <c r="A31" s="127"/>
      <c r="B31" s="127"/>
      <c r="C31" s="127"/>
      <c r="D31" s="127"/>
      <c r="E31" s="127"/>
      <c r="F31" s="127"/>
    </row>
    <row r="32" spans="1:6" ht="13.5" customHeight="1">
      <c r="A32" s="128"/>
      <c r="B32" s="98"/>
      <c r="C32" s="98"/>
      <c r="D32" s="98"/>
      <c r="E32" s="98"/>
      <c r="F32" s="98"/>
    </row>
    <row r="33" spans="1:6" ht="18" customHeight="1">
      <c r="A33" s="98"/>
      <c r="B33" s="129"/>
      <c r="C33" s="98"/>
      <c r="D33" s="98"/>
      <c r="E33" s="98"/>
      <c r="F33" s="98"/>
    </row>
    <row r="34" spans="1:6" ht="13.5" customHeight="1">
      <c r="A34" s="127"/>
      <c r="B34" s="127"/>
      <c r="C34" s="127"/>
      <c r="D34" s="127"/>
      <c r="E34" s="115"/>
      <c r="F34" s="115"/>
    </row>
    <row r="35" spans="1:6" ht="15.6" customHeight="1">
      <c r="A35" s="127"/>
      <c r="B35" s="127"/>
      <c r="C35" s="127"/>
      <c r="D35" s="127"/>
      <c r="E35" s="127"/>
      <c r="F35" s="127"/>
    </row>
    <row r="36" spans="1:6" ht="15.6" customHeight="1">
      <c r="A36" s="127"/>
      <c r="B36" s="127"/>
      <c r="C36" s="127"/>
      <c r="D36" s="127"/>
      <c r="E36" s="127"/>
      <c r="F36" s="127"/>
    </row>
    <row r="37" spans="1:6" ht="11.1" customHeight="1">
      <c r="A37" s="98"/>
      <c r="B37" s="98"/>
      <c r="C37" s="98"/>
      <c r="D37" s="98"/>
      <c r="E37" s="98"/>
      <c r="F37" s="98"/>
    </row>
    <row r="38" spans="1:6" ht="11.25" customHeight="1">
      <c r="A38" s="130"/>
      <c r="B38" s="130"/>
      <c r="C38" s="130"/>
      <c r="D38" s="130"/>
      <c r="E38" s="130"/>
      <c r="F38" s="130"/>
    </row>
    <row r="39" spans="1:6" ht="7.5" customHeight="1">
      <c r="A39" s="98"/>
      <c r="B39" s="98"/>
      <c r="C39" s="98"/>
      <c r="D39" s="98"/>
      <c r="E39" s="98"/>
      <c r="F39" s="98"/>
    </row>
    <row r="40" spans="1:6" ht="16.5" customHeight="1">
      <c r="A40" s="109"/>
      <c r="B40" s="109"/>
      <c r="C40" s="109"/>
      <c r="D40" s="109"/>
      <c r="E40" s="109"/>
      <c r="F40" s="109"/>
    </row>
    <row r="41" spans="1:6" ht="24.75" customHeight="1"/>
  </sheetData>
  <sheetProtection algorithmName="SHA-512" hashValue="HnpwiZL4/jUyJvdUXy2xiUl6FfGtZvGC0kZvb8riYQdz++EhMINU7DQYd8KJWMd9oN1Xb7RH4ODIe4rfvxkvJA==" saltValue="vSA+imkFjgzOmKzzWbvb3Q==" spinCount="100000" sheet="1" objects="1" scenarios="1" selectLockedCells="1"/>
  <mergeCells count="12">
    <mergeCell ref="A1:C3"/>
    <mergeCell ref="D1:D3"/>
    <mergeCell ref="E1:F1"/>
    <mergeCell ref="E3:F3"/>
    <mergeCell ref="A28:F28"/>
    <mergeCell ref="B6:E6"/>
    <mergeCell ref="D7:E7"/>
    <mergeCell ref="D8:E8"/>
    <mergeCell ref="E26:F26"/>
    <mergeCell ref="A26:C26"/>
    <mergeCell ref="E25:F25"/>
    <mergeCell ref="A25:C25"/>
  </mergeCells>
  <pageMargins left="0.7" right="0.7" top="0.75" bottom="0.75" header="0.3" footer="0.3"/>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94" customWidth="1"/>
    <col min="2" max="2" width="13.6640625" style="94" customWidth="1"/>
    <col min="3" max="3" width="16.44140625" style="94" customWidth="1"/>
    <col min="4" max="4" width="52.44140625" style="94" customWidth="1"/>
    <col min="5" max="5" width="16.44140625" style="94" customWidth="1"/>
    <col min="6" max="6" width="13.6640625" style="94" customWidth="1"/>
    <col min="7" max="16384" width="12.5546875" style="94"/>
  </cols>
  <sheetData>
    <row r="1" spans="1:6" ht="19.5" customHeight="1">
      <c r="A1" s="718"/>
      <c r="B1" s="719"/>
      <c r="C1" s="719"/>
      <c r="D1" s="722" t="s">
        <v>670</v>
      </c>
      <c r="E1" s="724" t="s">
        <v>671</v>
      </c>
      <c r="F1" s="725"/>
    </row>
    <row r="2" spans="1:6" ht="23.25" customHeight="1">
      <c r="A2" s="720"/>
      <c r="B2" s="721"/>
      <c r="C2" s="721"/>
      <c r="D2" s="723"/>
      <c r="E2" s="95" t="s">
        <v>686</v>
      </c>
      <c r="F2" s="96" t="s">
        <v>685</v>
      </c>
    </row>
    <row r="3" spans="1:6" ht="28.5" customHeight="1">
      <c r="A3" s="720"/>
      <c r="B3" s="721"/>
      <c r="C3" s="721"/>
      <c r="D3" s="723"/>
      <c r="E3" s="726" t="s">
        <v>673</v>
      </c>
      <c r="F3" s="727"/>
    </row>
    <row r="4" spans="1:6" ht="9" customHeight="1">
      <c r="A4" s="97"/>
      <c r="B4" s="98"/>
      <c r="C4" s="98"/>
      <c r="D4" s="98"/>
      <c r="E4" s="98"/>
      <c r="F4" s="99"/>
    </row>
    <row r="5" spans="1:6" ht="17.850000000000001" customHeight="1">
      <c r="A5" s="754" t="s">
        <v>687</v>
      </c>
      <c r="B5" s="755"/>
      <c r="C5" s="755"/>
      <c r="D5" s="755"/>
      <c r="E5" s="755"/>
      <c r="F5" s="756"/>
    </row>
    <row r="6" spans="1:6" ht="30" customHeight="1">
      <c r="A6" s="757"/>
      <c r="B6" s="755"/>
      <c r="C6" s="755"/>
      <c r="D6" s="755"/>
      <c r="E6" s="755"/>
      <c r="F6" s="756"/>
    </row>
    <row r="7" spans="1:6" ht="19.5" customHeight="1">
      <c r="A7" s="757"/>
      <c r="B7" s="755"/>
      <c r="C7" s="755"/>
      <c r="D7" s="755"/>
      <c r="E7" s="755"/>
      <c r="F7" s="756"/>
    </row>
    <row r="8" spans="1:6" ht="15" customHeight="1">
      <c r="A8" s="757"/>
      <c r="B8" s="755"/>
      <c r="C8" s="755"/>
      <c r="D8" s="755"/>
      <c r="E8" s="755"/>
      <c r="F8" s="756"/>
    </row>
    <row r="9" spans="1:6">
      <c r="A9" s="757"/>
      <c r="B9" s="755"/>
      <c r="C9" s="755"/>
      <c r="D9" s="755"/>
      <c r="E9" s="755"/>
      <c r="F9" s="756"/>
    </row>
    <row r="10" spans="1:6" ht="19.5" customHeight="1">
      <c r="A10" s="757"/>
      <c r="B10" s="755"/>
      <c r="C10" s="755"/>
      <c r="D10" s="755"/>
      <c r="E10" s="755"/>
      <c r="F10" s="756"/>
    </row>
    <row r="11" spans="1:6" ht="19.5" customHeight="1">
      <c r="A11" s="757"/>
      <c r="B11" s="755"/>
      <c r="C11" s="755"/>
      <c r="D11" s="755"/>
      <c r="E11" s="755"/>
      <c r="F11" s="756"/>
    </row>
    <row r="12" spans="1:6" ht="19.5" customHeight="1">
      <c r="A12" s="757"/>
      <c r="B12" s="755"/>
      <c r="C12" s="755"/>
      <c r="D12" s="755"/>
      <c r="E12" s="755"/>
      <c r="F12" s="756"/>
    </row>
    <row r="13" spans="1:6" ht="19.5" customHeight="1">
      <c r="A13" s="757"/>
      <c r="B13" s="755"/>
      <c r="C13" s="755"/>
      <c r="D13" s="755"/>
      <c r="E13" s="755"/>
      <c r="F13" s="756"/>
    </row>
    <row r="14" spans="1:6" ht="19.5" customHeight="1">
      <c r="A14" s="757"/>
      <c r="B14" s="755"/>
      <c r="C14" s="755"/>
      <c r="D14" s="755"/>
      <c r="E14" s="755"/>
      <c r="F14" s="756"/>
    </row>
    <row r="15" spans="1:6" ht="16.350000000000001" customHeight="1">
      <c r="A15" s="757"/>
      <c r="B15" s="755"/>
      <c r="C15" s="755"/>
      <c r="D15" s="755"/>
      <c r="E15" s="755"/>
      <c r="F15" s="756"/>
    </row>
    <row r="16" spans="1:6" ht="16.350000000000001" customHeight="1">
      <c r="A16" s="757"/>
      <c r="B16" s="755"/>
      <c r="C16" s="755"/>
      <c r="D16" s="755"/>
      <c r="E16" s="755"/>
      <c r="F16" s="756"/>
    </row>
    <row r="17" spans="1:6" ht="16.350000000000001" customHeight="1">
      <c r="A17" s="757"/>
      <c r="B17" s="755"/>
      <c r="C17" s="755"/>
      <c r="D17" s="755"/>
      <c r="E17" s="755"/>
      <c r="F17" s="756"/>
    </row>
    <row r="18" spans="1:6" ht="16.350000000000001" customHeight="1">
      <c r="A18" s="757"/>
      <c r="B18" s="755"/>
      <c r="C18" s="755"/>
      <c r="D18" s="755"/>
      <c r="E18" s="755"/>
      <c r="F18" s="756"/>
    </row>
    <row r="19" spans="1:6" ht="16.350000000000001" customHeight="1">
      <c r="A19" s="757"/>
      <c r="B19" s="755"/>
      <c r="C19" s="755"/>
      <c r="D19" s="755"/>
      <c r="E19" s="755"/>
      <c r="F19" s="756"/>
    </row>
    <row r="20" spans="1:6" ht="16.350000000000001" customHeight="1">
      <c r="A20" s="757"/>
      <c r="B20" s="755"/>
      <c r="C20" s="755"/>
      <c r="D20" s="755"/>
      <c r="E20" s="755"/>
      <c r="F20" s="756"/>
    </row>
    <row r="21" spans="1:6" ht="16.350000000000001" customHeight="1">
      <c r="A21" s="757"/>
      <c r="B21" s="755"/>
      <c r="C21" s="755"/>
      <c r="D21" s="755"/>
      <c r="E21" s="755"/>
      <c r="F21" s="756"/>
    </row>
    <row r="22" spans="1:6" ht="16.350000000000001" customHeight="1">
      <c r="A22" s="757"/>
      <c r="B22" s="755"/>
      <c r="C22" s="755"/>
      <c r="D22" s="755"/>
      <c r="E22" s="755"/>
      <c r="F22" s="756"/>
    </row>
    <row r="23" spans="1:6" ht="16.350000000000001" customHeight="1">
      <c r="A23" s="757"/>
      <c r="B23" s="755"/>
      <c r="C23" s="755"/>
      <c r="D23" s="755"/>
      <c r="E23" s="755"/>
      <c r="F23" s="756"/>
    </row>
    <row r="24" spans="1:6" ht="16.350000000000001" customHeight="1">
      <c r="A24" s="757"/>
      <c r="B24" s="755"/>
      <c r="C24" s="755"/>
      <c r="D24" s="755"/>
      <c r="E24" s="755"/>
      <c r="F24" s="756"/>
    </row>
    <row r="25" spans="1:6" ht="25.5" customHeight="1">
      <c r="A25" s="743"/>
      <c r="B25" s="744"/>
      <c r="C25" s="744"/>
      <c r="D25" s="131"/>
      <c r="E25" s="745"/>
      <c r="F25" s="746"/>
    </row>
    <row r="26" spans="1:6" ht="65.25" customHeight="1">
      <c r="A26" s="747"/>
      <c r="B26" s="748"/>
      <c r="C26" s="748"/>
      <c r="D26" s="132"/>
      <c r="E26" s="749"/>
      <c r="F26" s="750"/>
    </row>
    <row r="27" spans="1:6" ht="21" customHeight="1">
      <c r="A27" s="121"/>
      <c r="B27" s="115"/>
      <c r="C27" s="115"/>
      <c r="D27" s="115"/>
      <c r="E27" s="115"/>
      <c r="F27" s="118"/>
    </row>
    <row r="28" spans="1:6" ht="39.75" customHeight="1" thickBot="1">
      <c r="A28" s="751" t="s">
        <v>669</v>
      </c>
      <c r="B28" s="752"/>
      <c r="C28" s="752"/>
      <c r="D28" s="752"/>
      <c r="E28" s="752"/>
      <c r="F28" s="753"/>
    </row>
    <row r="29" spans="1:6" ht="27" customHeight="1"/>
    <row r="30" spans="1:6" ht="15.6" customHeight="1">
      <c r="A30" s="127"/>
      <c r="B30" s="127"/>
      <c r="C30" s="127"/>
      <c r="D30" s="127"/>
      <c r="E30" s="127"/>
      <c r="F30" s="127"/>
    </row>
    <row r="31" spans="1:6" ht="13.5" customHeight="1">
      <c r="A31" s="128"/>
      <c r="B31" s="98"/>
      <c r="C31" s="98"/>
      <c r="D31" s="98"/>
      <c r="E31" s="98"/>
      <c r="F31" s="98"/>
    </row>
    <row r="32" spans="1:6" ht="18" customHeight="1">
      <c r="A32" s="98"/>
      <c r="B32" s="129"/>
      <c r="C32" s="98"/>
      <c r="D32" s="98"/>
      <c r="E32" s="98"/>
      <c r="F32" s="98"/>
    </row>
    <row r="33" spans="1:6" ht="13.5" customHeight="1">
      <c r="A33" s="127"/>
      <c r="B33" s="127"/>
      <c r="C33" s="127"/>
      <c r="D33" s="127"/>
      <c r="E33" s="115"/>
      <c r="F33" s="115"/>
    </row>
    <row r="34" spans="1:6" ht="15.6" customHeight="1">
      <c r="A34" s="127"/>
      <c r="B34" s="127"/>
      <c r="C34" s="127"/>
      <c r="D34" s="127"/>
      <c r="E34" s="127"/>
      <c r="F34" s="127"/>
    </row>
    <row r="35" spans="1:6" ht="15.6" customHeight="1">
      <c r="A35" s="127"/>
      <c r="B35" s="127"/>
      <c r="C35" s="127"/>
      <c r="D35" s="127"/>
      <c r="E35" s="127"/>
      <c r="F35" s="127"/>
    </row>
    <row r="36" spans="1:6" ht="11.1" customHeight="1">
      <c r="A36" s="98"/>
      <c r="B36" s="98"/>
      <c r="C36" s="98"/>
      <c r="D36" s="98"/>
      <c r="E36" s="98"/>
      <c r="F36" s="98"/>
    </row>
    <row r="37" spans="1:6" ht="11.25" customHeight="1">
      <c r="A37" s="130"/>
      <c r="B37" s="130"/>
      <c r="C37" s="130"/>
      <c r="D37" s="130"/>
      <c r="E37" s="130"/>
      <c r="F37" s="130"/>
    </row>
    <row r="38" spans="1:6" ht="7.5" customHeight="1">
      <c r="A38" s="98"/>
      <c r="B38" s="98"/>
      <c r="C38" s="98"/>
      <c r="D38" s="98"/>
      <c r="E38" s="98"/>
      <c r="F38" s="98"/>
    </row>
    <row r="39" spans="1:6" ht="16.5" customHeight="1">
      <c r="A39" s="109"/>
      <c r="B39" s="109"/>
      <c r="C39" s="109"/>
      <c r="D39" s="109"/>
      <c r="E39" s="109"/>
      <c r="F39" s="109"/>
    </row>
    <row r="40" spans="1:6" ht="24.75" customHeight="1"/>
  </sheetData>
  <sheetProtection algorithmName="SHA-512" hashValue="AYp2KlviZevMuqLounInK503CjqlPnVfYWkoEWQCVsxbPCi+AwnAy8t11gHgpoT4J00qOTTIMXXXgp4XGm3DDw==" saltValue="Op/GkY2J2ad9xFrpW+/POg==" spinCount="100000" sheet="1" objects="1" scenarios="1" selectLockedCells="1"/>
  <mergeCells count="10">
    <mergeCell ref="A5:F24"/>
    <mergeCell ref="A1:C3"/>
    <mergeCell ref="D1:D3"/>
    <mergeCell ref="E1:F1"/>
    <mergeCell ref="E3:F3"/>
    <mergeCell ref="A25:C25"/>
    <mergeCell ref="E25:F25"/>
    <mergeCell ref="A26:C26"/>
    <mergeCell ref="E26:F26"/>
    <mergeCell ref="A28:F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543" t="s">
        <v>815</v>
      </c>
      <c r="B1" s="543" t="s">
        <v>816</v>
      </c>
      <c r="C1" s="543" t="s">
        <v>817</v>
      </c>
      <c r="D1" s="543" t="s">
        <v>818</v>
      </c>
      <c r="E1" s="543" t="s">
        <v>819</v>
      </c>
      <c r="F1" s="543" t="s">
        <v>820</v>
      </c>
      <c r="G1" s="544" t="s">
        <v>821</v>
      </c>
    </row>
    <row r="2" spans="1:7">
      <c r="A2" s="545" t="s">
        <v>789</v>
      </c>
      <c r="B2" s="545" t="s">
        <v>822</v>
      </c>
      <c r="C2" s="546" t="s">
        <v>823</v>
      </c>
      <c r="D2" s="547" t="s">
        <v>824</v>
      </c>
      <c r="E2" s="547" t="s">
        <v>825</v>
      </c>
      <c r="F2" s="547" t="s">
        <v>826</v>
      </c>
      <c r="G2" s="548" t="s">
        <v>795</v>
      </c>
    </row>
    <row r="3" spans="1:7">
      <c r="A3" s="545" t="s">
        <v>791</v>
      </c>
      <c r="B3" s="545" t="s">
        <v>822</v>
      </c>
      <c r="C3" s="546" t="s">
        <v>827</v>
      </c>
      <c r="D3" s="547" t="s">
        <v>828</v>
      </c>
      <c r="E3" s="547" t="s">
        <v>829</v>
      </c>
      <c r="F3" s="547" t="s">
        <v>830</v>
      </c>
      <c r="G3" s="548" t="s">
        <v>790</v>
      </c>
    </row>
    <row r="4" spans="1:7" ht="14.4">
      <c r="A4" s="545" t="s">
        <v>792</v>
      </c>
      <c r="B4" s="545" t="s">
        <v>822</v>
      </c>
      <c r="C4" s="546" t="s">
        <v>831</v>
      </c>
      <c r="D4" s="547" t="s">
        <v>832</v>
      </c>
      <c r="E4" s="547" t="s">
        <v>833</v>
      </c>
      <c r="F4" s="549"/>
      <c r="G4" s="550" t="s">
        <v>807</v>
      </c>
    </row>
    <row r="5" spans="1:7" ht="14.4">
      <c r="A5" s="545" t="s">
        <v>793</v>
      </c>
      <c r="B5" s="545" t="s">
        <v>822</v>
      </c>
      <c r="C5" s="545" t="s">
        <v>834</v>
      </c>
      <c r="D5" s="549"/>
      <c r="E5" s="549"/>
      <c r="F5" s="549"/>
      <c r="G5" s="550" t="s">
        <v>835</v>
      </c>
    </row>
    <row r="6" spans="1:7" ht="14.4">
      <c r="A6" s="545" t="s">
        <v>794</v>
      </c>
      <c r="B6" s="545" t="s">
        <v>836</v>
      </c>
      <c r="C6" s="546" t="s">
        <v>837</v>
      </c>
      <c r="D6" s="549"/>
      <c r="E6" s="549"/>
      <c r="F6" s="549"/>
      <c r="G6" s="550" t="s">
        <v>838</v>
      </c>
    </row>
    <row r="7" spans="1:7" ht="14.4">
      <c r="A7" s="545" t="s">
        <v>796</v>
      </c>
      <c r="B7" s="545" t="s">
        <v>836</v>
      </c>
      <c r="C7" s="546" t="s">
        <v>839</v>
      </c>
      <c r="D7" s="549"/>
      <c r="E7" s="549"/>
      <c r="F7" s="549"/>
      <c r="G7" s="540"/>
    </row>
    <row r="8" spans="1:7" ht="14.4">
      <c r="A8" s="545" t="s">
        <v>797</v>
      </c>
      <c r="B8" s="545" t="s">
        <v>836</v>
      </c>
      <c r="C8" s="546" t="s">
        <v>840</v>
      </c>
      <c r="D8" s="549"/>
      <c r="E8" s="549"/>
      <c r="F8" s="549"/>
      <c r="G8" s="540"/>
    </row>
    <row r="9" spans="1:7" ht="14.4">
      <c r="A9" s="545" t="s">
        <v>798</v>
      </c>
      <c r="B9" s="545" t="s">
        <v>841</v>
      </c>
      <c r="C9" s="546" t="s">
        <v>842</v>
      </c>
      <c r="D9" s="549"/>
      <c r="E9" s="549"/>
      <c r="F9" s="549"/>
      <c r="G9" s="540"/>
    </row>
    <row r="10" spans="1:7" ht="14.4">
      <c r="A10" s="545" t="s">
        <v>799</v>
      </c>
      <c r="B10" s="545" t="s">
        <v>841</v>
      </c>
      <c r="C10" s="549"/>
      <c r="D10" s="549"/>
      <c r="E10" s="549"/>
      <c r="F10" s="549"/>
      <c r="G10" s="540"/>
    </row>
    <row r="11" spans="1:7" ht="14.4">
      <c r="A11" s="545" t="s">
        <v>800</v>
      </c>
      <c r="B11" s="545" t="s">
        <v>841</v>
      </c>
      <c r="C11" s="549"/>
      <c r="D11" s="549"/>
      <c r="E11" s="549"/>
      <c r="F11" s="549"/>
      <c r="G11" s="540"/>
    </row>
    <row r="12" spans="1:7" ht="14.4">
      <c r="A12" s="545" t="s">
        <v>801</v>
      </c>
      <c r="B12" s="545" t="s">
        <v>841</v>
      </c>
      <c r="C12" s="546"/>
      <c r="D12" s="549"/>
      <c r="E12" s="549"/>
      <c r="F12" s="549"/>
      <c r="G12" s="540"/>
    </row>
    <row r="13" spans="1:7" ht="14.4">
      <c r="A13" s="545" t="s">
        <v>802</v>
      </c>
      <c r="B13" s="545" t="s">
        <v>843</v>
      </c>
      <c r="C13" s="546"/>
      <c r="D13" s="549"/>
      <c r="E13" s="549"/>
      <c r="F13" s="549"/>
      <c r="G13" s="540"/>
    </row>
    <row r="14" spans="1:7" ht="14.4">
      <c r="A14" s="545" t="s">
        <v>803</v>
      </c>
      <c r="B14" s="545" t="s">
        <v>841</v>
      </c>
      <c r="C14" s="546"/>
      <c r="D14" s="549"/>
      <c r="E14" s="549"/>
      <c r="F14" s="549"/>
      <c r="G14" s="540"/>
    </row>
    <row r="15" spans="1:7" ht="14.4">
      <c r="A15" s="545" t="s">
        <v>804</v>
      </c>
      <c r="B15" s="545" t="s">
        <v>822</v>
      </c>
      <c r="C15" s="546"/>
      <c r="D15" s="549"/>
      <c r="E15" s="549"/>
      <c r="F15" s="549"/>
      <c r="G15" s="540"/>
    </row>
    <row r="16" spans="1:7" ht="14.4">
      <c r="A16" s="545" t="s">
        <v>805</v>
      </c>
      <c r="B16" s="545" t="s">
        <v>843</v>
      </c>
      <c r="C16" s="546"/>
      <c r="D16" s="549"/>
      <c r="E16" s="549"/>
      <c r="F16" s="549"/>
      <c r="G16" s="540"/>
    </row>
    <row r="17" spans="1:6" ht="14.4">
      <c r="A17" s="545" t="s">
        <v>806</v>
      </c>
      <c r="B17" s="545" t="s">
        <v>843</v>
      </c>
      <c r="C17" s="546"/>
      <c r="D17" s="549"/>
      <c r="E17" s="549"/>
      <c r="F17" s="549"/>
    </row>
    <row r="20" spans="1:6" ht="14.4">
      <c r="A20" s="551" t="s">
        <v>844</v>
      </c>
      <c r="B20" s="549"/>
      <c r="C20" s="549"/>
      <c r="D20" s="549"/>
      <c r="E20" s="549"/>
      <c r="F20" s="549"/>
    </row>
    <row r="21" spans="1:6" ht="14.4">
      <c r="A21" s="545" t="s">
        <v>845</v>
      </c>
      <c r="B21" s="549"/>
      <c r="C21" s="549"/>
      <c r="D21" s="549"/>
      <c r="E21" s="549"/>
      <c r="F21" s="549"/>
    </row>
    <row r="22" spans="1:6" ht="14.4">
      <c r="A22" s="549"/>
      <c r="B22" s="549"/>
      <c r="C22" s="549"/>
      <c r="D22" s="549"/>
      <c r="E22" s="549"/>
      <c r="F22" s="549"/>
    </row>
    <row r="23" spans="1:6" ht="14.4">
      <c r="A23" s="549"/>
      <c r="B23" s="549"/>
      <c r="C23" s="549"/>
      <c r="D23" s="549"/>
      <c r="E23" s="549"/>
      <c r="F23" s="549"/>
    </row>
    <row r="24" spans="1:6">
      <c r="A24" s="552"/>
      <c r="B24" s="552"/>
      <c r="C24" s="552"/>
      <c r="D24" s="553"/>
      <c r="E24" s="553"/>
      <c r="F24" s="553"/>
    </row>
    <row r="25" spans="1:6">
      <c r="A25" s="552"/>
      <c r="B25" s="552"/>
      <c r="C25" s="552"/>
      <c r="D25" s="553"/>
      <c r="E25" s="553"/>
      <c r="F25" s="553"/>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theme="8" tint="-0.249977111117893"/>
  </sheetPr>
  <dimension ref="B1:AJ102"/>
  <sheetViews>
    <sheetView showGridLines="0" tabSelected="1" zoomScale="55" zoomScaleNormal="55" workbookViewId="0">
      <pane xSplit="5" ySplit="12" topLeftCell="F13" activePane="bottomRight" state="frozen"/>
      <selection pane="topRight" activeCell="F1" sqref="F1"/>
      <selection pane="bottomLeft" activeCell="A13" sqref="A13"/>
      <selection pane="bottomRight" activeCell="B2" sqref="B2:B6"/>
    </sheetView>
  </sheetViews>
  <sheetFormatPr baseColWidth="10" defaultColWidth="17.33203125" defaultRowHeight="23.4"/>
  <cols>
    <col min="1" max="1" width="4.33203125" style="135" customWidth="1"/>
    <col min="2" max="2" width="50.44140625" style="133" customWidth="1"/>
    <col min="3" max="3" width="55.109375" style="133" customWidth="1"/>
    <col min="4" max="4" width="52.88671875" style="133" customWidth="1"/>
    <col min="5" max="5" width="25.44140625" style="134" customWidth="1"/>
    <col min="6" max="6" width="26.33203125" style="134" customWidth="1"/>
    <col min="7" max="7" width="18" style="134" customWidth="1"/>
    <col min="8" max="8" width="43.6640625" style="133" customWidth="1"/>
    <col min="9" max="9" width="29.44140625" style="133" customWidth="1"/>
    <col min="10" max="10" width="56.33203125" style="133" customWidth="1"/>
    <col min="11" max="18" width="25.6640625" style="133" customWidth="1"/>
    <col min="19" max="19" width="26.6640625" style="133" customWidth="1"/>
    <col min="20" max="20" width="25.6640625" style="133" customWidth="1"/>
    <col min="21" max="21" width="28.33203125" style="133" customWidth="1"/>
    <col min="22" max="22" width="28.44140625" style="133" customWidth="1"/>
    <col min="23" max="23" width="35.77734375" style="133" customWidth="1"/>
    <col min="24" max="24" width="23.6640625" style="310" customWidth="1"/>
    <col min="25" max="25" width="23.21875" style="310" customWidth="1"/>
    <col min="26" max="26" width="36.77734375" style="310" customWidth="1"/>
    <col min="27" max="27" width="38.6640625" style="310" customWidth="1"/>
    <col min="28" max="28" width="38.6640625" style="135" customWidth="1"/>
    <col min="29" max="29" width="17.33203125" style="135"/>
    <col min="30" max="30" width="0" style="135" hidden="1" customWidth="1"/>
    <col min="31" max="31" width="0" style="422" hidden="1" customWidth="1"/>
    <col min="32" max="34" width="0" style="135" hidden="1" customWidth="1"/>
    <col min="35" max="16384" width="17.33203125" style="135"/>
  </cols>
  <sheetData>
    <row r="1" spans="2:36" ht="15" customHeight="1" thickBot="1"/>
    <row r="2" spans="2:36" ht="16.5" customHeight="1">
      <c r="B2" s="775" t="s">
        <v>764</v>
      </c>
      <c r="C2" s="784" t="s">
        <v>776</v>
      </c>
      <c r="D2" s="785"/>
      <c r="E2" s="785"/>
      <c r="F2" s="785"/>
      <c r="G2" s="785"/>
      <c r="H2" s="785"/>
      <c r="I2" s="785"/>
      <c r="J2" s="785"/>
      <c r="K2" s="785"/>
      <c r="L2" s="785"/>
      <c r="M2" s="785"/>
      <c r="N2" s="785"/>
      <c r="O2" s="785"/>
      <c r="P2" s="785"/>
      <c r="Q2" s="785"/>
      <c r="R2" s="785"/>
      <c r="S2" s="785"/>
      <c r="T2" s="785"/>
      <c r="U2" s="785"/>
      <c r="V2" s="785"/>
      <c r="W2" s="785"/>
      <c r="X2" s="785"/>
      <c r="Y2" s="785"/>
      <c r="Z2" s="785"/>
      <c r="AA2" s="785"/>
      <c r="AB2" s="786"/>
    </row>
    <row r="3" spans="2:36" ht="16.5" customHeight="1">
      <c r="B3" s="776"/>
      <c r="C3" s="787"/>
      <c r="D3" s="788"/>
      <c r="E3" s="788"/>
      <c r="F3" s="788"/>
      <c r="G3" s="788"/>
      <c r="H3" s="788"/>
      <c r="I3" s="788"/>
      <c r="J3" s="788"/>
      <c r="K3" s="788"/>
      <c r="L3" s="788"/>
      <c r="M3" s="788"/>
      <c r="N3" s="788"/>
      <c r="O3" s="788"/>
      <c r="P3" s="788"/>
      <c r="Q3" s="788"/>
      <c r="R3" s="788"/>
      <c r="S3" s="788"/>
      <c r="T3" s="788"/>
      <c r="U3" s="788"/>
      <c r="V3" s="788"/>
      <c r="W3" s="788"/>
      <c r="X3" s="788"/>
      <c r="Y3" s="788"/>
      <c r="Z3" s="788"/>
      <c r="AA3" s="788"/>
      <c r="AB3" s="789"/>
    </row>
    <row r="4" spans="2:36" ht="16.5" customHeight="1">
      <c r="B4" s="776"/>
      <c r="C4" s="787"/>
      <c r="D4" s="788"/>
      <c r="E4" s="788"/>
      <c r="F4" s="788"/>
      <c r="G4" s="788"/>
      <c r="H4" s="788"/>
      <c r="I4" s="788"/>
      <c r="J4" s="788"/>
      <c r="K4" s="788"/>
      <c r="L4" s="788"/>
      <c r="M4" s="788"/>
      <c r="N4" s="788"/>
      <c r="O4" s="788"/>
      <c r="P4" s="788"/>
      <c r="Q4" s="788"/>
      <c r="R4" s="788"/>
      <c r="S4" s="788"/>
      <c r="T4" s="788"/>
      <c r="U4" s="788"/>
      <c r="V4" s="788"/>
      <c r="W4" s="788"/>
      <c r="X4" s="788"/>
      <c r="Y4" s="788"/>
      <c r="Z4" s="788"/>
      <c r="AA4" s="788"/>
      <c r="AB4" s="789"/>
    </row>
    <row r="5" spans="2:36" ht="16.5" customHeight="1">
      <c r="B5" s="776"/>
      <c r="C5" s="787"/>
      <c r="D5" s="788"/>
      <c r="E5" s="788"/>
      <c r="F5" s="788"/>
      <c r="G5" s="788"/>
      <c r="H5" s="788"/>
      <c r="I5" s="788"/>
      <c r="J5" s="788"/>
      <c r="K5" s="788"/>
      <c r="L5" s="788"/>
      <c r="M5" s="788"/>
      <c r="N5" s="788"/>
      <c r="O5" s="788"/>
      <c r="P5" s="788"/>
      <c r="Q5" s="788"/>
      <c r="R5" s="788"/>
      <c r="S5" s="788"/>
      <c r="T5" s="788"/>
      <c r="U5" s="788"/>
      <c r="V5" s="788"/>
      <c r="W5" s="788"/>
      <c r="X5" s="788"/>
      <c r="Y5" s="788"/>
      <c r="Z5" s="788"/>
      <c r="AA5" s="788"/>
      <c r="AB5" s="789"/>
    </row>
    <row r="6" spans="2:36" ht="16.5" customHeight="1" thickBot="1">
      <c r="B6" s="777"/>
      <c r="C6" s="790"/>
      <c r="D6" s="791"/>
      <c r="E6" s="791"/>
      <c r="F6" s="791"/>
      <c r="G6" s="791"/>
      <c r="H6" s="791"/>
      <c r="I6" s="791"/>
      <c r="J6" s="791"/>
      <c r="K6" s="791"/>
      <c r="L6" s="791"/>
      <c r="M6" s="791"/>
      <c r="N6" s="791"/>
      <c r="O6" s="791"/>
      <c r="P6" s="791"/>
      <c r="Q6" s="791"/>
      <c r="R6" s="791"/>
      <c r="S6" s="791"/>
      <c r="T6" s="791"/>
      <c r="U6" s="791"/>
      <c r="V6" s="791"/>
      <c r="W6" s="791"/>
      <c r="X6" s="791"/>
      <c r="Y6" s="791"/>
      <c r="Z6" s="791"/>
      <c r="AA6" s="791"/>
      <c r="AB6" s="792"/>
    </row>
    <row r="7" spans="2:36" ht="14.25" customHeight="1" thickBot="1">
      <c r="B7" s="136"/>
      <c r="C7" s="136"/>
      <c r="D7" s="136"/>
      <c r="E7" s="137"/>
      <c r="F7" s="137"/>
      <c r="G7" s="137"/>
      <c r="H7" s="136"/>
      <c r="I7" s="136"/>
      <c r="J7" s="136"/>
      <c r="K7" s="136"/>
      <c r="L7" s="136"/>
      <c r="M7" s="136"/>
      <c r="N7" s="136"/>
      <c r="O7" s="136"/>
      <c r="P7" s="136"/>
      <c r="Q7" s="136"/>
      <c r="R7" s="136"/>
      <c r="S7" s="136"/>
      <c r="T7" s="136"/>
      <c r="U7" s="136"/>
      <c r="V7" s="136"/>
      <c r="W7" s="136"/>
    </row>
    <row r="8" spans="2:36" ht="32.4" customHeight="1" thickBot="1">
      <c r="B8" s="504" t="s">
        <v>777</v>
      </c>
      <c r="C8" s="503" t="s">
        <v>778</v>
      </c>
      <c r="D8" s="502">
        <v>2021</v>
      </c>
      <c r="E8" s="505"/>
      <c r="F8" s="505"/>
      <c r="G8" s="505"/>
      <c r="H8" s="505"/>
      <c r="I8" s="505"/>
      <c r="J8" s="505"/>
      <c r="K8" s="505"/>
      <c r="L8" s="505"/>
      <c r="M8" s="505"/>
      <c r="N8" s="505"/>
      <c r="O8" s="505"/>
      <c r="P8" s="505"/>
      <c r="Q8" s="505"/>
      <c r="R8" s="505"/>
      <c r="S8" s="505"/>
      <c r="T8" s="505"/>
      <c r="U8" s="505"/>
      <c r="V8" s="505"/>
      <c r="W8" s="505"/>
      <c r="X8" s="505"/>
      <c r="Y8" s="505"/>
      <c r="Z8" s="505"/>
      <c r="AA8" s="505"/>
      <c r="AB8" s="505"/>
      <c r="AC8" s="138"/>
    </row>
    <row r="9" spans="2:36" ht="14.25" customHeight="1">
      <c r="B9" s="136"/>
      <c r="C9" s="136"/>
      <c r="D9" s="136"/>
      <c r="E9" s="137"/>
      <c r="F9" s="137"/>
      <c r="G9" s="137"/>
      <c r="H9" s="136"/>
      <c r="I9" s="136"/>
      <c r="J9" s="136"/>
      <c r="K9" s="136"/>
      <c r="L9" s="136"/>
      <c r="M9" s="136"/>
      <c r="N9" s="136"/>
      <c r="O9" s="136"/>
      <c r="P9" s="136"/>
      <c r="Q9" s="136"/>
      <c r="R9" s="136"/>
      <c r="S9" s="136"/>
      <c r="T9" s="136"/>
      <c r="U9" s="136"/>
      <c r="V9" s="136"/>
      <c r="W9" s="136"/>
      <c r="X9" s="425"/>
      <c r="Y9" s="425"/>
      <c r="Z9" s="425"/>
      <c r="AA9" s="425"/>
      <c r="AB9" s="138"/>
    </row>
    <row r="10" spans="2:36" ht="55.2" customHeight="1">
      <c r="B10" s="758" t="s">
        <v>0</v>
      </c>
      <c r="C10" s="758" t="s">
        <v>52</v>
      </c>
      <c r="D10" s="758" t="s">
        <v>54</v>
      </c>
      <c r="E10" s="781" t="s">
        <v>55</v>
      </c>
      <c r="F10" s="758" t="s">
        <v>56</v>
      </c>
      <c r="G10" s="758" t="s">
        <v>70</v>
      </c>
      <c r="H10" s="758" t="s">
        <v>57</v>
      </c>
      <c r="I10" s="758" t="s">
        <v>41</v>
      </c>
      <c r="J10" s="758" t="s">
        <v>42</v>
      </c>
      <c r="K10" s="801" t="s">
        <v>75</v>
      </c>
      <c r="L10" s="801"/>
      <c r="M10" s="801"/>
      <c r="N10" s="801"/>
      <c r="O10" s="796">
        <v>2021</v>
      </c>
      <c r="P10" s="797"/>
      <c r="Q10" s="797"/>
      <c r="R10" s="797"/>
      <c r="S10" s="797"/>
      <c r="T10" s="797"/>
      <c r="U10" s="797"/>
      <c r="V10" s="797"/>
      <c r="W10" s="797"/>
      <c r="X10" s="797"/>
      <c r="Y10" s="798"/>
      <c r="Z10" s="793" t="s">
        <v>772</v>
      </c>
      <c r="AA10" s="794"/>
      <c r="AB10" s="795"/>
    </row>
    <row r="11" spans="2:36" ht="48.6" customHeight="1">
      <c r="B11" s="758"/>
      <c r="C11" s="758"/>
      <c r="D11" s="758"/>
      <c r="E11" s="782"/>
      <c r="F11" s="758"/>
      <c r="G11" s="758"/>
      <c r="H11" s="758"/>
      <c r="I11" s="758"/>
      <c r="J11" s="758"/>
      <c r="K11" s="681" t="s">
        <v>59</v>
      </c>
      <c r="L11" s="681" t="s">
        <v>59</v>
      </c>
      <c r="M11" s="681" t="s">
        <v>59</v>
      </c>
      <c r="N11" s="681" t="s">
        <v>59</v>
      </c>
      <c r="O11" s="793" t="s">
        <v>21</v>
      </c>
      <c r="P11" s="795"/>
      <c r="Q11" s="793" t="s">
        <v>22</v>
      </c>
      <c r="R11" s="795"/>
      <c r="S11" s="793" t="s">
        <v>23</v>
      </c>
      <c r="T11" s="795"/>
      <c r="U11" s="793" t="s">
        <v>24</v>
      </c>
      <c r="V11" s="795"/>
      <c r="W11" s="781" t="s">
        <v>775</v>
      </c>
      <c r="X11" s="781" t="s">
        <v>770</v>
      </c>
      <c r="Y11" s="799" t="s">
        <v>768</v>
      </c>
      <c r="Z11" s="799" t="s">
        <v>769</v>
      </c>
      <c r="AA11" s="781" t="s">
        <v>771</v>
      </c>
      <c r="AB11" s="781" t="s">
        <v>773</v>
      </c>
    </row>
    <row r="12" spans="2:36" ht="22.5" customHeight="1">
      <c r="B12" s="758"/>
      <c r="C12" s="758"/>
      <c r="D12" s="758"/>
      <c r="E12" s="783"/>
      <c r="F12" s="758"/>
      <c r="G12" s="758"/>
      <c r="H12" s="758"/>
      <c r="I12" s="758"/>
      <c r="J12" s="758"/>
      <c r="K12" s="691">
        <v>2021</v>
      </c>
      <c r="L12" s="691">
        <v>2022</v>
      </c>
      <c r="M12" s="691">
        <v>2023</v>
      </c>
      <c r="N12" s="691">
        <v>2024</v>
      </c>
      <c r="O12" s="677" t="s">
        <v>766</v>
      </c>
      <c r="P12" s="677" t="s">
        <v>767</v>
      </c>
      <c r="Q12" s="677" t="s">
        <v>766</v>
      </c>
      <c r="R12" s="677" t="s">
        <v>767</v>
      </c>
      <c r="S12" s="677" t="s">
        <v>766</v>
      </c>
      <c r="T12" s="677" t="s">
        <v>767</v>
      </c>
      <c r="U12" s="677" t="s">
        <v>766</v>
      </c>
      <c r="V12" s="677" t="s">
        <v>767</v>
      </c>
      <c r="W12" s="783"/>
      <c r="X12" s="783"/>
      <c r="Y12" s="800"/>
      <c r="Z12" s="800"/>
      <c r="AA12" s="783"/>
      <c r="AB12" s="783"/>
    </row>
    <row r="13" spans="2:36" ht="103.5" customHeight="1">
      <c r="B13" s="766" t="s">
        <v>130</v>
      </c>
      <c r="C13" s="769" t="s">
        <v>131</v>
      </c>
      <c r="D13" s="31" t="s">
        <v>168</v>
      </c>
      <c r="E13" s="52">
        <v>0.38</v>
      </c>
      <c r="F13" s="139">
        <v>344000</v>
      </c>
      <c r="G13" s="692" t="s">
        <v>156</v>
      </c>
      <c r="H13" s="141" t="s">
        <v>169</v>
      </c>
      <c r="I13" s="142" t="s">
        <v>216</v>
      </c>
      <c r="J13" s="143" t="s">
        <v>698</v>
      </c>
      <c r="K13" s="144">
        <v>98250</v>
      </c>
      <c r="L13" s="144">
        <v>98250</v>
      </c>
      <c r="M13" s="144">
        <v>98250</v>
      </c>
      <c r="N13" s="144">
        <v>49250</v>
      </c>
      <c r="O13" s="413">
        <f>'05-POA PROM DEFENSA DERECHOS'!V16</f>
        <v>22050</v>
      </c>
      <c r="P13" s="413">
        <f>'05-POA PROM DEFENSA DERECHOS'!W16</f>
        <v>29988</v>
      </c>
      <c r="Q13" s="413">
        <f>+'05-POA PROM DEFENSA DERECHOS'!AD16</f>
        <v>27075</v>
      </c>
      <c r="R13" s="417">
        <f>+'05-POA PROM DEFENSA DERECHOS'!AE16</f>
        <v>0</v>
      </c>
      <c r="S13" s="413">
        <f>+'05-POA PROM DEFENSA DERECHOS'!AL16</f>
        <v>27075</v>
      </c>
      <c r="T13" s="417">
        <f>+'05-POA PROM DEFENSA DERECHOS'!AM16</f>
        <v>0</v>
      </c>
      <c r="U13" s="413">
        <f>+'05-POA PROM DEFENSA DERECHOS'!AT16</f>
        <v>22050</v>
      </c>
      <c r="V13" s="417">
        <f>+'05-POA PROM DEFENSA DERECHOS'!AU16</f>
        <v>0</v>
      </c>
      <c r="W13" s="413">
        <f>+'05-POA PROM DEFENSA DERECHOS'!AV16</f>
        <v>98250</v>
      </c>
      <c r="X13" s="415">
        <f>+P13+R13+T13+V13</f>
        <v>29988</v>
      </c>
      <c r="Y13" s="416">
        <f>IF(AND(X13&gt;0,$W13&gt;0),X13/$W13,0)</f>
        <v>0.30522137404580152</v>
      </c>
      <c r="Z13" s="416">
        <f>IF(AND(X13&gt;0,$F13&gt;0),X13/$F13,0)</f>
        <v>8.7174418604651166E-2</v>
      </c>
      <c r="AA13" s="424">
        <f>IF(AND(Z13&gt;0,E13&gt;0),Z13*E13,0)</f>
        <v>3.3126279069767443E-2</v>
      </c>
      <c r="AB13" s="804">
        <f>SUM(AA13:AA23)</f>
        <v>6.3696069664939736E-2</v>
      </c>
      <c r="AD13" s="421">
        <f>+'05-POA PROM DEFENSA DERECHOS'!BA16</f>
        <v>0.30522137404580152</v>
      </c>
      <c r="AE13" s="423">
        <f t="shared" ref="AE13:AE49" si="0">Y13-AD13</f>
        <v>0</v>
      </c>
      <c r="AG13" s="421">
        <f>+'05-POA PROM DEFENSA DERECHOS'!BE16</f>
        <v>8.7174418604651166E-2</v>
      </c>
      <c r="AH13" s="423">
        <f t="shared" ref="AH13:AH49" si="1">+Z13-AG13</f>
        <v>0</v>
      </c>
      <c r="AJ13" s="420"/>
    </row>
    <row r="14" spans="2:36" ht="142.5" customHeight="1">
      <c r="B14" s="767"/>
      <c r="C14" s="770"/>
      <c r="D14" s="31" t="s">
        <v>170</v>
      </c>
      <c r="E14" s="52">
        <v>0.3</v>
      </c>
      <c r="F14" s="139">
        <v>267100</v>
      </c>
      <c r="G14" s="692" t="s">
        <v>156</v>
      </c>
      <c r="H14" s="141" t="s">
        <v>171</v>
      </c>
      <c r="I14" s="142" t="s">
        <v>216</v>
      </c>
      <c r="J14" s="143" t="s">
        <v>699</v>
      </c>
      <c r="K14" s="144">
        <v>73600</v>
      </c>
      <c r="L14" s="144">
        <v>76600</v>
      </c>
      <c r="M14" s="144">
        <v>76600</v>
      </c>
      <c r="N14" s="144">
        <v>40300</v>
      </c>
      <c r="O14" s="413">
        <f>'05-POA PROM DEFENSA DERECHOS'!V17</f>
        <v>17420</v>
      </c>
      <c r="P14" s="413">
        <f>'05-POA PROM DEFENSA DERECHOS'!W17</f>
        <v>17308</v>
      </c>
      <c r="Q14" s="413">
        <f>+'05-POA PROM DEFENSA DERECHOS'!AD17</f>
        <v>19380</v>
      </c>
      <c r="R14" s="417">
        <f>+'05-POA PROM DEFENSA DERECHOS'!AE17</f>
        <v>0</v>
      </c>
      <c r="S14" s="413">
        <f>+'05-POA PROM DEFENSA DERECHOS'!AL17</f>
        <v>19380</v>
      </c>
      <c r="T14" s="417">
        <f>+'05-POA PROM DEFENSA DERECHOS'!AM17</f>
        <v>0</v>
      </c>
      <c r="U14" s="413">
        <f>+'05-POA PROM DEFENSA DERECHOS'!AT17</f>
        <v>17420</v>
      </c>
      <c r="V14" s="417">
        <f>+'05-POA PROM DEFENSA DERECHOS'!AU17</f>
        <v>0</v>
      </c>
      <c r="W14" s="413">
        <f>+'05-POA PROM DEFENSA DERECHOS'!AV17</f>
        <v>73600</v>
      </c>
      <c r="X14" s="415">
        <f t="shared" ref="X14:X17" si="2">+P14+R14+T14+V14</f>
        <v>17308</v>
      </c>
      <c r="Y14" s="416">
        <f t="shared" ref="Y14:Y33" si="3">IF(AND(X14&gt;0,$W14&gt;0),X14/$W14,0)</f>
        <v>0.23516304347826086</v>
      </c>
      <c r="Z14" s="416">
        <f t="shared" ref="Z14:Z33" si="4">IF(AND(X14&gt;0,$F14&gt;0),X14/$F14,0)</f>
        <v>6.4799700486709091E-2</v>
      </c>
      <c r="AA14" s="424">
        <f t="shared" ref="AA14:AA33" si="5">IF(AND(Z14&gt;0,E14&gt;0),Z14*E14,0)</f>
        <v>1.9439910146012727E-2</v>
      </c>
      <c r="AB14" s="805"/>
      <c r="AD14" s="421">
        <f>+'05-POA PROM DEFENSA DERECHOS'!BA17</f>
        <v>0.23516304347826086</v>
      </c>
      <c r="AE14" s="423">
        <f t="shared" si="0"/>
        <v>0</v>
      </c>
      <c r="AG14" s="421">
        <f>+'05-POA PROM DEFENSA DERECHOS'!BE17</f>
        <v>6.4799700486709091E-2</v>
      </c>
      <c r="AH14" s="423">
        <f t="shared" si="1"/>
        <v>0</v>
      </c>
    </row>
    <row r="15" spans="2:36" ht="185.25" customHeight="1">
      <c r="B15" s="767"/>
      <c r="C15" s="770"/>
      <c r="D15" s="31" t="s">
        <v>173</v>
      </c>
      <c r="E15" s="52">
        <v>0.15</v>
      </c>
      <c r="F15" s="139">
        <v>140200</v>
      </c>
      <c r="G15" s="692" t="s">
        <v>156</v>
      </c>
      <c r="H15" s="141" t="s">
        <v>172</v>
      </c>
      <c r="I15" s="142" t="s">
        <v>216</v>
      </c>
      <c r="J15" s="143" t="s">
        <v>700</v>
      </c>
      <c r="K15" s="144">
        <v>38200</v>
      </c>
      <c r="L15" s="144">
        <v>39200</v>
      </c>
      <c r="M15" s="144">
        <v>39200</v>
      </c>
      <c r="N15" s="144">
        <v>23600</v>
      </c>
      <c r="O15" s="413">
        <f>'05-POA PROM DEFENSA DERECHOS'!V18</f>
        <v>8750</v>
      </c>
      <c r="P15" s="413">
        <f>'05-POA PROM DEFENSA DERECHOS'!W18</f>
        <v>4414</v>
      </c>
      <c r="Q15" s="413">
        <f>+'05-POA PROM DEFENSA DERECHOS'!AD18</f>
        <v>10350</v>
      </c>
      <c r="R15" s="417">
        <f>+'05-POA PROM DEFENSA DERECHOS'!AE18</f>
        <v>0</v>
      </c>
      <c r="S15" s="413">
        <f>+'05-POA PROM DEFENSA DERECHOS'!AL18</f>
        <v>10350</v>
      </c>
      <c r="T15" s="417">
        <f>+'05-POA PROM DEFENSA DERECHOS'!AM18</f>
        <v>0</v>
      </c>
      <c r="U15" s="413">
        <f>+'05-POA PROM DEFENSA DERECHOS'!AT18</f>
        <v>8750</v>
      </c>
      <c r="V15" s="417">
        <f>+'05-POA PROM DEFENSA DERECHOS'!AU18</f>
        <v>0</v>
      </c>
      <c r="W15" s="413">
        <f>+'05-POA PROM DEFENSA DERECHOS'!AV18</f>
        <v>38200</v>
      </c>
      <c r="X15" s="415">
        <f t="shared" si="2"/>
        <v>4414</v>
      </c>
      <c r="Y15" s="416">
        <f t="shared" si="3"/>
        <v>0.11554973821989528</v>
      </c>
      <c r="Z15" s="416">
        <f t="shared" si="4"/>
        <v>3.1483594864479318E-2</v>
      </c>
      <c r="AA15" s="424">
        <f t="shared" si="5"/>
        <v>4.7225392296718974E-3</v>
      </c>
      <c r="AB15" s="805"/>
      <c r="AD15" s="421">
        <f>+'05-POA PROM DEFENSA DERECHOS'!BA18</f>
        <v>0.11554973821989528</v>
      </c>
      <c r="AE15" s="423">
        <f t="shared" si="0"/>
        <v>0</v>
      </c>
      <c r="AG15" s="421">
        <f>+'05-POA PROM DEFENSA DERECHOS'!BE18</f>
        <v>3.1483594864479318E-2</v>
      </c>
      <c r="AH15" s="423">
        <f t="shared" si="1"/>
        <v>0</v>
      </c>
    </row>
    <row r="16" spans="2:36" ht="30">
      <c r="B16" s="767"/>
      <c r="C16" s="770"/>
      <c r="D16" s="31" t="s">
        <v>174</v>
      </c>
      <c r="E16" s="52">
        <v>0.04</v>
      </c>
      <c r="F16" s="139">
        <v>35876</v>
      </c>
      <c r="G16" s="692" t="s">
        <v>156</v>
      </c>
      <c r="H16" s="141" t="s">
        <v>177</v>
      </c>
      <c r="I16" s="142" t="s">
        <v>216</v>
      </c>
      <c r="J16" s="143" t="s">
        <v>668</v>
      </c>
      <c r="K16" s="144">
        <v>10500</v>
      </c>
      <c r="L16" s="144">
        <v>10500</v>
      </c>
      <c r="M16" s="144">
        <v>10500</v>
      </c>
      <c r="N16" s="144">
        <v>4376</v>
      </c>
      <c r="O16" s="413">
        <f>'05-POA PROM DEFENSA DERECHOS'!V19</f>
        <v>2420</v>
      </c>
      <c r="P16" s="413">
        <f>'05-POA PROM DEFENSA DERECHOS'!W19</f>
        <v>1338</v>
      </c>
      <c r="Q16" s="413">
        <f>+'05-POA PROM DEFENSA DERECHOS'!AD19</f>
        <v>2730</v>
      </c>
      <c r="R16" s="417">
        <f>+'05-POA PROM DEFENSA DERECHOS'!AE19</f>
        <v>0</v>
      </c>
      <c r="S16" s="413">
        <f>+'05-POA PROM DEFENSA DERECHOS'!AL19</f>
        <v>2730</v>
      </c>
      <c r="T16" s="417">
        <f>+'05-POA PROM DEFENSA DERECHOS'!AM19</f>
        <v>0</v>
      </c>
      <c r="U16" s="413">
        <f>+'05-POA PROM DEFENSA DERECHOS'!AT19</f>
        <v>2620</v>
      </c>
      <c r="V16" s="417">
        <f>+'05-POA PROM DEFENSA DERECHOS'!AU19</f>
        <v>0</v>
      </c>
      <c r="W16" s="413">
        <f>+'05-POA PROM DEFENSA DERECHOS'!AV19</f>
        <v>10500</v>
      </c>
      <c r="X16" s="415">
        <f t="shared" si="2"/>
        <v>1338</v>
      </c>
      <c r="Y16" s="416">
        <f t="shared" si="3"/>
        <v>0.12742857142857142</v>
      </c>
      <c r="Z16" s="416">
        <f t="shared" si="4"/>
        <v>3.7295127661946703E-2</v>
      </c>
      <c r="AA16" s="424">
        <f t="shared" si="5"/>
        <v>1.4918051064778681E-3</v>
      </c>
      <c r="AB16" s="805"/>
      <c r="AD16" s="421">
        <f>+'05-POA PROM DEFENSA DERECHOS'!BA19</f>
        <v>0.12742857142857142</v>
      </c>
      <c r="AE16" s="423">
        <f t="shared" si="0"/>
        <v>0</v>
      </c>
      <c r="AG16" s="421">
        <f>+'05-POA PROM DEFENSA DERECHOS'!BE19</f>
        <v>3.7295127661946703E-2</v>
      </c>
      <c r="AH16" s="423">
        <f t="shared" si="1"/>
        <v>0</v>
      </c>
    </row>
    <row r="17" spans="2:34" ht="136.5" customHeight="1">
      <c r="B17" s="767"/>
      <c r="C17" s="770"/>
      <c r="D17" s="31" t="s">
        <v>175</v>
      </c>
      <c r="E17" s="52">
        <v>0.06</v>
      </c>
      <c r="F17" s="139">
        <v>62700</v>
      </c>
      <c r="G17" s="692" t="s">
        <v>156</v>
      </c>
      <c r="H17" s="141" t="s">
        <v>178</v>
      </c>
      <c r="I17" s="142" t="s">
        <v>216</v>
      </c>
      <c r="J17" s="143" t="s">
        <v>701</v>
      </c>
      <c r="K17" s="144">
        <v>16200</v>
      </c>
      <c r="L17" s="144">
        <v>21200</v>
      </c>
      <c r="M17" s="144">
        <v>21200</v>
      </c>
      <c r="N17" s="144">
        <v>4100</v>
      </c>
      <c r="O17" s="413">
        <f>'05-POA PROM DEFENSA DERECHOS'!V20</f>
        <v>3520</v>
      </c>
      <c r="P17" s="413">
        <f>'05-POA PROM DEFENSA DERECHOS'!W20</f>
        <v>2602</v>
      </c>
      <c r="Q17" s="413">
        <f>+'05-POA PROM DEFENSA DERECHOS'!AD20</f>
        <v>4530</v>
      </c>
      <c r="R17" s="417">
        <f>+'05-POA PROM DEFENSA DERECHOS'!AE20</f>
        <v>0</v>
      </c>
      <c r="S17" s="413">
        <f>+'05-POA PROM DEFENSA DERECHOS'!AL20</f>
        <v>4560</v>
      </c>
      <c r="T17" s="417">
        <f>+'05-POA PROM DEFENSA DERECHOS'!AM20</f>
        <v>0</v>
      </c>
      <c r="U17" s="413">
        <f>+'05-POA PROM DEFENSA DERECHOS'!AT20</f>
        <v>3590</v>
      </c>
      <c r="V17" s="417">
        <f>+'05-POA PROM DEFENSA DERECHOS'!AU20</f>
        <v>0</v>
      </c>
      <c r="W17" s="413">
        <f>+'05-POA PROM DEFENSA DERECHOS'!AV20</f>
        <v>16200</v>
      </c>
      <c r="X17" s="415">
        <f t="shared" si="2"/>
        <v>2602</v>
      </c>
      <c r="Y17" s="416">
        <f t="shared" si="3"/>
        <v>0.16061728395061728</v>
      </c>
      <c r="Z17" s="416">
        <f t="shared" si="4"/>
        <v>4.1499202551834133E-2</v>
      </c>
      <c r="AA17" s="424">
        <f t="shared" si="5"/>
        <v>2.4899521531100478E-3</v>
      </c>
      <c r="AB17" s="805"/>
      <c r="AD17" s="421">
        <f>+'05-POA PROM DEFENSA DERECHOS'!BA20</f>
        <v>0.16061728395061728</v>
      </c>
      <c r="AE17" s="423">
        <f t="shared" si="0"/>
        <v>0</v>
      </c>
      <c r="AG17" s="421">
        <f>+'05-POA PROM DEFENSA DERECHOS'!BE20</f>
        <v>4.1499202551834133E-2</v>
      </c>
      <c r="AH17" s="423">
        <f t="shared" si="1"/>
        <v>0</v>
      </c>
    </row>
    <row r="18" spans="2:34" ht="75">
      <c r="B18" s="767"/>
      <c r="C18" s="770"/>
      <c r="D18" s="31" t="s">
        <v>176</v>
      </c>
      <c r="E18" s="52">
        <v>0.01</v>
      </c>
      <c r="F18" s="139">
        <v>80</v>
      </c>
      <c r="G18" s="692" t="s">
        <v>156</v>
      </c>
      <c r="H18" s="141" t="s">
        <v>179</v>
      </c>
      <c r="I18" s="142" t="s">
        <v>216</v>
      </c>
      <c r="J18" s="143" t="s">
        <v>702</v>
      </c>
      <c r="K18" s="144">
        <v>20</v>
      </c>
      <c r="L18" s="144">
        <v>20</v>
      </c>
      <c r="M18" s="144">
        <v>20</v>
      </c>
      <c r="N18" s="144">
        <v>20</v>
      </c>
      <c r="O18" s="413">
        <f>'05-POA PROM DEFENSA DERECHOS'!V21</f>
        <v>5</v>
      </c>
      <c r="P18" s="413">
        <f>'05-POA PROM DEFENSA DERECHOS'!W21</f>
        <v>1</v>
      </c>
      <c r="Q18" s="413">
        <f>+'05-POA PROM DEFENSA DERECHOS'!AD21</f>
        <v>15</v>
      </c>
      <c r="R18" s="417">
        <f>+'05-POA PROM DEFENSA DERECHOS'!AE21</f>
        <v>0</v>
      </c>
      <c r="S18" s="413">
        <f>+'05-POA PROM DEFENSA DERECHOS'!AL21</f>
        <v>0</v>
      </c>
      <c r="T18" s="417">
        <f>+'05-POA PROM DEFENSA DERECHOS'!AM21</f>
        <v>0</v>
      </c>
      <c r="U18" s="413">
        <f>+'05-POA PROM DEFENSA DERECHOS'!AT21</f>
        <v>0</v>
      </c>
      <c r="V18" s="417">
        <f>+'05-POA PROM DEFENSA DERECHOS'!AU21</f>
        <v>0</v>
      </c>
      <c r="W18" s="413">
        <f>+'05-POA PROM DEFENSA DERECHOS'!AV21</f>
        <v>20</v>
      </c>
      <c r="X18" s="415">
        <f>+P18+R18+T18+V18</f>
        <v>1</v>
      </c>
      <c r="Y18" s="416">
        <f t="shared" si="3"/>
        <v>0.05</v>
      </c>
      <c r="Z18" s="416">
        <f t="shared" si="4"/>
        <v>1.2500000000000001E-2</v>
      </c>
      <c r="AA18" s="424">
        <f t="shared" si="5"/>
        <v>1.25E-4</v>
      </c>
      <c r="AB18" s="805"/>
      <c r="AD18" s="421">
        <f>+'05-POA PROM DEFENSA DERECHOS'!BA21</f>
        <v>0.05</v>
      </c>
      <c r="AE18" s="423">
        <f t="shared" si="0"/>
        <v>0</v>
      </c>
      <c r="AG18" s="421">
        <f>+'05-POA PROM DEFENSA DERECHOS'!BE21</f>
        <v>1.2500000000000001E-2</v>
      </c>
      <c r="AH18" s="423">
        <f t="shared" si="1"/>
        <v>0</v>
      </c>
    </row>
    <row r="19" spans="2:34" ht="88.5" customHeight="1">
      <c r="B19" s="767"/>
      <c r="C19" s="770"/>
      <c r="D19" s="31" t="s">
        <v>180</v>
      </c>
      <c r="E19" s="52">
        <v>0.01</v>
      </c>
      <c r="F19" s="139" t="s">
        <v>182</v>
      </c>
      <c r="G19" s="692" t="s">
        <v>156</v>
      </c>
      <c r="H19" s="141" t="s">
        <v>213</v>
      </c>
      <c r="I19" s="142" t="s">
        <v>216</v>
      </c>
      <c r="J19" s="143" t="s">
        <v>703</v>
      </c>
      <c r="K19" s="145" t="s">
        <v>182</v>
      </c>
      <c r="L19" s="145" t="s">
        <v>182</v>
      </c>
      <c r="M19" s="145" t="s">
        <v>182</v>
      </c>
      <c r="N19" s="145" t="s">
        <v>182</v>
      </c>
      <c r="O19" s="414">
        <f>'05-POA PROM DEFENSA DERECHOS'!V22</f>
        <v>0.94999999999999984</v>
      </c>
      <c r="P19" s="414">
        <f>'05-POA PROM DEFENSA DERECHOS'!W22</f>
        <v>0.99199999999999999</v>
      </c>
      <c r="Q19" s="414">
        <f>+'05-POA PROM DEFENSA DERECHOS'!AD22</f>
        <v>0.94999999999999984</v>
      </c>
      <c r="R19" s="414"/>
      <c r="S19" s="414">
        <f>+'05-POA PROM DEFENSA DERECHOS'!AL22</f>
        <v>0.94999999999999984</v>
      </c>
      <c r="T19" s="414"/>
      <c r="U19" s="414">
        <f>+'05-POA PROM DEFENSA DERECHOS'!AT22</f>
        <v>0.94999999999999984</v>
      </c>
      <c r="V19" s="414"/>
      <c r="W19" s="32">
        <f>+'05-POA PROM DEFENSA DERECHOS'!AV22</f>
        <v>0.94999999999999984</v>
      </c>
      <c r="X19" s="416">
        <f>IFERROR(IF(OR($W$19="",$W$19=0),0,ROUNDDOWN(AVERAGE($P19,R19,T19,V19),3)),0)</f>
        <v>0.99199999999999999</v>
      </c>
      <c r="Y19" s="416">
        <f>IF(AND(X19&gt;0,$W19&gt;0),X19/$W19,0)*0.25</f>
        <v>0.26105263157894742</v>
      </c>
      <c r="Z19" s="416">
        <f>((IF(AND(X19&gt;0,95%&gt;0),X19/95%,0))/4)*0.25</f>
        <v>6.5263157894736842E-2</v>
      </c>
      <c r="AA19" s="424">
        <f t="shared" si="5"/>
        <v>6.5263157894736843E-4</v>
      </c>
      <c r="AB19" s="805"/>
      <c r="AD19" s="421">
        <f>+'05-POA PROM DEFENSA DERECHOS'!BA22</f>
        <v>0.26105263157894742</v>
      </c>
      <c r="AE19" s="423">
        <f t="shared" si="0"/>
        <v>0</v>
      </c>
      <c r="AG19" s="421">
        <f>+'05-POA PROM DEFENSA DERECHOS'!BE22</f>
        <v>6.5263157894736842E-2</v>
      </c>
      <c r="AH19" s="423">
        <f t="shared" si="1"/>
        <v>0</v>
      </c>
    </row>
    <row r="20" spans="2:34" ht="121.5" customHeight="1">
      <c r="B20" s="767"/>
      <c r="C20" s="770"/>
      <c r="D20" s="31" t="s">
        <v>181</v>
      </c>
      <c r="E20" s="52">
        <v>0.02</v>
      </c>
      <c r="F20" s="139">
        <v>20000</v>
      </c>
      <c r="G20" s="692" t="s">
        <v>156</v>
      </c>
      <c r="H20" s="141" t="s">
        <v>214</v>
      </c>
      <c r="I20" s="142" t="s">
        <v>216</v>
      </c>
      <c r="J20" s="143" t="s">
        <v>704</v>
      </c>
      <c r="K20" s="144">
        <v>5000</v>
      </c>
      <c r="L20" s="144">
        <v>6500</v>
      </c>
      <c r="M20" s="144">
        <v>6500</v>
      </c>
      <c r="N20" s="144">
        <v>2000</v>
      </c>
      <c r="O20" s="413">
        <f>'05-POA PROM DEFENSA DERECHOS'!V23</f>
        <v>1020</v>
      </c>
      <c r="P20" s="413">
        <f>'05-POA PROM DEFENSA DERECHOS'!W23</f>
        <v>977</v>
      </c>
      <c r="Q20" s="413">
        <f>+'05-POA PROM DEFENSA DERECHOS'!AD23</f>
        <v>1380</v>
      </c>
      <c r="R20" s="417">
        <f>+'05-POA PROM DEFENSA DERECHOS'!AE23</f>
        <v>0</v>
      </c>
      <c r="S20" s="413">
        <f>+'05-POA PROM DEFENSA DERECHOS'!AL23</f>
        <v>1380</v>
      </c>
      <c r="T20" s="417">
        <f>+'05-POA PROM DEFENSA DERECHOS'!AM23</f>
        <v>0</v>
      </c>
      <c r="U20" s="413">
        <f>+'05-POA PROM DEFENSA DERECHOS'!AT23</f>
        <v>1220</v>
      </c>
      <c r="V20" s="417">
        <f>+'05-POA PROM DEFENSA DERECHOS'!AU23</f>
        <v>0</v>
      </c>
      <c r="W20" s="413">
        <f>+'05-POA PROM DEFENSA DERECHOS'!AV23</f>
        <v>5000</v>
      </c>
      <c r="X20" s="415">
        <f>+P20+R20+T20+V20</f>
        <v>977</v>
      </c>
      <c r="Y20" s="416">
        <f t="shared" si="3"/>
        <v>0.19539999999999999</v>
      </c>
      <c r="Z20" s="416">
        <f t="shared" si="4"/>
        <v>4.8849999999999998E-2</v>
      </c>
      <c r="AA20" s="424">
        <f t="shared" si="5"/>
        <v>9.77E-4</v>
      </c>
      <c r="AB20" s="805"/>
      <c r="AD20" s="421">
        <f>+'05-POA PROM DEFENSA DERECHOS'!BA23</f>
        <v>0.19539999999999999</v>
      </c>
      <c r="AE20" s="423">
        <f t="shared" si="0"/>
        <v>0</v>
      </c>
      <c r="AG20" s="421">
        <f>+'05-POA PROM DEFENSA DERECHOS'!BE23</f>
        <v>4.8849999999999998E-2</v>
      </c>
      <c r="AH20" s="423">
        <f t="shared" si="1"/>
        <v>0</v>
      </c>
    </row>
    <row r="21" spans="2:34" ht="84.75" customHeight="1">
      <c r="B21" s="767"/>
      <c r="C21" s="770"/>
      <c r="D21" s="31" t="s">
        <v>183</v>
      </c>
      <c r="E21" s="52">
        <v>0.01</v>
      </c>
      <c r="F21" s="139">
        <v>12000</v>
      </c>
      <c r="G21" s="692" t="s">
        <v>156</v>
      </c>
      <c r="H21" s="141" t="s">
        <v>272</v>
      </c>
      <c r="I21" s="142" t="s">
        <v>216</v>
      </c>
      <c r="J21" s="143" t="s">
        <v>704</v>
      </c>
      <c r="K21" s="144">
        <v>3000</v>
      </c>
      <c r="L21" s="144">
        <v>4000</v>
      </c>
      <c r="M21" s="144">
        <v>4000</v>
      </c>
      <c r="N21" s="144">
        <v>1000</v>
      </c>
      <c r="O21" s="413">
        <f>'05-POA PROM DEFENSA DERECHOS'!V24</f>
        <v>640</v>
      </c>
      <c r="P21" s="413">
        <f>'05-POA PROM DEFENSA DERECHOS'!W24</f>
        <v>488</v>
      </c>
      <c r="Q21" s="413">
        <f>+'05-POA PROM DEFENSA DERECHOS'!AD24</f>
        <v>810</v>
      </c>
      <c r="R21" s="417">
        <f>+'05-POA PROM DEFENSA DERECHOS'!AE24</f>
        <v>0</v>
      </c>
      <c r="S21" s="413">
        <f>+'05-POA PROM DEFENSA DERECHOS'!AL24</f>
        <v>810</v>
      </c>
      <c r="T21" s="417">
        <f>+'05-POA PROM DEFENSA DERECHOS'!AM24</f>
        <v>0</v>
      </c>
      <c r="U21" s="413">
        <f>+'05-POA PROM DEFENSA DERECHOS'!AT24</f>
        <v>740</v>
      </c>
      <c r="V21" s="417">
        <f>+'05-POA PROM DEFENSA DERECHOS'!AU24</f>
        <v>0</v>
      </c>
      <c r="W21" s="413">
        <f>+'05-POA PROM DEFENSA DERECHOS'!AV24</f>
        <v>3000</v>
      </c>
      <c r="X21" s="415">
        <f t="shared" ref="X21:X58" si="6">+P21+R21+T21+V21</f>
        <v>488</v>
      </c>
      <c r="Y21" s="416">
        <f t="shared" si="3"/>
        <v>0.16266666666666665</v>
      </c>
      <c r="Z21" s="416">
        <f t="shared" si="4"/>
        <v>4.0666666666666663E-2</v>
      </c>
      <c r="AA21" s="424">
        <f t="shared" si="5"/>
        <v>4.0666666666666667E-4</v>
      </c>
      <c r="AB21" s="805"/>
      <c r="AD21" s="421">
        <f>+'05-POA PROM DEFENSA DERECHOS'!BA24</f>
        <v>0.16266666666666665</v>
      </c>
      <c r="AE21" s="423">
        <f t="shared" si="0"/>
        <v>0</v>
      </c>
      <c r="AG21" s="421">
        <f>+'05-POA PROM DEFENSA DERECHOS'!BE24</f>
        <v>4.0666666666666663E-2</v>
      </c>
      <c r="AH21" s="423">
        <f t="shared" si="1"/>
        <v>0</v>
      </c>
    </row>
    <row r="22" spans="2:34" ht="83.25" customHeight="1">
      <c r="B22" s="767"/>
      <c r="C22" s="770"/>
      <c r="D22" s="31" t="s">
        <v>184</v>
      </c>
      <c r="E22" s="52">
        <v>0.01</v>
      </c>
      <c r="F22" s="139">
        <v>2800</v>
      </c>
      <c r="G22" s="692" t="s">
        <v>156</v>
      </c>
      <c r="H22" s="141" t="s">
        <v>215</v>
      </c>
      <c r="I22" s="142" t="s">
        <v>216</v>
      </c>
      <c r="J22" s="143" t="s">
        <v>704</v>
      </c>
      <c r="K22" s="144">
        <v>700</v>
      </c>
      <c r="L22" s="144">
        <v>1000</v>
      </c>
      <c r="M22" s="144">
        <v>800</v>
      </c>
      <c r="N22" s="144">
        <v>300</v>
      </c>
      <c r="O22" s="413">
        <f>'05-POA PROM DEFENSA DERECHOS'!V25</f>
        <v>145</v>
      </c>
      <c r="P22" s="413">
        <f>'05-POA PROM DEFENSA DERECHOS'!W25</f>
        <v>74</v>
      </c>
      <c r="Q22" s="413">
        <f>+'05-POA PROM DEFENSA DERECHOS'!AD25</f>
        <v>190</v>
      </c>
      <c r="R22" s="417">
        <f>+'05-POA PROM DEFENSA DERECHOS'!AE25</f>
        <v>0</v>
      </c>
      <c r="S22" s="413">
        <f>+'05-POA PROM DEFENSA DERECHOS'!AL25</f>
        <v>195</v>
      </c>
      <c r="T22" s="417">
        <f>+'05-POA PROM DEFENSA DERECHOS'!AM25</f>
        <v>0</v>
      </c>
      <c r="U22" s="413">
        <f>+'05-POA PROM DEFENSA DERECHOS'!AT25</f>
        <v>170</v>
      </c>
      <c r="V22" s="417">
        <f>+'05-POA PROM DEFENSA DERECHOS'!AU25</f>
        <v>0</v>
      </c>
      <c r="W22" s="413">
        <f>+'05-POA PROM DEFENSA DERECHOS'!AV25</f>
        <v>700</v>
      </c>
      <c r="X22" s="415">
        <f t="shared" si="6"/>
        <v>74</v>
      </c>
      <c r="Y22" s="416">
        <f t="shared" si="3"/>
        <v>0.10571428571428572</v>
      </c>
      <c r="Z22" s="416">
        <f t="shared" si="4"/>
        <v>2.642857142857143E-2</v>
      </c>
      <c r="AA22" s="424">
        <f t="shared" si="5"/>
        <v>2.642857142857143E-4</v>
      </c>
      <c r="AB22" s="805"/>
      <c r="AD22" s="421">
        <f>+'05-POA PROM DEFENSA DERECHOS'!BA25</f>
        <v>0.10571428571428572</v>
      </c>
      <c r="AE22" s="423">
        <f t="shared" si="0"/>
        <v>0</v>
      </c>
      <c r="AG22" s="421">
        <f>+'05-POA PROM DEFENSA DERECHOS'!BE25</f>
        <v>2.642857142857143E-2</v>
      </c>
      <c r="AH22" s="423">
        <f t="shared" si="1"/>
        <v>0</v>
      </c>
    </row>
    <row r="23" spans="2:34" ht="93.75" customHeight="1">
      <c r="B23" s="767"/>
      <c r="C23" s="771"/>
      <c r="D23" s="31" t="s">
        <v>717</v>
      </c>
      <c r="E23" s="52">
        <v>0.01</v>
      </c>
      <c r="F23" s="139">
        <v>60</v>
      </c>
      <c r="G23" s="692" t="s">
        <v>156</v>
      </c>
      <c r="H23" s="141" t="s">
        <v>185</v>
      </c>
      <c r="I23" s="142" t="s">
        <v>216</v>
      </c>
      <c r="J23" s="143" t="s">
        <v>704</v>
      </c>
      <c r="K23" s="144">
        <v>0</v>
      </c>
      <c r="L23" s="144">
        <v>20</v>
      </c>
      <c r="M23" s="144">
        <v>20</v>
      </c>
      <c r="N23" s="144">
        <v>20</v>
      </c>
      <c r="O23" s="413">
        <f>'05-POA PROM DEFENSA DERECHOS'!V26</f>
        <v>0</v>
      </c>
      <c r="P23" s="413">
        <f>'05-POA PROM DEFENSA DERECHOS'!W26</f>
        <v>0</v>
      </c>
      <c r="Q23" s="413">
        <f>+'05-POA PROM DEFENSA DERECHOS'!AD26</f>
        <v>0</v>
      </c>
      <c r="R23" s="417">
        <f>+'05-POA PROM DEFENSA DERECHOS'!AE26</f>
        <v>0</v>
      </c>
      <c r="S23" s="413">
        <f>+'05-POA PROM DEFENSA DERECHOS'!AL26</f>
        <v>0</v>
      </c>
      <c r="T23" s="417">
        <f>+'05-POA PROM DEFENSA DERECHOS'!AM26</f>
        <v>0</v>
      </c>
      <c r="U23" s="413">
        <f>+'05-POA PROM DEFENSA DERECHOS'!AT26</f>
        <v>0</v>
      </c>
      <c r="V23" s="417">
        <f>+'05-POA PROM DEFENSA DERECHOS'!AU26</f>
        <v>0</v>
      </c>
      <c r="W23" s="413">
        <f>+'05-POA PROM DEFENSA DERECHOS'!AV26</f>
        <v>0</v>
      </c>
      <c r="X23" s="415">
        <f t="shared" si="6"/>
        <v>0</v>
      </c>
      <c r="Y23" s="416">
        <f t="shared" si="3"/>
        <v>0</v>
      </c>
      <c r="Z23" s="416">
        <f t="shared" si="4"/>
        <v>0</v>
      </c>
      <c r="AA23" s="424">
        <f t="shared" si="5"/>
        <v>0</v>
      </c>
      <c r="AB23" s="806"/>
      <c r="AD23" s="421">
        <f>+'05-POA PROM DEFENSA DERECHOS'!BA26</f>
        <v>0</v>
      </c>
      <c r="AE23" s="423">
        <f t="shared" si="0"/>
        <v>0</v>
      </c>
      <c r="AG23" s="421">
        <f>+'05-POA PROM DEFENSA DERECHOS'!BE26</f>
        <v>0</v>
      </c>
      <c r="AH23" s="423">
        <f t="shared" si="1"/>
        <v>0</v>
      </c>
    </row>
    <row r="24" spans="2:34" ht="135.75" customHeight="1">
      <c r="B24" s="767"/>
      <c r="C24" s="769" t="s">
        <v>132</v>
      </c>
      <c r="D24" s="31" t="s">
        <v>186</v>
      </c>
      <c r="E24" s="52">
        <v>0.75</v>
      </c>
      <c r="F24" s="139">
        <v>173000</v>
      </c>
      <c r="G24" s="692" t="s">
        <v>156</v>
      </c>
      <c r="H24" s="141" t="s">
        <v>187</v>
      </c>
      <c r="I24" s="142" t="s">
        <v>216</v>
      </c>
      <c r="J24" s="143" t="s">
        <v>705</v>
      </c>
      <c r="K24" s="144">
        <v>48000</v>
      </c>
      <c r="L24" s="144">
        <v>53000</v>
      </c>
      <c r="M24" s="144">
        <v>53000</v>
      </c>
      <c r="N24" s="144">
        <v>19000</v>
      </c>
      <c r="O24" s="413">
        <f>'05-POA PROM DEFENSA DERECHOS'!V27</f>
        <v>5300</v>
      </c>
      <c r="P24" s="413">
        <f>'05-POA PROM DEFENSA DERECHOS'!W27</f>
        <v>25347</v>
      </c>
      <c r="Q24" s="413">
        <f>+'05-POA PROM DEFENSA DERECHOS'!AD27</f>
        <v>15930</v>
      </c>
      <c r="R24" s="417">
        <f>+'05-POA PROM DEFENSA DERECHOS'!AE27</f>
        <v>0</v>
      </c>
      <c r="S24" s="413">
        <f>+'05-POA PROM DEFENSA DERECHOS'!AL27</f>
        <v>15940</v>
      </c>
      <c r="T24" s="417">
        <f>+'05-POA PROM DEFENSA DERECHOS'!AM27</f>
        <v>0</v>
      </c>
      <c r="U24" s="413">
        <f>+'05-POA PROM DEFENSA DERECHOS'!AT27</f>
        <v>10830</v>
      </c>
      <c r="V24" s="417">
        <f>+'05-POA PROM DEFENSA DERECHOS'!AU27</f>
        <v>0</v>
      </c>
      <c r="W24" s="413">
        <f>+'05-POA PROM DEFENSA DERECHOS'!AV27</f>
        <v>48000</v>
      </c>
      <c r="X24" s="415">
        <f t="shared" si="6"/>
        <v>25347</v>
      </c>
      <c r="Y24" s="416">
        <f t="shared" si="3"/>
        <v>0.52806249999999999</v>
      </c>
      <c r="Z24" s="416">
        <f t="shared" si="4"/>
        <v>0.14651445086705203</v>
      </c>
      <c r="AA24" s="424">
        <f t="shared" si="5"/>
        <v>0.10988583815028902</v>
      </c>
      <c r="AB24" s="815">
        <f>+AA24+AA25+AA26+AA27+AA28+AA29</f>
        <v>0.12404746235238867</v>
      </c>
      <c r="AD24" s="421">
        <f>+'05-POA PROM DEFENSA DERECHOS'!BA27</f>
        <v>0.52806249999999999</v>
      </c>
      <c r="AE24" s="423">
        <f t="shared" si="0"/>
        <v>0</v>
      </c>
      <c r="AG24" s="421">
        <f>+'05-POA PROM DEFENSA DERECHOS'!BE27</f>
        <v>0.14651445086705203</v>
      </c>
      <c r="AH24" s="423">
        <f t="shared" si="1"/>
        <v>0</v>
      </c>
    </row>
    <row r="25" spans="2:34" ht="90">
      <c r="B25" s="767"/>
      <c r="C25" s="770"/>
      <c r="D25" s="31" t="s">
        <v>188</v>
      </c>
      <c r="E25" s="52">
        <v>0.12</v>
      </c>
      <c r="F25" s="139">
        <v>28400</v>
      </c>
      <c r="G25" s="692" t="s">
        <v>156</v>
      </c>
      <c r="H25" s="141" t="s">
        <v>190</v>
      </c>
      <c r="I25" s="142" t="s">
        <v>216</v>
      </c>
      <c r="J25" s="143" t="s">
        <v>706</v>
      </c>
      <c r="K25" s="144">
        <v>6800</v>
      </c>
      <c r="L25" s="144">
        <v>8650</v>
      </c>
      <c r="M25" s="144">
        <v>8650</v>
      </c>
      <c r="N25" s="144">
        <v>4300</v>
      </c>
      <c r="O25" s="413">
        <f>'05-POA PROM DEFENSA DERECHOS'!V28</f>
        <v>1404</v>
      </c>
      <c r="P25" s="413">
        <f>'05-POA PROM DEFENSA DERECHOS'!W28</f>
        <v>1308</v>
      </c>
      <c r="Q25" s="413">
        <f>+'05-POA PROM DEFENSA DERECHOS'!AD28</f>
        <v>1944</v>
      </c>
      <c r="R25" s="418">
        <f>+'05-POA PROM DEFENSA DERECHOS'!AE28</f>
        <v>0</v>
      </c>
      <c r="S25" s="413">
        <f>+'05-POA PROM DEFENSA DERECHOS'!AL28</f>
        <v>1944</v>
      </c>
      <c r="T25" s="417">
        <f>+'05-POA PROM DEFENSA DERECHOS'!AM28</f>
        <v>0</v>
      </c>
      <c r="U25" s="413">
        <f>+'05-POA PROM DEFENSA DERECHOS'!AT28</f>
        <v>1508</v>
      </c>
      <c r="V25" s="417">
        <f>+'05-POA PROM DEFENSA DERECHOS'!AU28</f>
        <v>0</v>
      </c>
      <c r="W25" s="413">
        <f>+'05-POA PROM DEFENSA DERECHOS'!AV28</f>
        <v>6800</v>
      </c>
      <c r="X25" s="415">
        <f t="shared" si="6"/>
        <v>1308</v>
      </c>
      <c r="Y25" s="416">
        <f t="shared" si="3"/>
        <v>0.19235294117647059</v>
      </c>
      <c r="Z25" s="416">
        <f t="shared" si="4"/>
        <v>4.6056338028169011E-2</v>
      </c>
      <c r="AA25" s="424">
        <f t="shared" si="5"/>
        <v>5.5267605633802811E-3</v>
      </c>
      <c r="AB25" s="816"/>
      <c r="AD25" s="421">
        <f>+'05-POA PROM DEFENSA DERECHOS'!BA28</f>
        <v>0.19235294117647059</v>
      </c>
      <c r="AE25" s="423">
        <f t="shared" si="0"/>
        <v>0</v>
      </c>
      <c r="AG25" s="421">
        <f>+'05-POA PROM DEFENSA DERECHOS'!BE28</f>
        <v>4.6056338028169011E-2</v>
      </c>
      <c r="AH25" s="423">
        <f t="shared" si="1"/>
        <v>0</v>
      </c>
    </row>
    <row r="26" spans="2:34" ht="75">
      <c r="B26" s="767"/>
      <c r="C26" s="770"/>
      <c r="D26" s="31" t="s">
        <v>189</v>
      </c>
      <c r="E26" s="52">
        <v>0.09</v>
      </c>
      <c r="F26" s="139">
        <v>21700</v>
      </c>
      <c r="G26" s="692" t="s">
        <v>156</v>
      </c>
      <c r="H26" s="141" t="s">
        <v>191</v>
      </c>
      <c r="I26" s="142" t="s">
        <v>216</v>
      </c>
      <c r="J26" s="143" t="s">
        <v>707</v>
      </c>
      <c r="K26" s="144">
        <v>6100</v>
      </c>
      <c r="L26" s="144">
        <v>6300</v>
      </c>
      <c r="M26" s="144">
        <v>6300</v>
      </c>
      <c r="N26" s="144">
        <v>3000</v>
      </c>
      <c r="O26" s="413">
        <f>'05-POA PROM DEFENSA DERECHOS'!V29</f>
        <v>1350</v>
      </c>
      <c r="P26" s="413">
        <f>'05-POA PROM DEFENSA DERECHOS'!W29</f>
        <v>1189</v>
      </c>
      <c r="Q26" s="413">
        <f>+'05-POA PROM DEFENSA DERECHOS'!AD29</f>
        <v>1650</v>
      </c>
      <c r="R26" s="418">
        <f>+'05-POA PROM DEFENSA DERECHOS'!AE29</f>
        <v>0</v>
      </c>
      <c r="S26" s="413">
        <f>+'05-POA PROM DEFENSA DERECHOS'!AL29</f>
        <v>1650</v>
      </c>
      <c r="T26" s="417">
        <f>+'05-POA PROM DEFENSA DERECHOS'!AM29</f>
        <v>0</v>
      </c>
      <c r="U26" s="413">
        <f>+'05-POA PROM DEFENSA DERECHOS'!AT29</f>
        <v>1450</v>
      </c>
      <c r="V26" s="417">
        <f>+'05-POA PROM DEFENSA DERECHOS'!AU29</f>
        <v>0</v>
      </c>
      <c r="W26" s="413">
        <f>+'05-POA PROM DEFENSA DERECHOS'!AV29</f>
        <v>6100</v>
      </c>
      <c r="X26" s="415">
        <f t="shared" si="6"/>
        <v>1189</v>
      </c>
      <c r="Y26" s="416">
        <f t="shared" si="3"/>
        <v>0.19491803278688524</v>
      </c>
      <c r="Z26" s="416">
        <f t="shared" si="4"/>
        <v>5.4792626728110597E-2</v>
      </c>
      <c r="AA26" s="424">
        <f t="shared" si="5"/>
        <v>4.9313364055299539E-3</v>
      </c>
      <c r="AB26" s="816"/>
      <c r="AD26" s="421">
        <f>+'05-POA PROM DEFENSA DERECHOS'!BA29</f>
        <v>0.19491803278688524</v>
      </c>
      <c r="AE26" s="423">
        <f t="shared" si="0"/>
        <v>0</v>
      </c>
      <c r="AG26" s="421">
        <f>+'05-POA PROM DEFENSA DERECHOS'!BE29</f>
        <v>5.4792626728110597E-2</v>
      </c>
      <c r="AH26" s="423">
        <f t="shared" si="1"/>
        <v>0</v>
      </c>
    </row>
    <row r="27" spans="2:34" ht="60">
      <c r="B27" s="767"/>
      <c r="C27" s="770"/>
      <c r="D27" s="31" t="s">
        <v>688</v>
      </c>
      <c r="E27" s="678">
        <v>0.02</v>
      </c>
      <c r="F27" s="139">
        <v>4200</v>
      </c>
      <c r="G27" s="692" t="s">
        <v>156</v>
      </c>
      <c r="H27" s="141" t="s">
        <v>192</v>
      </c>
      <c r="I27" s="142" t="s">
        <v>216</v>
      </c>
      <c r="J27" s="146" t="s">
        <v>708</v>
      </c>
      <c r="K27" s="144">
        <v>1200</v>
      </c>
      <c r="L27" s="144">
        <v>1200</v>
      </c>
      <c r="M27" s="144">
        <v>1200</v>
      </c>
      <c r="N27" s="144">
        <v>600</v>
      </c>
      <c r="O27" s="413">
        <f>'05-POA PROM DEFENSA DERECHOS'!V30</f>
        <v>100</v>
      </c>
      <c r="P27" s="413">
        <f>'05-POA PROM DEFENSA DERECHOS'!W30</f>
        <v>264</v>
      </c>
      <c r="Q27" s="413">
        <f>+'05-POA PROM DEFENSA DERECHOS'!AD30</f>
        <v>390</v>
      </c>
      <c r="R27" s="418">
        <f>+'05-POA PROM DEFENSA DERECHOS'!AE30</f>
        <v>0</v>
      </c>
      <c r="S27" s="413">
        <f>+'05-POA PROM DEFENSA DERECHOS'!AL30</f>
        <v>390</v>
      </c>
      <c r="T27" s="417">
        <f>+'05-POA PROM DEFENSA DERECHOS'!AM30</f>
        <v>0</v>
      </c>
      <c r="U27" s="413">
        <f>+'05-POA PROM DEFENSA DERECHOS'!AT30</f>
        <v>320</v>
      </c>
      <c r="V27" s="417">
        <f>+'05-POA PROM DEFENSA DERECHOS'!AU30</f>
        <v>0</v>
      </c>
      <c r="W27" s="413">
        <f>+'05-POA PROM DEFENSA DERECHOS'!AV30</f>
        <v>1200</v>
      </c>
      <c r="X27" s="415">
        <f t="shared" si="6"/>
        <v>264</v>
      </c>
      <c r="Y27" s="416">
        <f t="shared" si="3"/>
        <v>0.22</v>
      </c>
      <c r="Z27" s="416">
        <f t="shared" si="4"/>
        <v>6.2857142857142861E-2</v>
      </c>
      <c r="AA27" s="424">
        <f t="shared" si="5"/>
        <v>1.2571428571428573E-3</v>
      </c>
      <c r="AB27" s="816"/>
      <c r="AD27" s="421">
        <f>+'05-POA PROM DEFENSA DERECHOS'!BA30</f>
        <v>0.22</v>
      </c>
      <c r="AE27" s="423">
        <f t="shared" si="0"/>
        <v>0</v>
      </c>
      <c r="AG27" s="421">
        <f>+'05-POA PROM DEFENSA DERECHOS'!BE30</f>
        <v>6.2857142857142861E-2</v>
      </c>
      <c r="AH27" s="423">
        <f t="shared" si="1"/>
        <v>0</v>
      </c>
    </row>
    <row r="28" spans="2:34" ht="120" customHeight="1">
      <c r="B28" s="767"/>
      <c r="C28" s="770"/>
      <c r="D28" s="31" t="s">
        <v>193</v>
      </c>
      <c r="E28" s="147">
        <v>0.01</v>
      </c>
      <c r="F28" s="139">
        <v>4322</v>
      </c>
      <c r="G28" s="692" t="s">
        <v>156</v>
      </c>
      <c r="H28" s="141" t="s">
        <v>195</v>
      </c>
      <c r="I28" s="31" t="s">
        <v>216</v>
      </c>
      <c r="J28" s="148" t="s">
        <v>709</v>
      </c>
      <c r="K28" s="144">
        <v>1092</v>
      </c>
      <c r="L28" s="144">
        <v>1092</v>
      </c>
      <c r="M28" s="144">
        <v>1092</v>
      </c>
      <c r="N28" s="144">
        <v>1046</v>
      </c>
      <c r="O28" s="413">
        <f>'05-POA PROM DEFENSA DERECHOS'!V31</f>
        <v>196</v>
      </c>
      <c r="P28" s="413">
        <f>'05-POA PROM DEFENSA DERECHOS'!W31</f>
        <v>642</v>
      </c>
      <c r="Q28" s="413">
        <f>+'05-POA PROM DEFENSA DERECHOS'!AD31</f>
        <v>327</v>
      </c>
      <c r="R28" s="418">
        <f>+'05-POA PROM DEFENSA DERECHOS'!AE31</f>
        <v>0</v>
      </c>
      <c r="S28" s="413">
        <f>+'05-POA PROM DEFENSA DERECHOS'!AL31</f>
        <v>327</v>
      </c>
      <c r="T28" s="417">
        <f>+'05-POA PROM DEFENSA DERECHOS'!AM31</f>
        <v>0</v>
      </c>
      <c r="U28" s="413">
        <f>+'05-POA PROM DEFENSA DERECHOS'!AT31</f>
        <v>242</v>
      </c>
      <c r="V28" s="417">
        <f>+'05-POA PROM DEFENSA DERECHOS'!AU31</f>
        <v>0</v>
      </c>
      <c r="W28" s="413">
        <f>+'05-POA PROM DEFENSA DERECHOS'!AV31</f>
        <v>1092</v>
      </c>
      <c r="X28" s="415">
        <f t="shared" si="6"/>
        <v>642</v>
      </c>
      <c r="Y28" s="416">
        <f t="shared" si="3"/>
        <v>0.58791208791208793</v>
      </c>
      <c r="Z28" s="416">
        <f t="shared" si="4"/>
        <v>0.14854234150856085</v>
      </c>
      <c r="AA28" s="424">
        <f t="shared" si="5"/>
        <v>1.4854234150856085E-3</v>
      </c>
      <c r="AB28" s="816"/>
      <c r="AD28" s="421">
        <f>+'05-POA PROM DEFENSA DERECHOS'!BA31</f>
        <v>0.58791208791208793</v>
      </c>
      <c r="AE28" s="423">
        <f t="shared" si="0"/>
        <v>0</v>
      </c>
      <c r="AG28" s="421">
        <f>+'05-POA PROM DEFENSA DERECHOS'!BE31</f>
        <v>0.14854234150856085</v>
      </c>
      <c r="AH28" s="423">
        <f t="shared" si="1"/>
        <v>0</v>
      </c>
    </row>
    <row r="29" spans="2:34" ht="105">
      <c r="B29" s="767"/>
      <c r="C29" s="771"/>
      <c r="D29" s="31" t="s">
        <v>194</v>
      </c>
      <c r="E29" s="147">
        <v>0.01</v>
      </c>
      <c r="F29" s="139">
        <v>666</v>
      </c>
      <c r="G29" s="692" t="s">
        <v>156</v>
      </c>
      <c r="H29" s="141" t="s">
        <v>196</v>
      </c>
      <c r="I29" s="31" t="s">
        <v>216</v>
      </c>
      <c r="J29" s="148" t="s">
        <v>710</v>
      </c>
      <c r="K29" s="144">
        <v>182</v>
      </c>
      <c r="L29" s="144">
        <v>182</v>
      </c>
      <c r="M29" s="144">
        <v>182</v>
      </c>
      <c r="N29" s="144">
        <v>120</v>
      </c>
      <c r="O29" s="413">
        <f>'05-POA PROM DEFENSA DERECHOS'!V32</f>
        <v>41</v>
      </c>
      <c r="P29" s="413">
        <f>'05-POA PROM DEFENSA DERECHOS'!W32</f>
        <v>64</v>
      </c>
      <c r="Q29" s="413">
        <f>+'05-POA PROM DEFENSA DERECHOS'!AD32</f>
        <v>51</v>
      </c>
      <c r="R29" s="418">
        <f>+'05-POA PROM DEFENSA DERECHOS'!AE32</f>
        <v>0</v>
      </c>
      <c r="S29" s="413">
        <f>+'05-POA PROM DEFENSA DERECHOS'!AL32</f>
        <v>51</v>
      </c>
      <c r="T29" s="417">
        <f>+'05-POA PROM DEFENSA DERECHOS'!AM32</f>
        <v>0</v>
      </c>
      <c r="U29" s="413">
        <f>+'05-POA PROM DEFENSA DERECHOS'!AT32</f>
        <v>39</v>
      </c>
      <c r="V29" s="417">
        <f>+'05-POA PROM DEFENSA DERECHOS'!AU32</f>
        <v>0</v>
      </c>
      <c r="W29" s="413">
        <f>+'05-POA PROM DEFENSA DERECHOS'!AV32</f>
        <v>182</v>
      </c>
      <c r="X29" s="415">
        <f t="shared" si="6"/>
        <v>64</v>
      </c>
      <c r="Y29" s="416">
        <f t="shared" si="3"/>
        <v>0.35164835164835168</v>
      </c>
      <c r="Z29" s="416">
        <f t="shared" si="4"/>
        <v>9.6096096096096095E-2</v>
      </c>
      <c r="AA29" s="424">
        <f t="shared" si="5"/>
        <v>9.6096096096096094E-4</v>
      </c>
      <c r="AB29" s="817"/>
      <c r="AD29" s="421">
        <f>+'05-POA PROM DEFENSA DERECHOS'!BA32</f>
        <v>0.35164835164835168</v>
      </c>
      <c r="AE29" s="423">
        <f t="shared" si="0"/>
        <v>0</v>
      </c>
      <c r="AG29" s="421">
        <f>+'05-POA PROM DEFENSA DERECHOS'!BE32</f>
        <v>9.6096096096096095E-2</v>
      </c>
      <c r="AH29" s="423">
        <f t="shared" si="1"/>
        <v>0</v>
      </c>
    </row>
    <row r="30" spans="2:34" ht="90" customHeight="1">
      <c r="B30" s="767"/>
      <c r="C30" s="769" t="s">
        <v>133</v>
      </c>
      <c r="D30" s="31" t="s">
        <v>197</v>
      </c>
      <c r="E30" s="679">
        <v>0.56000000000000005</v>
      </c>
      <c r="F30" s="139">
        <v>20</v>
      </c>
      <c r="G30" s="692" t="s">
        <v>156</v>
      </c>
      <c r="H30" s="141" t="s">
        <v>198</v>
      </c>
      <c r="I30" s="149" t="s">
        <v>216</v>
      </c>
      <c r="J30" s="150" t="s">
        <v>711</v>
      </c>
      <c r="K30" s="144">
        <v>2</v>
      </c>
      <c r="L30" s="144">
        <v>8</v>
      </c>
      <c r="M30" s="144">
        <v>8</v>
      </c>
      <c r="N30" s="144">
        <v>2</v>
      </c>
      <c r="O30" s="413">
        <f>'05-POA PROM DEFENSA DERECHOS'!V33</f>
        <v>0</v>
      </c>
      <c r="P30" s="413">
        <f>'05-POA PROM DEFENSA DERECHOS'!W33</f>
        <v>0</v>
      </c>
      <c r="Q30" s="413">
        <f>+'05-POA PROM DEFENSA DERECHOS'!AD33</f>
        <v>0</v>
      </c>
      <c r="R30" s="418">
        <f>+'05-POA PROM DEFENSA DERECHOS'!AE33</f>
        <v>0</v>
      </c>
      <c r="S30" s="413">
        <f>+'05-POA PROM DEFENSA DERECHOS'!AL33</f>
        <v>2</v>
      </c>
      <c r="T30" s="417">
        <f>+'05-POA PROM DEFENSA DERECHOS'!AM33</f>
        <v>0</v>
      </c>
      <c r="U30" s="413">
        <f>+'05-POA PROM DEFENSA DERECHOS'!AT33</f>
        <v>0</v>
      </c>
      <c r="V30" s="417">
        <f>+'05-POA PROM DEFENSA DERECHOS'!AU33</f>
        <v>0</v>
      </c>
      <c r="W30" s="413">
        <f>+'05-POA PROM DEFENSA DERECHOS'!AV33</f>
        <v>2</v>
      </c>
      <c r="X30" s="415">
        <f t="shared" si="6"/>
        <v>0</v>
      </c>
      <c r="Y30" s="416">
        <f t="shared" si="3"/>
        <v>0</v>
      </c>
      <c r="Z30" s="416">
        <f t="shared" si="4"/>
        <v>0</v>
      </c>
      <c r="AA30" s="424">
        <f t="shared" si="5"/>
        <v>0</v>
      </c>
      <c r="AB30" s="815">
        <f>+AA30+AA31+AA32+AA33</f>
        <v>0</v>
      </c>
      <c r="AD30" s="421">
        <f>+'05-POA PROM DEFENSA DERECHOS'!BA33</f>
        <v>0</v>
      </c>
      <c r="AE30" s="423">
        <f t="shared" si="0"/>
        <v>0</v>
      </c>
      <c r="AG30" s="421">
        <f>+'05-POA PROM DEFENSA DERECHOS'!BE33</f>
        <v>0</v>
      </c>
      <c r="AH30" s="423">
        <f t="shared" si="1"/>
        <v>0</v>
      </c>
    </row>
    <row r="31" spans="2:34" ht="92.25" customHeight="1">
      <c r="B31" s="767"/>
      <c r="C31" s="770"/>
      <c r="D31" s="31" t="s">
        <v>199</v>
      </c>
      <c r="E31" s="52">
        <v>0.31</v>
      </c>
      <c r="F31" s="139">
        <v>11</v>
      </c>
      <c r="G31" s="692" t="s">
        <v>156</v>
      </c>
      <c r="H31" s="141" t="s">
        <v>200</v>
      </c>
      <c r="I31" s="142" t="s">
        <v>216</v>
      </c>
      <c r="J31" s="143" t="s">
        <v>711</v>
      </c>
      <c r="K31" s="144">
        <v>3</v>
      </c>
      <c r="L31" s="144">
        <v>3</v>
      </c>
      <c r="M31" s="144">
        <v>3</v>
      </c>
      <c r="N31" s="144">
        <v>2</v>
      </c>
      <c r="O31" s="413">
        <f>'05-POA PROM DEFENSA DERECHOS'!V34</f>
        <v>0</v>
      </c>
      <c r="P31" s="413">
        <f>'05-POA PROM DEFENSA DERECHOS'!W34</f>
        <v>0</v>
      </c>
      <c r="Q31" s="413">
        <f>+'05-POA PROM DEFENSA DERECHOS'!AD34</f>
        <v>1</v>
      </c>
      <c r="R31" s="418">
        <f>+'05-POA PROM DEFENSA DERECHOS'!AE34</f>
        <v>0</v>
      </c>
      <c r="S31" s="413">
        <f>+'05-POA PROM DEFENSA DERECHOS'!AL34</f>
        <v>2</v>
      </c>
      <c r="T31" s="417">
        <f>+'05-POA PROM DEFENSA DERECHOS'!AM34</f>
        <v>0</v>
      </c>
      <c r="U31" s="413">
        <f>+'05-POA PROM DEFENSA DERECHOS'!AT34</f>
        <v>0</v>
      </c>
      <c r="V31" s="417">
        <f>+'05-POA PROM DEFENSA DERECHOS'!AU34</f>
        <v>0</v>
      </c>
      <c r="W31" s="413">
        <f>+'05-POA PROM DEFENSA DERECHOS'!AV34</f>
        <v>3</v>
      </c>
      <c r="X31" s="415">
        <f t="shared" si="6"/>
        <v>0</v>
      </c>
      <c r="Y31" s="416">
        <f t="shared" si="3"/>
        <v>0</v>
      </c>
      <c r="Z31" s="416">
        <f t="shared" si="4"/>
        <v>0</v>
      </c>
      <c r="AA31" s="424">
        <f t="shared" si="5"/>
        <v>0</v>
      </c>
      <c r="AB31" s="816"/>
      <c r="AD31" s="421">
        <f>+'05-POA PROM DEFENSA DERECHOS'!BA34</f>
        <v>0</v>
      </c>
      <c r="AE31" s="423">
        <f t="shared" si="0"/>
        <v>0</v>
      </c>
      <c r="AG31" s="421">
        <f>+'05-POA PROM DEFENSA DERECHOS'!BE34</f>
        <v>0</v>
      </c>
      <c r="AH31" s="423">
        <f t="shared" si="1"/>
        <v>0</v>
      </c>
    </row>
    <row r="32" spans="2:34" ht="83.25" customHeight="1">
      <c r="B32" s="767"/>
      <c r="C32" s="770"/>
      <c r="D32" s="31" t="s">
        <v>201</v>
      </c>
      <c r="E32" s="52">
        <v>0.11</v>
      </c>
      <c r="F32" s="139">
        <v>4</v>
      </c>
      <c r="G32" s="692" t="s">
        <v>156</v>
      </c>
      <c r="H32" s="141" t="s">
        <v>203</v>
      </c>
      <c r="I32" s="142" t="s">
        <v>216</v>
      </c>
      <c r="J32" s="143" t="s">
        <v>711</v>
      </c>
      <c r="K32" s="144">
        <v>1</v>
      </c>
      <c r="L32" s="144">
        <v>1</v>
      </c>
      <c r="M32" s="144">
        <v>1</v>
      </c>
      <c r="N32" s="144">
        <v>1</v>
      </c>
      <c r="O32" s="413">
        <f>'05-POA PROM DEFENSA DERECHOS'!V35</f>
        <v>0</v>
      </c>
      <c r="P32" s="413">
        <f>'05-POA PROM DEFENSA DERECHOS'!W35</f>
        <v>0</v>
      </c>
      <c r="Q32" s="413">
        <f>+'05-POA PROM DEFENSA DERECHOS'!AD35</f>
        <v>0</v>
      </c>
      <c r="R32" s="418">
        <f>+'05-POA PROM DEFENSA DERECHOS'!AE35</f>
        <v>0</v>
      </c>
      <c r="S32" s="413">
        <f>+'05-POA PROM DEFENSA DERECHOS'!AL35</f>
        <v>1</v>
      </c>
      <c r="T32" s="417">
        <f>+'05-POA PROM DEFENSA DERECHOS'!AM35</f>
        <v>0</v>
      </c>
      <c r="U32" s="413">
        <f>+'05-POA PROM DEFENSA DERECHOS'!AT35</f>
        <v>0</v>
      </c>
      <c r="V32" s="417">
        <f>+'05-POA PROM DEFENSA DERECHOS'!AU35</f>
        <v>0</v>
      </c>
      <c r="W32" s="413">
        <f>+'05-POA PROM DEFENSA DERECHOS'!AV35</f>
        <v>1</v>
      </c>
      <c r="X32" s="415">
        <f t="shared" si="6"/>
        <v>0</v>
      </c>
      <c r="Y32" s="416">
        <f t="shared" si="3"/>
        <v>0</v>
      </c>
      <c r="Z32" s="416">
        <f t="shared" si="4"/>
        <v>0</v>
      </c>
      <c r="AA32" s="424">
        <f t="shared" si="5"/>
        <v>0</v>
      </c>
      <c r="AB32" s="816"/>
      <c r="AD32" s="421">
        <f>+'05-POA PROM DEFENSA DERECHOS'!BA35</f>
        <v>0</v>
      </c>
      <c r="AE32" s="423">
        <f t="shared" si="0"/>
        <v>0</v>
      </c>
      <c r="AG32" s="421">
        <f>+'05-POA PROM DEFENSA DERECHOS'!BE35</f>
        <v>0</v>
      </c>
      <c r="AH32" s="423">
        <f t="shared" si="1"/>
        <v>0</v>
      </c>
    </row>
    <row r="33" spans="2:34" ht="111.6" customHeight="1">
      <c r="B33" s="768"/>
      <c r="C33" s="771"/>
      <c r="D33" s="31" t="s">
        <v>202</v>
      </c>
      <c r="E33" s="52">
        <v>0.02</v>
      </c>
      <c r="F33" s="139">
        <v>1</v>
      </c>
      <c r="G33" s="692" t="s">
        <v>156</v>
      </c>
      <c r="H33" s="141" t="s">
        <v>278</v>
      </c>
      <c r="I33" s="142" t="s">
        <v>216</v>
      </c>
      <c r="J33" s="143" t="s">
        <v>705</v>
      </c>
      <c r="K33" s="144">
        <v>0</v>
      </c>
      <c r="L33" s="144">
        <v>1</v>
      </c>
      <c r="M33" s="144">
        <v>0</v>
      </c>
      <c r="N33" s="144">
        <v>0</v>
      </c>
      <c r="O33" s="413">
        <f>'05-POA PROM DEFENSA DERECHOS'!V36</f>
        <v>0</v>
      </c>
      <c r="P33" s="413">
        <f>'05-POA PROM DEFENSA DERECHOS'!W36</f>
        <v>0</v>
      </c>
      <c r="Q33" s="413">
        <f>+'05-POA PROM DEFENSA DERECHOS'!AD36</f>
        <v>0</v>
      </c>
      <c r="R33" s="418">
        <f>+'05-POA PROM DEFENSA DERECHOS'!AE36</f>
        <v>0</v>
      </c>
      <c r="S33" s="413">
        <f>+'05-POA PROM DEFENSA DERECHOS'!AL36</f>
        <v>0</v>
      </c>
      <c r="T33" s="417">
        <f>+'05-POA PROM DEFENSA DERECHOS'!AM36</f>
        <v>0</v>
      </c>
      <c r="U33" s="413">
        <f>+'05-POA PROM DEFENSA DERECHOS'!AT36</f>
        <v>0</v>
      </c>
      <c r="V33" s="417">
        <f>+'05-POA PROM DEFENSA DERECHOS'!AU36</f>
        <v>0</v>
      </c>
      <c r="W33" s="413">
        <f>+'05-POA PROM DEFENSA DERECHOS'!AV36</f>
        <v>0</v>
      </c>
      <c r="X33" s="415">
        <f t="shared" si="6"/>
        <v>0</v>
      </c>
      <c r="Y33" s="416">
        <f t="shared" si="3"/>
        <v>0</v>
      </c>
      <c r="Z33" s="416">
        <f t="shared" si="4"/>
        <v>0</v>
      </c>
      <c r="AA33" s="424">
        <f t="shared" si="5"/>
        <v>0</v>
      </c>
      <c r="AB33" s="817"/>
      <c r="AD33" s="421">
        <f>+'05-POA PROM DEFENSA DERECHOS'!BA36</f>
        <v>0</v>
      </c>
      <c r="AE33" s="423">
        <f t="shared" si="0"/>
        <v>0</v>
      </c>
      <c r="AG33" s="421">
        <f>+'05-POA PROM DEFENSA DERECHOS'!BE36</f>
        <v>0</v>
      </c>
      <c r="AH33" s="423">
        <f t="shared" si="1"/>
        <v>0</v>
      </c>
    </row>
    <row r="34" spans="2:34" ht="102" customHeight="1">
      <c r="B34" s="778" t="s">
        <v>134</v>
      </c>
      <c r="C34" s="761" t="s">
        <v>135</v>
      </c>
      <c r="D34" s="151" t="s">
        <v>204</v>
      </c>
      <c r="E34" s="152">
        <f>0.727272727272727*100%</f>
        <v>0.72727272727272696</v>
      </c>
      <c r="F34" s="153">
        <v>16</v>
      </c>
      <c r="G34" s="154" t="s">
        <v>156</v>
      </c>
      <c r="H34" s="155" t="s">
        <v>206</v>
      </c>
      <c r="I34" s="156" t="s">
        <v>286</v>
      </c>
      <c r="J34" s="157" t="s">
        <v>287</v>
      </c>
      <c r="K34" s="158">
        <v>3</v>
      </c>
      <c r="L34" s="158">
        <v>6</v>
      </c>
      <c r="M34" s="158">
        <v>6</v>
      </c>
      <c r="N34" s="158">
        <v>1</v>
      </c>
      <c r="O34" s="419">
        <f>+'06-PREV CTRL FUN PÚBLICA'!V16</f>
        <v>0</v>
      </c>
      <c r="P34" s="419">
        <f>+'06-PREV CTRL FUN PÚBLICA'!W16</f>
        <v>0</v>
      </c>
      <c r="Q34" s="419">
        <f>+'06-PREV CTRL FUN PÚBLICA'!AD16</f>
        <v>0</v>
      </c>
      <c r="R34" s="435">
        <f>+'06-PREV CTRL FUN PÚBLICA'!AE16</f>
        <v>0</v>
      </c>
      <c r="S34" s="419">
        <f>+'06-PREV CTRL FUN PÚBLICA'!AL16</f>
        <v>2</v>
      </c>
      <c r="T34" s="435">
        <f>+'06-PREV CTRL FUN PÚBLICA'!AM16</f>
        <v>0</v>
      </c>
      <c r="U34" s="419">
        <f>+'06-PREV CTRL FUN PÚBLICA'!AT16</f>
        <v>1</v>
      </c>
      <c r="V34" s="435">
        <f>+'06-PREV CTRL FUN PÚBLICA'!AU16</f>
        <v>0</v>
      </c>
      <c r="W34" s="419">
        <f>+'06-PREV CTRL FUN PÚBLICA'!AV16</f>
        <v>3</v>
      </c>
      <c r="X34" s="426">
        <f t="shared" si="6"/>
        <v>0</v>
      </c>
      <c r="Y34" s="429">
        <f>IF(AND(X34&gt;0,$W34&gt;0),X34/$W34,0)</f>
        <v>0</v>
      </c>
      <c r="Z34" s="429">
        <f>IF(AND(X34&gt;0,$F34&gt;0),X34/$F34,0)</f>
        <v>0</v>
      </c>
      <c r="AA34" s="430">
        <f>IF(AND(Z34&gt;0,E34&gt;0),Z34*E34,0)</f>
        <v>0</v>
      </c>
      <c r="AB34" s="812">
        <f>+AA34+AA35+AA36+AA37+AA38+AA39+AA40</f>
        <v>0.17224576271186448</v>
      </c>
      <c r="AD34" s="421">
        <f>+'06-PREV CTRL FUN PÚBLICA'!BA16</f>
        <v>0</v>
      </c>
      <c r="AE34" s="423">
        <f t="shared" si="0"/>
        <v>0</v>
      </c>
      <c r="AG34" s="421">
        <f>+'06-PREV CTRL FUN PÚBLICA'!BE16</f>
        <v>0</v>
      </c>
      <c r="AH34" s="423">
        <f t="shared" si="1"/>
        <v>0</v>
      </c>
    </row>
    <row r="35" spans="2:34" ht="120" customHeight="1">
      <c r="B35" s="779"/>
      <c r="C35" s="763"/>
      <c r="D35" s="151" t="s">
        <v>205</v>
      </c>
      <c r="E35" s="152">
        <f>0.272727272727273*100%</f>
        <v>0.27272727272727298</v>
      </c>
      <c r="F35" s="153">
        <v>6</v>
      </c>
      <c r="G35" s="154" t="s">
        <v>156</v>
      </c>
      <c r="H35" s="155" t="s">
        <v>283</v>
      </c>
      <c r="I35" s="156" t="s">
        <v>286</v>
      </c>
      <c r="J35" s="157" t="s">
        <v>287</v>
      </c>
      <c r="K35" s="158">
        <v>1</v>
      </c>
      <c r="L35" s="158">
        <v>1</v>
      </c>
      <c r="M35" s="158">
        <v>3</v>
      </c>
      <c r="N35" s="158">
        <v>1</v>
      </c>
      <c r="O35" s="419">
        <f>+'06-PREV CTRL FUN PÚBLICA'!V17</f>
        <v>1</v>
      </c>
      <c r="P35" s="419">
        <f>+'06-PREV CTRL FUN PÚBLICA'!W17</f>
        <v>1</v>
      </c>
      <c r="Q35" s="419">
        <f>+'06-PREV CTRL FUN PÚBLICA'!AD17</f>
        <v>0</v>
      </c>
      <c r="R35" s="435">
        <f>+'06-PREV CTRL FUN PÚBLICA'!AE17</f>
        <v>0</v>
      </c>
      <c r="S35" s="419">
        <f>+'06-PREV CTRL FUN PÚBLICA'!AL17</f>
        <v>0</v>
      </c>
      <c r="T35" s="435">
        <f>+'06-PREV CTRL FUN PÚBLICA'!AM17</f>
        <v>0</v>
      </c>
      <c r="U35" s="419">
        <f>+'06-PREV CTRL FUN PÚBLICA'!AT17</f>
        <v>0</v>
      </c>
      <c r="V35" s="435">
        <f>+'06-PREV CTRL FUN PÚBLICA'!AU17</f>
        <v>0</v>
      </c>
      <c r="W35" s="419">
        <f>+'06-PREV CTRL FUN PÚBLICA'!AV17</f>
        <v>1</v>
      </c>
      <c r="X35" s="426">
        <f t="shared" si="6"/>
        <v>1</v>
      </c>
      <c r="Y35" s="429">
        <f>IF(AND(X35&gt;0,$W35&gt;0),X35/$W35,0)</f>
        <v>1</v>
      </c>
      <c r="Z35" s="429">
        <f t="shared" ref="Z35:Z49" si="7">IF(AND(X35&gt;0,$F35&gt;0),X35/$F35,0)</f>
        <v>0.16666666666666666</v>
      </c>
      <c r="AA35" s="430">
        <f t="shared" ref="AA35:AA39" si="8">IF(AND(Z35&gt;0,E35&gt;0),Z35*E35,0)</f>
        <v>4.5454545454545497E-2</v>
      </c>
      <c r="AB35" s="813"/>
      <c r="AD35" s="421">
        <f>+'06-PREV CTRL FUN PÚBLICA'!BA17</f>
        <v>1</v>
      </c>
      <c r="AE35" s="423">
        <f t="shared" si="0"/>
        <v>0</v>
      </c>
      <c r="AG35" s="421">
        <f>+'06-PREV CTRL FUN PÚBLICA'!BE17</f>
        <v>0.16666666666666666</v>
      </c>
      <c r="AH35" s="423">
        <f t="shared" si="1"/>
        <v>0</v>
      </c>
    </row>
    <row r="36" spans="2:34" ht="100.5" customHeight="1">
      <c r="B36" s="779"/>
      <c r="C36" s="761" t="s">
        <v>136</v>
      </c>
      <c r="D36" s="151" t="s">
        <v>208</v>
      </c>
      <c r="E36" s="152">
        <f>+F36/880</f>
        <v>0.89772727272727271</v>
      </c>
      <c r="F36" s="153">
        <v>790</v>
      </c>
      <c r="G36" s="154" t="s">
        <v>156</v>
      </c>
      <c r="H36" s="155" t="s">
        <v>316</v>
      </c>
      <c r="I36" s="156" t="s">
        <v>286</v>
      </c>
      <c r="J36" s="157" t="s">
        <v>287</v>
      </c>
      <c r="K36" s="158">
        <v>200</v>
      </c>
      <c r="L36" s="158">
        <v>259</v>
      </c>
      <c r="M36" s="158">
        <v>259</v>
      </c>
      <c r="N36" s="158">
        <v>72</v>
      </c>
      <c r="O36" s="419">
        <f>+'06-PREV CTRL FUN PÚBLICA'!V18</f>
        <v>13</v>
      </c>
      <c r="P36" s="419">
        <f>+'06-PREV CTRL FUN PÚBLICA'!W18</f>
        <v>37</v>
      </c>
      <c r="Q36" s="419">
        <f>+'06-PREV CTRL FUN PÚBLICA'!AD18</f>
        <v>70</v>
      </c>
      <c r="R36" s="435">
        <f>+'06-PREV CTRL FUN PÚBLICA'!AE18</f>
        <v>0</v>
      </c>
      <c r="S36" s="419">
        <f>+'06-PREV CTRL FUN PÚBLICA'!AL18</f>
        <v>72</v>
      </c>
      <c r="T36" s="435">
        <f>+'06-PREV CTRL FUN PÚBLICA'!AM18</f>
        <v>0</v>
      </c>
      <c r="U36" s="419">
        <f>+'06-PREV CTRL FUN PÚBLICA'!AT18</f>
        <v>45</v>
      </c>
      <c r="V36" s="435">
        <f>+'06-PREV CTRL FUN PÚBLICA'!AU18</f>
        <v>0</v>
      </c>
      <c r="W36" s="419">
        <f>+'06-PREV CTRL FUN PÚBLICA'!AV18</f>
        <v>200</v>
      </c>
      <c r="X36" s="426">
        <f t="shared" si="6"/>
        <v>37</v>
      </c>
      <c r="Y36" s="429">
        <f t="shared" ref="Y36:Y39" si="9">IF(AND(X36&gt;0,$W36&gt;0),X36/$W36,0)</f>
        <v>0.185</v>
      </c>
      <c r="Z36" s="429">
        <f t="shared" si="7"/>
        <v>4.6835443037974683E-2</v>
      </c>
      <c r="AA36" s="430">
        <f t="shared" si="8"/>
        <v>4.2045454545454546E-2</v>
      </c>
      <c r="AB36" s="813"/>
      <c r="AD36" s="421">
        <f>+'06-PREV CTRL FUN PÚBLICA'!BA18</f>
        <v>0.185</v>
      </c>
      <c r="AE36" s="423">
        <f t="shared" si="0"/>
        <v>0</v>
      </c>
      <c r="AG36" s="421">
        <f>+'06-PREV CTRL FUN PÚBLICA'!BE18</f>
        <v>4.6835443037974683E-2</v>
      </c>
      <c r="AH36" s="423">
        <f t="shared" si="1"/>
        <v>0</v>
      </c>
    </row>
    <row r="37" spans="2:34" ht="100.5" customHeight="1">
      <c r="B37" s="779"/>
      <c r="C37" s="763"/>
      <c r="D37" s="151" t="s">
        <v>207</v>
      </c>
      <c r="E37" s="152">
        <f>+F37/880</f>
        <v>0.10227272727272728</v>
      </c>
      <c r="F37" s="153">
        <v>90</v>
      </c>
      <c r="G37" s="154" t="s">
        <v>156</v>
      </c>
      <c r="H37" s="155" t="s">
        <v>317</v>
      </c>
      <c r="I37" s="156" t="s">
        <v>286</v>
      </c>
      <c r="J37" s="157" t="s">
        <v>287</v>
      </c>
      <c r="K37" s="158">
        <v>20</v>
      </c>
      <c r="L37" s="158">
        <v>30</v>
      </c>
      <c r="M37" s="158">
        <v>30</v>
      </c>
      <c r="N37" s="158">
        <v>10</v>
      </c>
      <c r="O37" s="419">
        <f>+'06-PREV CTRL FUN PÚBLICA'!V19</f>
        <v>0</v>
      </c>
      <c r="P37" s="419">
        <f>+'06-PREV CTRL FUN PÚBLICA'!W19</f>
        <v>0</v>
      </c>
      <c r="Q37" s="419">
        <f>+'06-PREV CTRL FUN PÚBLICA'!AD19</f>
        <v>4</v>
      </c>
      <c r="R37" s="435">
        <f>+'06-PREV CTRL FUN PÚBLICA'!AE19</f>
        <v>0</v>
      </c>
      <c r="S37" s="419">
        <f>+'06-PREV CTRL FUN PÚBLICA'!AL19</f>
        <v>8</v>
      </c>
      <c r="T37" s="435">
        <f>+'06-PREV CTRL FUN PÚBLICA'!AM19</f>
        <v>0</v>
      </c>
      <c r="U37" s="419">
        <f>+'06-PREV CTRL FUN PÚBLICA'!AT19</f>
        <v>8</v>
      </c>
      <c r="V37" s="435">
        <f>+'06-PREV CTRL FUN PÚBLICA'!AU19</f>
        <v>0</v>
      </c>
      <c r="W37" s="419">
        <f>+'06-PREV CTRL FUN PÚBLICA'!AV19</f>
        <v>20</v>
      </c>
      <c r="X37" s="426">
        <f t="shared" si="6"/>
        <v>0</v>
      </c>
      <c r="Y37" s="429">
        <f t="shared" si="9"/>
        <v>0</v>
      </c>
      <c r="Z37" s="429">
        <f t="shared" si="7"/>
        <v>0</v>
      </c>
      <c r="AA37" s="430">
        <f t="shared" si="8"/>
        <v>0</v>
      </c>
      <c r="AB37" s="813"/>
      <c r="AD37" s="421">
        <f>+'06-PREV CTRL FUN PÚBLICA'!BA19</f>
        <v>0</v>
      </c>
      <c r="AE37" s="423">
        <f t="shared" si="0"/>
        <v>0</v>
      </c>
      <c r="AG37" s="421">
        <f>+'06-PREV CTRL FUN PÚBLICA'!BE19</f>
        <v>0</v>
      </c>
      <c r="AH37" s="423">
        <f t="shared" si="1"/>
        <v>0</v>
      </c>
    </row>
    <row r="38" spans="2:34" ht="65.25" customHeight="1">
      <c r="B38" s="779"/>
      <c r="C38" s="761" t="s">
        <v>137</v>
      </c>
      <c r="D38" s="151" t="s">
        <v>209</v>
      </c>
      <c r="E38" s="152">
        <f>+F38/295</f>
        <v>0.1864406779661017</v>
      </c>
      <c r="F38" s="153">
        <v>55</v>
      </c>
      <c r="G38" s="154">
        <v>75</v>
      </c>
      <c r="H38" s="155" t="s">
        <v>284</v>
      </c>
      <c r="I38" s="156" t="s">
        <v>286</v>
      </c>
      <c r="J38" s="157" t="s">
        <v>288</v>
      </c>
      <c r="K38" s="158">
        <v>7</v>
      </c>
      <c r="L38" s="158">
        <v>21</v>
      </c>
      <c r="M38" s="158">
        <v>23</v>
      </c>
      <c r="N38" s="158">
        <v>4</v>
      </c>
      <c r="O38" s="419">
        <f>+'06-PREV CTRL FUN PÚBLICA'!V20</f>
        <v>1</v>
      </c>
      <c r="P38" s="419">
        <f>+'06-PREV CTRL FUN PÚBLICA'!W20</f>
        <v>2</v>
      </c>
      <c r="Q38" s="419">
        <f>+'06-PREV CTRL FUN PÚBLICA'!AD20</f>
        <v>3</v>
      </c>
      <c r="R38" s="435">
        <f>+'06-PREV CTRL FUN PÚBLICA'!AE20</f>
        <v>0</v>
      </c>
      <c r="S38" s="419">
        <f>+'06-PREV CTRL FUN PÚBLICA'!AL20</f>
        <v>3</v>
      </c>
      <c r="T38" s="435">
        <f>+'06-PREV CTRL FUN PÚBLICA'!AM20</f>
        <v>0</v>
      </c>
      <c r="U38" s="419">
        <f>+'06-PREV CTRL FUN PÚBLICA'!AT20</f>
        <v>0</v>
      </c>
      <c r="V38" s="435">
        <f>+'06-PREV CTRL FUN PÚBLICA'!AU20</f>
        <v>0</v>
      </c>
      <c r="W38" s="419">
        <f>+'06-PREV CTRL FUN PÚBLICA'!AV20</f>
        <v>7</v>
      </c>
      <c r="X38" s="426">
        <f t="shared" si="6"/>
        <v>2</v>
      </c>
      <c r="Y38" s="429">
        <f t="shared" si="9"/>
        <v>0.2857142857142857</v>
      </c>
      <c r="Z38" s="429">
        <f t="shared" si="7"/>
        <v>3.6363636363636362E-2</v>
      </c>
      <c r="AA38" s="430">
        <f t="shared" si="8"/>
        <v>6.7796610169491523E-3</v>
      </c>
      <c r="AB38" s="813"/>
      <c r="AD38" s="421">
        <f>+'06-PREV CTRL FUN PÚBLICA'!BA20</f>
        <v>0.2857142857142857</v>
      </c>
      <c r="AE38" s="423">
        <f t="shared" si="0"/>
        <v>0</v>
      </c>
      <c r="AG38" s="421">
        <f>+'06-PREV CTRL FUN PÚBLICA'!BE20</f>
        <v>3.6363636363636362E-2</v>
      </c>
      <c r="AH38" s="423">
        <f t="shared" si="1"/>
        <v>0</v>
      </c>
    </row>
    <row r="39" spans="2:34" ht="63.75" customHeight="1">
      <c r="B39" s="779"/>
      <c r="C39" s="762"/>
      <c r="D39" s="151" t="s">
        <v>210</v>
      </c>
      <c r="E39" s="152">
        <f>+F39/295</f>
        <v>0.47457627118644069</v>
      </c>
      <c r="F39" s="153">
        <v>140</v>
      </c>
      <c r="G39" s="154" t="s">
        <v>156</v>
      </c>
      <c r="H39" s="155" t="s">
        <v>285</v>
      </c>
      <c r="I39" s="156" t="s">
        <v>286</v>
      </c>
      <c r="J39" s="157" t="s">
        <v>289</v>
      </c>
      <c r="K39" s="158">
        <v>40</v>
      </c>
      <c r="L39" s="158">
        <v>40</v>
      </c>
      <c r="M39" s="158">
        <v>40</v>
      </c>
      <c r="N39" s="158">
        <v>20</v>
      </c>
      <c r="O39" s="419">
        <f>+'06-PREV CTRL FUN PÚBLICA'!V21</f>
        <v>8</v>
      </c>
      <c r="P39" s="419">
        <f>+'06-PREV CTRL FUN PÚBLICA'!W21</f>
        <v>23</v>
      </c>
      <c r="Q39" s="419">
        <f>+'06-PREV CTRL FUN PÚBLICA'!AD21</f>
        <v>12</v>
      </c>
      <c r="R39" s="435">
        <f>+'06-PREV CTRL FUN PÚBLICA'!AE21</f>
        <v>0</v>
      </c>
      <c r="S39" s="419">
        <f>+'06-PREV CTRL FUN PÚBLICA'!AL21</f>
        <v>12</v>
      </c>
      <c r="T39" s="435">
        <f>+'06-PREV CTRL FUN PÚBLICA'!AM21</f>
        <v>0</v>
      </c>
      <c r="U39" s="419">
        <f>+'06-PREV CTRL FUN PÚBLICA'!AT21</f>
        <v>8</v>
      </c>
      <c r="V39" s="435">
        <f>+'06-PREV CTRL FUN PÚBLICA'!AU21</f>
        <v>0</v>
      </c>
      <c r="W39" s="419">
        <f>+'06-PREV CTRL FUN PÚBLICA'!AV21</f>
        <v>40</v>
      </c>
      <c r="X39" s="426">
        <f t="shared" si="6"/>
        <v>23</v>
      </c>
      <c r="Y39" s="429">
        <f t="shared" si="9"/>
        <v>0.57499999999999996</v>
      </c>
      <c r="Z39" s="429">
        <f t="shared" si="7"/>
        <v>0.16428571428571428</v>
      </c>
      <c r="AA39" s="430">
        <f t="shared" si="8"/>
        <v>7.796610169491526E-2</v>
      </c>
      <c r="AB39" s="813"/>
      <c r="AD39" s="421">
        <f>+'06-PREV CTRL FUN PÚBLICA'!BA21</f>
        <v>0.57499999999999996</v>
      </c>
      <c r="AE39" s="423">
        <f t="shared" si="0"/>
        <v>0</v>
      </c>
      <c r="AG39" s="421">
        <f>+'06-PREV CTRL FUN PÚBLICA'!BE21</f>
        <v>0.16428571428571428</v>
      </c>
      <c r="AH39" s="423">
        <f t="shared" si="1"/>
        <v>0</v>
      </c>
    </row>
    <row r="40" spans="2:34" ht="102" customHeight="1">
      <c r="B40" s="780"/>
      <c r="C40" s="763"/>
      <c r="D40" s="151" t="s">
        <v>211</v>
      </c>
      <c r="E40" s="152">
        <f>+F40/295</f>
        <v>0.33898305084745761</v>
      </c>
      <c r="F40" s="153">
        <v>100</v>
      </c>
      <c r="G40" s="154" t="s">
        <v>156</v>
      </c>
      <c r="H40" s="155" t="s">
        <v>212</v>
      </c>
      <c r="I40" s="156" t="s">
        <v>286</v>
      </c>
      <c r="J40" s="157" t="s">
        <v>290</v>
      </c>
      <c r="K40" s="158">
        <v>20</v>
      </c>
      <c r="L40" s="158">
        <v>30</v>
      </c>
      <c r="M40" s="158">
        <v>30</v>
      </c>
      <c r="N40" s="158">
        <v>20</v>
      </c>
      <c r="O40" s="419">
        <f>+'06-PREV CTRL FUN PÚBLICA'!V22</f>
        <v>4</v>
      </c>
      <c r="P40" s="419">
        <f>+'06-PREV CTRL FUN PÚBLICA'!W22</f>
        <v>0</v>
      </c>
      <c r="Q40" s="419">
        <f>+'06-PREV CTRL FUN PÚBLICA'!AD22</f>
        <v>6</v>
      </c>
      <c r="R40" s="435">
        <f>+'06-PREV CTRL FUN PÚBLICA'!AE22</f>
        <v>0</v>
      </c>
      <c r="S40" s="419">
        <f>+'06-PREV CTRL FUN PÚBLICA'!AL22</f>
        <v>6</v>
      </c>
      <c r="T40" s="435">
        <f>+'06-PREV CTRL FUN PÚBLICA'!AM22</f>
        <v>0</v>
      </c>
      <c r="U40" s="419">
        <f>+'06-PREV CTRL FUN PÚBLICA'!AT22</f>
        <v>4</v>
      </c>
      <c r="V40" s="435">
        <f>+'06-PREV CTRL FUN PÚBLICA'!AU22</f>
        <v>0</v>
      </c>
      <c r="W40" s="419">
        <f>+'06-PREV CTRL FUN PÚBLICA'!AV22</f>
        <v>20</v>
      </c>
      <c r="X40" s="426">
        <f t="shared" si="6"/>
        <v>0</v>
      </c>
      <c r="Y40" s="429">
        <f>IF(AND(X40&gt;0,$W40&gt;0),X40/$W40,0)</f>
        <v>0</v>
      </c>
      <c r="Z40" s="429">
        <f t="shared" si="7"/>
        <v>0</v>
      </c>
      <c r="AA40" s="430">
        <f>IF(AND(Z40&gt;0,E40&gt;0),Z40*E40,0)</f>
        <v>0</v>
      </c>
      <c r="AB40" s="814"/>
      <c r="AD40" s="421">
        <f>+'06-PREV CTRL FUN PÚBLICA'!BA22</f>
        <v>0</v>
      </c>
      <c r="AE40" s="423">
        <f t="shared" si="0"/>
        <v>0</v>
      </c>
      <c r="AG40" s="421">
        <f>+'06-PREV CTRL FUN PÚBLICA'!BE22</f>
        <v>0</v>
      </c>
      <c r="AH40" s="423">
        <f t="shared" si="1"/>
        <v>0</v>
      </c>
    </row>
    <row r="41" spans="2:34" ht="93.75" customHeight="1">
      <c r="B41" s="766" t="s">
        <v>138</v>
      </c>
      <c r="C41" s="769" t="s">
        <v>324</v>
      </c>
      <c r="D41" s="31" t="s">
        <v>325</v>
      </c>
      <c r="E41" s="52">
        <v>0.8</v>
      </c>
      <c r="F41" s="139">
        <v>4500</v>
      </c>
      <c r="G41" s="139">
        <v>6287</v>
      </c>
      <c r="H41" s="31" t="s">
        <v>331</v>
      </c>
      <c r="I41" s="142" t="s">
        <v>337</v>
      </c>
      <c r="J41" s="159" t="s">
        <v>338</v>
      </c>
      <c r="K41" s="160">
        <v>900</v>
      </c>
      <c r="L41" s="160">
        <v>1200</v>
      </c>
      <c r="M41" s="160">
        <v>1200</v>
      </c>
      <c r="N41" s="160">
        <v>1200</v>
      </c>
      <c r="O41" s="431">
        <f>+'07-POTESTAD DISCIPLINARIA'!V16</f>
        <v>250</v>
      </c>
      <c r="P41" s="431">
        <f>+'07-POTESTAD DISCIPLINARIA'!W16</f>
        <v>319</v>
      </c>
      <c r="Q41" s="431">
        <f>+'07-POTESTAD DISCIPLINARIA'!AD16</f>
        <v>450</v>
      </c>
      <c r="R41" s="436">
        <f>+'07-POTESTAD DISCIPLINARIA'!AE16</f>
        <v>0</v>
      </c>
      <c r="S41" s="431">
        <f>+'07-POTESTAD DISCIPLINARIA'!AL16</f>
        <v>140</v>
      </c>
      <c r="T41" s="436">
        <f>+'07-POTESTAD DISCIPLINARIA'!AM16</f>
        <v>0</v>
      </c>
      <c r="U41" s="431">
        <f>+'07-POTESTAD DISCIPLINARIA'!AT16</f>
        <v>60</v>
      </c>
      <c r="V41" s="436">
        <f>+'07-POTESTAD DISCIPLINARIA'!AU16</f>
        <v>0</v>
      </c>
      <c r="W41" s="431">
        <f>+'07-POTESTAD DISCIPLINARIA'!AV16</f>
        <v>900</v>
      </c>
      <c r="X41" s="433">
        <f t="shared" si="6"/>
        <v>319</v>
      </c>
      <c r="Y41" s="416">
        <f t="shared" ref="Y41:Y61" si="10">IF(AND(X41&gt;0,$W41&gt;0),X41/$W41,0)</f>
        <v>0.35444444444444445</v>
      </c>
      <c r="Z41" s="416">
        <f t="shared" si="7"/>
        <v>7.088888888888889E-2</v>
      </c>
      <c r="AA41" s="424">
        <f t="shared" ref="AA41:AA49" si="11">IF(AND(Z41&gt;0,E41&gt;0),Z41*E41,0)</f>
        <v>5.6711111111111115E-2</v>
      </c>
      <c r="AB41" s="804">
        <f>AA41+AA42+AA43+AA44+AA45+AA46+AA47+AA48</f>
        <v>0.12697287581699346</v>
      </c>
      <c r="AD41" s="421">
        <f>+'07-POTESTAD DISCIPLINARIA'!BA16</f>
        <v>0.35444444444444445</v>
      </c>
      <c r="AE41" s="423">
        <f t="shared" si="0"/>
        <v>0</v>
      </c>
      <c r="AG41" s="421">
        <f>+'07-POTESTAD DISCIPLINARIA'!BE16</f>
        <v>7.088888888888889E-2</v>
      </c>
      <c r="AH41" s="423">
        <f t="shared" si="1"/>
        <v>0</v>
      </c>
    </row>
    <row r="42" spans="2:34" ht="67.5" customHeight="1">
      <c r="B42" s="767"/>
      <c r="C42" s="771"/>
      <c r="D42" s="31" t="s">
        <v>326</v>
      </c>
      <c r="E42" s="52">
        <v>0.2</v>
      </c>
      <c r="F42" s="161">
        <v>1</v>
      </c>
      <c r="G42" s="161">
        <v>0.98</v>
      </c>
      <c r="H42" s="31" t="s">
        <v>332</v>
      </c>
      <c r="I42" s="142" t="s">
        <v>337</v>
      </c>
      <c r="J42" s="159" t="s">
        <v>338</v>
      </c>
      <c r="K42" s="162">
        <v>1</v>
      </c>
      <c r="L42" s="162">
        <v>1</v>
      </c>
      <c r="M42" s="162">
        <v>1</v>
      </c>
      <c r="N42" s="162">
        <v>1</v>
      </c>
      <c r="O42" s="414">
        <f>+'07-POTESTAD DISCIPLINARIA'!V17</f>
        <v>1</v>
      </c>
      <c r="P42" s="414">
        <f>+'07-POTESTAD DISCIPLINARIA'!W17</f>
        <v>0.72299999999999998</v>
      </c>
      <c r="Q42" s="414">
        <f>+'07-POTESTAD DISCIPLINARIA'!AD17</f>
        <v>1</v>
      </c>
      <c r="R42" s="437"/>
      <c r="S42" s="414">
        <f>+'07-POTESTAD DISCIPLINARIA'!AL17</f>
        <v>1</v>
      </c>
      <c r="T42" s="437"/>
      <c r="U42" s="32">
        <f>+'07-POTESTAD DISCIPLINARIA'!AT17</f>
        <v>1</v>
      </c>
      <c r="V42" s="440"/>
      <c r="W42" s="414">
        <f>+'07-POTESTAD DISCIPLINARIA'!AV17</f>
        <v>1</v>
      </c>
      <c r="X42" s="416">
        <f>IFERROR(IF(OR($W$19="",$W$19=0),0,ROUNDDOWN(AVERAGE($P42,R42,T42,V42),3)),0)</f>
        <v>0.72299999999999998</v>
      </c>
      <c r="Y42" s="416">
        <f>IF(AND(X42&gt;0,$W42&gt;0),X42/$W42,0)*0.25</f>
        <v>0.18074999999999999</v>
      </c>
      <c r="Z42" s="416">
        <f>(IF(AND(X42&gt;0,$F42&gt;0),X42/$F42,0)/4)*0.25</f>
        <v>4.5187499999999999E-2</v>
      </c>
      <c r="AA42" s="424">
        <f t="shared" si="11"/>
        <v>9.0375000000000004E-3</v>
      </c>
      <c r="AB42" s="805"/>
      <c r="AD42" s="421">
        <f>+'07-POTESTAD DISCIPLINARIA'!BA17</f>
        <v>0.18074999999999999</v>
      </c>
      <c r="AE42" s="423">
        <f t="shared" si="0"/>
        <v>0</v>
      </c>
      <c r="AG42" s="421">
        <f>+'07-POTESTAD DISCIPLINARIA'!BE17</f>
        <v>4.5187499999999999E-2</v>
      </c>
      <c r="AH42" s="423">
        <f t="shared" si="1"/>
        <v>0</v>
      </c>
    </row>
    <row r="43" spans="2:34" ht="95.25" customHeight="1">
      <c r="B43" s="767"/>
      <c r="C43" s="769" t="s">
        <v>139</v>
      </c>
      <c r="D43" s="31" t="s">
        <v>339</v>
      </c>
      <c r="E43" s="52">
        <v>0.5</v>
      </c>
      <c r="F43" s="68">
        <v>204</v>
      </c>
      <c r="G43" s="68">
        <v>204</v>
      </c>
      <c r="H43" s="31" t="s">
        <v>349</v>
      </c>
      <c r="I43" s="142" t="s">
        <v>337</v>
      </c>
      <c r="J43" s="159" t="s">
        <v>338</v>
      </c>
      <c r="K43" s="163">
        <v>51</v>
      </c>
      <c r="L43" s="163">
        <v>51</v>
      </c>
      <c r="M43" s="163">
        <v>51</v>
      </c>
      <c r="N43" s="163">
        <v>51</v>
      </c>
      <c r="O43" s="431">
        <f>+'07-POTESTAD DISCIPLINARIA'!V18</f>
        <v>0</v>
      </c>
      <c r="P43" s="431">
        <f>+'07-POTESTAD DISCIPLINARIA'!W18</f>
        <v>12</v>
      </c>
      <c r="Q43" s="431">
        <f>+'07-POTESTAD DISCIPLINARIA'!AD18</f>
        <v>15</v>
      </c>
      <c r="R43" s="436">
        <f>+'07-POTESTAD DISCIPLINARIA'!AE18</f>
        <v>0</v>
      </c>
      <c r="S43" s="431">
        <f>+'07-POTESTAD DISCIPLINARIA'!AL18</f>
        <v>15</v>
      </c>
      <c r="T43" s="436">
        <f>+'07-POTESTAD DISCIPLINARIA'!AM18</f>
        <v>0</v>
      </c>
      <c r="U43" s="431">
        <f>+'07-POTESTAD DISCIPLINARIA'!AT18</f>
        <v>21</v>
      </c>
      <c r="V43" s="436">
        <f>+'07-POTESTAD DISCIPLINARIA'!AU18</f>
        <v>0</v>
      </c>
      <c r="W43" s="431">
        <f>+'07-POTESTAD DISCIPLINARIA'!AV18</f>
        <v>51</v>
      </c>
      <c r="X43" s="433">
        <f t="shared" si="6"/>
        <v>12</v>
      </c>
      <c r="Y43" s="416">
        <f t="shared" si="10"/>
        <v>0.23529411764705882</v>
      </c>
      <c r="Z43" s="416">
        <f t="shared" si="7"/>
        <v>5.8823529411764705E-2</v>
      </c>
      <c r="AA43" s="424">
        <f t="shared" si="11"/>
        <v>2.9411764705882353E-2</v>
      </c>
      <c r="AB43" s="805"/>
      <c r="AD43" s="421">
        <f>+'07-POTESTAD DISCIPLINARIA'!BA18</f>
        <v>0.23529411764705882</v>
      </c>
      <c r="AE43" s="423">
        <f t="shared" si="0"/>
        <v>0</v>
      </c>
      <c r="AG43" s="421">
        <f>+'07-POTESTAD DISCIPLINARIA'!BE18</f>
        <v>5.8823529411764705E-2</v>
      </c>
      <c r="AH43" s="423">
        <f t="shared" si="1"/>
        <v>0</v>
      </c>
    </row>
    <row r="44" spans="2:34" ht="95.25" customHeight="1">
      <c r="B44" s="767"/>
      <c r="C44" s="771"/>
      <c r="D44" s="31" t="s">
        <v>327</v>
      </c>
      <c r="E44" s="52">
        <v>0.5</v>
      </c>
      <c r="F44" s="161">
        <v>1</v>
      </c>
      <c r="G44" s="161">
        <v>1</v>
      </c>
      <c r="H44" s="31" t="s">
        <v>333</v>
      </c>
      <c r="I44" s="142" t="s">
        <v>337</v>
      </c>
      <c r="J44" s="159" t="s">
        <v>338</v>
      </c>
      <c r="K44" s="162">
        <v>1</v>
      </c>
      <c r="L44" s="162">
        <v>1</v>
      </c>
      <c r="M44" s="162">
        <v>1</v>
      </c>
      <c r="N44" s="162">
        <v>1</v>
      </c>
      <c r="O44" s="32">
        <f>+'07-POTESTAD DISCIPLINARIA'!V19</f>
        <v>0</v>
      </c>
      <c r="P44" s="32">
        <f>+'07-POTESTAD DISCIPLINARIA'!W19</f>
        <v>1</v>
      </c>
      <c r="Q44" s="414">
        <f>+'07-POTESTAD DISCIPLINARIA'!AD19</f>
        <v>1</v>
      </c>
      <c r="R44" s="438"/>
      <c r="S44" s="414">
        <f>+'07-POTESTAD DISCIPLINARIA'!AL19</f>
        <v>1</v>
      </c>
      <c r="T44" s="437"/>
      <c r="U44" s="32">
        <f>+'07-POTESTAD DISCIPLINARIA'!AT19</f>
        <v>1</v>
      </c>
      <c r="V44" s="440"/>
      <c r="W44" s="414">
        <f>+'07-POTESTAD DISCIPLINARIA'!AV19</f>
        <v>1</v>
      </c>
      <c r="X44" s="416">
        <f>IFERROR(IF(OR($W$19="",$W$19=0),0,ROUNDDOWN(AVERAGE($P44,R44,T44,V44),3)),0)</f>
        <v>1</v>
      </c>
      <c r="Y44" s="416">
        <f>IF(AND(X44&gt;0,$W44&gt;0),X44/$W44,0)*0.25</f>
        <v>0.25</v>
      </c>
      <c r="Z44" s="416">
        <f>(IF(AND(X44&gt;0,$F44&gt;0),X44/$F44,0)/4)*0.25</f>
        <v>6.25E-2</v>
      </c>
      <c r="AA44" s="424">
        <f>IF(AND(Z44&gt;0,E44&gt;0),Z44*E44,0)*0.25</f>
        <v>7.8125E-3</v>
      </c>
      <c r="AB44" s="805"/>
      <c r="AD44" s="421">
        <f>+'07-POTESTAD DISCIPLINARIA'!BA19</f>
        <v>0.25</v>
      </c>
      <c r="AE44" s="423">
        <f t="shared" si="0"/>
        <v>0</v>
      </c>
      <c r="AG44" s="421">
        <f>+'07-POTESTAD DISCIPLINARIA'!BE19</f>
        <v>6.25E-2</v>
      </c>
      <c r="AH44" s="423">
        <f t="shared" si="1"/>
        <v>0</v>
      </c>
    </row>
    <row r="45" spans="2:34" ht="126.75" customHeight="1">
      <c r="B45" s="767"/>
      <c r="C45" s="164" t="s">
        <v>140</v>
      </c>
      <c r="D45" s="31" t="s">
        <v>328</v>
      </c>
      <c r="E45" s="52">
        <v>1</v>
      </c>
      <c r="F45" s="68">
        <v>8</v>
      </c>
      <c r="G45" s="68">
        <v>8</v>
      </c>
      <c r="H45" s="31" t="s">
        <v>334</v>
      </c>
      <c r="I45" s="142" t="s">
        <v>337</v>
      </c>
      <c r="J45" s="159" t="s">
        <v>338</v>
      </c>
      <c r="K45" s="163">
        <v>2</v>
      </c>
      <c r="L45" s="163">
        <v>2</v>
      </c>
      <c r="M45" s="163">
        <v>2</v>
      </c>
      <c r="N45" s="163">
        <v>2</v>
      </c>
      <c r="O45" s="431">
        <f>+'07-POTESTAD DISCIPLINARIA'!V20</f>
        <v>0</v>
      </c>
      <c r="P45" s="431">
        <f>+'07-POTESTAD DISCIPLINARIA'!W20</f>
        <v>0</v>
      </c>
      <c r="Q45" s="431">
        <f>+'07-POTESTAD DISCIPLINARIA'!AD20</f>
        <v>0</v>
      </c>
      <c r="R45" s="436">
        <f>+'07-POTESTAD DISCIPLINARIA'!AE20</f>
        <v>0</v>
      </c>
      <c r="S45" s="431">
        <f>+'07-POTESTAD DISCIPLINARIA'!AL20</f>
        <v>1</v>
      </c>
      <c r="T45" s="436">
        <f>+'07-POTESTAD DISCIPLINARIA'!AM20</f>
        <v>0</v>
      </c>
      <c r="U45" s="431">
        <f>+'07-POTESTAD DISCIPLINARIA'!AT20</f>
        <v>1</v>
      </c>
      <c r="V45" s="436">
        <f>+'07-POTESTAD DISCIPLINARIA'!AU20</f>
        <v>0</v>
      </c>
      <c r="W45" s="432">
        <f>+'07-POTESTAD DISCIPLINARIA'!AV20</f>
        <v>2</v>
      </c>
      <c r="X45" s="433">
        <f t="shared" si="6"/>
        <v>0</v>
      </c>
      <c r="Y45" s="416">
        <f t="shared" si="10"/>
        <v>0</v>
      </c>
      <c r="Z45" s="416">
        <f t="shared" si="7"/>
        <v>0</v>
      </c>
      <c r="AA45" s="424">
        <f t="shared" si="11"/>
        <v>0</v>
      </c>
      <c r="AB45" s="805"/>
      <c r="AD45" s="421">
        <f>+'07-POTESTAD DISCIPLINARIA'!BA20</f>
        <v>0</v>
      </c>
      <c r="AE45" s="423">
        <f t="shared" si="0"/>
        <v>0</v>
      </c>
      <c r="AG45" s="421">
        <f>+'07-POTESTAD DISCIPLINARIA'!BE20</f>
        <v>0</v>
      </c>
      <c r="AH45" s="423">
        <f t="shared" si="1"/>
        <v>0</v>
      </c>
    </row>
    <row r="46" spans="2:34" ht="61.5" customHeight="1">
      <c r="B46" s="767"/>
      <c r="C46" s="769" t="s">
        <v>323</v>
      </c>
      <c r="D46" s="31" t="s">
        <v>329</v>
      </c>
      <c r="E46" s="52">
        <v>0.2</v>
      </c>
      <c r="F46" s="68">
        <v>1</v>
      </c>
      <c r="G46" s="692" t="s">
        <v>156</v>
      </c>
      <c r="H46" s="31" t="s">
        <v>350</v>
      </c>
      <c r="I46" s="142" t="s">
        <v>337</v>
      </c>
      <c r="J46" s="159" t="s">
        <v>338</v>
      </c>
      <c r="K46" s="163">
        <v>0.5</v>
      </c>
      <c r="L46" s="163">
        <v>0.5</v>
      </c>
      <c r="M46" s="163">
        <v>0</v>
      </c>
      <c r="N46" s="163">
        <v>0</v>
      </c>
      <c r="O46" s="432">
        <f>+'07-POTESTAD DISCIPLINARIA'!V21</f>
        <v>0.05</v>
      </c>
      <c r="P46" s="432">
        <f>+'07-POTESTAD DISCIPLINARIA'!W21</f>
        <v>0.05</v>
      </c>
      <c r="Q46" s="432">
        <f>+'07-POTESTAD DISCIPLINARIA'!AD21</f>
        <v>0.2</v>
      </c>
      <c r="R46" s="439">
        <f>+'07-POTESTAD DISCIPLINARIA'!AE21</f>
        <v>0</v>
      </c>
      <c r="S46" s="432">
        <f>+'07-POTESTAD DISCIPLINARIA'!AL21</f>
        <v>0.15000000000000002</v>
      </c>
      <c r="T46" s="439">
        <f>+'07-POTESTAD DISCIPLINARIA'!AM21</f>
        <v>0</v>
      </c>
      <c r="U46" s="432">
        <f>+'07-POTESTAD DISCIPLINARIA'!AT21</f>
        <v>0.1</v>
      </c>
      <c r="V46" s="439">
        <f>+'07-POTESTAD DISCIPLINARIA'!AU21</f>
        <v>0</v>
      </c>
      <c r="W46" s="432">
        <f>+'07-POTESTAD DISCIPLINARIA'!AV21</f>
        <v>0.5</v>
      </c>
      <c r="X46" s="434">
        <f t="shared" si="6"/>
        <v>0.05</v>
      </c>
      <c r="Y46" s="416">
        <f t="shared" si="10"/>
        <v>0.1</v>
      </c>
      <c r="Z46" s="416">
        <f t="shared" si="7"/>
        <v>0.05</v>
      </c>
      <c r="AA46" s="424">
        <f t="shared" si="11"/>
        <v>1.0000000000000002E-2</v>
      </c>
      <c r="AB46" s="805"/>
      <c r="AD46" s="421">
        <f>+'07-POTESTAD DISCIPLINARIA'!BA21</f>
        <v>0.1</v>
      </c>
      <c r="AE46" s="423">
        <f t="shared" si="0"/>
        <v>0</v>
      </c>
      <c r="AG46" s="421">
        <f>+'07-POTESTAD DISCIPLINARIA'!BE21</f>
        <v>0.05</v>
      </c>
      <c r="AH46" s="423">
        <f t="shared" si="1"/>
        <v>0</v>
      </c>
    </row>
    <row r="47" spans="2:34" ht="61.5" customHeight="1">
      <c r="B47" s="767"/>
      <c r="C47" s="770"/>
      <c r="D47" s="31" t="s">
        <v>720</v>
      </c>
      <c r="E47" s="52">
        <v>0.7</v>
      </c>
      <c r="F47" s="68">
        <v>1</v>
      </c>
      <c r="G47" s="692" t="s">
        <v>156</v>
      </c>
      <c r="H47" s="31" t="s">
        <v>335</v>
      </c>
      <c r="I47" s="142" t="s">
        <v>337</v>
      </c>
      <c r="J47" s="159" t="s">
        <v>338</v>
      </c>
      <c r="K47" s="163">
        <v>0.2</v>
      </c>
      <c r="L47" s="163">
        <v>0.4</v>
      </c>
      <c r="M47" s="163">
        <v>0.3</v>
      </c>
      <c r="N47" s="163">
        <v>0.1</v>
      </c>
      <c r="O47" s="432">
        <f>+'07-POTESTAD DISCIPLINARIA'!V22</f>
        <v>0.02</v>
      </c>
      <c r="P47" s="432">
        <f>+'07-POTESTAD DISCIPLINARIA'!W22</f>
        <v>0.02</v>
      </c>
      <c r="Q47" s="432">
        <f>+'07-POTESTAD DISCIPLINARIA'!AD22</f>
        <v>0.06</v>
      </c>
      <c r="R47" s="439">
        <f>+'07-POTESTAD DISCIPLINARIA'!AE22</f>
        <v>0</v>
      </c>
      <c r="S47" s="432">
        <f>+'07-POTESTAD DISCIPLINARIA'!AL22</f>
        <v>0.06</v>
      </c>
      <c r="T47" s="439">
        <f>+'07-POTESTAD DISCIPLINARIA'!AM22</f>
        <v>0</v>
      </c>
      <c r="U47" s="432">
        <f>+'07-POTESTAD DISCIPLINARIA'!AT22</f>
        <v>0.06</v>
      </c>
      <c r="V47" s="439">
        <f>+'07-POTESTAD DISCIPLINARIA'!AU22</f>
        <v>0</v>
      </c>
      <c r="W47" s="432">
        <f>+'07-POTESTAD DISCIPLINARIA'!AV22</f>
        <v>0.2</v>
      </c>
      <c r="X47" s="434">
        <f t="shared" si="6"/>
        <v>0.02</v>
      </c>
      <c r="Y47" s="416">
        <f t="shared" si="10"/>
        <v>9.9999999999999992E-2</v>
      </c>
      <c r="Z47" s="416">
        <f t="shared" si="7"/>
        <v>0.02</v>
      </c>
      <c r="AA47" s="424">
        <f t="shared" si="11"/>
        <v>1.3999999999999999E-2</v>
      </c>
      <c r="AB47" s="805"/>
      <c r="AD47" s="421">
        <f>+'07-POTESTAD DISCIPLINARIA'!BA22</f>
        <v>9.9999999999999992E-2</v>
      </c>
      <c r="AE47" s="423">
        <f t="shared" si="0"/>
        <v>0</v>
      </c>
      <c r="AG47" s="421">
        <f>+'07-POTESTAD DISCIPLINARIA'!BE22</f>
        <v>0.02</v>
      </c>
      <c r="AH47" s="423">
        <f t="shared" si="1"/>
        <v>0</v>
      </c>
    </row>
    <row r="48" spans="2:34" ht="61.5" customHeight="1">
      <c r="B48" s="768"/>
      <c r="C48" s="771"/>
      <c r="D48" s="31" t="s">
        <v>330</v>
      </c>
      <c r="E48" s="52">
        <v>0.1</v>
      </c>
      <c r="F48" s="68">
        <v>1</v>
      </c>
      <c r="G48" s="692" t="s">
        <v>156</v>
      </c>
      <c r="H48" s="31" t="s">
        <v>336</v>
      </c>
      <c r="I48" s="142" t="s">
        <v>337</v>
      </c>
      <c r="J48" s="159" t="s">
        <v>338</v>
      </c>
      <c r="K48" s="163">
        <v>0.1</v>
      </c>
      <c r="L48" s="163">
        <v>0.3</v>
      </c>
      <c r="M48" s="163">
        <v>0.4</v>
      </c>
      <c r="N48" s="163">
        <v>0.2</v>
      </c>
      <c r="O48" s="432">
        <f>+'07-POTESTAD DISCIPLINARIA'!V23</f>
        <v>0</v>
      </c>
      <c r="P48" s="432">
        <f>+'07-POTESTAD DISCIPLINARIA'!W23</f>
        <v>0</v>
      </c>
      <c r="Q48" s="432">
        <f>+'07-POTESTAD DISCIPLINARIA'!AD23</f>
        <v>0.06</v>
      </c>
      <c r="R48" s="439">
        <f>+'07-POTESTAD DISCIPLINARIA'!AE23</f>
        <v>0</v>
      </c>
      <c r="S48" s="432">
        <f>+'07-POTESTAD DISCIPLINARIA'!AL23</f>
        <v>0.04</v>
      </c>
      <c r="T48" s="439">
        <f>+'07-POTESTAD DISCIPLINARIA'!AM23</f>
        <v>0</v>
      </c>
      <c r="U48" s="432">
        <f>+'07-POTESTAD DISCIPLINARIA'!AT23</f>
        <v>0</v>
      </c>
      <c r="V48" s="439">
        <f>+'07-POTESTAD DISCIPLINARIA'!AU23</f>
        <v>0</v>
      </c>
      <c r="W48" s="432">
        <f>+'07-POTESTAD DISCIPLINARIA'!AV23</f>
        <v>0.1</v>
      </c>
      <c r="X48" s="434">
        <f t="shared" si="6"/>
        <v>0</v>
      </c>
      <c r="Y48" s="416">
        <f t="shared" si="10"/>
        <v>0</v>
      </c>
      <c r="Z48" s="416">
        <f t="shared" si="7"/>
        <v>0</v>
      </c>
      <c r="AA48" s="424">
        <f t="shared" si="11"/>
        <v>0</v>
      </c>
      <c r="AB48" s="806"/>
      <c r="AD48" s="421">
        <f>+'07-POTESTAD DISCIPLINARIA'!BA23</f>
        <v>0</v>
      </c>
      <c r="AE48" s="423">
        <f t="shared" si="0"/>
        <v>0</v>
      </c>
      <c r="AG48" s="421">
        <f>+'07-POTESTAD DISCIPLINARIA'!BE23</f>
        <v>0</v>
      </c>
      <c r="AH48" s="423">
        <f t="shared" si="1"/>
        <v>0</v>
      </c>
    </row>
    <row r="49" spans="2:34" ht="75" customHeight="1">
      <c r="B49" s="779" t="s">
        <v>141</v>
      </c>
      <c r="C49" s="761" t="s">
        <v>142</v>
      </c>
      <c r="D49" s="151" t="s">
        <v>715</v>
      </c>
      <c r="E49" s="165">
        <v>0.14000000000000001</v>
      </c>
      <c r="F49" s="166">
        <v>1</v>
      </c>
      <c r="G49" s="154" t="s">
        <v>156</v>
      </c>
      <c r="H49" s="167" t="s">
        <v>689</v>
      </c>
      <c r="I49" s="151" t="s">
        <v>372</v>
      </c>
      <c r="J49" s="168" t="s">
        <v>373</v>
      </c>
      <c r="K49" s="169">
        <v>0.3</v>
      </c>
      <c r="L49" s="169">
        <v>0.4</v>
      </c>
      <c r="M49" s="169">
        <v>0.25</v>
      </c>
      <c r="N49" s="169">
        <v>0.05</v>
      </c>
      <c r="O49" s="441">
        <f>+'03-DIRECCIONAMIENTO TIC'!V16</f>
        <v>0.06</v>
      </c>
      <c r="P49" s="441">
        <f>+'03-DIRECCIONAMIENTO TIC'!W16</f>
        <v>0.06</v>
      </c>
      <c r="Q49" s="441">
        <f>+'03-DIRECCIONAMIENTO TIC'!AD16</f>
        <v>0.09</v>
      </c>
      <c r="R49" s="449">
        <f>+'03-DIRECCIONAMIENTO TIC'!AE16</f>
        <v>0</v>
      </c>
      <c r="S49" s="441">
        <f>+'03-DIRECCIONAMIENTO TIC'!AL16</f>
        <v>0.09</v>
      </c>
      <c r="T49" s="449">
        <f>+'03-DIRECCIONAMIENTO TIC'!AM16</f>
        <v>0</v>
      </c>
      <c r="U49" s="441">
        <f>+'03-DIRECCIONAMIENTO TIC'!AT16</f>
        <v>6.0000000000000005E-2</v>
      </c>
      <c r="V49" s="449">
        <f>+'03-DIRECCIONAMIENTO TIC'!AU16</f>
        <v>0</v>
      </c>
      <c r="W49" s="441">
        <f>+'03-DIRECCIONAMIENTO TIC'!AV16</f>
        <v>0.3</v>
      </c>
      <c r="X49" s="442">
        <f t="shared" si="6"/>
        <v>0.06</v>
      </c>
      <c r="Y49" s="441">
        <f t="shared" si="10"/>
        <v>0.2</v>
      </c>
      <c r="Z49" s="441">
        <f t="shared" si="7"/>
        <v>0.06</v>
      </c>
      <c r="AA49" s="441">
        <f t="shared" si="11"/>
        <v>8.4000000000000012E-3</v>
      </c>
      <c r="AB49" s="818">
        <f>AA49+AA50+AA51+AA52+AA53+AA54+AA55</f>
        <v>5.4300000000000001E-2</v>
      </c>
      <c r="AD49" s="421">
        <f>+'03-DIRECCIONAMIENTO TIC'!BA16</f>
        <v>0.2</v>
      </c>
      <c r="AE49" s="423">
        <f t="shared" si="0"/>
        <v>0</v>
      </c>
      <c r="AG49" s="421">
        <f>+'03-DIRECCIONAMIENTO TIC'!BE16</f>
        <v>0.06</v>
      </c>
      <c r="AH49" s="423">
        <f t="shared" si="1"/>
        <v>0</v>
      </c>
    </row>
    <row r="50" spans="2:34" ht="80.25" customHeight="1">
      <c r="B50" s="779"/>
      <c r="C50" s="762"/>
      <c r="D50" s="151" t="s">
        <v>378</v>
      </c>
      <c r="E50" s="165">
        <v>0.14000000000000001</v>
      </c>
      <c r="F50" s="166">
        <v>1</v>
      </c>
      <c r="G50" s="154" t="s">
        <v>156</v>
      </c>
      <c r="H50" s="167" t="s">
        <v>377</v>
      </c>
      <c r="I50" s="151" t="s">
        <v>372</v>
      </c>
      <c r="J50" s="168" t="s">
        <v>373</v>
      </c>
      <c r="K50" s="169">
        <v>0.3</v>
      </c>
      <c r="L50" s="169">
        <v>0.4</v>
      </c>
      <c r="M50" s="169">
        <v>0.25</v>
      </c>
      <c r="N50" s="169">
        <v>0.05</v>
      </c>
      <c r="O50" s="441">
        <f>+'03-DIRECCIONAMIENTO TIC'!V17</f>
        <v>0.06</v>
      </c>
      <c r="P50" s="441">
        <f>+'03-DIRECCIONAMIENTO TIC'!W17</f>
        <v>0.06</v>
      </c>
      <c r="Q50" s="441">
        <f>+'03-DIRECCIONAMIENTO TIC'!AD17</f>
        <v>0.09</v>
      </c>
      <c r="R50" s="449">
        <f>+'03-DIRECCIONAMIENTO TIC'!AE17</f>
        <v>0</v>
      </c>
      <c r="S50" s="441">
        <f>+'03-DIRECCIONAMIENTO TIC'!AL17</f>
        <v>0.09</v>
      </c>
      <c r="T50" s="449">
        <f>+'03-DIRECCIONAMIENTO TIC'!AM17</f>
        <v>0</v>
      </c>
      <c r="U50" s="441">
        <f>+'03-DIRECCIONAMIENTO TIC'!AT17</f>
        <v>0.06</v>
      </c>
      <c r="V50" s="449">
        <f>+'03-DIRECCIONAMIENTO TIC'!AU17</f>
        <v>0</v>
      </c>
      <c r="W50" s="441">
        <f>+'03-DIRECCIONAMIENTO TIC'!AV17</f>
        <v>0.3</v>
      </c>
      <c r="X50" s="442">
        <f t="shared" si="6"/>
        <v>0.06</v>
      </c>
      <c r="Y50" s="441">
        <f t="shared" si="10"/>
        <v>0.2</v>
      </c>
      <c r="Z50" s="441">
        <f t="shared" ref="Z50:Z61" si="12">IF(AND(X50&gt;0,$F50&gt;0),X50/$F50,0)</f>
        <v>0.06</v>
      </c>
      <c r="AA50" s="441">
        <f t="shared" ref="AA50:AA64" si="13">IF(AND(Z50&gt;0,E50&gt;0),Z50*E50,0)</f>
        <v>8.4000000000000012E-3</v>
      </c>
      <c r="AB50" s="819"/>
      <c r="AD50" s="421">
        <f>+'03-DIRECCIONAMIENTO TIC'!BA17</f>
        <v>0.2</v>
      </c>
      <c r="AE50" s="423">
        <f t="shared" ref="AE50:AE52" si="14">Y50-AD50</f>
        <v>0</v>
      </c>
      <c r="AG50" s="421">
        <f>+'03-DIRECCIONAMIENTO TIC'!BE17</f>
        <v>0.06</v>
      </c>
      <c r="AH50" s="423">
        <f t="shared" ref="AH50:AH52" si="15">+Z50-AG50</f>
        <v>0</v>
      </c>
    </row>
    <row r="51" spans="2:34" ht="111" customHeight="1">
      <c r="B51" s="779"/>
      <c r="C51" s="762"/>
      <c r="D51" s="151" t="s">
        <v>718</v>
      </c>
      <c r="E51" s="165">
        <v>0.14000000000000001</v>
      </c>
      <c r="F51" s="166">
        <v>1</v>
      </c>
      <c r="G51" s="154" t="s">
        <v>156</v>
      </c>
      <c r="H51" s="167" t="s">
        <v>374</v>
      </c>
      <c r="I51" s="151" t="s">
        <v>372</v>
      </c>
      <c r="J51" s="168" t="s">
        <v>373</v>
      </c>
      <c r="K51" s="169">
        <v>0.3</v>
      </c>
      <c r="L51" s="169">
        <v>0.4</v>
      </c>
      <c r="M51" s="169">
        <v>0.25</v>
      </c>
      <c r="N51" s="169">
        <v>0.05</v>
      </c>
      <c r="O51" s="441">
        <f>+'03-DIRECCIONAMIENTO TIC'!V18</f>
        <v>0.05</v>
      </c>
      <c r="P51" s="441">
        <f>+'03-DIRECCIONAMIENTO TIC'!W18</f>
        <v>0.05</v>
      </c>
      <c r="Q51" s="441">
        <f>+'03-DIRECCIONAMIENTO TIC'!AD18</f>
        <v>0.09</v>
      </c>
      <c r="R51" s="449">
        <f>+'03-DIRECCIONAMIENTO TIC'!AE18</f>
        <v>0</v>
      </c>
      <c r="S51" s="441">
        <f>+'03-DIRECCIONAMIENTO TIC'!AL18</f>
        <v>0.09</v>
      </c>
      <c r="T51" s="449">
        <f>+'03-DIRECCIONAMIENTO TIC'!AM18</f>
        <v>0</v>
      </c>
      <c r="U51" s="441">
        <f>+'03-DIRECCIONAMIENTO TIC'!AT18</f>
        <v>7.0000000000000007E-2</v>
      </c>
      <c r="V51" s="449">
        <f>+'03-DIRECCIONAMIENTO TIC'!AU18</f>
        <v>0</v>
      </c>
      <c r="W51" s="441">
        <f>+'03-DIRECCIONAMIENTO TIC'!AV18</f>
        <v>0.30000000000000004</v>
      </c>
      <c r="X51" s="442">
        <f t="shared" si="6"/>
        <v>0.05</v>
      </c>
      <c r="Y51" s="441">
        <f t="shared" si="10"/>
        <v>0.16666666666666666</v>
      </c>
      <c r="Z51" s="441">
        <f t="shared" si="12"/>
        <v>0.05</v>
      </c>
      <c r="AA51" s="441">
        <f t="shared" si="13"/>
        <v>7.000000000000001E-3</v>
      </c>
      <c r="AB51" s="819"/>
      <c r="AD51" s="421">
        <f>+'03-DIRECCIONAMIENTO TIC'!BA18</f>
        <v>0.16666666666666666</v>
      </c>
      <c r="AE51" s="423">
        <f t="shared" si="14"/>
        <v>0</v>
      </c>
      <c r="AG51" s="421">
        <f>+'03-DIRECCIONAMIENTO TIC'!BE18</f>
        <v>0.05</v>
      </c>
      <c r="AH51" s="423">
        <f t="shared" si="15"/>
        <v>0</v>
      </c>
    </row>
    <row r="52" spans="2:34" ht="82.5" customHeight="1">
      <c r="B52" s="779"/>
      <c r="C52" s="762"/>
      <c r="D52" s="151" t="s">
        <v>716</v>
      </c>
      <c r="E52" s="165">
        <v>0.14000000000000001</v>
      </c>
      <c r="F52" s="166">
        <v>1</v>
      </c>
      <c r="G52" s="154" t="s">
        <v>156</v>
      </c>
      <c r="H52" s="167" t="s">
        <v>690</v>
      </c>
      <c r="I52" s="151" t="s">
        <v>372</v>
      </c>
      <c r="J52" s="168" t="s">
        <v>373</v>
      </c>
      <c r="K52" s="169">
        <v>0.3</v>
      </c>
      <c r="L52" s="169">
        <v>0.4</v>
      </c>
      <c r="M52" s="169">
        <v>0.25</v>
      </c>
      <c r="N52" s="169">
        <v>0.05</v>
      </c>
      <c r="O52" s="441">
        <f>+'03-DIRECCIONAMIENTO TIC'!V19</f>
        <v>0.05</v>
      </c>
      <c r="P52" s="441">
        <f>+'03-DIRECCIONAMIENTO TIC'!W19</f>
        <v>0.05</v>
      </c>
      <c r="Q52" s="441">
        <f>+'03-DIRECCIONAMIENTO TIC'!AD19</f>
        <v>0.09</v>
      </c>
      <c r="R52" s="449">
        <f>+'03-DIRECCIONAMIENTO TIC'!AE19</f>
        <v>0</v>
      </c>
      <c r="S52" s="441">
        <f>+'03-DIRECCIONAMIENTO TIC'!AL19</f>
        <v>0.09</v>
      </c>
      <c r="T52" s="449">
        <f>+'03-DIRECCIONAMIENTO TIC'!AM19</f>
        <v>0</v>
      </c>
      <c r="U52" s="441">
        <f>+'03-DIRECCIONAMIENTO TIC'!AT19</f>
        <v>7.0000000000000007E-2</v>
      </c>
      <c r="V52" s="449">
        <f>+'03-DIRECCIONAMIENTO TIC'!AU19</f>
        <v>0</v>
      </c>
      <c r="W52" s="441">
        <f>+'03-DIRECCIONAMIENTO TIC'!AV19</f>
        <v>0.30000000000000004</v>
      </c>
      <c r="X52" s="442">
        <f t="shared" si="6"/>
        <v>0.05</v>
      </c>
      <c r="Y52" s="441">
        <f t="shared" si="10"/>
        <v>0.16666666666666666</v>
      </c>
      <c r="Z52" s="441">
        <f t="shared" si="12"/>
        <v>0.05</v>
      </c>
      <c r="AA52" s="441">
        <f t="shared" si="13"/>
        <v>7.000000000000001E-3</v>
      </c>
      <c r="AB52" s="819"/>
      <c r="AD52" s="421">
        <f>+'03-DIRECCIONAMIENTO TIC'!BA19</f>
        <v>0.16666666666666666</v>
      </c>
      <c r="AE52" s="423">
        <f t="shared" si="14"/>
        <v>0</v>
      </c>
      <c r="AG52" s="421">
        <f>+'03-DIRECCIONAMIENTO TIC'!BE19</f>
        <v>0.05</v>
      </c>
      <c r="AH52" s="423">
        <f t="shared" si="15"/>
        <v>0</v>
      </c>
    </row>
    <row r="53" spans="2:34" ht="94.5" customHeight="1">
      <c r="B53" s="779"/>
      <c r="C53" s="762"/>
      <c r="D53" s="151" t="s">
        <v>402</v>
      </c>
      <c r="E53" s="165">
        <v>0.14000000000000001</v>
      </c>
      <c r="F53" s="166">
        <v>1</v>
      </c>
      <c r="G53" s="154" t="s">
        <v>156</v>
      </c>
      <c r="H53" s="167" t="s">
        <v>375</v>
      </c>
      <c r="I53" s="151" t="s">
        <v>372</v>
      </c>
      <c r="J53" s="168" t="s">
        <v>373</v>
      </c>
      <c r="K53" s="169">
        <v>0.3</v>
      </c>
      <c r="L53" s="169">
        <v>0.4</v>
      </c>
      <c r="M53" s="169">
        <v>0.25</v>
      </c>
      <c r="N53" s="169">
        <v>0.05</v>
      </c>
      <c r="O53" s="441">
        <f>+'03-DIRECCIONAMIENTO TIC'!V20</f>
        <v>0.05</v>
      </c>
      <c r="P53" s="441">
        <f>+'03-DIRECCIONAMIENTO TIC'!W20</f>
        <v>0.05</v>
      </c>
      <c r="Q53" s="441">
        <f>+'03-DIRECCIONAMIENTO TIC'!AD20</f>
        <v>0.09</v>
      </c>
      <c r="R53" s="449">
        <f>+'03-DIRECCIONAMIENTO TIC'!AE20</f>
        <v>0</v>
      </c>
      <c r="S53" s="441">
        <f>+'03-DIRECCIONAMIENTO TIC'!AL20</f>
        <v>0.09</v>
      </c>
      <c r="T53" s="449">
        <f>+'03-DIRECCIONAMIENTO TIC'!AM20</f>
        <v>0</v>
      </c>
      <c r="U53" s="441">
        <f>+'03-DIRECCIONAMIENTO TIC'!AT20</f>
        <v>6.9999999999999993E-2</v>
      </c>
      <c r="V53" s="449">
        <f>+'03-DIRECCIONAMIENTO TIC'!AU20</f>
        <v>0</v>
      </c>
      <c r="W53" s="441">
        <f>+'03-DIRECCIONAMIENTO TIC'!AV20</f>
        <v>0.3</v>
      </c>
      <c r="X53" s="442">
        <f t="shared" si="6"/>
        <v>0.05</v>
      </c>
      <c r="Y53" s="441">
        <f t="shared" si="10"/>
        <v>0.16666666666666669</v>
      </c>
      <c r="Z53" s="441">
        <f t="shared" si="12"/>
        <v>0.05</v>
      </c>
      <c r="AA53" s="441">
        <f t="shared" si="13"/>
        <v>7.000000000000001E-3</v>
      </c>
      <c r="AB53" s="819"/>
      <c r="AD53" s="421">
        <f>+'03-DIRECCIONAMIENTO TIC'!BA20</f>
        <v>0.16666666666666669</v>
      </c>
      <c r="AE53" s="423">
        <f t="shared" ref="AE53:AE56" si="16">Y53-AD53</f>
        <v>0</v>
      </c>
      <c r="AG53" s="421">
        <f>+'03-DIRECCIONAMIENTO TIC'!BE20</f>
        <v>0.05</v>
      </c>
      <c r="AH53" s="423">
        <f t="shared" ref="AH53:AH56" si="17">+Z53-AG53</f>
        <v>0</v>
      </c>
    </row>
    <row r="54" spans="2:34" ht="71.25" customHeight="1">
      <c r="B54" s="779"/>
      <c r="C54" s="762"/>
      <c r="D54" s="151" t="s">
        <v>369</v>
      </c>
      <c r="E54" s="165">
        <v>0.15</v>
      </c>
      <c r="F54" s="166">
        <v>1</v>
      </c>
      <c r="G54" s="154" t="s">
        <v>156</v>
      </c>
      <c r="H54" s="167" t="s">
        <v>376</v>
      </c>
      <c r="I54" s="151" t="s">
        <v>372</v>
      </c>
      <c r="J54" s="168" t="s">
        <v>373</v>
      </c>
      <c r="K54" s="169">
        <v>0.3</v>
      </c>
      <c r="L54" s="169">
        <v>0.4</v>
      </c>
      <c r="M54" s="169">
        <v>0.25</v>
      </c>
      <c r="N54" s="169">
        <v>0.05</v>
      </c>
      <c r="O54" s="441">
        <f>+'03-DIRECCIONAMIENTO TIC'!V21</f>
        <v>0.05</v>
      </c>
      <c r="P54" s="441">
        <f>+'03-DIRECCIONAMIENTO TIC'!W21</f>
        <v>0.05</v>
      </c>
      <c r="Q54" s="441">
        <f>+'03-DIRECCIONAMIENTO TIC'!AD21</f>
        <v>0.09</v>
      </c>
      <c r="R54" s="449">
        <f>+'03-DIRECCIONAMIENTO TIC'!AE21</f>
        <v>0</v>
      </c>
      <c r="S54" s="441">
        <f>+'03-DIRECCIONAMIENTO TIC'!AL21</f>
        <v>0.09</v>
      </c>
      <c r="T54" s="449">
        <f>+'03-DIRECCIONAMIENTO TIC'!AM21</f>
        <v>0</v>
      </c>
      <c r="U54" s="441">
        <f>+'03-DIRECCIONAMIENTO TIC'!AT21</f>
        <v>7.0000000000000007E-2</v>
      </c>
      <c r="V54" s="449">
        <f>+'03-DIRECCIONAMIENTO TIC'!AU21</f>
        <v>0</v>
      </c>
      <c r="W54" s="441">
        <f>+'03-DIRECCIONAMIENTO TIC'!AV21</f>
        <v>0.30000000000000004</v>
      </c>
      <c r="X54" s="442">
        <f t="shared" si="6"/>
        <v>0.05</v>
      </c>
      <c r="Y54" s="441">
        <f t="shared" si="10"/>
        <v>0.16666666666666666</v>
      </c>
      <c r="Z54" s="441">
        <f t="shared" si="12"/>
        <v>0.05</v>
      </c>
      <c r="AA54" s="441">
        <f t="shared" si="13"/>
        <v>7.4999999999999997E-3</v>
      </c>
      <c r="AB54" s="819"/>
      <c r="AD54" s="421">
        <f>+'03-DIRECCIONAMIENTO TIC'!BA21</f>
        <v>0.16666666666666666</v>
      </c>
      <c r="AE54" s="423">
        <f t="shared" si="16"/>
        <v>0</v>
      </c>
      <c r="AG54" s="421">
        <f>+'03-DIRECCIONAMIENTO TIC'!BE21</f>
        <v>0.05</v>
      </c>
      <c r="AH54" s="423">
        <f t="shared" si="17"/>
        <v>0</v>
      </c>
    </row>
    <row r="55" spans="2:34" ht="87.75" customHeight="1">
      <c r="B55" s="779"/>
      <c r="C55" s="763"/>
      <c r="D55" s="151" t="s">
        <v>370</v>
      </c>
      <c r="E55" s="165">
        <v>0.15</v>
      </c>
      <c r="F55" s="166">
        <v>1</v>
      </c>
      <c r="G55" s="170" t="s">
        <v>371</v>
      </c>
      <c r="H55" s="167" t="s">
        <v>398</v>
      </c>
      <c r="I55" s="151" t="s">
        <v>372</v>
      </c>
      <c r="J55" s="168" t="s">
        <v>373</v>
      </c>
      <c r="K55" s="169">
        <v>0.3</v>
      </c>
      <c r="L55" s="169">
        <v>0.4</v>
      </c>
      <c r="M55" s="169">
        <v>0.25</v>
      </c>
      <c r="N55" s="169">
        <v>0.05</v>
      </c>
      <c r="O55" s="441">
        <f>+'03-DIRECCIONAMIENTO TIC'!V22</f>
        <v>0.06</v>
      </c>
      <c r="P55" s="441">
        <f>+'03-DIRECCIONAMIENTO TIC'!W22</f>
        <v>0.06</v>
      </c>
      <c r="Q55" s="441">
        <f>+'03-DIRECCIONAMIENTO TIC'!AD22</f>
        <v>0.09</v>
      </c>
      <c r="R55" s="449">
        <f>+'03-DIRECCIONAMIENTO TIC'!AE22</f>
        <v>0</v>
      </c>
      <c r="S55" s="441">
        <f>+'03-DIRECCIONAMIENTO TIC'!AL22</f>
        <v>0.09</v>
      </c>
      <c r="T55" s="449">
        <f>+'03-DIRECCIONAMIENTO TIC'!AM22</f>
        <v>0</v>
      </c>
      <c r="U55" s="441">
        <f>+'03-DIRECCIONAMIENTO TIC'!AT22</f>
        <v>0.06</v>
      </c>
      <c r="V55" s="449">
        <f>+'03-DIRECCIONAMIENTO TIC'!AU22</f>
        <v>0</v>
      </c>
      <c r="W55" s="441">
        <f>+'03-DIRECCIONAMIENTO TIC'!AV22</f>
        <v>0.3</v>
      </c>
      <c r="X55" s="442">
        <f t="shared" si="6"/>
        <v>0.06</v>
      </c>
      <c r="Y55" s="441">
        <f t="shared" si="10"/>
        <v>0.2</v>
      </c>
      <c r="Z55" s="441">
        <f t="shared" si="12"/>
        <v>0.06</v>
      </c>
      <c r="AA55" s="441">
        <f t="shared" si="13"/>
        <v>8.9999999999999993E-3</v>
      </c>
      <c r="AB55" s="820"/>
      <c r="AD55" s="421">
        <f>+'03-DIRECCIONAMIENTO TIC'!BA22</f>
        <v>0.2</v>
      </c>
      <c r="AE55" s="423">
        <f t="shared" si="16"/>
        <v>0</v>
      </c>
      <c r="AG55" s="421">
        <f>+'03-DIRECCIONAMIENTO TIC'!BE22</f>
        <v>0.06</v>
      </c>
      <c r="AH55" s="423">
        <f t="shared" si="17"/>
        <v>0</v>
      </c>
    </row>
    <row r="56" spans="2:34" ht="105" customHeight="1">
      <c r="B56" s="779"/>
      <c r="C56" s="764" t="s">
        <v>143</v>
      </c>
      <c r="D56" s="31" t="s">
        <v>159</v>
      </c>
      <c r="E56" s="32">
        <v>0.2</v>
      </c>
      <c r="F56" s="161">
        <v>1</v>
      </c>
      <c r="G56" s="33">
        <v>1</v>
      </c>
      <c r="H56" s="171" t="s">
        <v>153</v>
      </c>
      <c r="I56" s="142" t="s">
        <v>406</v>
      </c>
      <c r="J56" s="143" t="s">
        <v>712</v>
      </c>
      <c r="K56" s="172">
        <v>1</v>
      </c>
      <c r="L56" s="172">
        <v>1</v>
      </c>
      <c r="M56" s="172">
        <v>1</v>
      </c>
      <c r="N56" s="172">
        <v>1</v>
      </c>
      <c r="O56" s="445">
        <f>+'01-DIRECCIONAMIENTO ESTRATÉGICO'!V16</f>
        <v>0.2</v>
      </c>
      <c r="P56" s="445">
        <f>+'01-DIRECCIONAMIENTO ESTRATÉGICO'!W16</f>
        <v>0.2</v>
      </c>
      <c r="Q56" s="445">
        <f>+'01-DIRECCIONAMIENTO ESTRATÉGICO'!AD16</f>
        <v>0.22000000000000003</v>
      </c>
      <c r="R56" s="451">
        <f>+'01-DIRECCIONAMIENTO ESTRATÉGICO'!AE16</f>
        <v>0</v>
      </c>
      <c r="S56" s="445">
        <f>+'01-DIRECCIONAMIENTO ESTRATÉGICO'!AL16</f>
        <v>0.29000000000000004</v>
      </c>
      <c r="T56" s="451">
        <f>+'01-DIRECCIONAMIENTO ESTRATÉGICO'!AM16</f>
        <v>0</v>
      </c>
      <c r="U56" s="445">
        <f>+'01-DIRECCIONAMIENTO ESTRATÉGICO'!AT16</f>
        <v>0.29000000000000004</v>
      </c>
      <c r="V56" s="451">
        <f>+'01-DIRECCIONAMIENTO ESTRATÉGICO'!AU16</f>
        <v>0</v>
      </c>
      <c r="W56" s="445">
        <f>+'01-DIRECCIONAMIENTO ESTRATÉGICO'!AV16</f>
        <v>1</v>
      </c>
      <c r="X56" s="446">
        <f t="shared" si="6"/>
        <v>0.2</v>
      </c>
      <c r="Y56" s="416">
        <f t="shared" si="10"/>
        <v>0.2</v>
      </c>
      <c r="Z56" s="416">
        <f>(IF(AND(X56&gt;0,$F56&gt;0),X56/$F56,0)/4)</f>
        <v>0.05</v>
      </c>
      <c r="AA56" s="424">
        <f t="shared" si="13"/>
        <v>1.0000000000000002E-2</v>
      </c>
      <c r="AB56" s="815">
        <f>+AA56+AA57+AA58+AA59+AA60+AA61</f>
        <v>9.0428571428571428E-2</v>
      </c>
      <c r="AD56" s="421">
        <f>+'01-DIRECCIONAMIENTO ESTRATÉGICO'!BA16</f>
        <v>0.2</v>
      </c>
      <c r="AE56" s="423">
        <f t="shared" si="16"/>
        <v>0</v>
      </c>
      <c r="AG56" s="421">
        <f>+'01-DIRECCIONAMIENTO ESTRATÉGICO'!BE16</f>
        <v>0.05</v>
      </c>
      <c r="AH56" s="423">
        <f t="shared" si="17"/>
        <v>0</v>
      </c>
    </row>
    <row r="57" spans="2:34" ht="96" customHeight="1">
      <c r="B57" s="779"/>
      <c r="C57" s="772"/>
      <c r="D57" s="31" t="s">
        <v>160</v>
      </c>
      <c r="E57" s="32">
        <v>0.2</v>
      </c>
      <c r="F57" s="161">
        <v>0.4</v>
      </c>
      <c r="G57" s="33">
        <v>0.6</v>
      </c>
      <c r="H57" s="171" t="s">
        <v>154</v>
      </c>
      <c r="I57" s="142" t="s">
        <v>406</v>
      </c>
      <c r="J57" s="143" t="s">
        <v>712</v>
      </c>
      <c r="K57" s="172">
        <v>0.22</v>
      </c>
      <c r="L57" s="172">
        <v>0.14000000000000001</v>
      </c>
      <c r="M57" s="172">
        <v>0.02</v>
      </c>
      <c r="N57" s="172">
        <v>0.02</v>
      </c>
      <c r="O57" s="445">
        <f>+'01-DIRECCIONAMIENTO ESTRATÉGICO'!V17</f>
        <v>0.03</v>
      </c>
      <c r="P57" s="445">
        <f>+'01-DIRECCIONAMIENTO ESTRATÉGICO'!W17</f>
        <v>0.03</v>
      </c>
      <c r="Q57" s="445">
        <f>+'01-DIRECCIONAMIENTO ESTRATÉGICO'!AD17</f>
        <v>0.04</v>
      </c>
      <c r="R57" s="451">
        <f>+'01-DIRECCIONAMIENTO ESTRATÉGICO'!AE17</f>
        <v>0</v>
      </c>
      <c r="S57" s="445">
        <f>+'01-DIRECCIONAMIENTO ESTRATÉGICO'!AL17</f>
        <v>7.0000000000000007E-2</v>
      </c>
      <c r="T57" s="451">
        <f>+'01-DIRECCIONAMIENTO ESTRATÉGICO'!AM17</f>
        <v>0</v>
      </c>
      <c r="U57" s="445">
        <f>+'01-DIRECCIONAMIENTO ESTRATÉGICO'!AT17</f>
        <v>0.08</v>
      </c>
      <c r="V57" s="451">
        <f>+'01-DIRECCIONAMIENTO ESTRATÉGICO'!AU17</f>
        <v>0</v>
      </c>
      <c r="W57" s="445">
        <f>+'01-DIRECCIONAMIENTO ESTRATÉGICO'!AV17</f>
        <v>0.22000000000000003</v>
      </c>
      <c r="X57" s="446">
        <f t="shared" si="6"/>
        <v>0.03</v>
      </c>
      <c r="Y57" s="416">
        <f t="shared" si="10"/>
        <v>0.13636363636363635</v>
      </c>
      <c r="Z57" s="416">
        <f t="shared" si="12"/>
        <v>7.4999999999999997E-2</v>
      </c>
      <c r="AA57" s="424">
        <f t="shared" si="13"/>
        <v>1.4999999999999999E-2</v>
      </c>
      <c r="AB57" s="821"/>
      <c r="AD57" s="421">
        <f>+'01-DIRECCIONAMIENTO ESTRATÉGICO'!BA17</f>
        <v>0.13636363636363635</v>
      </c>
      <c r="AE57" s="423">
        <f t="shared" ref="AE57:AE62" si="18">Y57-AD57</f>
        <v>0</v>
      </c>
      <c r="AG57" s="421">
        <f>+'01-DIRECCIONAMIENTO ESTRATÉGICO'!BE17</f>
        <v>7.4999999999999997E-2</v>
      </c>
      <c r="AH57" s="423">
        <f t="shared" ref="AH57:AH62" si="19">+Z57-AG57</f>
        <v>0</v>
      </c>
    </row>
    <row r="58" spans="2:34" ht="74.25" customHeight="1">
      <c r="B58" s="779"/>
      <c r="C58" s="772"/>
      <c r="D58" s="31" t="s">
        <v>161</v>
      </c>
      <c r="E58" s="32">
        <v>0.15</v>
      </c>
      <c r="F58" s="161">
        <v>1</v>
      </c>
      <c r="G58" s="173" t="s">
        <v>156</v>
      </c>
      <c r="H58" s="171" t="s">
        <v>155</v>
      </c>
      <c r="I58" s="142" t="s">
        <v>406</v>
      </c>
      <c r="J58" s="143" t="s">
        <v>158</v>
      </c>
      <c r="K58" s="172">
        <v>0.38</v>
      </c>
      <c r="L58" s="172">
        <v>0.33</v>
      </c>
      <c r="M58" s="172">
        <v>0.28999999999999998</v>
      </c>
      <c r="N58" s="172">
        <v>0</v>
      </c>
      <c r="O58" s="445">
        <f>+'01-DIRECCIONAMIENTO ESTRATÉGICO'!V18</f>
        <v>0.09</v>
      </c>
      <c r="P58" s="445">
        <f>+'01-DIRECCIONAMIENTO ESTRATÉGICO'!W18</f>
        <v>0.09</v>
      </c>
      <c r="Q58" s="445">
        <f>+'01-DIRECCIONAMIENTO ESTRATÉGICO'!AD18</f>
        <v>0.09</v>
      </c>
      <c r="R58" s="451">
        <f>+'01-DIRECCIONAMIENTO ESTRATÉGICO'!AE18</f>
        <v>0</v>
      </c>
      <c r="S58" s="445">
        <f>+'01-DIRECCIONAMIENTO ESTRATÉGICO'!AL18</f>
        <v>0.11</v>
      </c>
      <c r="T58" s="451">
        <f>+'01-DIRECCIONAMIENTO ESTRATÉGICO'!AM18</f>
        <v>0</v>
      </c>
      <c r="U58" s="445">
        <f>+'01-DIRECCIONAMIENTO ESTRATÉGICO'!AT18</f>
        <v>0.09</v>
      </c>
      <c r="V58" s="451">
        <f>+'01-DIRECCIONAMIENTO ESTRATÉGICO'!AU18</f>
        <v>0</v>
      </c>
      <c r="W58" s="445">
        <f>+'01-DIRECCIONAMIENTO ESTRATÉGICO'!AV18</f>
        <v>0.38</v>
      </c>
      <c r="X58" s="446">
        <f t="shared" si="6"/>
        <v>0.09</v>
      </c>
      <c r="Y58" s="416">
        <f t="shared" si="10"/>
        <v>0.23684210526315788</v>
      </c>
      <c r="Z58" s="416">
        <f t="shared" si="12"/>
        <v>0.09</v>
      </c>
      <c r="AA58" s="424">
        <f t="shared" si="13"/>
        <v>1.35E-2</v>
      </c>
      <c r="AB58" s="821"/>
      <c r="AD58" s="421">
        <f>+'01-DIRECCIONAMIENTO ESTRATÉGICO'!BA18</f>
        <v>0.23684210526315788</v>
      </c>
      <c r="AE58" s="423">
        <f t="shared" si="18"/>
        <v>0</v>
      </c>
      <c r="AG58" s="421">
        <f>+'01-DIRECCIONAMIENTO ESTRATÉGICO'!BE18</f>
        <v>0.09</v>
      </c>
      <c r="AH58" s="423">
        <f t="shared" si="19"/>
        <v>0</v>
      </c>
    </row>
    <row r="59" spans="2:34" ht="63" customHeight="1">
      <c r="B59" s="779"/>
      <c r="C59" s="772"/>
      <c r="D59" s="31" t="s">
        <v>162</v>
      </c>
      <c r="E59" s="32">
        <v>0.1</v>
      </c>
      <c r="F59" s="174">
        <v>12</v>
      </c>
      <c r="G59" s="173" t="s">
        <v>157</v>
      </c>
      <c r="H59" s="171" t="s">
        <v>166</v>
      </c>
      <c r="I59" s="142" t="s">
        <v>406</v>
      </c>
      <c r="J59" s="143" t="s">
        <v>158</v>
      </c>
      <c r="K59" s="175">
        <v>3</v>
      </c>
      <c r="L59" s="175">
        <v>3</v>
      </c>
      <c r="M59" s="175">
        <v>3</v>
      </c>
      <c r="N59" s="175">
        <v>3</v>
      </c>
      <c r="O59" s="175">
        <f>+'01-DIRECCIONAMIENTO ESTRATÉGICO'!V19</f>
        <v>1</v>
      </c>
      <c r="P59" s="175">
        <f>+'01-DIRECCIONAMIENTO ESTRATÉGICO'!W19</f>
        <v>1</v>
      </c>
      <c r="Q59" s="174">
        <f>+'01-DIRECCIONAMIENTO ESTRATÉGICO'!AD19</f>
        <v>0</v>
      </c>
      <c r="R59" s="452">
        <f>+'01-DIRECCIONAMIENTO ESTRATÉGICO'!AE19</f>
        <v>0</v>
      </c>
      <c r="S59" s="174">
        <f>+'01-DIRECCIONAMIENTO ESTRATÉGICO'!AL19</f>
        <v>1</v>
      </c>
      <c r="T59" s="452">
        <f>+'01-DIRECCIONAMIENTO ESTRATÉGICO'!AM19</f>
        <v>0</v>
      </c>
      <c r="U59" s="174">
        <f>+'01-DIRECCIONAMIENTO ESTRATÉGICO'!AT19</f>
        <v>1</v>
      </c>
      <c r="V59" s="452">
        <f>+'01-DIRECCIONAMIENTO ESTRATÉGICO'!AU19</f>
        <v>0</v>
      </c>
      <c r="W59" s="174">
        <f>+'01-DIRECCIONAMIENTO ESTRATÉGICO'!AV19</f>
        <v>3</v>
      </c>
      <c r="X59" s="434">
        <f t="shared" ref="X59:X61" si="20">+P59+R59+T59+V59</f>
        <v>1</v>
      </c>
      <c r="Y59" s="416">
        <f t="shared" si="10"/>
        <v>0.33333333333333331</v>
      </c>
      <c r="Z59" s="416">
        <f t="shared" si="12"/>
        <v>8.3333333333333329E-2</v>
      </c>
      <c r="AA59" s="424">
        <f t="shared" si="13"/>
        <v>8.3333333333333332E-3</v>
      </c>
      <c r="AB59" s="821"/>
      <c r="AD59" s="421">
        <f>+'01-DIRECCIONAMIENTO ESTRATÉGICO'!BA19</f>
        <v>0.33333333333333331</v>
      </c>
      <c r="AE59" s="423">
        <f t="shared" si="18"/>
        <v>0</v>
      </c>
      <c r="AG59" s="421">
        <f>+'01-DIRECCIONAMIENTO ESTRATÉGICO'!BE19</f>
        <v>8.3333333333333329E-2</v>
      </c>
      <c r="AH59" s="423">
        <f t="shared" si="19"/>
        <v>0</v>
      </c>
    </row>
    <row r="60" spans="2:34" ht="63" customHeight="1">
      <c r="B60" s="779"/>
      <c r="C60" s="772"/>
      <c r="D60" s="485" t="s">
        <v>163</v>
      </c>
      <c r="E60" s="486">
        <v>0.2</v>
      </c>
      <c r="F60" s="486">
        <v>0.9</v>
      </c>
      <c r="G60" s="487">
        <v>0.86</v>
      </c>
      <c r="H60" s="488" t="s">
        <v>418</v>
      </c>
      <c r="I60" s="489" t="s">
        <v>407</v>
      </c>
      <c r="J60" s="490" t="s">
        <v>1</v>
      </c>
      <c r="K60" s="491">
        <v>0.9</v>
      </c>
      <c r="L60" s="491">
        <v>0.9</v>
      </c>
      <c r="M60" s="491">
        <v>0.9</v>
      </c>
      <c r="N60" s="491">
        <v>0.9</v>
      </c>
      <c r="O60" s="492">
        <f>+'14-SERVICIO AL USUARIO'!V16</f>
        <v>0.9</v>
      </c>
      <c r="P60" s="493">
        <f>+'14-SERVICIO AL USUARIO'!W16</f>
        <v>0.79800000000000004</v>
      </c>
      <c r="Q60" s="492">
        <f>+'14-SERVICIO AL USUARIO'!AD16</f>
        <v>0</v>
      </c>
      <c r="R60" s="494">
        <f>+'14-SERVICIO AL USUARIO'!AE16</f>
        <v>0</v>
      </c>
      <c r="S60" s="492">
        <f>+'14-SERVICIO AL USUARIO'!AL16</f>
        <v>0.9</v>
      </c>
      <c r="T60" s="494">
        <f>+'14-SERVICIO AL USUARIO'!AM16</f>
        <v>0</v>
      </c>
      <c r="U60" s="492">
        <f>+'14-SERVICIO AL USUARIO'!AT16</f>
        <v>0</v>
      </c>
      <c r="V60" s="494">
        <f>+'14-SERVICIO AL USUARIO'!AU16</f>
        <v>0</v>
      </c>
      <c r="W60" s="492">
        <f>+'14-SERVICIO AL USUARIO'!AV16</f>
        <v>0.9</v>
      </c>
      <c r="X60" s="461">
        <f>IFERROR(IF(OR($W$19="",$W$19=0),0,ROUNDDOWN(AVERAGE($P60),3)),0)</f>
        <v>0.79800000000000004</v>
      </c>
      <c r="Y60" s="461">
        <f>IF(AND(X60&gt;0,$W60&gt;0),X60/$W60,0)*0.5</f>
        <v>0.44333333333333336</v>
      </c>
      <c r="Z60" s="461">
        <f>(IF(AND(X60&gt;0,$F60&gt;0),X60/$F60,0)/4)*0.5</f>
        <v>0.11083333333333334</v>
      </c>
      <c r="AA60" s="495">
        <f t="shared" si="13"/>
        <v>2.2166666666666668E-2</v>
      </c>
      <c r="AB60" s="821"/>
      <c r="AD60" s="475">
        <f>+'14-SERVICIO AL USUARIO'!BA16</f>
        <v>0.44333333333333336</v>
      </c>
      <c r="AE60" s="476">
        <f t="shared" si="18"/>
        <v>0</v>
      </c>
      <c r="AF60" s="477"/>
      <c r="AG60" s="475">
        <f>+'14-SERVICIO AL USUARIO'!BE16</f>
        <v>0.11083333333333334</v>
      </c>
      <c r="AH60" s="476">
        <f t="shared" si="19"/>
        <v>0</v>
      </c>
    </row>
    <row r="61" spans="2:34" ht="70.5" customHeight="1">
      <c r="B61" s="779"/>
      <c r="C61" s="765"/>
      <c r="D61" s="485" t="s">
        <v>164</v>
      </c>
      <c r="E61" s="486">
        <v>0.15</v>
      </c>
      <c r="F61" s="496">
        <v>7</v>
      </c>
      <c r="G61" s="497">
        <v>3</v>
      </c>
      <c r="H61" s="498" t="s">
        <v>419</v>
      </c>
      <c r="I61" s="489" t="s">
        <v>407</v>
      </c>
      <c r="J61" s="490" t="s">
        <v>1</v>
      </c>
      <c r="K61" s="499">
        <v>2</v>
      </c>
      <c r="L61" s="499">
        <v>3</v>
      </c>
      <c r="M61" s="499">
        <v>1</v>
      </c>
      <c r="N61" s="499">
        <v>1</v>
      </c>
      <c r="O61" s="499">
        <f>+'14-SERVICIO AL USUARIO'!V17</f>
        <v>1</v>
      </c>
      <c r="P61" s="499">
        <f>+'14-SERVICIO AL USUARIO'!W17</f>
        <v>1</v>
      </c>
      <c r="Q61" s="499">
        <f>+'14-SERVICIO AL USUARIO'!AD17</f>
        <v>1</v>
      </c>
      <c r="R61" s="500">
        <f>+'14-SERVICIO AL USUARIO'!AE17</f>
        <v>0</v>
      </c>
      <c r="S61" s="499">
        <f>+'14-SERVICIO AL USUARIO'!AL17</f>
        <v>0</v>
      </c>
      <c r="T61" s="500">
        <f>+'14-SERVICIO AL USUARIO'!AM17</f>
        <v>0</v>
      </c>
      <c r="U61" s="499">
        <f>+'14-SERVICIO AL USUARIO'!AT17</f>
        <v>0</v>
      </c>
      <c r="V61" s="500">
        <f>+'14-SERVICIO AL USUARIO'!AU17</f>
        <v>0</v>
      </c>
      <c r="W61" s="499">
        <f>+'14-SERVICIO AL USUARIO'!AV17</f>
        <v>2</v>
      </c>
      <c r="X61" s="501">
        <f t="shared" si="20"/>
        <v>1</v>
      </c>
      <c r="Y61" s="461">
        <f t="shared" si="10"/>
        <v>0.5</v>
      </c>
      <c r="Z61" s="461">
        <f t="shared" si="12"/>
        <v>0.14285714285714285</v>
      </c>
      <c r="AA61" s="495">
        <f t="shared" si="13"/>
        <v>2.1428571428571425E-2</v>
      </c>
      <c r="AB61" s="822"/>
      <c r="AD61" s="475">
        <f>+'14-SERVICIO AL USUARIO'!BA17</f>
        <v>0.5</v>
      </c>
      <c r="AE61" s="476">
        <f t="shared" si="18"/>
        <v>0</v>
      </c>
      <c r="AF61" s="477"/>
      <c r="AG61" s="475">
        <f>+'14-SERVICIO AL USUARIO'!BE17</f>
        <v>0.14285714285714285</v>
      </c>
      <c r="AH61" s="476">
        <f t="shared" si="19"/>
        <v>0</v>
      </c>
    </row>
    <row r="62" spans="2:34" ht="60" customHeight="1">
      <c r="B62" s="779"/>
      <c r="C62" s="761" t="s">
        <v>144</v>
      </c>
      <c r="D62" s="151" t="s">
        <v>449</v>
      </c>
      <c r="E62" s="152">
        <v>0.1</v>
      </c>
      <c r="F62" s="166">
        <v>1</v>
      </c>
      <c r="G62" s="178">
        <v>1</v>
      </c>
      <c r="H62" s="179" t="s">
        <v>436</v>
      </c>
      <c r="I62" s="180" t="s">
        <v>437</v>
      </c>
      <c r="J62" s="181" t="s">
        <v>438</v>
      </c>
      <c r="K62" s="182">
        <v>1</v>
      </c>
      <c r="L62" s="182">
        <v>1</v>
      </c>
      <c r="M62" s="182">
        <v>1</v>
      </c>
      <c r="N62" s="182">
        <v>1</v>
      </c>
      <c r="O62" s="450">
        <f>+'08-G. DEL TALENTO HUMANO'!V16</f>
        <v>1</v>
      </c>
      <c r="P62" s="450">
        <f>+'08-G. DEL TALENTO HUMANO'!W16</f>
        <v>1</v>
      </c>
      <c r="Q62" s="183">
        <f>+'08-G. DEL TALENTO HUMANO'!AD16</f>
        <v>1</v>
      </c>
      <c r="R62" s="183"/>
      <c r="S62" s="183">
        <f>+'08-G. DEL TALENTO HUMANO'!AL16</f>
        <v>1</v>
      </c>
      <c r="T62" s="183"/>
      <c r="U62" s="183">
        <f>+'08-G. DEL TALENTO HUMANO'!AT16</f>
        <v>1</v>
      </c>
      <c r="V62" s="183"/>
      <c r="W62" s="183">
        <f>+'08-G. DEL TALENTO HUMANO'!AV16</f>
        <v>1</v>
      </c>
      <c r="X62" s="429">
        <f>IFERROR(IF(OR($W$19="",$W$19=0),0,ROUNDDOWN(AVERAGE($P62,R62,T62,V62),3)),0)</f>
        <v>1</v>
      </c>
      <c r="Y62" s="454">
        <f>IF(AND(X62&gt;0,$W62&gt;0),X62/$W62,0)*0.25</f>
        <v>0.25</v>
      </c>
      <c r="Z62" s="454">
        <f>(IF(AND(X62&gt;0,$F62&gt;0),X62/$F62,0)/4)*0.25</f>
        <v>6.25E-2</v>
      </c>
      <c r="AA62" s="454">
        <f t="shared" si="13"/>
        <v>6.2500000000000003E-3</v>
      </c>
      <c r="AB62" s="823">
        <f>SUM(AA62:AA69)</f>
        <v>6.5275472508591059E-2</v>
      </c>
      <c r="AD62" s="421">
        <f>+'08-G. DEL TALENTO HUMANO'!BA16</f>
        <v>0.25</v>
      </c>
      <c r="AE62" s="423">
        <f t="shared" si="18"/>
        <v>0</v>
      </c>
      <c r="AG62" s="421">
        <f>+'08-G. DEL TALENTO HUMANO'!BE16</f>
        <v>6.25E-2</v>
      </c>
      <c r="AH62" s="423">
        <f t="shared" si="19"/>
        <v>0</v>
      </c>
    </row>
    <row r="63" spans="2:34" ht="88.5" customHeight="1">
      <c r="B63" s="779"/>
      <c r="C63" s="762"/>
      <c r="D63" s="151" t="s">
        <v>450</v>
      </c>
      <c r="E63" s="152">
        <v>0.1</v>
      </c>
      <c r="F63" s="166">
        <v>0.97</v>
      </c>
      <c r="G63" s="178">
        <v>0.97</v>
      </c>
      <c r="H63" s="151" t="s">
        <v>439</v>
      </c>
      <c r="I63" s="180" t="s">
        <v>437</v>
      </c>
      <c r="J63" s="181" t="s">
        <v>440</v>
      </c>
      <c r="K63" s="182">
        <v>0.97</v>
      </c>
      <c r="L63" s="182">
        <v>0.97</v>
      </c>
      <c r="M63" s="182">
        <v>0.97</v>
      </c>
      <c r="N63" s="182">
        <v>0.97</v>
      </c>
      <c r="O63" s="450">
        <f>+'08-G. DEL TALENTO HUMANO'!V17</f>
        <v>0.97000000000000008</v>
      </c>
      <c r="P63" s="450">
        <f>+'08-G. DEL TALENTO HUMANO'!W17</f>
        <v>0.99400000000000011</v>
      </c>
      <c r="Q63" s="183">
        <f>+'08-G. DEL TALENTO HUMANO'!AD17</f>
        <v>0.97000000000000008</v>
      </c>
      <c r="R63" s="183"/>
      <c r="S63" s="183">
        <f>+'08-G. DEL TALENTO HUMANO'!AL17</f>
        <v>0.97000000000000008</v>
      </c>
      <c r="T63" s="183"/>
      <c r="U63" s="183">
        <f>+'08-G. DEL TALENTO HUMANO'!AT17</f>
        <v>0.97000000000000008</v>
      </c>
      <c r="V63" s="183"/>
      <c r="W63" s="183">
        <f>+'08-G. DEL TALENTO HUMANO'!AV17</f>
        <v>0.97000000000000008</v>
      </c>
      <c r="X63" s="429">
        <f t="shared" ref="X63:X64" si="21">IFERROR(IF(OR($W$19="",$W$19=0),0,ROUNDDOWN(AVERAGE($P63,R63,T63,V63),3)),0)</f>
        <v>0.99399999999999999</v>
      </c>
      <c r="Y63" s="454">
        <f t="shared" ref="Y63:Y64" si="22">IF(AND(X63&gt;0,$W63&gt;0),X63/$W63,0)*0.25</f>
        <v>0.25618556701030926</v>
      </c>
      <c r="Z63" s="454">
        <f t="shared" ref="Z63:Z64" si="23">(IF(AND(X63&gt;0,$F63&gt;0),X63/$F63,0)/4)*0.25</f>
        <v>6.4046391752577314E-2</v>
      </c>
      <c r="AA63" s="454">
        <f t="shared" si="13"/>
        <v>6.4046391752577321E-3</v>
      </c>
      <c r="AB63" s="824"/>
      <c r="AD63" s="421">
        <f>+'08-G. DEL TALENTO HUMANO'!BA17</f>
        <v>0.25618556701030926</v>
      </c>
      <c r="AE63" s="423">
        <f t="shared" ref="AE63:AE72" si="24">Y63-AD63</f>
        <v>0</v>
      </c>
      <c r="AG63" s="421">
        <f>+'08-G. DEL TALENTO HUMANO'!BE17</f>
        <v>6.4046391752577314E-2</v>
      </c>
      <c r="AH63" s="423">
        <f t="shared" ref="AH63:AH70" si="25">+Z63-AG63</f>
        <v>0</v>
      </c>
    </row>
    <row r="64" spans="2:34" ht="99.75" customHeight="1">
      <c r="B64" s="779"/>
      <c r="C64" s="762"/>
      <c r="D64" s="151" t="s">
        <v>451</v>
      </c>
      <c r="E64" s="152">
        <v>0.1</v>
      </c>
      <c r="F64" s="166">
        <v>0.9</v>
      </c>
      <c r="G64" s="154" t="s">
        <v>156</v>
      </c>
      <c r="H64" s="155" t="s">
        <v>441</v>
      </c>
      <c r="I64" s="180" t="s">
        <v>437</v>
      </c>
      <c r="J64" s="181" t="s">
        <v>440</v>
      </c>
      <c r="K64" s="182">
        <v>0.9</v>
      </c>
      <c r="L64" s="182">
        <v>0.9</v>
      </c>
      <c r="M64" s="182">
        <v>0.9</v>
      </c>
      <c r="N64" s="182">
        <v>0.9</v>
      </c>
      <c r="O64" s="450">
        <f>+'08-G. DEL TALENTO HUMANO'!V18</f>
        <v>0</v>
      </c>
      <c r="P64" s="450">
        <f>+'08-G. DEL TALENTO HUMANO'!W18</f>
        <v>0</v>
      </c>
      <c r="Q64" s="183">
        <f>+'08-G. DEL TALENTO HUMANO'!AD18</f>
        <v>0.9</v>
      </c>
      <c r="R64" s="450"/>
      <c r="S64" s="183">
        <f>+'08-G. DEL TALENTO HUMANO'!AL18</f>
        <v>0.9</v>
      </c>
      <c r="T64" s="450"/>
      <c r="U64" s="183">
        <f>+'08-G. DEL TALENTO HUMANO'!AT18</f>
        <v>0.9</v>
      </c>
      <c r="V64" s="183"/>
      <c r="W64" s="183">
        <f>+'08-G. DEL TALENTO HUMANO'!AV18</f>
        <v>0.67500000000000016</v>
      </c>
      <c r="X64" s="429">
        <f t="shared" si="21"/>
        <v>0</v>
      </c>
      <c r="Y64" s="454">
        <f t="shared" si="22"/>
        <v>0</v>
      </c>
      <c r="Z64" s="454">
        <f t="shared" si="23"/>
        <v>0</v>
      </c>
      <c r="AA64" s="454">
        <f t="shared" si="13"/>
        <v>0</v>
      </c>
      <c r="AB64" s="824"/>
      <c r="AD64" s="421">
        <f>+'08-G. DEL TALENTO HUMANO'!BA18</f>
        <v>0</v>
      </c>
      <c r="AE64" s="423">
        <f t="shared" si="24"/>
        <v>0</v>
      </c>
      <c r="AG64" s="421">
        <f>+'08-G. DEL TALENTO HUMANO'!BE18</f>
        <v>0</v>
      </c>
      <c r="AH64" s="423">
        <f t="shared" si="25"/>
        <v>0</v>
      </c>
    </row>
    <row r="65" spans="2:34" ht="75">
      <c r="B65" s="779"/>
      <c r="C65" s="762"/>
      <c r="D65" s="151" t="s">
        <v>452</v>
      </c>
      <c r="E65" s="152">
        <v>0.15</v>
      </c>
      <c r="F65" s="183">
        <v>1</v>
      </c>
      <c r="G65" s="183">
        <v>1</v>
      </c>
      <c r="H65" s="184" t="s">
        <v>442</v>
      </c>
      <c r="I65" s="180" t="s">
        <v>437</v>
      </c>
      <c r="J65" s="181" t="s">
        <v>443</v>
      </c>
      <c r="K65" s="182">
        <v>1</v>
      </c>
      <c r="L65" s="182">
        <v>1</v>
      </c>
      <c r="M65" s="182">
        <v>1</v>
      </c>
      <c r="N65" s="182">
        <v>1</v>
      </c>
      <c r="O65" s="450">
        <f>+'08-G. DEL TALENTO HUMANO'!V19</f>
        <v>0.24100000000000002</v>
      </c>
      <c r="P65" s="450">
        <f>+'08-G. DEL TALENTO HUMANO'!W19</f>
        <v>0.24100000000000002</v>
      </c>
      <c r="Q65" s="450">
        <f>+'08-G. DEL TALENTO HUMANO'!AD19</f>
        <v>0.27500000000000002</v>
      </c>
      <c r="R65" s="458">
        <f>+'08-G. DEL TALENTO HUMANO'!AE19</f>
        <v>0</v>
      </c>
      <c r="S65" s="450">
        <f>+'08-G. DEL TALENTO HUMANO'!AL19</f>
        <v>0.16500000000000001</v>
      </c>
      <c r="T65" s="458">
        <f>+'08-G. DEL TALENTO HUMANO'!AM19</f>
        <v>0</v>
      </c>
      <c r="U65" s="450">
        <f>+'08-G. DEL TALENTO HUMANO'!AT19</f>
        <v>0.31900000000000001</v>
      </c>
      <c r="V65" s="458">
        <f>+'08-G. DEL TALENTO HUMANO'!AU19</f>
        <v>0</v>
      </c>
      <c r="W65" s="450">
        <f>+'08-G. DEL TALENTO HUMANO'!AV19</f>
        <v>1</v>
      </c>
      <c r="X65" s="442">
        <f t="shared" ref="X65:X69" si="26">+P65+R65+T65+V65</f>
        <v>0.24100000000000002</v>
      </c>
      <c r="Y65" s="455">
        <f>IF(AND(X65&gt;0,$W65&gt;0),X65/$W65,0)</f>
        <v>0.24100000000000002</v>
      </c>
      <c r="Z65" s="454">
        <f>(IF(AND(X65&gt;0,$F65&gt;0),X65/$F65,0)/4)</f>
        <v>6.0250000000000005E-2</v>
      </c>
      <c r="AA65" s="455">
        <f>IF(AND(Z65&gt;0,E65&gt;0),Z65*E65,0)</f>
        <v>9.0375000000000004E-3</v>
      </c>
      <c r="AB65" s="824"/>
      <c r="AD65" s="456">
        <f>+'08-G. DEL TALENTO HUMANO'!BA19</f>
        <v>0.24100000000000002</v>
      </c>
      <c r="AE65" s="423">
        <f t="shared" si="24"/>
        <v>0</v>
      </c>
      <c r="AG65" s="421">
        <f>+'08-G. DEL TALENTO HUMANO'!BE19</f>
        <v>6.0250000000000005E-2</v>
      </c>
      <c r="AH65" s="423">
        <f>+Z65-AG65</f>
        <v>0</v>
      </c>
    </row>
    <row r="66" spans="2:34" ht="75">
      <c r="B66" s="779"/>
      <c r="C66" s="762"/>
      <c r="D66" s="151" t="s">
        <v>453</v>
      </c>
      <c r="E66" s="152">
        <v>0.15</v>
      </c>
      <c r="F66" s="183">
        <v>1</v>
      </c>
      <c r="G66" s="183">
        <v>1</v>
      </c>
      <c r="H66" s="184" t="s">
        <v>444</v>
      </c>
      <c r="I66" s="180" t="s">
        <v>437</v>
      </c>
      <c r="J66" s="181" t="s">
        <v>443</v>
      </c>
      <c r="K66" s="182">
        <v>1</v>
      </c>
      <c r="L66" s="182">
        <v>1</v>
      </c>
      <c r="M66" s="182">
        <v>1</v>
      </c>
      <c r="N66" s="182">
        <v>1</v>
      </c>
      <c r="O66" s="450">
        <f>+'08-G. DEL TALENTO HUMANO'!V20</f>
        <v>0.308</v>
      </c>
      <c r="P66" s="450">
        <f>+'08-G. DEL TALENTO HUMANO'!W20</f>
        <v>0.308</v>
      </c>
      <c r="Q66" s="450">
        <f>+'08-G. DEL TALENTO HUMANO'!AD20</f>
        <v>0.187</v>
      </c>
      <c r="R66" s="458">
        <f>+'08-G. DEL TALENTO HUMANO'!AE20</f>
        <v>0</v>
      </c>
      <c r="S66" s="183">
        <f>+'08-G. DEL TALENTO HUMANO'!AL20</f>
        <v>0.19700000000000001</v>
      </c>
      <c r="T66" s="458">
        <f>+'08-G. DEL TALENTO HUMANO'!AM20</f>
        <v>0</v>
      </c>
      <c r="U66" s="183">
        <f>+'08-G. DEL TALENTO HUMANO'!AT20</f>
        <v>0.308</v>
      </c>
      <c r="V66" s="460">
        <f>+'08-G. DEL TALENTO HUMANO'!AU20</f>
        <v>0</v>
      </c>
      <c r="W66" s="183">
        <f>+'08-G. DEL TALENTO HUMANO'!AV20</f>
        <v>1</v>
      </c>
      <c r="X66" s="442">
        <f t="shared" si="26"/>
        <v>0.308</v>
      </c>
      <c r="Y66" s="455">
        <f t="shared" ref="Y66:Y69" si="27">IF(AND(X66&gt;0,$W66&gt;0),X66/$W66,0)</f>
        <v>0.308</v>
      </c>
      <c r="Z66" s="454">
        <f t="shared" ref="Z66:Z68" si="28">(IF(AND(X66&gt;0,$F66&gt;0),X66/$F66,0)/4)</f>
        <v>7.6999999999999999E-2</v>
      </c>
      <c r="AA66" s="455">
        <f t="shared" ref="AA66:AA70" si="29">IF(AND(Z66&gt;0,E66&gt;0),Z66*E66,0)</f>
        <v>1.155E-2</v>
      </c>
      <c r="AB66" s="824"/>
      <c r="AD66" s="421">
        <f>+'08-G. DEL TALENTO HUMANO'!BA20</f>
        <v>0.308</v>
      </c>
      <c r="AE66" s="423">
        <f t="shared" si="24"/>
        <v>0</v>
      </c>
      <c r="AG66" s="421">
        <f>+'08-G. DEL TALENTO HUMANO'!BE20</f>
        <v>7.6999999999999999E-2</v>
      </c>
      <c r="AH66" s="423">
        <f t="shared" si="25"/>
        <v>0</v>
      </c>
    </row>
    <row r="67" spans="2:34" ht="75">
      <c r="B67" s="779"/>
      <c r="C67" s="762"/>
      <c r="D67" s="151" t="s">
        <v>454</v>
      </c>
      <c r="E67" s="152">
        <v>0.15</v>
      </c>
      <c r="F67" s="183">
        <v>1</v>
      </c>
      <c r="G67" s="183">
        <v>1</v>
      </c>
      <c r="H67" s="184" t="s">
        <v>445</v>
      </c>
      <c r="I67" s="180" t="s">
        <v>437</v>
      </c>
      <c r="J67" s="181" t="s">
        <v>443</v>
      </c>
      <c r="K67" s="182">
        <v>1</v>
      </c>
      <c r="L67" s="182">
        <v>1</v>
      </c>
      <c r="M67" s="182">
        <v>1</v>
      </c>
      <c r="N67" s="182">
        <v>1</v>
      </c>
      <c r="O67" s="450">
        <f>+'08-G. DEL TALENTO HUMANO'!V21</f>
        <v>0.26400000000000001</v>
      </c>
      <c r="P67" s="450">
        <f>+'08-G. DEL TALENTO HUMANO'!W21</f>
        <v>0.248</v>
      </c>
      <c r="Q67" s="450">
        <f>+'08-G. DEL TALENTO HUMANO'!AD21</f>
        <v>0.17499999999999999</v>
      </c>
      <c r="R67" s="458">
        <f>+'08-G. DEL TALENTO HUMANO'!AE21</f>
        <v>0</v>
      </c>
      <c r="S67" s="183">
        <f>+'08-G. DEL TALENTO HUMANO'!AL21</f>
        <v>0.127</v>
      </c>
      <c r="T67" s="458">
        <f>+'08-G. DEL TALENTO HUMANO'!AM21</f>
        <v>0</v>
      </c>
      <c r="U67" s="183">
        <f>+'08-G. DEL TALENTO HUMANO'!AT21</f>
        <v>0.433</v>
      </c>
      <c r="V67" s="460">
        <f>+'08-G. DEL TALENTO HUMANO'!AU21</f>
        <v>0</v>
      </c>
      <c r="W67" s="183">
        <f>+'08-G. DEL TALENTO HUMANO'!AV21</f>
        <v>0.99900000000000011</v>
      </c>
      <c r="X67" s="442">
        <f t="shared" si="26"/>
        <v>0.248</v>
      </c>
      <c r="Y67" s="455">
        <f t="shared" si="27"/>
        <v>0.24824824824824823</v>
      </c>
      <c r="Z67" s="454">
        <f t="shared" si="28"/>
        <v>6.2E-2</v>
      </c>
      <c r="AA67" s="455">
        <f t="shared" si="29"/>
        <v>9.2999999999999992E-3</v>
      </c>
      <c r="AB67" s="824"/>
      <c r="AD67" s="421">
        <f>+'08-G. DEL TALENTO HUMANO'!BA21</f>
        <v>0.24824824824824823</v>
      </c>
      <c r="AE67" s="423">
        <f t="shared" si="24"/>
        <v>0</v>
      </c>
      <c r="AG67" s="421">
        <f>+'08-G. DEL TALENTO HUMANO'!BE21</f>
        <v>6.2E-2</v>
      </c>
      <c r="AH67" s="423">
        <f t="shared" si="25"/>
        <v>0</v>
      </c>
    </row>
    <row r="68" spans="2:34" ht="75">
      <c r="B68" s="779"/>
      <c r="C68" s="762"/>
      <c r="D68" s="151" t="s">
        <v>455</v>
      </c>
      <c r="E68" s="152">
        <v>0.15</v>
      </c>
      <c r="F68" s="183">
        <v>1</v>
      </c>
      <c r="G68" s="183">
        <v>0.99</v>
      </c>
      <c r="H68" s="184" t="s">
        <v>446</v>
      </c>
      <c r="I68" s="180" t="s">
        <v>437</v>
      </c>
      <c r="J68" s="181" t="s">
        <v>443</v>
      </c>
      <c r="K68" s="182">
        <v>1</v>
      </c>
      <c r="L68" s="182">
        <v>1</v>
      </c>
      <c r="M68" s="182">
        <v>1</v>
      </c>
      <c r="N68" s="182">
        <v>1</v>
      </c>
      <c r="O68" s="450">
        <f>+'08-G. DEL TALENTO HUMANO'!V22</f>
        <v>0.38924999999999998</v>
      </c>
      <c r="P68" s="450">
        <f>+'08-G. DEL TALENTO HUMANO'!W22</f>
        <v>0.38400000000000001</v>
      </c>
      <c r="Q68" s="450">
        <f>+'08-G. DEL TALENTO HUMANO'!AD22</f>
        <v>0.14124999999999999</v>
      </c>
      <c r="R68" s="458">
        <f>+'08-G. DEL TALENTO HUMANO'!AE22</f>
        <v>0</v>
      </c>
      <c r="S68" s="183">
        <f>+'08-G. DEL TALENTO HUMANO'!AL22</f>
        <v>0.14424999999999999</v>
      </c>
      <c r="T68" s="458">
        <f>+'08-G. DEL TALENTO HUMANO'!AM22</f>
        <v>0</v>
      </c>
      <c r="U68" s="183">
        <f>+'08-G. DEL TALENTO HUMANO'!AT22</f>
        <v>0.32525000000000004</v>
      </c>
      <c r="V68" s="460">
        <f>+'08-G. DEL TALENTO HUMANO'!AU22</f>
        <v>0</v>
      </c>
      <c r="W68" s="183">
        <f>+'08-G. DEL TALENTO HUMANO'!AV22</f>
        <v>1</v>
      </c>
      <c r="X68" s="442">
        <f t="shared" si="26"/>
        <v>0.38400000000000001</v>
      </c>
      <c r="Y68" s="455">
        <f t="shared" si="27"/>
        <v>0.38400000000000001</v>
      </c>
      <c r="Z68" s="454">
        <f t="shared" si="28"/>
        <v>9.6000000000000002E-2</v>
      </c>
      <c r="AA68" s="455">
        <f t="shared" si="29"/>
        <v>1.44E-2</v>
      </c>
      <c r="AB68" s="824"/>
      <c r="AD68" s="421">
        <f>+'08-G. DEL TALENTO HUMANO'!BA22</f>
        <v>0.38400000000000001</v>
      </c>
      <c r="AE68" s="423">
        <f t="shared" si="24"/>
        <v>0</v>
      </c>
      <c r="AG68" s="421">
        <f>+'08-G. DEL TALENTO HUMANO'!BE22</f>
        <v>9.6000000000000002E-2</v>
      </c>
      <c r="AH68" s="423">
        <f t="shared" si="25"/>
        <v>0</v>
      </c>
    </row>
    <row r="69" spans="2:34" ht="84.75" customHeight="1">
      <c r="B69" s="779"/>
      <c r="C69" s="763"/>
      <c r="D69" s="151" t="s">
        <v>456</v>
      </c>
      <c r="E69" s="152">
        <v>0.1</v>
      </c>
      <c r="F69" s="185">
        <v>36</v>
      </c>
      <c r="G69" s="186" t="s">
        <v>156</v>
      </c>
      <c r="H69" s="179" t="s">
        <v>447</v>
      </c>
      <c r="I69" s="180" t="s">
        <v>437</v>
      </c>
      <c r="J69" s="181" t="s">
        <v>448</v>
      </c>
      <c r="K69" s="187">
        <v>9</v>
      </c>
      <c r="L69" s="187">
        <v>9</v>
      </c>
      <c r="M69" s="187">
        <v>9</v>
      </c>
      <c r="N69" s="187">
        <v>9</v>
      </c>
      <c r="O69" s="187">
        <f>+'08-G. DEL TALENTO HUMANO'!V23</f>
        <v>3</v>
      </c>
      <c r="P69" s="187">
        <f>+'08-G. DEL TALENTO HUMANO'!W23</f>
        <v>3</v>
      </c>
      <c r="Q69" s="187">
        <f>+'08-G. DEL TALENTO HUMANO'!AD23</f>
        <v>0</v>
      </c>
      <c r="R69" s="459">
        <f>+'08-G. DEL TALENTO HUMANO'!AE23</f>
        <v>0</v>
      </c>
      <c r="S69" s="187">
        <f>+'08-G. DEL TALENTO HUMANO'!AL23</f>
        <v>3</v>
      </c>
      <c r="T69" s="459">
        <f>+'08-G. DEL TALENTO HUMANO'!AM23</f>
        <v>0</v>
      </c>
      <c r="U69" s="187">
        <f>+'08-G. DEL TALENTO HUMANO'!AT23</f>
        <v>3</v>
      </c>
      <c r="V69" s="459">
        <f>+'08-G. DEL TALENTO HUMANO'!AU23</f>
        <v>0</v>
      </c>
      <c r="W69" s="187">
        <f>+'08-G. DEL TALENTO HUMANO'!AV23</f>
        <v>9</v>
      </c>
      <c r="X69" s="187">
        <f t="shared" si="26"/>
        <v>3</v>
      </c>
      <c r="Y69" s="455">
        <f t="shared" si="27"/>
        <v>0.33333333333333331</v>
      </c>
      <c r="Z69" s="454">
        <f t="shared" ref="Z69" si="30">IF(AND(X69&gt;0,$F69&gt;0),X69/$F69,0)</f>
        <v>8.3333333333333329E-2</v>
      </c>
      <c r="AA69" s="455">
        <f t="shared" si="29"/>
        <v>8.3333333333333332E-3</v>
      </c>
      <c r="AB69" s="825"/>
      <c r="AD69" s="421">
        <f>+'08-G. DEL TALENTO HUMANO'!BA23</f>
        <v>0.33333333333333331</v>
      </c>
      <c r="AE69" s="423">
        <f t="shared" si="24"/>
        <v>0</v>
      </c>
      <c r="AG69" s="421">
        <f>+'08-G. DEL TALENTO HUMANO'!BE23</f>
        <v>8.3333333333333329E-2</v>
      </c>
      <c r="AH69" s="423">
        <f t="shared" si="25"/>
        <v>0</v>
      </c>
    </row>
    <row r="70" spans="2:34" ht="76.5" customHeight="1">
      <c r="B70" s="779"/>
      <c r="C70" s="764" t="s">
        <v>145</v>
      </c>
      <c r="D70" s="31" t="s">
        <v>519</v>
      </c>
      <c r="E70" s="147">
        <v>0.1</v>
      </c>
      <c r="F70" s="161">
        <v>1</v>
      </c>
      <c r="G70" s="188">
        <v>0.99199999999999999</v>
      </c>
      <c r="H70" s="680" t="s">
        <v>489</v>
      </c>
      <c r="I70" s="142" t="s">
        <v>491</v>
      </c>
      <c r="J70" s="143" t="s">
        <v>492</v>
      </c>
      <c r="K70" s="172">
        <v>1</v>
      </c>
      <c r="L70" s="172">
        <v>1</v>
      </c>
      <c r="M70" s="172">
        <v>1</v>
      </c>
      <c r="N70" s="172">
        <v>1</v>
      </c>
      <c r="O70" s="414">
        <f>+'09-G.  ADMINISTRATIVA'!V16</f>
        <v>1</v>
      </c>
      <c r="P70" s="414">
        <f>+'09-G.  ADMINISTRATIVA'!W16</f>
        <v>0.99633333333333329</v>
      </c>
      <c r="Q70" s="414">
        <f>+'09-G.  ADMINISTRATIVA'!AD16</f>
        <v>1</v>
      </c>
      <c r="R70" s="414"/>
      <c r="S70" s="414">
        <f>+'09-G.  ADMINISTRATIVA'!AL16</f>
        <v>1</v>
      </c>
      <c r="T70" s="414"/>
      <c r="U70" s="414">
        <f>+'09-G.  ADMINISTRATIVA'!AT16</f>
        <v>1</v>
      </c>
      <c r="V70" s="414"/>
      <c r="W70" s="414">
        <f>+'09-G.  ADMINISTRATIVA'!AV16</f>
        <v>1</v>
      </c>
      <c r="X70" s="461">
        <f>IFERROR(IF(OR($W$19="",$W$19=0),0,ROUNDDOWN(AVERAGE($P70,R70,T70,V70),3)),0)</f>
        <v>0.996</v>
      </c>
      <c r="Y70" s="416">
        <f>IF(AND(X70&gt;0,$W70&gt;0),X70/$W70,0)*0.25</f>
        <v>0.249</v>
      </c>
      <c r="Z70" s="416">
        <f>(IF(AND(X70&gt;0,$F70&gt;0),X70/$F70,0)/4)*0.25</f>
        <v>6.225E-2</v>
      </c>
      <c r="AA70" s="416">
        <f t="shared" si="29"/>
        <v>6.2250000000000005E-3</v>
      </c>
      <c r="AB70" s="804">
        <f>SUM(AA70:AA84)</f>
        <v>6.4628260600369622E-2</v>
      </c>
      <c r="AD70" s="421">
        <f>+'09-G.  ADMINISTRATIVA'!BA16</f>
        <v>0.249</v>
      </c>
      <c r="AE70" s="423">
        <f t="shared" si="24"/>
        <v>0</v>
      </c>
      <c r="AG70" s="421">
        <f>+'09-G.  ADMINISTRATIVA'!BE16</f>
        <v>6.225E-2</v>
      </c>
      <c r="AH70" s="423">
        <f t="shared" si="25"/>
        <v>0</v>
      </c>
    </row>
    <row r="71" spans="2:34" ht="62.25" customHeight="1">
      <c r="B71" s="779"/>
      <c r="C71" s="772"/>
      <c r="D71" s="31" t="s">
        <v>691</v>
      </c>
      <c r="E71" s="147">
        <v>0.1</v>
      </c>
      <c r="F71" s="161">
        <v>0.97</v>
      </c>
      <c r="G71" s="188">
        <v>0.96599999999999997</v>
      </c>
      <c r="H71" s="680" t="s">
        <v>490</v>
      </c>
      <c r="I71" s="142" t="s">
        <v>491</v>
      </c>
      <c r="J71" s="143" t="s">
        <v>492</v>
      </c>
      <c r="K71" s="172">
        <v>0.97</v>
      </c>
      <c r="L71" s="172">
        <v>0.97</v>
      </c>
      <c r="M71" s="172">
        <v>0.97</v>
      </c>
      <c r="N71" s="172">
        <v>0.97</v>
      </c>
      <c r="O71" s="414">
        <f>+'09-G.  ADMINISTRATIVA'!V17</f>
        <v>0.97000000000000008</v>
      </c>
      <c r="P71" s="414">
        <f>+'09-G.  ADMINISTRATIVA'!W17</f>
        <v>1</v>
      </c>
      <c r="Q71" s="414">
        <f>+'09-G.  ADMINISTRATIVA'!AD17</f>
        <v>0.97000000000000008</v>
      </c>
      <c r="R71" s="414"/>
      <c r="S71" s="414">
        <f>+'09-G.  ADMINISTRATIVA'!AL17</f>
        <v>0.97000000000000008</v>
      </c>
      <c r="T71" s="414"/>
      <c r="U71" s="414">
        <f>+'09-G.  ADMINISTRATIVA'!AT17</f>
        <v>0.97000000000000008</v>
      </c>
      <c r="V71" s="414"/>
      <c r="W71" s="414">
        <f>+'09-G.  ADMINISTRATIVA'!AV17</f>
        <v>0.97000000000000008</v>
      </c>
      <c r="X71" s="461">
        <f>IFERROR(IF(OR($W$19="",$W$19=0),0,ROUNDDOWN(AVERAGE($P71,R71,T71,V71),3)),0)</f>
        <v>1</v>
      </c>
      <c r="Y71" s="416">
        <f>IF(AND(X71&gt;0,$W71&gt;0),X71/$W71,0)*0.25</f>
        <v>0.25773195876288657</v>
      </c>
      <c r="Z71" s="416">
        <f>(IF(AND(X71&gt;0,$F71&gt;0),X71/$F71,0)/4)*0.25</f>
        <v>6.4432989690721656E-2</v>
      </c>
      <c r="AA71" s="416">
        <f t="shared" ref="AA71" si="31">IF(AND(Z71&gt;0,E71&gt;0),Z71*E71,0)</f>
        <v>6.4432989690721663E-3</v>
      </c>
      <c r="AB71" s="805"/>
      <c r="AD71" s="421">
        <f>+'09-G.  ADMINISTRATIVA'!BA17</f>
        <v>0.25773195876288657</v>
      </c>
      <c r="AE71" s="423">
        <f t="shared" si="24"/>
        <v>0</v>
      </c>
      <c r="AG71" s="421">
        <f>+'09-G.  ADMINISTRATIVA'!BE17</f>
        <v>6.4432989690721656E-2</v>
      </c>
      <c r="AH71" s="423">
        <f t="shared" ref="AH71:AH72" si="32">+Z71-AG71</f>
        <v>0</v>
      </c>
    </row>
    <row r="72" spans="2:34" ht="64.5" customHeight="1">
      <c r="B72" s="779"/>
      <c r="C72" s="772"/>
      <c r="D72" s="31" t="s">
        <v>520</v>
      </c>
      <c r="E72" s="161">
        <v>7.0000000000000007E-2</v>
      </c>
      <c r="F72" s="161">
        <v>0.95</v>
      </c>
      <c r="G72" s="692" t="s">
        <v>156</v>
      </c>
      <c r="H72" s="680" t="s">
        <v>514</v>
      </c>
      <c r="I72" s="142" t="s">
        <v>518</v>
      </c>
      <c r="J72" s="143" t="s">
        <v>517</v>
      </c>
      <c r="K72" s="172">
        <v>0.95</v>
      </c>
      <c r="L72" s="172">
        <v>0.95</v>
      </c>
      <c r="M72" s="172">
        <v>0.95</v>
      </c>
      <c r="N72" s="172">
        <v>0.95</v>
      </c>
      <c r="O72" s="414">
        <f>+'10-GESTIÓN FINANCIERA'!V16</f>
        <v>0.22000000000000003</v>
      </c>
      <c r="P72" s="414">
        <f>+'10-GESTIÓN FINANCIERA'!W16</f>
        <v>0.20400000000000001</v>
      </c>
      <c r="Q72" s="414">
        <f>+'10-GESTIÓN FINANCIERA'!AD16</f>
        <v>0.25</v>
      </c>
      <c r="R72" s="437">
        <f>+'10-GESTIÓN FINANCIERA'!AE16</f>
        <v>0</v>
      </c>
      <c r="S72" s="414">
        <f>+'10-GESTIÓN FINANCIERA'!AL16</f>
        <v>0.25</v>
      </c>
      <c r="T72" s="437">
        <f>+'10-GESTIÓN FINANCIERA'!AM16</f>
        <v>0</v>
      </c>
      <c r="U72" s="414">
        <f>+'10-GESTIÓN FINANCIERA'!AT16</f>
        <v>0.23</v>
      </c>
      <c r="V72" s="437">
        <f>+'10-GESTIÓN FINANCIERA'!AU16</f>
        <v>0</v>
      </c>
      <c r="W72" s="414">
        <f>+'10-GESTIÓN FINANCIERA'!AV16</f>
        <v>0.95</v>
      </c>
      <c r="X72" s="462">
        <f t="shared" ref="X72" si="33">+P72+R72+T72+V72</f>
        <v>0.20400000000000001</v>
      </c>
      <c r="Y72" s="463">
        <f>IF(AND(X72&gt;0,$W72&gt;0),X72/$W72,0)</f>
        <v>0.21473684210526317</v>
      </c>
      <c r="Z72" s="464">
        <f>(IF(AND(X72&gt;0,$F72&gt;0),X72/$F72,0)/4)</f>
        <v>5.3684210526315793E-2</v>
      </c>
      <c r="AA72" s="463">
        <f>IF(AND(Z72&gt;0,E72&gt;0),Z72*E72,0)</f>
        <v>3.7578947368421059E-3</v>
      </c>
      <c r="AB72" s="805"/>
      <c r="AD72" s="421">
        <f>+'10-GESTIÓN FINANCIERA'!BA16</f>
        <v>0.21473684210526317</v>
      </c>
      <c r="AE72" s="423">
        <f t="shared" si="24"/>
        <v>0</v>
      </c>
      <c r="AG72" s="421">
        <f>+'10-GESTIÓN FINANCIERA'!BE16</f>
        <v>5.3684210526315793E-2</v>
      </c>
      <c r="AH72" s="423">
        <f t="shared" si="32"/>
        <v>0</v>
      </c>
    </row>
    <row r="73" spans="2:34" ht="64.5" customHeight="1">
      <c r="B73" s="779"/>
      <c r="C73" s="772"/>
      <c r="D73" s="31" t="s">
        <v>521</v>
      </c>
      <c r="E73" s="161">
        <v>7.0000000000000007E-2</v>
      </c>
      <c r="F73" s="161">
        <v>0.95</v>
      </c>
      <c r="G73" s="692" t="s">
        <v>156</v>
      </c>
      <c r="H73" s="680" t="s">
        <v>515</v>
      </c>
      <c r="I73" s="142" t="s">
        <v>518</v>
      </c>
      <c r="J73" s="143" t="s">
        <v>517</v>
      </c>
      <c r="K73" s="172">
        <v>0.95</v>
      </c>
      <c r="L73" s="172">
        <v>0.95</v>
      </c>
      <c r="M73" s="172">
        <v>0.95</v>
      </c>
      <c r="N73" s="172">
        <v>0.95</v>
      </c>
      <c r="O73" s="414">
        <f>+'10-GESTIÓN FINANCIERA'!V17</f>
        <v>0.14000000000000001</v>
      </c>
      <c r="P73" s="414">
        <f>+'10-GESTIÓN FINANCIERA'!W17</f>
        <v>9.7397917127575201E-2</v>
      </c>
      <c r="Q73" s="414">
        <f>+'10-GESTIÓN FINANCIERA'!AD17</f>
        <v>0.25</v>
      </c>
      <c r="R73" s="437">
        <f>+'10-GESTIÓN FINANCIERA'!AE17</f>
        <v>0</v>
      </c>
      <c r="S73" s="414">
        <f>+'10-GESTIÓN FINANCIERA'!AL17</f>
        <v>0.23000000000000004</v>
      </c>
      <c r="T73" s="437">
        <f>+'10-GESTIÓN FINANCIERA'!AM17</f>
        <v>0</v>
      </c>
      <c r="U73" s="414">
        <f>+'10-GESTIÓN FINANCIERA'!AT17</f>
        <v>0.32999999999999996</v>
      </c>
      <c r="V73" s="437">
        <f>+'10-GESTIÓN FINANCIERA'!AU17</f>
        <v>0</v>
      </c>
      <c r="W73" s="414">
        <f>+'10-GESTIÓN FINANCIERA'!AV17</f>
        <v>0.95000000000000007</v>
      </c>
      <c r="X73" s="462">
        <f t="shared" ref="X73:X74" si="34">+P73+R73+T73+V73</f>
        <v>9.7397917127575201E-2</v>
      </c>
      <c r="Y73" s="463">
        <f t="shared" ref="Y73:Y75" si="35">IF(AND(X73&gt;0,$W73&gt;0),X73/$W73,0)</f>
        <v>0.10252412329218441</v>
      </c>
      <c r="Z73" s="464">
        <f>(IF(AND(X73&gt;0,$F73&gt;0),X73/$F73,0)/4)</f>
        <v>2.5631030823046106E-2</v>
      </c>
      <c r="AA73" s="463">
        <f t="shared" ref="AA73:AA74" si="36">IF(AND(Z73&gt;0,E73&gt;0),Z73*E73,0)</f>
        <v>1.7941721576132275E-3</v>
      </c>
      <c r="AB73" s="805"/>
      <c r="AD73" s="421">
        <f>+'10-GESTIÓN FINANCIERA'!BA17</f>
        <v>0.10252412329218441</v>
      </c>
      <c r="AE73" s="423">
        <f t="shared" ref="AE73:AE96" si="37">Y73-AD73</f>
        <v>0</v>
      </c>
      <c r="AG73" s="421">
        <f>+'10-GESTIÓN FINANCIERA'!BE17</f>
        <v>2.5631030823046106E-2</v>
      </c>
      <c r="AH73" s="423">
        <f t="shared" ref="AH73:AH96" si="38">+Z73-AG73</f>
        <v>0</v>
      </c>
    </row>
    <row r="74" spans="2:34" ht="64.5" customHeight="1">
      <c r="B74" s="779"/>
      <c r="C74" s="772"/>
      <c r="D74" s="31" t="s">
        <v>522</v>
      </c>
      <c r="E74" s="161">
        <v>0.06</v>
      </c>
      <c r="F74" s="161">
        <v>1</v>
      </c>
      <c r="G74" s="692" t="s">
        <v>156</v>
      </c>
      <c r="H74" s="680" t="s">
        <v>516</v>
      </c>
      <c r="I74" s="142" t="s">
        <v>518</v>
      </c>
      <c r="J74" s="143" t="s">
        <v>517</v>
      </c>
      <c r="K74" s="172">
        <v>1</v>
      </c>
      <c r="L74" s="172">
        <v>1</v>
      </c>
      <c r="M74" s="172">
        <v>1</v>
      </c>
      <c r="N74" s="172">
        <v>1</v>
      </c>
      <c r="O74" s="414">
        <f>+'10-GESTIÓN FINANCIERA'!V18</f>
        <v>0.25</v>
      </c>
      <c r="P74" s="414">
        <f>+'10-GESTIÓN FINANCIERA'!W18</f>
        <v>0.25</v>
      </c>
      <c r="Q74" s="414">
        <f>+'10-GESTIÓN FINANCIERA'!AD18</f>
        <v>0.25</v>
      </c>
      <c r="R74" s="437">
        <f>+'10-GESTIÓN FINANCIERA'!AE18</f>
        <v>0</v>
      </c>
      <c r="S74" s="414">
        <f>+'10-GESTIÓN FINANCIERA'!AL18</f>
        <v>0.25</v>
      </c>
      <c r="T74" s="437">
        <f>+'10-GESTIÓN FINANCIERA'!AM18</f>
        <v>0</v>
      </c>
      <c r="U74" s="414">
        <f>+'10-GESTIÓN FINANCIERA'!AT18</f>
        <v>0.25</v>
      </c>
      <c r="V74" s="437">
        <f>+'10-GESTIÓN FINANCIERA'!AU18</f>
        <v>0</v>
      </c>
      <c r="W74" s="414">
        <f>+'10-GESTIÓN FINANCIERA'!AV18</f>
        <v>1</v>
      </c>
      <c r="X74" s="462">
        <f t="shared" si="34"/>
        <v>0.25</v>
      </c>
      <c r="Y74" s="463">
        <f t="shared" si="35"/>
        <v>0.25</v>
      </c>
      <c r="Z74" s="464">
        <f>(IF(AND(X74&gt;0,$F74&gt;0),X74/$F74,0)/4)</f>
        <v>6.25E-2</v>
      </c>
      <c r="AA74" s="463">
        <f t="shared" si="36"/>
        <v>3.7499999999999999E-3</v>
      </c>
      <c r="AB74" s="805"/>
      <c r="AD74" s="421">
        <f>+'10-GESTIÓN FINANCIERA'!BA18</f>
        <v>0.25</v>
      </c>
      <c r="AE74" s="423">
        <f t="shared" si="37"/>
        <v>0</v>
      </c>
      <c r="AG74" s="421">
        <f>+'10-GESTIÓN FINANCIERA'!BE18</f>
        <v>6.25E-2</v>
      </c>
      <c r="AH74" s="423">
        <f t="shared" si="38"/>
        <v>0</v>
      </c>
    </row>
    <row r="75" spans="2:34" ht="78" customHeight="1">
      <c r="B75" s="779"/>
      <c r="C75" s="772"/>
      <c r="D75" s="31" t="s">
        <v>523</v>
      </c>
      <c r="E75" s="52">
        <v>0.2</v>
      </c>
      <c r="F75" s="161">
        <v>0.95</v>
      </c>
      <c r="G75" s="692" t="s">
        <v>156</v>
      </c>
      <c r="H75" s="680" t="s">
        <v>505</v>
      </c>
      <c r="I75" s="142" t="s">
        <v>506</v>
      </c>
      <c r="J75" s="143" t="s">
        <v>507</v>
      </c>
      <c r="K75" s="172">
        <v>0.95</v>
      </c>
      <c r="L75" s="172">
        <v>0.95</v>
      </c>
      <c r="M75" s="172">
        <v>0.95</v>
      </c>
      <c r="N75" s="172">
        <v>0.95</v>
      </c>
      <c r="O75" s="414">
        <f>+'11-GESTIÓN CONTRACTUAL'!V16</f>
        <v>0.56999999999999995</v>
      </c>
      <c r="P75" s="414">
        <f>+'11-GESTIÓN CONTRACTUAL'!W16</f>
        <v>0.33</v>
      </c>
      <c r="Q75" s="414">
        <f>+'11-GESTIÓN CONTRACTUAL'!AD16</f>
        <v>0.24</v>
      </c>
      <c r="R75" s="437">
        <f>+'11-GESTIÓN CONTRACTUAL'!AE16</f>
        <v>0</v>
      </c>
      <c r="S75" s="414">
        <f>+'11-GESTIÓN CONTRACTUAL'!AL16</f>
        <v>0.08</v>
      </c>
      <c r="T75" s="437">
        <f>+'10-GESTIÓN FINANCIERA'!AM19</f>
        <v>0</v>
      </c>
      <c r="U75" s="414">
        <f>+'11-GESTIÓN CONTRACTUAL'!AT16</f>
        <v>0.06</v>
      </c>
      <c r="V75" s="437">
        <f>+'10-GESTIÓN FINANCIERA'!AU19</f>
        <v>0</v>
      </c>
      <c r="W75" s="414">
        <f>+'11-GESTIÓN CONTRACTUAL'!AV16</f>
        <v>0.95</v>
      </c>
      <c r="X75" s="462">
        <f t="shared" ref="X75" si="39">+P75+R75+T75+V75</f>
        <v>0.33</v>
      </c>
      <c r="Y75" s="463">
        <f t="shared" si="35"/>
        <v>0.3473684210526316</v>
      </c>
      <c r="Z75" s="464">
        <f>(IF(AND(X75&gt;0,$F75&gt;0),X75/$F75,0)/4)</f>
        <v>8.6842105263157901E-2</v>
      </c>
      <c r="AA75" s="463">
        <f t="shared" ref="AA75:AA82" si="40">IF(AND(Z75&gt;0,E75&gt;0),Z75*E75,0)</f>
        <v>1.7368421052631582E-2</v>
      </c>
      <c r="AB75" s="805"/>
      <c r="AD75" s="421">
        <f>+'11-GESTIÓN CONTRACTUAL'!BA16</f>
        <v>0.3473684210526316</v>
      </c>
      <c r="AE75" s="423">
        <f t="shared" si="37"/>
        <v>0</v>
      </c>
      <c r="AG75" s="421">
        <f>+'11-GESTIÓN CONTRACTUAL'!BE16</f>
        <v>8.6842105263157901E-2</v>
      </c>
      <c r="AH75" s="423">
        <f t="shared" si="38"/>
        <v>0</v>
      </c>
    </row>
    <row r="76" spans="2:34" ht="96.75" customHeight="1">
      <c r="B76" s="779"/>
      <c r="C76" s="772"/>
      <c r="D76" s="31" t="s">
        <v>548</v>
      </c>
      <c r="E76" s="52">
        <v>0.05</v>
      </c>
      <c r="F76" s="161">
        <v>0.95</v>
      </c>
      <c r="G76" s="692" t="s">
        <v>156</v>
      </c>
      <c r="H76" s="680" t="s">
        <v>541</v>
      </c>
      <c r="I76" s="142" t="s">
        <v>542</v>
      </c>
      <c r="J76" s="143" t="s">
        <v>543</v>
      </c>
      <c r="K76" s="172">
        <v>0.95</v>
      </c>
      <c r="L76" s="172">
        <v>0.95</v>
      </c>
      <c r="M76" s="172">
        <v>0.95</v>
      </c>
      <c r="N76" s="172">
        <v>0.95</v>
      </c>
      <c r="O76" s="414">
        <f>+'12-GESTIÓN DOCUMENTAL'!V16</f>
        <v>0.94999999999999984</v>
      </c>
      <c r="P76" s="414">
        <f>+'12-GESTIÓN DOCUMENTAL'!W16</f>
        <v>0.96200000000000008</v>
      </c>
      <c r="Q76" s="414">
        <f>+'12-GESTIÓN DOCUMENTAL'!AD16</f>
        <v>0.94999999999999984</v>
      </c>
      <c r="R76" s="414"/>
      <c r="S76" s="414">
        <f>+'12-GESTIÓN DOCUMENTAL'!AL16</f>
        <v>0.94999999999999984</v>
      </c>
      <c r="T76" s="414"/>
      <c r="U76" s="414">
        <f>+'12-GESTIÓN DOCUMENTAL'!AT16</f>
        <v>0.94999999999999984</v>
      </c>
      <c r="V76" s="414"/>
      <c r="W76" s="414">
        <f>+'12-GESTIÓN DOCUMENTAL'!AV16</f>
        <v>0.94999999999999984</v>
      </c>
      <c r="X76" s="461">
        <f t="shared" ref="X76:X77" si="41">IFERROR(IF(OR($W$19="",$W$19=0),0,ROUNDDOWN(AVERAGE($P76,R76,T76,V76),3)),0)</f>
        <v>0.96199999999999997</v>
      </c>
      <c r="Y76" s="416">
        <f t="shared" ref="Y76:Y77" si="42">IF(AND(X76&gt;0,$W76&gt;0),X76/$W76,0)*0.25</f>
        <v>0.25315789473684214</v>
      </c>
      <c r="Z76" s="416">
        <f>(IF(AND(X76&gt;0,$F76&gt;0),X76/$F76,0)/4)*0.25</f>
        <v>6.328947368421052E-2</v>
      </c>
      <c r="AA76" s="416">
        <f t="shared" si="40"/>
        <v>3.164473684210526E-3</v>
      </c>
      <c r="AB76" s="805"/>
      <c r="AD76" s="421">
        <f>+'12-GESTIÓN DOCUMENTAL'!BA16</f>
        <v>0.25315789473684214</v>
      </c>
      <c r="AE76" s="423">
        <f t="shared" si="37"/>
        <v>0</v>
      </c>
      <c r="AG76" s="421">
        <f>+'12-GESTIÓN DOCUMENTAL'!BE16</f>
        <v>6.328947368421052E-2</v>
      </c>
      <c r="AH76" s="423">
        <f t="shared" si="38"/>
        <v>0</v>
      </c>
    </row>
    <row r="77" spans="2:34" ht="76.5" customHeight="1">
      <c r="B77" s="779"/>
      <c r="C77" s="772"/>
      <c r="D77" s="31" t="s">
        <v>549</v>
      </c>
      <c r="E77" s="52">
        <v>0.05</v>
      </c>
      <c r="F77" s="161">
        <v>0.8</v>
      </c>
      <c r="G77" s="692">
        <v>264</v>
      </c>
      <c r="H77" s="680" t="s">
        <v>568</v>
      </c>
      <c r="I77" s="142" t="s">
        <v>542</v>
      </c>
      <c r="J77" s="143" t="s">
        <v>544</v>
      </c>
      <c r="K77" s="172">
        <v>0.8</v>
      </c>
      <c r="L77" s="172">
        <v>0.8</v>
      </c>
      <c r="M77" s="172">
        <v>0.8</v>
      </c>
      <c r="N77" s="172">
        <v>0.8</v>
      </c>
      <c r="O77" s="414">
        <f>+'12-GESTIÓN DOCUMENTAL'!V17</f>
        <v>0.80000000000000016</v>
      </c>
      <c r="P77" s="414">
        <f>+'12-GESTIÓN DOCUMENTAL'!W17</f>
        <v>0.80000000000000016</v>
      </c>
      <c r="Q77" s="414">
        <f>+'12-GESTIÓN DOCUMENTAL'!AD17</f>
        <v>0.80000000000000016</v>
      </c>
      <c r="R77" s="414"/>
      <c r="S77" s="414">
        <f>+'12-GESTIÓN DOCUMENTAL'!AL17</f>
        <v>0.80000000000000016</v>
      </c>
      <c r="T77" s="414"/>
      <c r="U77" s="414">
        <f>+'12-GESTIÓN DOCUMENTAL'!AT17</f>
        <v>0.80000000000000016</v>
      </c>
      <c r="V77" s="414"/>
      <c r="W77" s="414">
        <f>+'12-GESTIÓN DOCUMENTAL'!AV17</f>
        <v>0.79999999999999993</v>
      </c>
      <c r="X77" s="461">
        <f t="shared" si="41"/>
        <v>0.8</v>
      </c>
      <c r="Y77" s="416">
        <f t="shared" si="42"/>
        <v>0.25000000000000006</v>
      </c>
      <c r="Z77" s="416">
        <f>(IF(AND(X77&gt;0,$F77&gt;0),X77/$F77,0)/4)*0.25</f>
        <v>6.25E-2</v>
      </c>
      <c r="AA77" s="416">
        <f t="shared" si="40"/>
        <v>3.1250000000000002E-3</v>
      </c>
      <c r="AB77" s="805"/>
      <c r="AD77" s="421">
        <f>+'12-GESTIÓN DOCUMENTAL'!BA17</f>
        <v>0.25000000000000006</v>
      </c>
      <c r="AE77" s="423">
        <f t="shared" si="37"/>
        <v>0</v>
      </c>
      <c r="AG77" s="421">
        <f>+'12-GESTIÓN DOCUMENTAL'!BE17</f>
        <v>6.25E-2</v>
      </c>
      <c r="AH77" s="423">
        <f t="shared" si="38"/>
        <v>0</v>
      </c>
    </row>
    <row r="78" spans="2:34" ht="120" customHeight="1">
      <c r="B78" s="779"/>
      <c r="C78" s="772"/>
      <c r="D78" s="31" t="s">
        <v>550</v>
      </c>
      <c r="E78" s="52">
        <v>0.05</v>
      </c>
      <c r="F78" s="174">
        <v>100</v>
      </c>
      <c r="G78" s="692">
        <v>32</v>
      </c>
      <c r="H78" s="190" t="s">
        <v>696</v>
      </c>
      <c r="I78" s="142" t="s">
        <v>542</v>
      </c>
      <c r="J78" s="143" t="s">
        <v>545</v>
      </c>
      <c r="K78" s="175">
        <v>25</v>
      </c>
      <c r="L78" s="175">
        <v>25</v>
      </c>
      <c r="M78" s="175">
        <v>25</v>
      </c>
      <c r="N78" s="175">
        <v>25</v>
      </c>
      <c r="O78" s="175">
        <f>+'12-GESTIÓN DOCUMENTAL'!V18</f>
        <v>5</v>
      </c>
      <c r="P78" s="175">
        <f>+'12-GESTIÓN DOCUMENTAL'!W18</f>
        <v>7</v>
      </c>
      <c r="Q78" s="175">
        <f>+'12-GESTIÓN DOCUMENTAL'!AD18</f>
        <v>7</v>
      </c>
      <c r="R78" s="453">
        <f>+'12-GESTIÓN DOCUMENTAL'!AE18</f>
        <v>0</v>
      </c>
      <c r="S78" s="175">
        <f>+'12-GESTIÓN DOCUMENTAL'!AL18</f>
        <v>7</v>
      </c>
      <c r="T78" s="453">
        <f>+'12-GESTIÓN DOCUMENTAL'!AM18</f>
        <v>0</v>
      </c>
      <c r="U78" s="175">
        <f>+'12-GESTIÓN DOCUMENTAL'!AT18</f>
        <v>6</v>
      </c>
      <c r="V78" s="453">
        <f>+'12-GESTIÓN DOCUMENTAL'!AU18</f>
        <v>0</v>
      </c>
      <c r="W78" s="175">
        <f>+'12-GESTIÓN DOCUMENTAL'!AV18</f>
        <v>25</v>
      </c>
      <c r="X78" s="175">
        <f t="shared" ref="X78:X79" si="43">+P78+R78+T78+V78</f>
        <v>7</v>
      </c>
      <c r="Y78" s="464">
        <f t="shared" ref="Y78:Y79" si="44">IF(AND(X78&gt;0,$W78&gt;0),X78/$W78,0)</f>
        <v>0.28000000000000003</v>
      </c>
      <c r="Z78" s="416">
        <f t="shared" ref="Z78:Z79" si="45">IF(AND(X78&gt;0,$F78&gt;0),X78/$F78,0)</f>
        <v>7.0000000000000007E-2</v>
      </c>
      <c r="AA78" s="424">
        <f t="shared" si="40"/>
        <v>3.5000000000000005E-3</v>
      </c>
      <c r="AB78" s="805"/>
      <c r="AD78" s="421">
        <f>+'12-GESTIÓN DOCUMENTAL'!BA18</f>
        <v>0.28000000000000003</v>
      </c>
      <c r="AE78" s="423">
        <f t="shared" si="37"/>
        <v>0</v>
      </c>
      <c r="AG78" s="421">
        <f>+'12-GESTIÓN DOCUMENTAL'!BE18</f>
        <v>7.0000000000000007E-2</v>
      </c>
      <c r="AH78" s="423">
        <f t="shared" si="38"/>
        <v>0</v>
      </c>
    </row>
    <row r="79" spans="2:34" ht="87" customHeight="1">
      <c r="B79" s="779"/>
      <c r="C79" s="772"/>
      <c r="D79" s="31" t="s">
        <v>551</v>
      </c>
      <c r="E79" s="52">
        <v>0.05</v>
      </c>
      <c r="F79" s="174">
        <v>100</v>
      </c>
      <c r="G79" s="692">
        <v>26</v>
      </c>
      <c r="H79" s="190" t="s">
        <v>697</v>
      </c>
      <c r="I79" s="142" t="s">
        <v>546</v>
      </c>
      <c r="J79" s="143" t="s">
        <v>547</v>
      </c>
      <c r="K79" s="175">
        <v>25</v>
      </c>
      <c r="L79" s="175">
        <v>25</v>
      </c>
      <c r="M79" s="175">
        <v>25</v>
      </c>
      <c r="N79" s="175">
        <v>25</v>
      </c>
      <c r="O79" s="175">
        <f>+'12-GESTIÓN DOCUMENTAL'!V19</f>
        <v>5</v>
      </c>
      <c r="P79" s="175">
        <f>+'12-GESTIÓN DOCUMENTAL'!W19</f>
        <v>6</v>
      </c>
      <c r="Q79" s="175">
        <f>+'12-GESTIÓN DOCUMENTAL'!AD19</f>
        <v>7</v>
      </c>
      <c r="R79" s="453">
        <f>+'12-GESTIÓN DOCUMENTAL'!AE19</f>
        <v>0</v>
      </c>
      <c r="S79" s="175">
        <f>+'12-GESTIÓN DOCUMENTAL'!AL19</f>
        <v>7</v>
      </c>
      <c r="T79" s="453">
        <f>+'12-GESTIÓN DOCUMENTAL'!AM19</f>
        <v>0</v>
      </c>
      <c r="U79" s="175">
        <f>+'12-GESTIÓN DOCUMENTAL'!AT19</f>
        <v>6</v>
      </c>
      <c r="V79" s="453">
        <f>+'12-GESTIÓN DOCUMENTAL'!AU19</f>
        <v>0</v>
      </c>
      <c r="W79" s="175">
        <f>+'12-GESTIÓN DOCUMENTAL'!AV19</f>
        <v>25</v>
      </c>
      <c r="X79" s="175">
        <f t="shared" si="43"/>
        <v>6</v>
      </c>
      <c r="Y79" s="464">
        <f t="shared" si="44"/>
        <v>0.24</v>
      </c>
      <c r="Z79" s="416">
        <f t="shared" si="45"/>
        <v>0.06</v>
      </c>
      <c r="AA79" s="424">
        <f t="shared" si="40"/>
        <v>3.0000000000000001E-3</v>
      </c>
      <c r="AB79" s="805"/>
      <c r="AD79" s="421">
        <f>+'12-GESTIÓN DOCUMENTAL'!BA19</f>
        <v>0.24</v>
      </c>
      <c r="AE79" s="423">
        <f t="shared" si="37"/>
        <v>0</v>
      </c>
      <c r="AG79" s="421">
        <f>+'12-GESTIÓN DOCUMENTAL'!BE19</f>
        <v>0.06</v>
      </c>
      <c r="AH79" s="423">
        <f t="shared" si="38"/>
        <v>0</v>
      </c>
    </row>
    <row r="80" spans="2:34" ht="63" customHeight="1">
      <c r="B80" s="779"/>
      <c r="C80" s="772"/>
      <c r="D80" s="31" t="s">
        <v>574</v>
      </c>
      <c r="E80" s="52">
        <v>0.05</v>
      </c>
      <c r="F80" s="161">
        <v>1</v>
      </c>
      <c r="G80" s="33">
        <v>1</v>
      </c>
      <c r="H80" s="680" t="s">
        <v>570</v>
      </c>
      <c r="I80" s="142" t="s">
        <v>571</v>
      </c>
      <c r="J80" s="192" t="s">
        <v>3</v>
      </c>
      <c r="K80" s="193">
        <v>1</v>
      </c>
      <c r="L80" s="193">
        <v>1</v>
      </c>
      <c r="M80" s="193">
        <v>1</v>
      </c>
      <c r="N80" s="193">
        <v>1</v>
      </c>
      <c r="O80" s="466">
        <f>+'13-GESTIÓN JURÍDICA'!V16</f>
        <v>1</v>
      </c>
      <c r="P80" s="466">
        <f>+'13-GESTIÓN JURÍDICA'!W16</f>
        <v>1</v>
      </c>
      <c r="Q80" s="466">
        <f>+'13-GESTIÓN JURÍDICA'!AD16</f>
        <v>1</v>
      </c>
      <c r="R80" s="254"/>
      <c r="S80" s="466">
        <f>+'13-GESTIÓN JURÍDICA'!AL16</f>
        <v>1</v>
      </c>
      <c r="T80" s="414"/>
      <c r="U80" s="414">
        <f>+'13-GESTIÓN JURÍDICA'!AT16</f>
        <v>1</v>
      </c>
      <c r="V80" s="414"/>
      <c r="W80" s="414">
        <f>+'13-GESTIÓN JURÍDICA'!AV16</f>
        <v>1</v>
      </c>
      <c r="X80" s="461">
        <f t="shared" ref="X80:X84" si="46">IFERROR(IF(OR($W$19="",$W$19=0),0,ROUNDDOWN(AVERAGE($P80,R80,T80,V80),3)),0)</f>
        <v>1</v>
      </c>
      <c r="Y80" s="416">
        <f t="shared" ref="Y80:Y84" si="47">IF(AND(X80&gt;0,$W80&gt;0),X80/$W80,0)*0.25</f>
        <v>0.25</v>
      </c>
      <c r="Z80" s="416">
        <f>(IF(AND(X80&gt;0,$F80&gt;0),X80/$F80,0)/4)*0.25</f>
        <v>6.25E-2</v>
      </c>
      <c r="AA80" s="424">
        <f t="shared" si="40"/>
        <v>3.1250000000000002E-3</v>
      </c>
      <c r="AB80" s="805"/>
      <c r="AD80" s="421">
        <f>+'13-GESTIÓN JURÍDICA'!BA16</f>
        <v>0.25</v>
      </c>
      <c r="AE80" s="423">
        <f t="shared" si="37"/>
        <v>0</v>
      </c>
      <c r="AG80" s="421">
        <f>+'13-GESTIÓN JURÍDICA'!BE16</f>
        <v>6.25E-2</v>
      </c>
      <c r="AH80" s="423">
        <f t="shared" si="38"/>
        <v>0</v>
      </c>
    </row>
    <row r="81" spans="2:34" ht="54.75" customHeight="1">
      <c r="B81" s="779"/>
      <c r="C81" s="772"/>
      <c r="D81" s="31" t="s">
        <v>575</v>
      </c>
      <c r="E81" s="52">
        <v>0.05</v>
      </c>
      <c r="F81" s="33">
        <v>1</v>
      </c>
      <c r="G81" s="33">
        <v>1</v>
      </c>
      <c r="H81" s="680" t="s">
        <v>572</v>
      </c>
      <c r="I81" s="142" t="s">
        <v>571</v>
      </c>
      <c r="J81" s="192" t="s">
        <v>3</v>
      </c>
      <c r="K81" s="193">
        <v>1</v>
      </c>
      <c r="L81" s="193">
        <v>1</v>
      </c>
      <c r="M81" s="193">
        <v>1</v>
      </c>
      <c r="N81" s="193">
        <v>1</v>
      </c>
      <c r="O81" s="466">
        <f>+'13-GESTIÓN JURÍDICA'!V17</f>
        <v>1</v>
      </c>
      <c r="P81" s="466">
        <f>+'13-GESTIÓN JURÍDICA'!W17</f>
        <v>1</v>
      </c>
      <c r="Q81" s="466">
        <f>+'13-GESTIÓN JURÍDICA'!AD17</f>
        <v>1</v>
      </c>
      <c r="R81" s="254"/>
      <c r="S81" s="466">
        <f>+'13-GESTIÓN JURÍDICA'!AL17</f>
        <v>1</v>
      </c>
      <c r="T81" s="414"/>
      <c r="U81" s="414">
        <f>+'13-GESTIÓN JURÍDICA'!AT17</f>
        <v>1</v>
      </c>
      <c r="V81" s="414"/>
      <c r="W81" s="414">
        <f>+'13-GESTIÓN JURÍDICA'!AV17</f>
        <v>1</v>
      </c>
      <c r="X81" s="461">
        <f t="shared" si="46"/>
        <v>1</v>
      </c>
      <c r="Y81" s="416">
        <f t="shared" si="47"/>
        <v>0.25</v>
      </c>
      <c r="Z81" s="416">
        <f t="shared" ref="Z81:Z84" si="48">(IF(AND(X81&gt;0,$F81&gt;0),X81/$F81,0)/4)*0.25</f>
        <v>6.25E-2</v>
      </c>
      <c r="AA81" s="424">
        <f t="shared" si="40"/>
        <v>3.1250000000000002E-3</v>
      </c>
      <c r="AB81" s="805"/>
      <c r="AD81" s="421">
        <f>+'13-GESTIÓN JURÍDICA'!BA17</f>
        <v>0.25</v>
      </c>
      <c r="AE81" s="423">
        <f t="shared" si="37"/>
        <v>0</v>
      </c>
      <c r="AG81" s="421">
        <f>+'13-GESTIÓN JURÍDICA'!BE17</f>
        <v>6.25E-2</v>
      </c>
      <c r="AH81" s="423">
        <f t="shared" si="38"/>
        <v>0</v>
      </c>
    </row>
    <row r="82" spans="2:34" ht="78.75" customHeight="1">
      <c r="B82" s="779"/>
      <c r="C82" s="772"/>
      <c r="D82" s="31" t="s">
        <v>576</v>
      </c>
      <c r="E82" s="52">
        <v>0.05</v>
      </c>
      <c r="F82" s="33">
        <v>1</v>
      </c>
      <c r="G82" s="33">
        <v>1</v>
      </c>
      <c r="H82" s="680" t="s">
        <v>573</v>
      </c>
      <c r="I82" s="142" t="s">
        <v>571</v>
      </c>
      <c r="J82" s="192" t="s">
        <v>3</v>
      </c>
      <c r="K82" s="193">
        <v>1</v>
      </c>
      <c r="L82" s="193">
        <v>1</v>
      </c>
      <c r="M82" s="193">
        <v>1</v>
      </c>
      <c r="N82" s="193">
        <v>1</v>
      </c>
      <c r="O82" s="466">
        <f>+'13-GESTIÓN JURÍDICA'!V18</f>
        <v>1</v>
      </c>
      <c r="P82" s="466">
        <f>+'13-GESTIÓN JURÍDICA'!W18</f>
        <v>1</v>
      </c>
      <c r="Q82" s="466">
        <f>+'13-GESTIÓN JURÍDICA'!AD18</f>
        <v>1</v>
      </c>
      <c r="R82" s="254"/>
      <c r="S82" s="466">
        <f>+'13-GESTIÓN JURÍDICA'!AL18</f>
        <v>1</v>
      </c>
      <c r="T82" s="414"/>
      <c r="U82" s="414">
        <f>+'13-GESTIÓN JURÍDICA'!AT18</f>
        <v>1</v>
      </c>
      <c r="V82" s="414"/>
      <c r="W82" s="414">
        <f>+'13-GESTIÓN JURÍDICA'!AV18</f>
        <v>1</v>
      </c>
      <c r="X82" s="461">
        <f t="shared" si="46"/>
        <v>1</v>
      </c>
      <c r="Y82" s="416">
        <f t="shared" si="47"/>
        <v>0.25</v>
      </c>
      <c r="Z82" s="416">
        <f t="shared" si="48"/>
        <v>6.25E-2</v>
      </c>
      <c r="AA82" s="424">
        <f t="shared" si="40"/>
        <v>3.1250000000000002E-3</v>
      </c>
      <c r="AB82" s="805"/>
      <c r="AD82" s="421">
        <f>+'13-GESTIÓN JURÍDICA'!BA18</f>
        <v>0.25</v>
      </c>
      <c r="AE82" s="423">
        <f t="shared" si="37"/>
        <v>0</v>
      </c>
      <c r="AG82" s="421">
        <f>+'13-GESTIÓN JURÍDICA'!BE18</f>
        <v>6.25E-2</v>
      </c>
      <c r="AH82" s="423">
        <f t="shared" si="38"/>
        <v>0</v>
      </c>
    </row>
    <row r="83" spans="2:34" ht="76.5" customHeight="1">
      <c r="B83" s="779"/>
      <c r="C83" s="772"/>
      <c r="D83" s="773" t="s">
        <v>577</v>
      </c>
      <c r="E83" s="759">
        <v>0.05</v>
      </c>
      <c r="F83" s="33">
        <v>1</v>
      </c>
      <c r="G83" s="33">
        <v>1</v>
      </c>
      <c r="H83" s="680" t="s">
        <v>579</v>
      </c>
      <c r="I83" s="142" t="s">
        <v>571</v>
      </c>
      <c r="J83" s="192" t="s">
        <v>3</v>
      </c>
      <c r="K83" s="193">
        <v>1</v>
      </c>
      <c r="L83" s="193">
        <v>1</v>
      </c>
      <c r="M83" s="193">
        <v>1</v>
      </c>
      <c r="N83" s="193">
        <v>1</v>
      </c>
      <c r="O83" s="466">
        <f>+'13-GESTIÓN JURÍDICA'!V19</f>
        <v>1</v>
      </c>
      <c r="P83" s="466">
        <f>+'13-GESTIÓN JURÍDICA'!W19</f>
        <v>1</v>
      </c>
      <c r="Q83" s="466">
        <f>+'13-GESTIÓN JURÍDICA'!AD19</f>
        <v>1</v>
      </c>
      <c r="R83" s="254"/>
      <c r="S83" s="466">
        <f>+'13-GESTIÓN JURÍDICA'!AL19</f>
        <v>1</v>
      </c>
      <c r="T83" s="414"/>
      <c r="U83" s="414">
        <f>+'13-GESTIÓN JURÍDICA'!AT19</f>
        <v>1</v>
      </c>
      <c r="V83" s="414"/>
      <c r="W83" s="414">
        <f>+'13-GESTIÓN JURÍDICA'!AV19</f>
        <v>1</v>
      </c>
      <c r="X83" s="461">
        <f t="shared" si="46"/>
        <v>1</v>
      </c>
      <c r="Y83" s="416">
        <f t="shared" si="47"/>
        <v>0.25</v>
      </c>
      <c r="Z83" s="416">
        <f t="shared" si="48"/>
        <v>6.25E-2</v>
      </c>
      <c r="AA83" s="802">
        <f>AVERAGE((IF(AND(Z83&gt;0,E83&gt;0),Z83*E83,0)),(IF(AND(Z84&gt;0,E83&gt;0),Z84*E83,0)))</f>
        <v>3.1250000000000002E-3</v>
      </c>
      <c r="AB83" s="805"/>
      <c r="AD83" s="421">
        <f>+'13-GESTIÓN JURÍDICA'!BA19</f>
        <v>0.25</v>
      </c>
      <c r="AE83" s="423">
        <f t="shared" si="37"/>
        <v>0</v>
      </c>
      <c r="AG83" s="421">
        <f>+'13-GESTIÓN JURÍDICA'!BE19</f>
        <v>6.25E-2</v>
      </c>
      <c r="AH83" s="423">
        <f t="shared" si="38"/>
        <v>0</v>
      </c>
    </row>
    <row r="84" spans="2:34" ht="76.5" customHeight="1">
      <c r="B84" s="779"/>
      <c r="C84" s="765"/>
      <c r="D84" s="774"/>
      <c r="E84" s="760"/>
      <c r="F84" s="33">
        <v>1</v>
      </c>
      <c r="G84" s="33">
        <v>1</v>
      </c>
      <c r="H84" s="680" t="s">
        <v>578</v>
      </c>
      <c r="I84" s="142" t="s">
        <v>571</v>
      </c>
      <c r="J84" s="192" t="s">
        <v>3</v>
      </c>
      <c r="K84" s="193">
        <v>1</v>
      </c>
      <c r="L84" s="193">
        <v>1</v>
      </c>
      <c r="M84" s="193">
        <v>1</v>
      </c>
      <c r="N84" s="193">
        <v>1</v>
      </c>
      <c r="O84" s="466">
        <f>+'13-GESTIÓN JURÍDICA'!V20</f>
        <v>1</v>
      </c>
      <c r="P84" s="466">
        <f>+'13-GESTIÓN JURÍDICA'!W20</f>
        <v>1</v>
      </c>
      <c r="Q84" s="466">
        <f>+'13-GESTIÓN JURÍDICA'!AD20</f>
        <v>1</v>
      </c>
      <c r="R84" s="254"/>
      <c r="S84" s="466">
        <f>+'13-GESTIÓN JURÍDICA'!AL20</f>
        <v>1</v>
      </c>
      <c r="T84" s="414"/>
      <c r="U84" s="414">
        <f>+'13-GESTIÓN JURÍDICA'!AT20</f>
        <v>1</v>
      </c>
      <c r="V84" s="414"/>
      <c r="W84" s="414">
        <f>+'13-GESTIÓN JURÍDICA'!AV20</f>
        <v>1</v>
      </c>
      <c r="X84" s="461">
        <f t="shared" si="46"/>
        <v>1</v>
      </c>
      <c r="Y84" s="416">
        <f t="shared" si="47"/>
        <v>0.25</v>
      </c>
      <c r="Z84" s="416">
        <f t="shared" si="48"/>
        <v>6.25E-2</v>
      </c>
      <c r="AA84" s="803"/>
      <c r="AB84" s="806"/>
      <c r="AD84" s="421">
        <f>+'13-GESTIÓN JURÍDICA'!BA20</f>
        <v>0.25</v>
      </c>
      <c r="AE84" s="423">
        <f t="shared" si="37"/>
        <v>0</v>
      </c>
      <c r="AG84" s="421">
        <f>+'13-GESTIÓN JURÍDICA'!BE20</f>
        <v>6.25E-2</v>
      </c>
      <c r="AH84" s="423">
        <f t="shared" si="38"/>
        <v>0</v>
      </c>
    </row>
    <row r="85" spans="2:34" ht="73.5" customHeight="1">
      <c r="B85" s="779"/>
      <c r="C85" s="761" t="s">
        <v>146</v>
      </c>
      <c r="D85" s="151" t="s">
        <v>602</v>
      </c>
      <c r="E85" s="152">
        <v>0.05</v>
      </c>
      <c r="F85" s="194">
        <v>96</v>
      </c>
      <c r="G85" s="154" t="s">
        <v>156</v>
      </c>
      <c r="H85" s="155" t="s">
        <v>598</v>
      </c>
      <c r="I85" s="156" t="s">
        <v>618</v>
      </c>
      <c r="J85" s="156" t="s">
        <v>599</v>
      </c>
      <c r="K85" s="195">
        <v>24</v>
      </c>
      <c r="L85" s="195">
        <v>24</v>
      </c>
      <c r="M85" s="195">
        <v>24</v>
      </c>
      <c r="N85" s="195">
        <v>24</v>
      </c>
      <c r="O85" s="153">
        <f>+'15-CTRL DISCIPLINARIO INTERNO'!V16</f>
        <v>6</v>
      </c>
      <c r="P85" s="153">
        <f>+'15-CTRL DISCIPLINARIO INTERNO'!W16</f>
        <v>10</v>
      </c>
      <c r="Q85" s="153">
        <f>+'15-CTRL DISCIPLINARIO INTERNO'!AD16</f>
        <v>6</v>
      </c>
      <c r="R85" s="470">
        <f>+'15-CTRL DISCIPLINARIO INTERNO'!AE16</f>
        <v>0</v>
      </c>
      <c r="S85" s="153">
        <f>+'15-CTRL DISCIPLINARIO INTERNO'!AL16</f>
        <v>6</v>
      </c>
      <c r="T85" s="470">
        <f>+'15-CTRL DISCIPLINARIO INTERNO'!AM16</f>
        <v>0</v>
      </c>
      <c r="U85" s="153">
        <f>+'15-CTRL DISCIPLINARIO INTERNO'!AT16</f>
        <v>6</v>
      </c>
      <c r="V85" s="470">
        <f>+'15-CTRL DISCIPLINARIO INTERNO'!AU16</f>
        <v>0</v>
      </c>
      <c r="W85" s="153">
        <f>+'15-CTRL DISCIPLINARIO INTERNO'!AV16</f>
        <v>24</v>
      </c>
      <c r="X85" s="428">
        <f t="shared" ref="X85:X90" si="49">+P85+R85+T85+V85</f>
        <v>10</v>
      </c>
      <c r="Y85" s="429">
        <f t="shared" ref="Y85:Y90" si="50">IF(AND(X85&gt;0,$W85&gt;0),X85/$W85,0)</f>
        <v>0.41666666666666669</v>
      </c>
      <c r="Z85" s="429">
        <f t="shared" ref="Z85:Z87" si="51">IF(AND(X85&gt;0,$F85&gt;0),X85/$F85,0)</f>
        <v>0.10416666666666667</v>
      </c>
      <c r="AA85" s="429">
        <f t="shared" ref="AA85:AA87" si="52">IF(AND(Z85&gt;0,E85&gt;0),Z85*E85,0)</f>
        <v>5.2083333333333339E-3</v>
      </c>
      <c r="AB85" s="807">
        <f>SUM(AA85:AA90)</f>
        <v>8.7958333333333333E-2</v>
      </c>
      <c r="AD85" s="421">
        <f>+'15-CTRL DISCIPLINARIO INTERNO'!BA16</f>
        <v>0.41666666666666669</v>
      </c>
      <c r="AE85" s="423">
        <f t="shared" si="37"/>
        <v>0</v>
      </c>
      <c r="AG85" s="421">
        <f>+'15-CTRL DISCIPLINARIO INTERNO'!BE16</f>
        <v>0.10416666666666667</v>
      </c>
      <c r="AH85" s="423">
        <f t="shared" si="38"/>
        <v>0</v>
      </c>
    </row>
    <row r="86" spans="2:34" ht="86.25" customHeight="1">
      <c r="B86" s="779"/>
      <c r="C86" s="762"/>
      <c r="D86" s="151" t="s">
        <v>719</v>
      </c>
      <c r="E86" s="152">
        <v>0.05</v>
      </c>
      <c r="F86" s="196">
        <v>7</v>
      </c>
      <c r="G86" s="154" t="s">
        <v>156</v>
      </c>
      <c r="H86" s="155" t="s">
        <v>600</v>
      </c>
      <c r="I86" s="156" t="s">
        <v>618</v>
      </c>
      <c r="J86" s="156" t="s">
        <v>599</v>
      </c>
      <c r="K86" s="197">
        <v>2</v>
      </c>
      <c r="L86" s="197">
        <v>2</v>
      </c>
      <c r="M86" s="197">
        <v>2</v>
      </c>
      <c r="N86" s="197">
        <v>2</v>
      </c>
      <c r="O86" s="153">
        <f>+'15-CTRL DISCIPLINARIO INTERNO'!V17</f>
        <v>0</v>
      </c>
      <c r="P86" s="153">
        <f>+'15-CTRL DISCIPLINARIO INTERNO'!W17</f>
        <v>0</v>
      </c>
      <c r="Q86" s="153">
        <f>+'15-CTRL DISCIPLINARIO INTERNO'!AD17</f>
        <v>1</v>
      </c>
      <c r="R86" s="470">
        <f>+'15-CTRL DISCIPLINARIO INTERNO'!AE17</f>
        <v>0</v>
      </c>
      <c r="S86" s="153">
        <f>+'15-CTRL DISCIPLINARIO INTERNO'!AL17</f>
        <v>1</v>
      </c>
      <c r="T86" s="470">
        <f>+'15-CTRL DISCIPLINARIO INTERNO'!AM17</f>
        <v>0</v>
      </c>
      <c r="U86" s="153">
        <f>+'15-CTRL DISCIPLINARIO INTERNO'!AT17</f>
        <v>0</v>
      </c>
      <c r="V86" s="470">
        <f>+'15-CTRL DISCIPLINARIO INTERNO'!AU17</f>
        <v>0</v>
      </c>
      <c r="W86" s="153">
        <f>+'15-CTRL DISCIPLINARIO INTERNO'!AV17</f>
        <v>2</v>
      </c>
      <c r="X86" s="428">
        <f t="shared" si="49"/>
        <v>0</v>
      </c>
      <c r="Y86" s="429">
        <f t="shared" si="50"/>
        <v>0</v>
      </c>
      <c r="Z86" s="429">
        <f t="shared" si="51"/>
        <v>0</v>
      </c>
      <c r="AA86" s="429">
        <f t="shared" si="52"/>
        <v>0</v>
      </c>
      <c r="AB86" s="808"/>
      <c r="AD86" s="421">
        <f>+'15-CTRL DISCIPLINARIO INTERNO'!BA17</f>
        <v>0</v>
      </c>
      <c r="AE86" s="423">
        <f t="shared" si="37"/>
        <v>0</v>
      </c>
      <c r="AG86" s="421">
        <f>+'15-CTRL DISCIPLINARIO INTERNO'!BE17</f>
        <v>0</v>
      </c>
      <c r="AH86" s="423">
        <f t="shared" si="38"/>
        <v>0</v>
      </c>
    </row>
    <row r="87" spans="2:34" ht="96.75" customHeight="1">
      <c r="B87" s="779"/>
      <c r="C87" s="762"/>
      <c r="D87" s="151" t="s">
        <v>603</v>
      </c>
      <c r="E87" s="152">
        <v>0.2</v>
      </c>
      <c r="F87" s="196">
        <v>400</v>
      </c>
      <c r="G87" s="154" t="s">
        <v>612</v>
      </c>
      <c r="H87" s="155" t="s">
        <v>601</v>
      </c>
      <c r="I87" s="156" t="s">
        <v>618</v>
      </c>
      <c r="J87" s="156" t="s">
        <v>599</v>
      </c>
      <c r="K87" s="197">
        <v>100</v>
      </c>
      <c r="L87" s="197">
        <v>100</v>
      </c>
      <c r="M87" s="197">
        <v>100</v>
      </c>
      <c r="N87" s="197">
        <v>100</v>
      </c>
      <c r="O87" s="153">
        <f>+'15-CTRL DISCIPLINARIO INTERNO'!V18</f>
        <v>23</v>
      </c>
      <c r="P87" s="153">
        <f>+'15-CTRL DISCIPLINARIO INTERNO'!W18</f>
        <v>38</v>
      </c>
      <c r="Q87" s="153">
        <f>+'15-CTRL DISCIPLINARIO INTERNO'!AD18</f>
        <v>30</v>
      </c>
      <c r="R87" s="470">
        <f>+'15-CTRL DISCIPLINARIO INTERNO'!AE18</f>
        <v>0</v>
      </c>
      <c r="S87" s="153">
        <f>+'15-CTRL DISCIPLINARIO INTERNO'!AL18</f>
        <v>30</v>
      </c>
      <c r="T87" s="470">
        <f>+'15-CTRL DISCIPLINARIO INTERNO'!AM18</f>
        <v>0</v>
      </c>
      <c r="U87" s="153">
        <f>+'15-CTRL DISCIPLINARIO INTERNO'!AT18</f>
        <v>17</v>
      </c>
      <c r="V87" s="470">
        <f>+'15-CTRL DISCIPLINARIO INTERNO'!AU18</f>
        <v>0</v>
      </c>
      <c r="W87" s="153">
        <f>+'15-CTRL DISCIPLINARIO INTERNO'!AV18</f>
        <v>100</v>
      </c>
      <c r="X87" s="428">
        <f t="shared" si="49"/>
        <v>38</v>
      </c>
      <c r="Y87" s="429">
        <f t="shared" si="50"/>
        <v>0.38</v>
      </c>
      <c r="Z87" s="429">
        <f t="shared" si="51"/>
        <v>9.5000000000000001E-2</v>
      </c>
      <c r="AA87" s="429">
        <f t="shared" si="52"/>
        <v>1.9000000000000003E-2</v>
      </c>
      <c r="AB87" s="808"/>
      <c r="AD87" s="421">
        <f>+'15-CTRL DISCIPLINARIO INTERNO'!BA18</f>
        <v>0.38</v>
      </c>
      <c r="AE87" s="423">
        <f t="shared" si="37"/>
        <v>0</v>
      </c>
      <c r="AG87" s="421">
        <f>+'15-CTRL DISCIPLINARIO INTERNO'!BE18</f>
        <v>9.5000000000000001E-2</v>
      </c>
      <c r="AH87" s="423">
        <f t="shared" si="38"/>
        <v>0</v>
      </c>
    </row>
    <row r="88" spans="2:34" ht="69.75" customHeight="1">
      <c r="B88" s="779"/>
      <c r="C88" s="762"/>
      <c r="D88" s="151" t="s">
        <v>621</v>
      </c>
      <c r="E88" s="166">
        <v>0.5</v>
      </c>
      <c r="F88" s="154">
        <v>4</v>
      </c>
      <c r="G88" s="154">
        <v>4</v>
      </c>
      <c r="H88" s="155" t="s">
        <v>619</v>
      </c>
      <c r="I88" s="198" t="s">
        <v>620</v>
      </c>
      <c r="J88" s="198" t="s">
        <v>2</v>
      </c>
      <c r="K88" s="154">
        <v>1</v>
      </c>
      <c r="L88" s="154">
        <v>1</v>
      </c>
      <c r="M88" s="154">
        <v>1</v>
      </c>
      <c r="N88" s="154">
        <v>1</v>
      </c>
      <c r="O88" s="467">
        <f>+'16-EVALUACIÓN Y SEGUIMIENTO'!V16</f>
        <v>0.51</v>
      </c>
      <c r="P88" s="467">
        <f>+'16-EVALUACIÓN Y SEGUIMIENTO'!W16</f>
        <v>0.51</v>
      </c>
      <c r="Q88" s="467">
        <f>+'16-EVALUACIÓN Y SEGUIMIENTO'!AD16</f>
        <v>0.12</v>
      </c>
      <c r="R88" s="471">
        <f>+'16-EVALUACIÓN Y SEGUIMIENTO'!AE16</f>
        <v>0</v>
      </c>
      <c r="S88" s="467">
        <f>+'16-EVALUACIÓN Y SEGUIMIENTO'!AL16</f>
        <v>0.26</v>
      </c>
      <c r="T88" s="471">
        <f>+'16-EVALUACIÓN Y SEGUIMIENTO'!AM16</f>
        <v>0</v>
      </c>
      <c r="U88" s="467">
        <f>+'16-EVALUACIÓN Y SEGUIMIENTO'!AT16</f>
        <v>0.11</v>
      </c>
      <c r="V88" s="471">
        <f>+'16-EVALUACIÓN Y SEGUIMIENTO'!AU16</f>
        <v>0</v>
      </c>
      <c r="W88" s="468">
        <f>+'16-EVALUACIÓN Y SEGUIMIENTO'!AV16</f>
        <v>1</v>
      </c>
      <c r="X88" s="428">
        <f t="shared" si="49"/>
        <v>0.51</v>
      </c>
      <c r="Y88" s="429">
        <f t="shared" si="50"/>
        <v>0.51</v>
      </c>
      <c r="Z88" s="429">
        <f t="shared" ref="Z88:Z90" si="53">IF(AND(X88&gt;0,$F88&gt;0),X88/$F88,0)</f>
        <v>0.1275</v>
      </c>
      <c r="AA88" s="429">
        <f t="shared" ref="AA88:AA91" si="54">IF(AND(Z88&gt;0,E88&gt;0),Z88*E88,0)</f>
        <v>6.3750000000000001E-2</v>
      </c>
      <c r="AB88" s="808"/>
      <c r="AD88" s="421">
        <f>+'16-EVALUACIÓN Y SEGUIMIENTO'!BA16</f>
        <v>0.51</v>
      </c>
      <c r="AE88" s="423">
        <f t="shared" si="37"/>
        <v>0</v>
      </c>
      <c r="AG88" s="456">
        <f>+'16-EVALUACIÓN Y SEGUIMIENTO'!BE16</f>
        <v>0.1275</v>
      </c>
      <c r="AH88" s="423">
        <f t="shared" si="38"/>
        <v>0</v>
      </c>
    </row>
    <row r="89" spans="2:34" ht="56.25" customHeight="1">
      <c r="B89" s="779"/>
      <c r="C89" s="762"/>
      <c r="D89" s="151" t="s">
        <v>692</v>
      </c>
      <c r="E89" s="166">
        <v>0.1</v>
      </c>
      <c r="F89" s="196">
        <v>4</v>
      </c>
      <c r="G89" s="154">
        <v>4</v>
      </c>
      <c r="H89" s="155" t="s">
        <v>693</v>
      </c>
      <c r="I89" s="198" t="s">
        <v>620</v>
      </c>
      <c r="J89" s="198" t="s">
        <v>2</v>
      </c>
      <c r="K89" s="154">
        <v>1</v>
      </c>
      <c r="L89" s="154">
        <v>1</v>
      </c>
      <c r="M89" s="154">
        <v>1</v>
      </c>
      <c r="N89" s="154">
        <v>1</v>
      </c>
      <c r="O89" s="469">
        <f>+'16-EVALUACIÓN Y SEGUIMIENTO'!V17</f>
        <v>0</v>
      </c>
      <c r="P89" s="469">
        <f>+'16-EVALUACIÓN Y SEGUIMIENTO'!W17</f>
        <v>0</v>
      </c>
      <c r="Q89" s="469">
        <f>+'16-EVALUACIÓN Y SEGUIMIENTO'!AD17</f>
        <v>0</v>
      </c>
      <c r="R89" s="472">
        <f>+'16-EVALUACIÓN Y SEGUIMIENTO'!AE17</f>
        <v>0</v>
      </c>
      <c r="S89" s="469">
        <f>+'16-EVALUACIÓN Y SEGUIMIENTO'!AL17</f>
        <v>0</v>
      </c>
      <c r="T89" s="472">
        <f>+'16-EVALUACIÓN Y SEGUIMIENTO'!AM17</f>
        <v>0</v>
      </c>
      <c r="U89" s="469">
        <f>+'16-EVALUACIÓN Y SEGUIMIENTO'!AT17</f>
        <v>1</v>
      </c>
      <c r="V89" s="472">
        <f>+'16-EVALUACIÓN Y SEGUIMIENTO'!AU17</f>
        <v>0</v>
      </c>
      <c r="W89" s="468">
        <f>+'16-EVALUACIÓN Y SEGUIMIENTO'!AV17</f>
        <v>1</v>
      </c>
      <c r="X89" s="428">
        <f t="shared" si="49"/>
        <v>0</v>
      </c>
      <c r="Y89" s="429">
        <f t="shared" si="50"/>
        <v>0</v>
      </c>
      <c r="Z89" s="429">
        <f t="shared" si="53"/>
        <v>0</v>
      </c>
      <c r="AA89" s="429">
        <f t="shared" si="54"/>
        <v>0</v>
      </c>
      <c r="AB89" s="808"/>
      <c r="AD89" s="456">
        <f>+'16-EVALUACIÓN Y SEGUIMIENTO'!BA17</f>
        <v>0</v>
      </c>
      <c r="AE89" s="423">
        <f t="shared" si="37"/>
        <v>0</v>
      </c>
      <c r="AG89" s="456">
        <f>+'16-EVALUACIÓN Y SEGUIMIENTO'!BE17</f>
        <v>0</v>
      </c>
      <c r="AH89" s="423">
        <f t="shared" si="38"/>
        <v>0</v>
      </c>
    </row>
    <row r="90" spans="2:34" ht="61.5" customHeight="1">
      <c r="B90" s="779"/>
      <c r="C90" s="763"/>
      <c r="D90" s="151" t="s">
        <v>694</v>
      </c>
      <c r="E90" s="166">
        <v>0.1</v>
      </c>
      <c r="F90" s="196">
        <v>4</v>
      </c>
      <c r="G90" s="154">
        <v>4</v>
      </c>
      <c r="H90" s="155" t="s">
        <v>695</v>
      </c>
      <c r="I90" s="198" t="s">
        <v>620</v>
      </c>
      <c r="J90" s="198" t="s">
        <v>2</v>
      </c>
      <c r="K90" s="154">
        <v>1</v>
      </c>
      <c r="L90" s="154">
        <v>1</v>
      </c>
      <c r="M90" s="154">
        <v>1</v>
      </c>
      <c r="N90" s="154">
        <v>1</v>
      </c>
      <c r="O90" s="469">
        <f>+'16-EVALUACIÓN Y SEGUIMIENTO'!V18</f>
        <v>0</v>
      </c>
      <c r="P90" s="469">
        <f>+'16-EVALUACIÓN Y SEGUIMIENTO'!W18</f>
        <v>0</v>
      </c>
      <c r="Q90" s="469">
        <f>+'16-EVALUACIÓN Y SEGUIMIENTO'!AD18</f>
        <v>0</v>
      </c>
      <c r="R90" s="472">
        <f>+'16-EVALUACIÓN Y SEGUIMIENTO'!AE18</f>
        <v>0</v>
      </c>
      <c r="S90" s="469">
        <f>+'16-EVALUACIÓN Y SEGUIMIENTO'!AL18</f>
        <v>0</v>
      </c>
      <c r="T90" s="472">
        <f>+'16-EVALUACIÓN Y SEGUIMIENTO'!AM18</f>
        <v>0</v>
      </c>
      <c r="U90" s="469">
        <f>+'16-EVALUACIÓN Y SEGUIMIENTO'!AT18</f>
        <v>1</v>
      </c>
      <c r="V90" s="472">
        <f>+'16-EVALUACIÓN Y SEGUIMIENTO'!AU18</f>
        <v>0</v>
      </c>
      <c r="W90" s="468">
        <f>+'16-EVALUACIÓN Y SEGUIMIENTO'!AV18</f>
        <v>1</v>
      </c>
      <c r="X90" s="428">
        <f t="shared" si="49"/>
        <v>0</v>
      </c>
      <c r="Y90" s="429">
        <f t="shared" si="50"/>
        <v>0</v>
      </c>
      <c r="Z90" s="429">
        <f t="shared" si="53"/>
        <v>0</v>
      </c>
      <c r="AA90" s="429">
        <f t="shared" si="54"/>
        <v>0</v>
      </c>
      <c r="AB90" s="809"/>
      <c r="AD90" s="456">
        <f>+'16-EVALUACIÓN Y SEGUIMIENTO'!BA18</f>
        <v>0</v>
      </c>
      <c r="AE90" s="423">
        <f t="shared" si="37"/>
        <v>0</v>
      </c>
      <c r="AG90" s="456">
        <f>+'16-EVALUACIÓN Y SEGUIMIENTO'!BE18</f>
        <v>0</v>
      </c>
      <c r="AH90" s="423">
        <f t="shared" si="38"/>
        <v>0</v>
      </c>
    </row>
    <row r="91" spans="2:34" ht="60" customHeight="1">
      <c r="B91" s="779"/>
      <c r="C91" s="764" t="s">
        <v>147</v>
      </c>
      <c r="D91" s="680" t="s">
        <v>638</v>
      </c>
      <c r="E91" s="678">
        <v>0.5</v>
      </c>
      <c r="F91" s="33">
        <v>1</v>
      </c>
      <c r="G91" s="33">
        <v>1</v>
      </c>
      <c r="H91" s="680" t="s">
        <v>634</v>
      </c>
      <c r="I91" s="680" t="s">
        <v>635</v>
      </c>
      <c r="J91" s="199" t="s">
        <v>636</v>
      </c>
      <c r="K91" s="193">
        <v>1</v>
      </c>
      <c r="L91" s="193">
        <v>1</v>
      </c>
      <c r="M91" s="193">
        <v>1</v>
      </c>
      <c r="N91" s="193">
        <v>1</v>
      </c>
      <c r="O91" s="466">
        <f>+'04-COMUNICACIÓN ESTRATÉGICA'!V16</f>
        <v>1</v>
      </c>
      <c r="P91" s="466">
        <f>+'04-COMUNICACIÓN ESTRATÉGICA'!W16</f>
        <v>1</v>
      </c>
      <c r="Q91" s="466">
        <f>+'04-COMUNICACIÓN ESTRATÉGICA'!AD16</f>
        <v>1</v>
      </c>
      <c r="R91" s="466"/>
      <c r="S91" s="466">
        <f>+'04-COMUNICACIÓN ESTRATÉGICA'!AL16</f>
        <v>1</v>
      </c>
      <c r="T91" s="466"/>
      <c r="U91" s="466">
        <f>+'04-COMUNICACIÓN ESTRATÉGICA'!AT16</f>
        <v>1</v>
      </c>
      <c r="V91" s="466"/>
      <c r="W91" s="466">
        <f>+'04-COMUNICACIÓN ESTRATÉGICA'!AV16</f>
        <v>1</v>
      </c>
      <c r="X91" s="461">
        <f t="shared" ref="X91" si="55">IFERROR(IF(OR($W$19="",$W$19=0),0,ROUNDDOWN(AVERAGE($P91,R91,T91,V91),3)),0)</f>
        <v>1</v>
      </c>
      <c r="Y91" s="416">
        <f t="shared" ref="Y91:Y92" si="56">IF(AND(X91&gt;0,$W91&gt;0),X91/$W91,0)*0.25</f>
        <v>0.25</v>
      </c>
      <c r="Z91" s="416">
        <f t="shared" ref="Z91" si="57">(IF(AND(X91&gt;0,$F91&gt;0),X91/$F91,0)/4)*0.25</f>
        <v>6.25E-2</v>
      </c>
      <c r="AA91" s="424">
        <f t="shared" si="54"/>
        <v>3.125E-2</v>
      </c>
      <c r="AB91" s="810">
        <f>SUM(AA91:AA92)</f>
        <v>6.25E-2</v>
      </c>
      <c r="AD91" s="421">
        <f>+'04-COMUNICACIÓN ESTRATÉGICA'!BA16</f>
        <v>0.25</v>
      </c>
      <c r="AE91" s="423">
        <f t="shared" si="37"/>
        <v>0</v>
      </c>
      <c r="AG91" s="421">
        <f>+'04-COMUNICACIÓN ESTRATÉGICA'!BE16</f>
        <v>6.25E-2</v>
      </c>
      <c r="AH91" s="423">
        <f t="shared" si="38"/>
        <v>0</v>
      </c>
    </row>
    <row r="92" spans="2:34" ht="69.75" customHeight="1">
      <c r="B92" s="779"/>
      <c r="C92" s="765"/>
      <c r="D92" s="680" t="s">
        <v>639</v>
      </c>
      <c r="E92" s="678">
        <v>0.5</v>
      </c>
      <c r="F92" s="33">
        <v>1</v>
      </c>
      <c r="G92" s="33">
        <v>1</v>
      </c>
      <c r="H92" s="680" t="s">
        <v>637</v>
      </c>
      <c r="I92" s="680" t="s">
        <v>635</v>
      </c>
      <c r="J92" s="199" t="s">
        <v>636</v>
      </c>
      <c r="K92" s="193">
        <v>1</v>
      </c>
      <c r="L92" s="193">
        <v>1</v>
      </c>
      <c r="M92" s="193">
        <v>1</v>
      </c>
      <c r="N92" s="193">
        <v>1</v>
      </c>
      <c r="O92" s="466">
        <f>+'04-COMUNICACIÓN ESTRATÉGICA'!V17</f>
        <v>1</v>
      </c>
      <c r="P92" s="466">
        <f>+'04-COMUNICACIÓN ESTRATÉGICA'!W17</f>
        <v>1</v>
      </c>
      <c r="Q92" s="466">
        <f>+'04-COMUNICACIÓN ESTRATÉGICA'!AD17</f>
        <v>1</v>
      </c>
      <c r="R92" s="466"/>
      <c r="S92" s="466">
        <f>+'04-COMUNICACIÓN ESTRATÉGICA'!AL17</f>
        <v>1</v>
      </c>
      <c r="T92" s="466"/>
      <c r="U92" s="466">
        <f>+'04-COMUNICACIÓN ESTRATÉGICA'!AT17</f>
        <v>1</v>
      </c>
      <c r="V92" s="466"/>
      <c r="W92" s="466">
        <f>+'04-COMUNICACIÓN ESTRATÉGICA'!AV17</f>
        <v>1</v>
      </c>
      <c r="X92" s="461">
        <f t="shared" ref="X92" si="58">IFERROR(IF(OR($W$19="",$W$19=0),0,ROUNDDOWN(AVERAGE($P92,R92,T92,V92),3)),0)</f>
        <v>1</v>
      </c>
      <c r="Y92" s="416">
        <f t="shared" si="56"/>
        <v>0.25</v>
      </c>
      <c r="Z92" s="416">
        <f t="shared" ref="Z92" si="59">(IF(AND(X92&gt;0,$F92&gt;0),X92/$F92,0)/4)*0.25</f>
        <v>6.25E-2</v>
      </c>
      <c r="AA92" s="424">
        <f t="shared" ref="AA92:AA93" si="60">IF(AND(Z92&gt;0,E92&gt;0),Z92*E92,0)</f>
        <v>3.125E-2</v>
      </c>
      <c r="AB92" s="811"/>
      <c r="AD92" s="421">
        <f>+'04-COMUNICACIÓN ESTRATÉGICA'!BA17</f>
        <v>0.25</v>
      </c>
      <c r="AE92" s="423">
        <f t="shared" si="37"/>
        <v>0</v>
      </c>
      <c r="AG92" s="421">
        <f>+'04-COMUNICACIÓN ESTRATÉGICA'!BE17</f>
        <v>6.25E-2</v>
      </c>
      <c r="AH92" s="423">
        <f t="shared" si="38"/>
        <v>0</v>
      </c>
    </row>
    <row r="93" spans="2:34" ht="114" customHeight="1">
      <c r="B93" s="780"/>
      <c r="C93" s="200" t="s">
        <v>148</v>
      </c>
      <c r="D93" s="151" t="s">
        <v>435</v>
      </c>
      <c r="E93" s="152">
        <v>1</v>
      </c>
      <c r="F93" s="194">
        <v>3</v>
      </c>
      <c r="G93" s="154" t="s">
        <v>156</v>
      </c>
      <c r="H93" s="151" t="s">
        <v>429</v>
      </c>
      <c r="I93" s="156" t="s">
        <v>407</v>
      </c>
      <c r="J93" s="201" t="s">
        <v>1</v>
      </c>
      <c r="K93" s="202">
        <v>1</v>
      </c>
      <c r="L93" s="202">
        <v>1</v>
      </c>
      <c r="M93" s="202">
        <v>1</v>
      </c>
      <c r="N93" s="202">
        <v>0</v>
      </c>
      <c r="O93" s="473">
        <f>+'14-SERVICIO AL USUARIO'!V18</f>
        <v>0</v>
      </c>
      <c r="P93" s="473">
        <f>+'14-SERVICIO AL USUARIO'!W18</f>
        <v>0</v>
      </c>
      <c r="Q93" s="473">
        <f>+'14-SERVICIO AL USUARIO'!AD18</f>
        <v>0</v>
      </c>
      <c r="R93" s="484">
        <f>+'14-SERVICIO AL USUARIO'!AE18</f>
        <v>0</v>
      </c>
      <c r="S93" s="473">
        <f>+'14-SERVICIO AL USUARIO'!AL18</f>
        <v>0</v>
      </c>
      <c r="T93" s="484">
        <f>+'14-SERVICIO AL USUARIO'!AM18</f>
        <v>0</v>
      </c>
      <c r="U93" s="473">
        <f>+'14-SERVICIO AL USUARIO'!AT18</f>
        <v>1</v>
      </c>
      <c r="V93" s="484">
        <f>+'14-SERVICIO AL USUARIO'!AU18</f>
        <v>0</v>
      </c>
      <c r="W93" s="473">
        <f>+'14-SERVICIO AL USUARIO'!AV18</f>
        <v>1</v>
      </c>
      <c r="X93" s="428">
        <f t="shared" ref="X93:X96" si="61">+P93+R93+T93+V93</f>
        <v>0</v>
      </c>
      <c r="Y93" s="429">
        <f t="shared" ref="Y93:Y96" si="62">IF(AND(X93&gt;0,$W93&gt;0),X93/$W93,0)</f>
        <v>0</v>
      </c>
      <c r="Z93" s="429">
        <f t="shared" ref="Z93" si="63">IF(AND(X93&gt;0,$F93&gt;0),X93/$F93,0)</f>
        <v>0</v>
      </c>
      <c r="AA93" s="429">
        <f t="shared" si="60"/>
        <v>0</v>
      </c>
      <c r="AB93" s="474">
        <f>+AA93</f>
        <v>0</v>
      </c>
      <c r="AD93" s="421">
        <f>+'14-SERVICIO AL USUARIO'!BA18</f>
        <v>0</v>
      </c>
      <c r="AE93" s="423">
        <f t="shared" si="37"/>
        <v>0</v>
      </c>
      <c r="AG93" s="421">
        <f>+'04-COMUNICACIÓN ESTRATÉGICA'!BE16</f>
        <v>6.25E-2</v>
      </c>
      <c r="AH93" s="423">
        <f t="shared" si="38"/>
        <v>-6.25E-2</v>
      </c>
    </row>
    <row r="94" spans="2:34" ht="93.75" customHeight="1">
      <c r="B94" s="766" t="s">
        <v>149</v>
      </c>
      <c r="C94" s="203" t="s">
        <v>150</v>
      </c>
      <c r="D94" s="31" t="s">
        <v>652</v>
      </c>
      <c r="E94" s="52">
        <v>1</v>
      </c>
      <c r="F94" s="68">
        <v>4</v>
      </c>
      <c r="G94" s="692" t="s">
        <v>156</v>
      </c>
      <c r="H94" s="680" t="s">
        <v>648</v>
      </c>
      <c r="I94" s="142" t="s">
        <v>649</v>
      </c>
      <c r="J94" s="192" t="s">
        <v>650</v>
      </c>
      <c r="K94" s="204">
        <v>1</v>
      </c>
      <c r="L94" s="204">
        <v>1</v>
      </c>
      <c r="M94" s="204">
        <v>1</v>
      </c>
      <c r="N94" s="204">
        <v>1</v>
      </c>
      <c r="O94" s="478">
        <f>+'02-G. CONOCIMIENTO INNOVACIÓN'!V16</f>
        <v>0</v>
      </c>
      <c r="P94" s="478">
        <f>+'02-G. CONOCIMIENTO INNOVACIÓN'!W16</f>
        <v>0</v>
      </c>
      <c r="Q94" s="478">
        <f>+'02-G. CONOCIMIENTO INNOVACIÓN'!AD16</f>
        <v>0</v>
      </c>
      <c r="R94" s="483">
        <f>+'02-G. CONOCIMIENTO INNOVACIÓN'!AE16</f>
        <v>0</v>
      </c>
      <c r="S94" s="478">
        <f>+'02-G. CONOCIMIENTO INNOVACIÓN'!AL16</f>
        <v>0</v>
      </c>
      <c r="T94" s="483">
        <f>+'02-G. CONOCIMIENTO INNOVACIÓN'!AM16</f>
        <v>0</v>
      </c>
      <c r="U94" s="478">
        <f>+'02-G. CONOCIMIENTO INNOVACIÓN'!AT16</f>
        <v>1</v>
      </c>
      <c r="V94" s="483">
        <f>+'02-G. CONOCIMIENTO INNOVACIÓN'!AU16</f>
        <v>0</v>
      </c>
      <c r="W94" s="478">
        <f>+'02-G. CONOCIMIENTO INNOVACIÓN'!AV16</f>
        <v>1</v>
      </c>
      <c r="X94" s="427">
        <f t="shared" si="61"/>
        <v>0</v>
      </c>
      <c r="Y94" s="479">
        <f t="shared" si="62"/>
        <v>0</v>
      </c>
      <c r="Z94" s="479">
        <f t="shared" ref="Z94:Z96" si="64">IF(AND(X94&gt;0,$F94&gt;0),X94/$F94,0)</f>
        <v>0</v>
      </c>
      <c r="AA94" s="479">
        <f t="shared" ref="AA94:AA96" si="65">IF(AND(Z94&gt;0,E94&gt;0),Z94*E94,0)</f>
        <v>0</v>
      </c>
      <c r="AB94" s="480">
        <f>+AA94</f>
        <v>0</v>
      </c>
      <c r="AD94" s="421">
        <f>+'02-G. CONOCIMIENTO INNOVACIÓN'!BA16</f>
        <v>0</v>
      </c>
      <c r="AE94" s="423">
        <f t="shared" si="37"/>
        <v>0</v>
      </c>
      <c r="AG94" s="421">
        <f>+'02-G. CONOCIMIENTO INNOVACIÓN'!BE16</f>
        <v>0</v>
      </c>
      <c r="AH94" s="423">
        <f t="shared" si="38"/>
        <v>0</v>
      </c>
    </row>
    <row r="95" spans="2:34" ht="102" customHeight="1">
      <c r="B95" s="767"/>
      <c r="C95" s="205" t="s">
        <v>151</v>
      </c>
      <c r="D95" s="31" t="s">
        <v>653</v>
      </c>
      <c r="E95" s="52">
        <v>1</v>
      </c>
      <c r="F95" s="68">
        <v>8</v>
      </c>
      <c r="G95" s="692" t="s">
        <v>156</v>
      </c>
      <c r="H95" s="680" t="s">
        <v>651</v>
      </c>
      <c r="I95" s="142" t="s">
        <v>649</v>
      </c>
      <c r="J95" s="192" t="s">
        <v>650</v>
      </c>
      <c r="K95" s="204">
        <v>2</v>
      </c>
      <c r="L95" s="204">
        <v>2</v>
      </c>
      <c r="M95" s="204">
        <v>3</v>
      </c>
      <c r="N95" s="204">
        <v>1</v>
      </c>
      <c r="O95" s="478">
        <f>+'02-G. CONOCIMIENTO INNOVACIÓN'!V17</f>
        <v>0</v>
      </c>
      <c r="P95" s="478">
        <f>+'02-G. CONOCIMIENTO INNOVACIÓN'!W17</f>
        <v>0</v>
      </c>
      <c r="Q95" s="478">
        <f>+'02-G. CONOCIMIENTO INNOVACIÓN'!AD17</f>
        <v>1</v>
      </c>
      <c r="R95" s="483">
        <f>+'02-G. CONOCIMIENTO INNOVACIÓN'!AE17</f>
        <v>0</v>
      </c>
      <c r="S95" s="478">
        <f>+'02-G. CONOCIMIENTO INNOVACIÓN'!AL17</f>
        <v>0</v>
      </c>
      <c r="T95" s="483">
        <f>+'02-G. CONOCIMIENTO INNOVACIÓN'!AM17</f>
        <v>0</v>
      </c>
      <c r="U95" s="478">
        <f>+'02-G. CONOCIMIENTO INNOVACIÓN'!AT17</f>
        <v>1</v>
      </c>
      <c r="V95" s="483">
        <f>+'02-G. CONOCIMIENTO INNOVACIÓN'!AU17</f>
        <v>0</v>
      </c>
      <c r="W95" s="478">
        <f>+'02-G. CONOCIMIENTO INNOVACIÓN'!AV17</f>
        <v>2</v>
      </c>
      <c r="X95" s="481">
        <f t="shared" si="61"/>
        <v>0</v>
      </c>
      <c r="Y95" s="479">
        <f t="shared" si="62"/>
        <v>0</v>
      </c>
      <c r="Z95" s="479">
        <f t="shared" si="64"/>
        <v>0</v>
      </c>
      <c r="AA95" s="479">
        <f t="shared" si="65"/>
        <v>0</v>
      </c>
      <c r="AB95" s="480">
        <f>+AA95</f>
        <v>0</v>
      </c>
      <c r="AD95" s="421">
        <f>+'02-G. CONOCIMIENTO INNOVACIÓN'!BA17</f>
        <v>0</v>
      </c>
      <c r="AE95" s="423">
        <f t="shared" si="37"/>
        <v>0</v>
      </c>
      <c r="AG95" s="421">
        <f>+'02-G. CONOCIMIENTO INNOVACIÓN'!BE17</f>
        <v>0</v>
      </c>
      <c r="AH95" s="423">
        <f t="shared" si="38"/>
        <v>0</v>
      </c>
    </row>
    <row r="96" spans="2:34" ht="124.5" customHeight="1" thickBot="1">
      <c r="B96" s="768"/>
      <c r="C96" s="206" t="s">
        <v>152</v>
      </c>
      <c r="D96" s="31" t="s">
        <v>654</v>
      </c>
      <c r="E96" s="52">
        <v>1</v>
      </c>
      <c r="F96" s="68">
        <v>10</v>
      </c>
      <c r="G96" s="692" t="s">
        <v>156</v>
      </c>
      <c r="H96" s="680" t="s">
        <v>655</v>
      </c>
      <c r="I96" s="142" t="s">
        <v>649</v>
      </c>
      <c r="J96" s="192" t="s">
        <v>650</v>
      </c>
      <c r="K96" s="204">
        <v>3</v>
      </c>
      <c r="L96" s="204">
        <v>3</v>
      </c>
      <c r="M96" s="204">
        <v>3</v>
      </c>
      <c r="N96" s="204">
        <v>1</v>
      </c>
      <c r="O96" s="478">
        <f>+'02-G. CONOCIMIENTO INNOVACIÓN'!V18</f>
        <v>0</v>
      </c>
      <c r="P96" s="478">
        <f>+'02-G. CONOCIMIENTO INNOVACIÓN'!W18</f>
        <v>1</v>
      </c>
      <c r="Q96" s="478">
        <f>+'02-G. CONOCIMIENTO INNOVACIÓN'!AD18</f>
        <v>1</v>
      </c>
      <c r="R96" s="483">
        <f>+'02-G. CONOCIMIENTO INNOVACIÓN'!AE18</f>
        <v>0</v>
      </c>
      <c r="S96" s="478">
        <f>+'02-G. CONOCIMIENTO INNOVACIÓN'!AL18</f>
        <v>1</v>
      </c>
      <c r="T96" s="483">
        <f>+'02-G. CONOCIMIENTO INNOVACIÓN'!AM18</f>
        <v>0</v>
      </c>
      <c r="U96" s="478">
        <f>+'02-G. CONOCIMIENTO INNOVACIÓN'!AT18</f>
        <v>1</v>
      </c>
      <c r="V96" s="483">
        <f>+'02-G. CONOCIMIENTO INNOVACIÓN'!AU18</f>
        <v>0</v>
      </c>
      <c r="W96" s="478">
        <f>+'02-G. CONOCIMIENTO INNOVACIÓN'!AV18</f>
        <v>3</v>
      </c>
      <c r="X96" s="481">
        <f t="shared" si="61"/>
        <v>1</v>
      </c>
      <c r="Y96" s="479">
        <f t="shared" si="62"/>
        <v>0.33333333333333331</v>
      </c>
      <c r="Z96" s="479">
        <f t="shared" si="64"/>
        <v>0.1</v>
      </c>
      <c r="AA96" s="479">
        <f t="shared" si="65"/>
        <v>0.1</v>
      </c>
      <c r="AB96" s="480">
        <f>+AA96</f>
        <v>0.1</v>
      </c>
      <c r="AD96" s="421">
        <f>+'02-G. CONOCIMIENTO INNOVACIÓN'!BA18</f>
        <v>0.33333333333333331</v>
      </c>
      <c r="AE96" s="423">
        <f t="shared" si="37"/>
        <v>0</v>
      </c>
      <c r="AG96" s="421">
        <f>+'02-G. CONOCIMIENTO INNOVACIÓN'!BE18</f>
        <v>0.1</v>
      </c>
      <c r="AH96" s="423">
        <f t="shared" si="38"/>
        <v>0</v>
      </c>
    </row>
    <row r="97" spans="2:34" ht="24" thickBot="1">
      <c r="B97" s="374"/>
      <c r="C97" s="375"/>
      <c r="D97" s="375"/>
      <c r="E97" s="375"/>
      <c r="F97" s="375"/>
      <c r="G97" s="375"/>
      <c r="H97" s="375"/>
      <c r="I97" s="375"/>
      <c r="J97" s="375"/>
      <c r="K97" s="375"/>
      <c r="L97" s="375"/>
      <c r="M97" s="375"/>
      <c r="N97" s="375"/>
      <c r="O97" s="375"/>
      <c r="P97" s="375"/>
      <c r="Q97" s="375"/>
      <c r="R97" s="375"/>
      <c r="S97" s="375"/>
      <c r="T97" s="375"/>
      <c r="U97" s="375"/>
      <c r="V97" s="375"/>
      <c r="W97" s="375"/>
      <c r="X97" s="482"/>
      <c r="Y97" s="624">
        <f>AVERAGE(Y13:Y96)</f>
        <v>0.21466352166564834</v>
      </c>
      <c r="Z97" s="624">
        <f>AVERAGE(Z13:Z96)</f>
        <v>5.5295486025752523E-2</v>
      </c>
      <c r="AA97" s="375"/>
      <c r="AB97" s="625"/>
      <c r="AH97" s="423"/>
    </row>
    <row r="98" spans="2:34" ht="13.5" customHeight="1">
      <c r="B98" s="208"/>
      <c r="C98" s="208"/>
      <c r="D98" s="208"/>
      <c r="E98" s="207"/>
      <c r="F98" s="207"/>
      <c r="G98" s="207"/>
      <c r="H98" s="208"/>
      <c r="I98" s="208"/>
      <c r="J98" s="208"/>
      <c r="K98" s="208"/>
      <c r="L98" s="208"/>
      <c r="M98" s="208"/>
      <c r="N98" s="208"/>
      <c r="O98" s="208"/>
      <c r="P98" s="208"/>
      <c r="Q98" s="208"/>
      <c r="R98" s="208"/>
      <c r="S98" s="208"/>
      <c r="T98" s="208"/>
      <c r="U98" s="208"/>
      <c r="V98" s="208"/>
      <c r="W98" s="208"/>
    </row>
    <row r="99" spans="2:34" ht="15" customHeight="1">
      <c r="B99" s="208"/>
      <c r="C99" s="208"/>
      <c r="D99" s="208"/>
      <c r="E99" s="207"/>
      <c r="F99" s="207"/>
      <c r="G99" s="207"/>
      <c r="H99" s="208"/>
      <c r="I99" s="208"/>
      <c r="J99" s="208"/>
      <c r="K99" s="208"/>
      <c r="L99" s="208"/>
      <c r="M99" s="208"/>
      <c r="N99" s="208"/>
      <c r="O99" s="208"/>
      <c r="P99" s="208"/>
      <c r="Q99" s="208"/>
      <c r="R99" s="208"/>
      <c r="S99" s="208"/>
      <c r="T99" s="208"/>
      <c r="U99" s="208"/>
      <c r="V99" s="208"/>
      <c r="W99" s="208"/>
    </row>
    <row r="100" spans="2:34" ht="15" customHeight="1">
      <c r="B100" s="208"/>
      <c r="C100" s="208"/>
      <c r="D100" s="208"/>
      <c r="E100" s="207"/>
      <c r="F100" s="207"/>
      <c r="G100" s="207"/>
      <c r="H100" s="693"/>
      <c r="I100" s="693"/>
      <c r="J100" s="693"/>
      <c r="K100" s="693"/>
      <c r="L100" s="693"/>
      <c r="M100" s="693"/>
      <c r="N100" s="693"/>
      <c r="O100" s="693"/>
      <c r="P100" s="693"/>
      <c r="Q100" s="693"/>
      <c r="R100" s="693"/>
      <c r="S100" s="693"/>
      <c r="T100" s="693"/>
      <c r="U100" s="693"/>
      <c r="V100" s="693"/>
      <c r="W100" s="693"/>
    </row>
    <row r="101" spans="2:34" ht="15" customHeight="1">
      <c r="B101" s="208"/>
      <c r="C101" s="208"/>
      <c r="D101" s="208"/>
      <c r="E101" s="207"/>
      <c r="F101" s="207"/>
      <c r="G101" s="207"/>
      <c r="H101" s="208"/>
      <c r="I101" s="208"/>
      <c r="J101" s="208"/>
      <c r="K101" s="208"/>
      <c r="L101" s="208"/>
      <c r="M101" s="208"/>
      <c r="N101" s="208"/>
      <c r="O101" s="208"/>
      <c r="P101" s="208"/>
      <c r="Q101" s="208"/>
      <c r="R101" s="208"/>
      <c r="S101" s="208"/>
      <c r="T101" s="208"/>
      <c r="U101" s="208"/>
      <c r="V101" s="208"/>
      <c r="W101" s="208"/>
    </row>
    <row r="102" spans="2:34" ht="15" customHeight="1">
      <c r="B102" s="208"/>
      <c r="C102" s="208"/>
      <c r="D102" s="208"/>
      <c r="E102" s="207"/>
      <c r="F102" s="207"/>
      <c r="G102" s="207"/>
      <c r="H102" s="693"/>
      <c r="I102" s="693"/>
      <c r="J102" s="693"/>
      <c r="K102" s="693"/>
      <c r="L102" s="693"/>
      <c r="M102" s="693"/>
      <c r="N102" s="693"/>
      <c r="O102" s="693"/>
      <c r="P102" s="693"/>
      <c r="Q102" s="693"/>
      <c r="R102" s="693"/>
      <c r="S102" s="693"/>
      <c r="T102" s="693"/>
      <c r="U102" s="693"/>
      <c r="V102" s="693"/>
      <c r="W102" s="693"/>
    </row>
  </sheetData>
  <sheetProtection algorithmName="SHA-512" hashValue="i8YIxeNewTm1n09j1xGRUGbKsOh0jiA8AKwV46J9gnQTJ/U5+f3ij/Xd9alu5cI4DJZ2aLKi1y/v6FnxE9DNyQ==" saltValue="MjKMp4KbYprpM50u/rKZew==" spinCount="100000" sheet="1" objects="1" scenarios="1"/>
  <mergeCells count="58">
    <mergeCell ref="AA83:AA84"/>
    <mergeCell ref="AB13:AB23"/>
    <mergeCell ref="W11:W12"/>
    <mergeCell ref="AB85:AB90"/>
    <mergeCell ref="AB91:AB92"/>
    <mergeCell ref="AB34:AB40"/>
    <mergeCell ref="AB24:AB29"/>
    <mergeCell ref="AB30:AB33"/>
    <mergeCell ref="AB41:AB48"/>
    <mergeCell ref="AB49:AB55"/>
    <mergeCell ref="AB56:AB61"/>
    <mergeCell ref="AB62:AB69"/>
    <mergeCell ref="AB70:AB84"/>
    <mergeCell ref="I10:I12"/>
    <mergeCell ref="C2:AB6"/>
    <mergeCell ref="Z10:AB10"/>
    <mergeCell ref="O11:P11"/>
    <mergeCell ref="Q11:R11"/>
    <mergeCell ref="S11:T11"/>
    <mergeCell ref="U11:V11"/>
    <mergeCell ref="O10:Y10"/>
    <mergeCell ref="X11:X12"/>
    <mergeCell ref="Y11:Y12"/>
    <mergeCell ref="AA11:AA12"/>
    <mergeCell ref="AB11:AB12"/>
    <mergeCell ref="J10:J12"/>
    <mergeCell ref="K10:N10"/>
    <mergeCell ref="Z11:Z12"/>
    <mergeCell ref="C10:C12"/>
    <mergeCell ref="F10:F12"/>
    <mergeCell ref="G10:G12"/>
    <mergeCell ref="B2:B6"/>
    <mergeCell ref="H10:H12"/>
    <mergeCell ref="B94:B96"/>
    <mergeCell ref="B34:B40"/>
    <mergeCell ref="C34:C35"/>
    <mergeCell ref="C36:C37"/>
    <mergeCell ref="C38:C40"/>
    <mergeCell ref="B41:B48"/>
    <mergeCell ref="C41:C42"/>
    <mergeCell ref="C43:C44"/>
    <mergeCell ref="C46:C48"/>
    <mergeCell ref="D10:D12"/>
    <mergeCell ref="E10:E12"/>
    <mergeCell ref="B49:B93"/>
    <mergeCell ref="B10:B12"/>
    <mergeCell ref="E83:E84"/>
    <mergeCell ref="C85:C90"/>
    <mergeCell ref="C91:C92"/>
    <mergeCell ref="B13:B33"/>
    <mergeCell ref="C13:C23"/>
    <mergeCell ref="C24:C29"/>
    <mergeCell ref="C30:C33"/>
    <mergeCell ref="C49:C55"/>
    <mergeCell ref="C56:C61"/>
    <mergeCell ref="C62:C69"/>
    <mergeCell ref="C70:C84"/>
    <mergeCell ref="D83:D8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theme="8" tint="-0.249977111117893"/>
  </sheetPr>
  <dimension ref="B1:X229"/>
  <sheetViews>
    <sheetView showGridLines="0" zoomScale="90" zoomScaleNormal="90" workbookViewId="0">
      <selection activeCell="C2" sqref="C2:C5"/>
    </sheetView>
  </sheetViews>
  <sheetFormatPr baseColWidth="10" defaultColWidth="11.44140625" defaultRowHeight="15" zeroHeight="1"/>
  <cols>
    <col min="1" max="1" width="3.44140625" style="554" customWidth="1"/>
    <col min="2" max="2" width="8.6640625" style="554" customWidth="1"/>
    <col min="3" max="3" width="23.33203125" style="554" customWidth="1"/>
    <col min="4" max="4" width="63.33203125" style="557" customWidth="1"/>
    <col min="5" max="5" width="16" style="561" customWidth="1"/>
    <col min="6" max="6" width="17.88671875" style="554" customWidth="1"/>
    <col min="7" max="7" width="23.33203125" style="554" customWidth="1"/>
    <col min="8" max="8" width="16" style="554" customWidth="1"/>
    <col min="9" max="9" width="22.88671875" style="554" customWidth="1"/>
    <col min="10" max="10" width="16" style="554" customWidth="1"/>
    <col min="11" max="11" width="14.5546875" style="554" customWidth="1"/>
    <col min="12" max="12" width="21" style="554" customWidth="1"/>
    <col min="13" max="13" width="12.6640625" style="554" customWidth="1"/>
    <col min="14" max="14" width="19.44140625" style="554" customWidth="1"/>
    <col min="15" max="15" width="10.109375" style="554" customWidth="1"/>
    <col min="16" max="16" width="13.33203125" style="554" customWidth="1"/>
    <col min="17" max="17" width="8.33203125" style="554" customWidth="1"/>
    <col min="18" max="18" width="14" style="554" customWidth="1"/>
    <col min="19" max="19" width="8.33203125" style="554" customWidth="1"/>
    <col min="20" max="20" width="19.44140625" style="554" customWidth="1"/>
    <col min="21" max="21" width="8.33203125" style="554" customWidth="1"/>
    <col min="22" max="22" width="71.44140625" style="557" customWidth="1"/>
    <col min="23" max="23" width="12.109375" style="554" bestFit="1" customWidth="1"/>
    <col min="24" max="24" width="27.44140625" style="554" bestFit="1" customWidth="1"/>
    <col min="25" max="16370" width="11.44140625" style="554"/>
    <col min="16371" max="16371" width="1.44140625" style="554" customWidth="1"/>
    <col min="16372" max="16384" width="2.88671875" style="554" customWidth="1"/>
  </cols>
  <sheetData>
    <row r="1" spans="2:24">
      <c r="E1" s="555"/>
      <c r="F1" s="556"/>
      <c r="G1" s="556"/>
      <c r="H1" s="556"/>
      <c r="I1" s="556"/>
      <c r="J1" s="556"/>
      <c r="K1" s="556"/>
      <c r="L1" s="556"/>
    </row>
    <row r="2" spans="2:24" ht="28.8" customHeight="1">
      <c r="C2" s="856" t="s">
        <v>967</v>
      </c>
      <c r="D2" s="1091" t="s">
        <v>965</v>
      </c>
      <c r="E2" s="1092"/>
      <c r="F2" s="1092"/>
      <c r="G2" s="1092"/>
      <c r="H2" s="1092"/>
      <c r="I2" s="1092"/>
      <c r="J2" s="1093"/>
      <c r="K2" s="618"/>
      <c r="L2" s="618"/>
      <c r="M2" s="618"/>
      <c r="N2" s="687"/>
      <c r="O2" s="687"/>
      <c r="P2" s="687"/>
      <c r="Q2" s="687"/>
      <c r="R2" s="687"/>
      <c r="S2" s="687"/>
      <c r="T2" s="687"/>
      <c r="U2" s="687"/>
    </row>
    <row r="3" spans="2:24" ht="17.399999999999999" customHeight="1">
      <c r="C3" s="856"/>
      <c r="D3" s="1094" t="s">
        <v>966</v>
      </c>
      <c r="E3" s="844"/>
      <c r="F3" s="844"/>
      <c r="G3" s="844"/>
      <c r="H3" s="844"/>
      <c r="I3" s="844"/>
      <c r="J3" s="1095"/>
      <c r="K3" s="617"/>
      <c r="L3" s="617"/>
      <c r="M3" s="617"/>
      <c r="N3" s="686"/>
      <c r="O3" s="686"/>
      <c r="P3" s="686"/>
      <c r="Q3" s="686"/>
      <c r="R3" s="686"/>
      <c r="S3" s="686"/>
      <c r="T3" s="686"/>
      <c r="U3" s="686"/>
      <c r="V3" s="558"/>
    </row>
    <row r="4" spans="2:24" ht="15.6" customHeight="1">
      <c r="C4" s="856"/>
      <c r="D4" s="1096" t="s">
        <v>928</v>
      </c>
      <c r="E4" s="845"/>
      <c r="F4" s="845"/>
      <c r="G4" s="845"/>
      <c r="H4" s="845"/>
      <c r="I4" s="845"/>
      <c r="J4" s="1097"/>
      <c r="K4" s="618"/>
      <c r="L4" s="618"/>
      <c r="M4" s="618"/>
      <c r="N4" s="687"/>
      <c r="O4" s="687"/>
      <c r="P4" s="687"/>
      <c r="Q4" s="687"/>
      <c r="R4" s="687"/>
      <c r="S4" s="687"/>
      <c r="T4" s="687"/>
      <c r="U4" s="687"/>
      <c r="V4" s="558"/>
    </row>
    <row r="5" spans="2:24" ht="20.399999999999999" customHeight="1">
      <c r="C5" s="856"/>
      <c r="D5" s="1098" t="s">
        <v>962</v>
      </c>
      <c r="E5" s="1099"/>
      <c r="F5" s="1099"/>
      <c r="G5" s="1099"/>
      <c r="H5" s="1099"/>
      <c r="I5" s="1099"/>
      <c r="J5" s="1100"/>
      <c r="K5" s="607"/>
      <c r="L5" s="607"/>
      <c r="M5" s="607"/>
      <c r="N5" s="688"/>
      <c r="O5" s="688"/>
      <c r="P5" s="688"/>
      <c r="Q5" s="688"/>
      <c r="R5" s="688"/>
      <c r="S5" s="688"/>
      <c r="T5" s="688"/>
      <c r="U5" s="688"/>
      <c r="V5" s="559"/>
    </row>
    <row r="6" spans="2:24" ht="19.5" customHeight="1">
      <c r="C6" s="560" t="s">
        <v>963</v>
      </c>
      <c r="D6" s="608"/>
    </row>
    <row r="7" spans="2:24" ht="33" customHeight="1">
      <c r="C7" s="572"/>
      <c r="D7" s="609"/>
      <c r="E7" s="571"/>
      <c r="F7" s="571"/>
      <c r="G7" s="571"/>
      <c r="H7" s="565"/>
      <c r="I7" s="565"/>
      <c r="J7" s="565"/>
    </row>
    <row r="8" spans="2:24" s="573" customFormat="1" hidden="1">
      <c r="D8" s="575"/>
      <c r="E8" s="574"/>
      <c r="V8" s="575"/>
    </row>
    <row r="9" spans="2:24" s="573" customFormat="1" ht="36.75" hidden="1" customHeight="1">
      <c r="D9" s="575"/>
      <c r="E9" s="574"/>
      <c r="G9" s="683" t="s">
        <v>957</v>
      </c>
      <c r="I9" s="683" t="s">
        <v>958</v>
      </c>
      <c r="L9" s="683" t="s">
        <v>959</v>
      </c>
      <c r="V9" s="575"/>
    </row>
    <row r="10" spans="2:24" s="573" customFormat="1" ht="15.6">
      <c r="C10" s="576" t="s">
        <v>933</v>
      </c>
      <c r="D10" s="610"/>
      <c r="E10" s="574"/>
      <c r="V10" s="575"/>
    </row>
    <row r="11" spans="2:24" ht="22.8" customHeight="1">
      <c r="C11" s="829" t="s">
        <v>960</v>
      </c>
      <c r="D11" s="842" t="s">
        <v>934</v>
      </c>
      <c r="E11" s="838" t="s">
        <v>935</v>
      </c>
      <c r="F11" s="839"/>
      <c r="G11" s="840"/>
      <c r="H11" s="829" t="s">
        <v>936</v>
      </c>
      <c r="I11" s="841" t="str">
        <f>$I$9</f>
        <v>Ejecución Acumulada Corte
31/03/2021</v>
      </c>
      <c r="J11" s="829" t="s">
        <v>937</v>
      </c>
      <c r="K11" s="829" t="s">
        <v>930</v>
      </c>
      <c r="L11" s="829"/>
      <c r="M11" s="829"/>
      <c r="N11" s="830" t="s">
        <v>780</v>
      </c>
      <c r="O11" s="830"/>
      <c r="P11" s="830"/>
      <c r="Q11" s="830"/>
      <c r="R11" s="830"/>
      <c r="S11" s="830"/>
      <c r="T11" s="830"/>
      <c r="U11" s="830"/>
      <c r="V11" s="829" t="s">
        <v>964</v>
      </c>
    </row>
    <row r="12" spans="2:24" ht="37.5" customHeight="1">
      <c r="C12" s="829"/>
      <c r="D12" s="842"/>
      <c r="E12" s="682" t="s">
        <v>961</v>
      </c>
      <c r="F12" s="682" t="str">
        <f>$D$5</f>
        <v>Primer Trimestre</v>
      </c>
      <c r="G12" s="683" t="str">
        <f>$G$9</f>
        <v>Acumulada Corte
31/03/2021</v>
      </c>
      <c r="H12" s="829"/>
      <c r="I12" s="841"/>
      <c r="J12" s="829"/>
      <c r="K12" s="682" t="str">
        <f>+$D$5</f>
        <v>Primer Trimestre</v>
      </c>
      <c r="L12" s="683" t="str">
        <f>$L$9</f>
        <v>Acumulado Corte 31/03/2021</v>
      </c>
      <c r="M12" s="684" t="s">
        <v>825</v>
      </c>
      <c r="N12" s="831" t="s">
        <v>939</v>
      </c>
      <c r="O12" s="832"/>
      <c r="P12" s="833" t="s">
        <v>940</v>
      </c>
      <c r="Q12" s="834"/>
      <c r="R12" s="834"/>
      <c r="S12" s="835"/>
      <c r="T12" s="836" t="s">
        <v>788</v>
      </c>
      <c r="U12" s="837"/>
      <c r="V12" s="829"/>
    </row>
    <row r="13" spans="2:24" ht="101.4" customHeight="1">
      <c r="B13" s="577">
        <f>'[3]01 Direcc Estratégico POA 2020 '!R13</f>
        <v>1</v>
      </c>
      <c r="C13" s="579" t="str">
        <f>+'Rango indicadores'!D5</f>
        <v>01-RI-01</v>
      </c>
      <c r="D13" s="578" t="str">
        <f>+'Rango indicadores'!E5</f>
        <v xml:space="preserve">Porcentaje de acciones implementadas para la sostenibilidad y mejora del SGC </v>
      </c>
      <c r="E13" s="614">
        <f>+'Rango indicadores'!Q5</f>
        <v>1</v>
      </c>
      <c r="F13" s="614">
        <f>+'Informe Seguimiento POA 2021'!O56</f>
        <v>0.2</v>
      </c>
      <c r="G13" s="614">
        <f>+'Informe Seguimiento POA 2021'!O56</f>
        <v>0.2</v>
      </c>
      <c r="H13" s="614">
        <f>+'Informe Seguimiento POA 2021'!P56</f>
        <v>0.2</v>
      </c>
      <c r="I13" s="615">
        <f>+'Informe Seguimiento POA 2021'!P56</f>
        <v>0.2</v>
      </c>
      <c r="J13" s="614">
        <f>+'Informe Seguimiento POA 2021'!X56</f>
        <v>0.2</v>
      </c>
      <c r="K13" s="581">
        <f t="shared" ref="K13:L16" si="0">IF(AND(F13&gt;0),H13/F13,"No programado")</f>
        <v>1</v>
      </c>
      <c r="L13" s="581">
        <f>IF(AND(G13&gt;0),J13/G13,"No programado")</f>
        <v>1</v>
      </c>
      <c r="M13" s="581">
        <f>+'Informe Seguimiento POA 2021'!Y56</f>
        <v>0.2</v>
      </c>
      <c r="N13" s="581" t="str">
        <f>+'Rango indicadores'!H5</f>
        <v>Mayor A:</v>
      </c>
      <c r="O13" s="580">
        <f>+'Rango indicadores'!I5</f>
        <v>95</v>
      </c>
      <c r="P13" s="580" t="str">
        <f>+'Rango indicadores'!J5</f>
        <v>Desde (&gt;=):</v>
      </c>
      <c r="Q13" s="580">
        <f>+'Rango indicadores'!K5</f>
        <v>80</v>
      </c>
      <c r="R13" s="580" t="str">
        <f>+'Rango indicadores'!L5</f>
        <v>Hasta (&lt;=):</v>
      </c>
      <c r="S13" s="580">
        <f>+'Rango indicadores'!M5</f>
        <v>95</v>
      </c>
      <c r="T13" s="580" t="str">
        <f>+'Rango indicadores'!N5</f>
        <v>Menor A:</v>
      </c>
      <c r="U13" s="580">
        <f>+'Rango indicadores'!O5</f>
        <v>80</v>
      </c>
      <c r="V13" s="709" t="s">
        <v>983</v>
      </c>
    </row>
    <row r="14" spans="2:24" ht="100.8" customHeight="1">
      <c r="B14" s="577">
        <f>1+B13</f>
        <v>2</v>
      </c>
      <c r="C14" s="579" t="str">
        <f>+'Rango indicadores'!D6</f>
        <v>01-RI-02</v>
      </c>
      <c r="D14" s="578" t="str">
        <f>+'Rango indicadores'!E6</f>
        <v>Porcentaje de actividades implementadas para la sostenibilidad  y mejora del MIPG</v>
      </c>
      <c r="E14" s="614">
        <f>+'Rango indicadores'!Q6</f>
        <v>0.22</v>
      </c>
      <c r="F14" s="614">
        <f>+'Informe Seguimiento POA 2021'!O57</f>
        <v>0.03</v>
      </c>
      <c r="G14" s="614">
        <f>+'Informe Seguimiento POA 2021'!O57</f>
        <v>0.03</v>
      </c>
      <c r="H14" s="614">
        <f>+'Informe Seguimiento POA 2021'!P57</f>
        <v>0.03</v>
      </c>
      <c r="I14" s="615">
        <f>+'Informe Seguimiento POA 2021'!P57</f>
        <v>0.03</v>
      </c>
      <c r="J14" s="614">
        <f>+'Informe Seguimiento POA 2021'!X57</f>
        <v>0.03</v>
      </c>
      <c r="K14" s="581">
        <f t="shared" si="0"/>
        <v>1</v>
      </c>
      <c r="L14" s="581">
        <f t="shared" si="0"/>
        <v>1</v>
      </c>
      <c r="M14" s="581">
        <f>+'Informe Seguimiento POA 2021'!Y57</f>
        <v>0.13636363636363635</v>
      </c>
      <c r="N14" s="581" t="str">
        <f>+'Rango indicadores'!H6</f>
        <v>Mayor A:</v>
      </c>
      <c r="O14" s="580">
        <f>+'Rango indicadores'!I6</f>
        <v>95</v>
      </c>
      <c r="P14" s="580" t="str">
        <f>+'Rango indicadores'!J6</f>
        <v>Desde (&gt;=):</v>
      </c>
      <c r="Q14" s="580">
        <f>+'Rango indicadores'!K6</f>
        <v>80</v>
      </c>
      <c r="R14" s="580" t="str">
        <f>+'Rango indicadores'!L6</f>
        <v>Hasta (&lt;=):</v>
      </c>
      <c r="S14" s="580">
        <f>+'Rango indicadores'!M6</f>
        <v>95</v>
      </c>
      <c r="T14" s="580" t="str">
        <f>+'Rango indicadores'!N6</f>
        <v>Menor A:</v>
      </c>
      <c r="U14" s="580">
        <f>+'Rango indicadores'!O6</f>
        <v>80</v>
      </c>
      <c r="V14" s="709" t="s">
        <v>984</v>
      </c>
    </row>
    <row r="15" spans="2:24" ht="82.8" customHeight="1">
      <c r="B15" s="577">
        <f>1+B14</f>
        <v>3</v>
      </c>
      <c r="C15" s="579" t="str">
        <f>+'Rango indicadores'!D7</f>
        <v>01-RI-03</v>
      </c>
      <c r="D15" s="578" t="str">
        <f>+'Rango indicadores'!E7</f>
        <v xml:space="preserve">Porcentaje de requisitos del  SGA implementados bajo los estándares de la norma ISO 14001 </v>
      </c>
      <c r="E15" s="614">
        <f>+'Rango indicadores'!Q7</f>
        <v>0.38</v>
      </c>
      <c r="F15" s="614">
        <f>+'Informe Seguimiento POA 2021'!O58</f>
        <v>0.09</v>
      </c>
      <c r="G15" s="614">
        <f>+'Informe Seguimiento POA 2021'!O58</f>
        <v>0.09</v>
      </c>
      <c r="H15" s="614">
        <f>+'Informe Seguimiento POA 2021'!P58</f>
        <v>0.09</v>
      </c>
      <c r="I15" s="615">
        <f>+'Informe Seguimiento POA 2021'!P58</f>
        <v>0.09</v>
      </c>
      <c r="J15" s="614">
        <f>+'Informe Seguimiento POA 2021'!X58</f>
        <v>0.09</v>
      </c>
      <c r="K15" s="581">
        <f t="shared" si="0"/>
        <v>1</v>
      </c>
      <c r="L15" s="581">
        <f t="shared" si="0"/>
        <v>1</v>
      </c>
      <c r="M15" s="581">
        <f>+'Informe Seguimiento POA 2021'!Y58</f>
        <v>0.23684210526315788</v>
      </c>
      <c r="N15" s="581" t="str">
        <f>+'Rango indicadores'!H7</f>
        <v>Mayor o igual A:</v>
      </c>
      <c r="O15" s="580">
        <f>+'Rango indicadores'!I7</f>
        <v>95</v>
      </c>
      <c r="P15" s="580" t="str">
        <f>+'Rango indicadores'!J7</f>
        <v>Desde (&gt;):</v>
      </c>
      <c r="Q15" s="580">
        <f>+'Rango indicadores'!K7</f>
        <v>85</v>
      </c>
      <c r="R15" s="580" t="str">
        <f>+'Rango indicadores'!L7</f>
        <v>Hasta (&lt;):</v>
      </c>
      <c r="S15" s="580">
        <f>+'Rango indicadores'!M7</f>
        <v>95</v>
      </c>
      <c r="T15" s="580" t="str">
        <f>+'Rango indicadores'!N7</f>
        <v>Menor o Igual A:</v>
      </c>
      <c r="U15" s="580">
        <f>+'Rango indicadores'!O7</f>
        <v>85</v>
      </c>
      <c r="V15" s="709" t="s">
        <v>985</v>
      </c>
      <c r="X15" s="583"/>
    </row>
    <row r="16" spans="2:24" ht="79.2">
      <c r="B16" s="577">
        <f>1+B15</f>
        <v>4</v>
      </c>
      <c r="C16" s="579" t="str">
        <f>+'Rango indicadores'!D8</f>
        <v>01-RI-04</v>
      </c>
      <c r="D16" s="578" t="str">
        <f>+'Rango indicadores'!E8</f>
        <v>Acciones de monitoreo y revisión realizadas al PAAC</v>
      </c>
      <c r="E16" s="580">
        <f>+'Rango indicadores'!Q8</f>
        <v>3</v>
      </c>
      <c r="F16" s="580">
        <f>+'Informe Seguimiento POA 2021'!O59</f>
        <v>1</v>
      </c>
      <c r="G16" s="580">
        <f>+'Informe Seguimiento POA 2021'!O59</f>
        <v>1</v>
      </c>
      <c r="H16" s="580">
        <f>+'01-DIRECCIONAMIENTO ESTRATÉGICO'!W19</f>
        <v>1</v>
      </c>
      <c r="I16" s="580">
        <f>+'Informe Seguimiento POA 2021'!P59</f>
        <v>1</v>
      </c>
      <c r="J16" s="580">
        <f>+'Informe Seguimiento POA 2021'!X59</f>
        <v>1</v>
      </c>
      <c r="K16" s="581">
        <f t="shared" si="0"/>
        <v>1</v>
      </c>
      <c r="L16" s="581">
        <f t="shared" si="0"/>
        <v>1</v>
      </c>
      <c r="M16" s="581">
        <f>+'Informe Seguimiento POA 2021'!Y59</f>
        <v>0.33333333333333331</v>
      </c>
      <c r="N16" s="581" t="str">
        <f>+'Rango indicadores'!H8</f>
        <v>Mayor o igual A:</v>
      </c>
      <c r="O16" s="580">
        <f>+'Rango indicadores'!I8</f>
        <v>100</v>
      </c>
      <c r="P16" s="580" t="str">
        <f>+'Rango indicadores'!J8</f>
        <v>Desde (&gt;):</v>
      </c>
      <c r="Q16" s="580">
        <f>+'Rango indicadores'!K8</f>
        <v>80</v>
      </c>
      <c r="R16" s="580" t="str">
        <f>+'Rango indicadores'!L8</f>
        <v>Hasta (&lt;):</v>
      </c>
      <c r="S16" s="580">
        <f>+'Rango indicadores'!M8</f>
        <v>100</v>
      </c>
      <c r="T16" s="580" t="str">
        <f>+'Rango indicadores'!N8</f>
        <v>Menor o Igual A:</v>
      </c>
      <c r="U16" s="580">
        <f>+'Rango indicadores'!O8</f>
        <v>80</v>
      </c>
      <c r="V16" s="709" t="s">
        <v>986</v>
      </c>
    </row>
    <row r="17" spans="2:23" ht="15.6">
      <c r="C17" s="826" t="s">
        <v>941</v>
      </c>
      <c r="D17" s="827"/>
      <c r="E17" s="827"/>
      <c r="F17" s="827"/>
      <c r="G17" s="827"/>
      <c r="H17" s="827"/>
      <c r="I17" s="827"/>
      <c r="J17" s="828"/>
      <c r="K17" s="584">
        <f>IFERROR(AVERAGE(K13:K16),0)</f>
        <v>1</v>
      </c>
      <c r="L17" s="584">
        <f>IFERROR(AVERAGE(L13:L16),0)</f>
        <v>1</v>
      </c>
      <c r="M17" s="585">
        <f>IFERROR(AVERAGE(M13:M16),0)</f>
        <v>0.22663476874003191</v>
      </c>
      <c r="N17" s="571"/>
      <c r="O17" s="571"/>
      <c r="P17" s="571"/>
      <c r="Q17" s="571"/>
      <c r="R17" s="571"/>
      <c r="S17" s="571"/>
      <c r="T17" s="571"/>
      <c r="U17" s="571"/>
      <c r="V17" s="710"/>
    </row>
    <row r="18" spans="2:23">
      <c r="E18" s="554"/>
    </row>
    <row r="19" spans="2:23" ht="15.6">
      <c r="C19" s="586" t="s">
        <v>942</v>
      </c>
      <c r="D19" s="611"/>
      <c r="E19" s="554"/>
    </row>
    <row r="20" spans="2:23" ht="24" customHeight="1">
      <c r="C20" s="829" t="str">
        <f>+$C$11</f>
        <v>Identifificación del Indicador</v>
      </c>
      <c r="D20" s="842" t="s">
        <v>934</v>
      </c>
      <c r="E20" s="838" t="s">
        <v>935</v>
      </c>
      <c r="F20" s="839"/>
      <c r="G20" s="840"/>
      <c r="H20" s="829" t="s">
        <v>936</v>
      </c>
      <c r="I20" s="841" t="str">
        <f>$I$9</f>
        <v>Ejecución Acumulada Corte
31/03/2021</v>
      </c>
      <c r="J20" s="829" t="s">
        <v>937</v>
      </c>
      <c r="K20" s="829" t="s">
        <v>930</v>
      </c>
      <c r="L20" s="829"/>
      <c r="M20" s="829"/>
      <c r="N20" s="830" t="s">
        <v>780</v>
      </c>
      <c r="O20" s="830"/>
      <c r="P20" s="830"/>
      <c r="Q20" s="830"/>
      <c r="R20" s="830"/>
      <c r="S20" s="830"/>
      <c r="T20" s="830"/>
      <c r="U20" s="830"/>
      <c r="V20" s="829" t="s">
        <v>964</v>
      </c>
    </row>
    <row r="21" spans="2:23" ht="50.25" customHeight="1">
      <c r="C21" s="829"/>
      <c r="D21" s="842"/>
      <c r="E21" s="682" t="str">
        <f>$E$12</f>
        <v>Año 2021</v>
      </c>
      <c r="F21" s="682" t="str">
        <f>$D$5</f>
        <v>Primer Trimestre</v>
      </c>
      <c r="G21" s="683" t="str">
        <f>$G$9</f>
        <v>Acumulada Corte
31/03/2021</v>
      </c>
      <c r="H21" s="829"/>
      <c r="I21" s="841"/>
      <c r="J21" s="829"/>
      <c r="K21" s="682" t="str">
        <f>+$D$5</f>
        <v>Primer Trimestre</v>
      </c>
      <c r="L21" s="683" t="str">
        <f>$L$12</f>
        <v>Acumulado Corte 31/03/2021</v>
      </c>
      <c r="M21" s="684" t="s">
        <v>825</v>
      </c>
      <c r="N21" s="831" t="s">
        <v>939</v>
      </c>
      <c r="O21" s="832"/>
      <c r="P21" s="833" t="s">
        <v>940</v>
      </c>
      <c r="Q21" s="834"/>
      <c r="R21" s="834"/>
      <c r="S21" s="835"/>
      <c r="T21" s="836" t="s">
        <v>788</v>
      </c>
      <c r="U21" s="837"/>
      <c r="V21" s="829"/>
    </row>
    <row r="22" spans="2:23" ht="30">
      <c r="B22" s="577">
        <f>+B16+1</f>
        <v>5</v>
      </c>
      <c r="C22" s="579" t="str">
        <f>+'Rango indicadores'!D9</f>
        <v>02-RI-01</v>
      </c>
      <c r="D22" s="578" t="str">
        <f>+'Rango indicadores'!E9</f>
        <v>Proyectos de Investigación, Desarrollo e Innovación (I+D+I) elaborados</v>
      </c>
      <c r="E22" s="580">
        <f>+'Rango indicadores'!Q9</f>
        <v>1</v>
      </c>
      <c r="F22" s="580">
        <f>+'Informe Seguimiento POA 2021'!O94</f>
        <v>0</v>
      </c>
      <c r="G22" s="580">
        <f>+'Informe Seguimiento POA 2021'!O94</f>
        <v>0</v>
      </c>
      <c r="H22" s="580">
        <f>+'Informe Seguimiento POA 2021'!P94</f>
        <v>0</v>
      </c>
      <c r="I22" s="580">
        <f>+'Informe Seguimiento POA 2021'!P94</f>
        <v>0</v>
      </c>
      <c r="J22" s="580">
        <f>+'Informe Seguimiento POA 2021'!X94</f>
        <v>0</v>
      </c>
      <c r="K22" s="588" t="str">
        <f>IF(AND(F22&gt;0),H22/F22,"No programado")</f>
        <v>No programado</v>
      </c>
      <c r="L22" s="588" t="str">
        <f>IF(AND(G22&gt;0),I22/G22,"No programado")</f>
        <v>No programado</v>
      </c>
      <c r="M22" s="564">
        <f>+'Informe Seguimiento POA 2021'!Y94</f>
        <v>0</v>
      </c>
      <c r="N22" s="564" t="str">
        <f>+'Rango indicadores'!H9</f>
        <v>Mayor o igual A:</v>
      </c>
      <c r="O22" s="580">
        <f>+'Rango indicadores'!I9</f>
        <v>100</v>
      </c>
      <c r="P22" s="564" t="str">
        <f>+'Rango indicadores'!J9</f>
        <v>Desde (&gt;):</v>
      </c>
      <c r="Q22" s="580">
        <f>+'Rango indicadores'!K9</f>
        <v>60</v>
      </c>
      <c r="R22" s="564" t="str">
        <f>+'Rango indicadores'!L9</f>
        <v>Hasta (&lt;):</v>
      </c>
      <c r="S22" s="580">
        <f>+'Rango indicadores'!M9</f>
        <v>100</v>
      </c>
      <c r="T22" s="564" t="str">
        <f>+'Rango indicadores'!N9</f>
        <v>Menor o Igual A:</v>
      </c>
      <c r="U22" s="580">
        <f>+'Rango indicadores'!O9</f>
        <v>60</v>
      </c>
      <c r="V22" s="709" t="s">
        <v>987</v>
      </c>
    </row>
    <row r="23" spans="2:23">
      <c r="B23" s="577">
        <f>+B22+1</f>
        <v>6</v>
      </c>
      <c r="C23" s="579" t="str">
        <f>+'Rango indicadores'!D10</f>
        <v>02-RI-02</v>
      </c>
      <c r="D23" s="578" t="str">
        <f>+'Rango indicadores'!E10</f>
        <v>Informes de investigación e innovación construidos</v>
      </c>
      <c r="E23" s="580">
        <f>+'Rango indicadores'!Q10</f>
        <v>2</v>
      </c>
      <c r="F23" s="580">
        <f>+'Informe Seguimiento POA 2021'!O95</f>
        <v>0</v>
      </c>
      <c r="G23" s="580">
        <f>+'Informe Seguimiento POA 2021'!O95</f>
        <v>0</v>
      </c>
      <c r="H23" s="580">
        <f>+'Informe Seguimiento POA 2021'!P95</f>
        <v>0</v>
      </c>
      <c r="I23" s="580">
        <f>+'Informe Seguimiento POA 2021'!P95</f>
        <v>0</v>
      </c>
      <c r="J23" s="580">
        <f>+'Informe Seguimiento POA 2021'!X95</f>
        <v>0</v>
      </c>
      <c r="K23" s="588" t="str">
        <f>IF(AND(F23&gt;0),H23/F23,"No programado")</f>
        <v>No programado</v>
      </c>
      <c r="L23" s="588" t="str">
        <f t="shared" ref="L23:L24" si="1">IF(AND(G23&gt;0),I23/G23,"No programado")</f>
        <v>No programado</v>
      </c>
      <c r="M23" s="564">
        <f>+'Informe Seguimiento POA 2021'!Y95</f>
        <v>0</v>
      </c>
      <c r="N23" s="564" t="str">
        <f>+'Rango indicadores'!H10</f>
        <v>Mayor o igual A:</v>
      </c>
      <c r="O23" s="580">
        <f>+'Rango indicadores'!I10</f>
        <v>100</v>
      </c>
      <c r="P23" s="564" t="str">
        <f>+'Rango indicadores'!J10</f>
        <v>Desde (&gt;):</v>
      </c>
      <c r="Q23" s="580">
        <f>+'Rango indicadores'!K10</f>
        <v>60</v>
      </c>
      <c r="R23" s="564" t="str">
        <f>+'Rango indicadores'!L10</f>
        <v>Hasta (&lt;):</v>
      </c>
      <c r="S23" s="580">
        <f>+'Rango indicadores'!M10</f>
        <v>100</v>
      </c>
      <c r="T23" s="564" t="str">
        <f>+'Rango indicadores'!N10</f>
        <v>Menor o Igual A:</v>
      </c>
      <c r="U23" s="580">
        <f>+'Rango indicadores'!O10</f>
        <v>60</v>
      </c>
      <c r="V23" s="709" t="s">
        <v>987</v>
      </c>
    </row>
    <row r="24" spans="2:23" ht="70.8" customHeight="1">
      <c r="B24" s="577">
        <f>+B23+1</f>
        <v>7</v>
      </c>
      <c r="C24" s="579" t="str">
        <f>+'Rango indicadores'!D11</f>
        <v>02-RI-03</v>
      </c>
      <c r="D24" s="578" t="str">
        <f>+'Rango indicadores'!E11</f>
        <v>Actividades de apropiación social del conocimiento desarrolladas</v>
      </c>
      <c r="E24" s="580">
        <f>+'Rango indicadores'!Q11</f>
        <v>3</v>
      </c>
      <c r="F24" s="580">
        <f>+'Informe Seguimiento POA 2021'!O96</f>
        <v>0</v>
      </c>
      <c r="G24" s="580">
        <f>+'Informe Seguimiento POA 2021'!O96</f>
        <v>0</v>
      </c>
      <c r="H24" s="580">
        <f>+'Informe Seguimiento POA 2021'!P96</f>
        <v>1</v>
      </c>
      <c r="I24" s="580">
        <f>+'Informe Seguimiento POA 2021'!P96</f>
        <v>1</v>
      </c>
      <c r="J24" s="580">
        <f>+'Informe Seguimiento POA 2021'!X96</f>
        <v>1</v>
      </c>
      <c r="K24" s="588" t="str">
        <f>IF(AND(F24&gt;0),H24/F24,"No programado")</f>
        <v>No programado</v>
      </c>
      <c r="L24" s="588" t="str">
        <f t="shared" si="1"/>
        <v>No programado</v>
      </c>
      <c r="M24" s="564">
        <f>+'Informe Seguimiento POA 2021'!Y96</f>
        <v>0.33333333333333331</v>
      </c>
      <c r="N24" s="564" t="str">
        <f>+'Rango indicadores'!H11</f>
        <v>Mayor o igual A:</v>
      </c>
      <c r="O24" s="580">
        <f>+'Rango indicadores'!I11</f>
        <v>100</v>
      </c>
      <c r="P24" s="564" t="str">
        <f>+'Rango indicadores'!J11</f>
        <v>Desde (&gt;):</v>
      </c>
      <c r="Q24" s="580">
        <f>+'Rango indicadores'!K11</f>
        <v>60</v>
      </c>
      <c r="R24" s="564" t="str">
        <f>+'Rango indicadores'!L11</f>
        <v>Hasta (&lt;):</v>
      </c>
      <c r="S24" s="580">
        <f>+'Rango indicadores'!M11</f>
        <v>100</v>
      </c>
      <c r="T24" s="564" t="str">
        <f>+'Rango indicadores'!N11</f>
        <v>Menor o Igual A:</v>
      </c>
      <c r="U24" s="580">
        <f>+'Rango indicadores'!O11</f>
        <v>60</v>
      </c>
      <c r="V24" s="709" t="s">
        <v>1024</v>
      </c>
    </row>
    <row r="25" spans="2:23" ht="15.6">
      <c r="C25" s="826" t="s">
        <v>941</v>
      </c>
      <c r="D25" s="827"/>
      <c r="E25" s="827"/>
      <c r="F25" s="827"/>
      <c r="G25" s="827"/>
      <c r="H25" s="827"/>
      <c r="I25" s="827"/>
      <c r="J25" s="828"/>
      <c r="K25" s="585">
        <f>IFERROR(AVERAGE(K22:K24),0)</f>
        <v>0</v>
      </c>
      <c r="L25" s="585">
        <f>IFERROR(AVERAGE(L22:L24),0)</f>
        <v>0</v>
      </c>
      <c r="M25" s="585">
        <f>IFERROR(AVERAGE(M22:M24),0)</f>
        <v>0.1111111111111111</v>
      </c>
      <c r="N25" s="571"/>
      <c r="O25" s="571"/>
      <c r="P25" s="571"/>
      <c r="Q25" s="571"/>
      <c r="R25" s="571"/>
      <c r="S25" s="571"/>
      <c r="T25" s="571"/>
      <c r="U25" s="571"/>
      <c r="V25" s="710"/>
    </row>
    <row r="26" spans="2:23" s="573" customFormat="1" ht="15.6">
      <c r="C26" s="589"/>
      <c r="D26" s="612"/>
      <c r="E26" s="589"/>
      <c r="F26" s="589"/>
      <c r="G26" s="589"/>
      <c r="H26" s="589"/>
      <c r="I26" s="589"/>
      <c r="J26" s="589"/>
      <c r="K26" s="589"/>
      <c r="L26" s="589"/>
      <c r="M26" s="589"/>
      <c r="N26" s="589"/>
      <c r="O26" s="589"/>
      <c r="P26" s="589"/>
      <c r="Q26" s="589"/>
      <c r="R26" s="589"/>
      <c r="S26" s="589"/>
      <c r="T26" s="589"/>
      <c r="U26" s="589"/>
      <c r="V26" s="575"/>
    </row>
    <row r="27" spans="2:23" s="573" customFormat="1" ht="15.6">
      <c r="C27" s="576" t="s">
        <v>943</v>
      </c>
      <c r="D27" s="610"/>
      <c r="E27" s="589"/>
      <c r="F27" s="589"/>
      <c r="G27" s="589"/>
      <c r="H27" s="589"/>
      <c r="I27" s="589"/>
      <c r="J27" s="589"/>
      <c r="K27" s="589"/>
      <c r="L27" s="589"/>
      <c r="M27" s="589"/>
      <c r="N27" s="589"/>
      <c r="O27" s="589"/>
      <c r="P27" s="589"/>
      <c r="Q27" s="589"/>
      <c r="R27" s="589"/>
      <c r="S27" s="589"/>
      <c r="T27" s="589"/>
      <c r="U27" s="589"/>
      <c r="V27" s="575"/>
    </row>
    <row r="28" spans="2:23" ht="22.2" customHeight="1">
      <c r="C28" s="829" t="str">
        <f>+$C$11</f>
        <v>Identifificación del Indicador</v>
      </c>
      <c r="D28" s="842" t="s">
        <v>934</v>
      </c>
      <c r="E28" s="838" t="s">
        <v>935</v>
      </c>
      <c r="F28" s="839"/>
      <c r="G28" s="840"/>
      <c r="H28" s="829" t="s">
        <v>936</v>
      </c>
      <c r="I28" s="841" t="str">
        <f>$I$9</f>
        <v>Ejecución Acumulada Corte
31/03/2021</v>
      </c>
      <c r="J28" s="829" t="s">
        <v>937</v>
      </c>
      <c r="K28" s="829" t="s">
        <v>930</v>
      </c>
      <c r="L28" s="829"/>
      <c r="M28" s="829"/>
      <c r="N28" s="830" t="s">
        <v>780</v>
      </c>
      <c r="O28" s="830"/>
      <c r="P28" s="830"/>
      <c r="Q28" s="830"/>
      <c r="R28" s="830"/>
      <c r="S28" s="830"/>
      <c r="T28" s="830"/>
      <c r="U28" s="830"/>
      <c r="V28" s="829" t="s">
        <v>964</v>
      </c>
    </row>
    <row r="29" spans="2:23" ht="53.4" customHeight="1">
      <c r="C29" s="829"/>
      <c r="D29" s="842"/>
      <c r="E29" s="682" t="str">
        <f>$E$12</f>
        <v>Año 2021</v>
      </c>
      <c r="F29" s="682" t="str">
        <f>$D$5</f>
        <v>Primer Trimestre</v>
      </c>
      <c r="G29" s="683" t="str">
        <f>$G$9</f>
        <v>Acumulada Corte
31/03/2021</v>
      </c>
      <c r="H29" s="829"/>
      <c r="I29" s="841"/>
      <c r="J29" s="829"/>
      <c r="K29" s="682" t="str">
        <f>+$D$5</f>
        <v>Primer Trimestre</v>
      </c>
      <c r="L29" s="683" t="str">
        <f>$L$12</f>
        <v>Acumulado Corte 31/03/2021</v>
      </c>
      <c r="M29" s="684" t="s">
        <v>825</v>
      </c>
      <c r="N29" s="831" t="s">
        <v>939</v>
      </c>
      <c r="O29" s="832"/>
      <c r="P29" s="833" t="s">
        <v>940</v>
      </c>
      <c r="Q29" s="834"/>
      <c r="R29" s="834"/>
      <c r="S29" s="835"/>
      <c r="T29" s="836" t="s">
        <v>788</v>
      </c>
      <c r="U29" s="837"/>
      <c r="V29" s="829"/>
    </row>
    <row r="30" spans="2:23" ht="79.2">
      <c r="B30" s="577">
        <f>+B24+1</f>
        <v>8</v>
      </c>
      <c r="C30" s="578" t="str">
        <f>+'Rango indicadores'!D12</f>
        <v>03-RI-01</v>
      </c>
      <c r="D30" s="578" t="str">
        <f>+'Rango indicadores'!E12</f>
        <v>Porcentaje de proyectos implementados de acuerdo al plan de tecnologías de la Información</v>
      </c>
      <c r="E30" s="582">
        <f>+'Rango indicadores'!Q12</f>
        <v>0.3</v>
      </c>
      <c r="F30" s="582">
        <f>+'Informe Seguimiento POA 2021'!O49</f>
        <v>0.06</v>
      </c>
      <c r="G30" s="582">
        <f>+'Informe Seguimiento POA 2021'!O49</f>
        <v>0.06</v>
      </c>
      <c r="H30" s="582">
        <f>+'Informe Seguimiento POA 2021'!P49</f>
        <v>0.06</v>
      </c>
      <c r="I30" s="582">
        <f>+'Informe Seguimiento POA 2021'!P49</f>
        <v>0.06</v>
      </c>
      <c r="J30" s="582">
        <f>+'Informe Seguimiento POA 2021'!X49</f>
        <v>0.06</v>
      </c>
      <c r="K30" s="590">
        <f t="shared" ref="K30:L35" si="2">IF(AND(F30&gt;0),H30/F30,"No programado")</f>
        <v>1</v>
      </c>
      <c r="L30" s="590">
        <f>IF(AND(G30&gt;0),I30/G30,"No programado")</f>
        <v>1</v>
      </c>
      <c r="M30" s="564">
        <f>+'Informe Seguimiento POA 2021'!Y49</f>
        <v>0.2</v>
      </c>
      <c r="N30" s="587" t="str">
        <f>+'Rango indicadores'!H12</f>
        <v>Mayor o igual A:</v>
      </c>
      <c r="O30" s="580">
        <f>+'Rango indicadores'!I12</f>
        <v>90</v>
      </c>
      <c r="P30" s="580" t="str">
        <f>+'Rango indicadores'!J12</f>
        <v>Desde (&gt;):</v>
      </c>
      <c r="Q30" s="580">
        <f>+'Rango indicadores'!K12</f>
        <v>85</v>
      </c>
      <c r="R30" s="580" t="str">
        <f>+'Rango indicadores'!L12</f>
        <v>Hasta (&lt;):</v>
      </c>
      <c r="S30" s="580">
        <f>+'Rango indicadores'!M12</f>
        <v>90</v>
      </c>
      <c r="T30" s="580" t="str">
        <f>+'Rango indicadores'!N12</f>
        <v>Menor o Igual A:</v>
      </c>
      <c r="U30" s="580">
        <f>+'Rango indicadores'!O12</f>
        <v>85</v>
      </c>
      <c r="V30" s="709" t="s">
        <v>988</v>
      </c>
    </row>
    <row r="31" spans="2:23" ht="86.25" customHeight="1">
      <c r="B31" s="577">
        <f t="shared" ref="B31:B36" si="3">+B30+1</f>
        <v>9</v>
      </c>
      <c r="C31" s="578" t="str">
        <f>+'Rango indicadores'!D13</f>
        <v>03-RI-02</v>
      </c>
      <c r="D31" s="578" t="str">
        <f>+'Rango indicadores'!E13</f>
        <v>Porcentaje de actividades ejecutadas de acuerdo al plan de Seguridad de información</v>
      </c>
      <c r="E31" s="582">
        <f>+'Rango indicadores'!Q13</f>
        <v>0.3</v>
      </c>
      <c r="F31" s="582">
        <f>+'Informe Seguimiento POA 2021'!O50</f>
        <v>0.06</v>
      </c>
      <c r="G31" s="582">
        <f>+'Informe Seguimiento POA 2021'!O50</f>
        <v>0.06</v>
      </c>
      <c r="H31" s="582">
        <f>+'Informe Seguimiento POA 2021'!P50</f>
        <v>0.06</v>
      </c>
      <c r="I31" s="582">
        <f>+'Informe Seguimiento POA 2021'!P50</f>
        <v>0.06</v>
      </c>
      <c r="J31" s="582">
        <f>+'Informe Seguimiento POA 2021'!X50</f>
        <v>0.06</v>
      </c>
      <c r="K31" s="590">
        <f t="shared" si="2"/>
        <v>1</v>
      </c>
      <c r="L31" s="590">
        <f t="shared" si="2"/>
        <v>1</v>
      </c>
      <c r="M31" s="564">
        <f>+'Informe Seguimiento POA 2021'!Y50</f>
        <v>0.2</v>
      </c>
      <c r="N31" s="587" t="str">
        <f>+'Rango indicadores'!H13</f>
        <v>Mayor o igual A:</v>
      </c>
      <c r="O31" s="580">
        <f>+'Rango indicadores'!I13</f>
        <v>90</v>
      </c>
      <c r="P31" s="580" t="str">
        <f>+'Rango indicadores'!J13</f>
        <v>Desde (&gt;):</v>
      </c>
      <c r="Q31" s="580">
        <f>+'Rango indicadores'!K13</f>
        <v>85</v>
      </c>
      <c r="R31" s="580" t="str">
        <f>+'Rango indicadores'!L13</f>
        <v>Hasta (&lt;):</v>
      </c>
      <c r="S31" s="580">
        <f>+'Rango indicadores'!M13</f>
        <v>90</v>
      </c>
      <c r="T31" s="580" t="str">
        <f>+'Rango indicadores'!N13</f>
        <v>Menor o Igual A:</v>
      </c>
      <c r="U31" s="580">
        <f>+'Rango indicadores'!O13</f>
        <v>85</v>
      </c>
      <c r="V31" s="709" t="s">
        <v>988</v>
      </c>
      <c r="W31" s="591"/>
    </row>
    <row r="32" spans="2:23" ht="86.4" customHeight="1">
      <c r="B32" s="577">
        <f t="shared" si="3"/>
        <v>10</v>
      </c>
      <c r="C32" s="578" t="str">
        <f>+'Rango indicadores'!D14</f>
        <v>03-RI-03</v>
      </c>
      <c r="D32" s="578" t="str">
        <f>+'Rango indicadores'!E14</f>
        <v xml:space="preserve">Porcentaje de actividades ejecutadas  en la estrategia de servicios ciudadanos digitales </v>
      </c>
      <c r="E32" s="582">
        <f>+'Rango indicadores'!Q14</f>
        <v>0.3</v>
      </c>
      <c r="F32" s="582">
        <f>+'Informe Seguimiento POA 2021'!O51</f>
        <v>0.05</v>
      </c>
      <c r="G32" s="582">
        <f>+'Informe Seguimiento POA 2021'!O51</f>
        <v>0.05</v>
      </c>
      <c r="H32" s="582">
        <f>+'Informe Seguimiento POA 2021'!P51</f>
        <v>0.05</v>
      </c>
      <c r="I32" s="582">
        <f>+'Informe Seguimiento POA 2021'!P51</f>
        <v>0.05</v>
      </c>
      <c r="J32" s="582">
        <f>+'Informe Seguimiento POA 2021'!X51</f>
        <v>0.05</v>
      </c>
      <c r="K32" s="590">
        <f t="shared" si="2"/>
        <v>1</v>
      </c>
      <c r="L32" s="590">
        <f>IF(AND(G32&gt;0),I32/G32,"No programado")</f>
        <v>1</v>
      </c>
      <c r="M32" s="564">
        <f>+'Informe Seguimiento POA 2021'!Y51</f>
        <v>0.16666666666666666</v>
      </c>
      <c r="N32" s="587" t="str">
        <f>+'Rango indicadores'!H14</f>
        <v>Mayor o igual A:</v>
      </c>
      <c r="O32" s="580">
        <f>+'Rango indicadores'!I14</f>
        <v>90</v>
      </c>
      <c r="P32" s="580" t="str">
        <f>+'Rango indicadores'!J14</f>
        <v>Desde (&gt;):</v>
      </c>
      <c r="Q32" s="580">
        <f>+'Rango indicadores'!K14</f>
        <v>85</v>
      </c>
      <c r="R32" s="580" t="str">
        <f>+'Rango indicadores'!L14</f>
        <v>Hasta (&lt;):</v>
      </c>
      <c r="S32" s="580">
        <f>+'Rango indicadores'!M14</f>
        <v>90</v>
      </c>
      <c r="T32" s="580" t="str">
        <f>+'Rango indicadores'!N14</f>
        <v>Menor o Igual A:</v>
      </c>
      <c r="U32" s="580">
        <f>+'Rango indicadores'!O14</f>
        <v>85</v>
      </c>
      <c r="V32" s="709" t="s">
        <v>985</v>
      </c>
    </row>
    <row r="33" spans="2:22" ht="93" customHeight="1">
      <c r="B33" s="577">
        <f t="shared" si="3"/>
        <v>11</v>
      </c>
      <c r="C33" s="578" t="str">
        <f>+'Rango indicadores'!D15</f>
        <v>03-RI-04</v>
      </c>
      <c r="D33" s="578" t="str">
        <f>+'Rango indicadores'!E15</f>
        <v>Porcentaje de lineamientos adoptados  en la estrategia de gestión de datos</v>
      </c>
      <c r="E33" s="582">
        <f>+'Rango indicadores'!Q15</f>
        <v>0.3</v>
      </c>
      <c r="F33" s="582">
        <f>+'Informe Seguimiento POA 2021'!O52</f>
        <v>0.05</v>
      </c>
      <c r="G33" s="582">
        <f>+'Informe Seguimiento POA 2021'!O52</f>
        <v>0.05</v>
      </c>
      <c r="H33" s="582">
        <f>+'Informe Seguimiento POA 2021'!P52</f>
        <v>0.05</v>
      </c>
      <c r="I33" s="582">
        <f>+'Informe Seguimiento POA 2021'!P52</f>
        <v>0.05</v>
      </c>
      <c r="J33" s="582">
        <f>+'Informe Seguimiento POA 2021'!X52</f>
        <v>0.05</v>
      </c>
      <c r="K33" s="590">
        <f t="shared" si="2"/>
        <v>1</v>
      </c>
      <c r="L33" s="590">
        <f>IF(AND(G33&gt;0),I33/G33,"No programado")</f>
        <v>1</v>
      </c>
      <c r="M33" s="564">
        <f>+'Informe Seguimiento POA 2021'!Y52</f>
        <v>0.16666666666666666</v>
      </c>
      <c r="N33" s="587" t="str">
        <f>+'Rango indicadores'!H15</f>
        <v>Mayor o igual A:</v>
      </c>
      <c r="O33" s="580">
        <f>+'Rango indicadores'!I15</f>
        <v>90</v>
      </c>
      <c r="P33" s="580" t="str">
        <f>+'Rango indicadores'!J15</f>
        <v>Desde (&gt;):</v>
      </c>
      <c r="Q33" s="580">
        <f>+'Rango indicadores'!K15</f>
        <v>85</v>
      </c>
      <c r="R33" s="580" t="str">
        <f>+'Rango indicadores'!L15</f>
        <v>Hasta (&lt;):</v>
      </c>
      <c r="S33" s="580">
        <f>+'Rango indicadores'!M15</f>
        <v>90</v>
      </c>
      <c r="T33" s="580" t="str">
        <f>+'Rango indicadores'!N15</f>
        <v>Menor o Igual A:</v>
      </c>
      <c r="U33" s="580">
        <f>+'Rango indicadores'!O15</f>
        <v>85</v>
      </c>
      <c r="V33" s="709" t="s">
        <v>989</v>
      </c>
    </row>
    <row r="34" spans="2:22" ht="97.5" customHeight="1">
      <c r="B34" s="577">
        <f t="shared" si="3"/>
        <v>12</v>
      </c>
      <c r="C34" s="578" t="str">
        <f>+'Rango indicadores'!D16</f>
        <v>03-RI-05</v>
      </c>
      <c r="D34" s="578" t="str">
        <f>+'Rango indicadores'!E16</f>
        <v>Cantidad de requerimientos prioritarios desarrollados para los sistemas información</v>
      </c>
      <c r="E34" s="582">
        <f>+'Rango indicadores'!Q16</f>
        <v>0.3</v>
      </c>
      <c r="F34" s="582">
        <f>+'Informe Seguimiento POA 2021'!O53</f>
        <v>0.05</v>
      </c>
      <c r="G34" s="582">
        <f>+'Informe Seguimiento POA 2021'!O53</f>
        <v>0.05</v>
      </c>
      <c r="H34" s="582">
        <f>+'Informe Seguimiento POA 2021'!P53</f>
        <v>0.05</v>
      </c>
      <c r="I34" s="582">
        <f>+'Informe Seguimiento POA 2021'!P53</f>
        <v>0.05</v>
      </c>
      <c r="J34" s="582">
        <f>+'Informe Seguimiento POA 2021'!X53</f>
        <v>0.05</v>
      </c>
      <c r="K34" s="590">
        <f t="shared" si="2"/>
        <v>1</v>
      </c>
      <c r="L34" s="590">
        <f>IF(AND(G34&gt;0),I34/G34,"No programado")</f>
        <v>1</v>
      </c>
      <c r="M34" s="564">
        <f>+'Informe Seguimiento POA 2021'!Y53</f>
        <v>0.16666666666666669</v>
      </c>
      <c r="N34" s="587" t="str">
        <f>+'Rango indicadores'!H16</f>
        <v>Mayor o igual A:</v>
      </c>
      <c r="O34" s="580">
        <f>+'Rango indicadores'!I16</f>
        <v>90</v>
      </c>
      <c r="P34" s="580" t="str">
        <f>+'Rango indicadores'!J16</f>
        <v>Desde (&gt;):</v>
      </c>
      <c r="Q34" s="580">
        <f>+'Rango indicadores'!K16</f>
        <v>85</v>
      </c>
      <c r="R34" s="580" t="str">
        <f>+'Rango indicadores'!L16</f>
        <v>Hasta (&lt;):</v>
      </c>
      <c r="S34" s="580">
        <f>+'Rango indicadores'!M16</f>
        <v>90</v>
      </c>
      <c r="T34" s="580" t="str">
        <f>+'Rango indicadores'!N16</f>
        <v>Menor o Igual A:</v>
      </c>
      <c r="U34" s="580">
        <f>+'Rango indicadores'!O16</f>
        <v>85</v>
      </c>
      <c r="V34" s="709" t="s">
        <v>989</v>
      </c>
    </row>
    <row r="35" spans="2:22" ht="79.5" customHeight="1">
      <c r="B35" s="577">
        <f t="shared" si="3"/>
        <v>13</v>
      </c>
      <c r="C35" s="578" t="str">
        <f>+'Rango indicadores'!D17</f>
        <v>03-RI-06</v>
      </c>
      <c r="D35" s="578" t="str">
        <f>+'Rango indicadores'!E17</f>
        <v>Porcentaje de actividades ejecutadas del plan de uso y apropiación</v>
      </c>
      <c r="E35" s="582">
        <f>+'Rango indicadores'!Q17</f>
        <v>0.3</v>
      </c>
      <c r="F35" s="582">
        <f>+'Informe Seguimiento POA 2021'!O54</f>
        <v>0.05</v>
      </c>
      <c r="G35" s="582">
        <f>+'Informe Seguimiento POA 2021'!O54</f>
        <v>0.05</v>
      </c>
      <c r="H35" s="582">
        <f>+'Informe Seguimiento POA 2021'!P54</f>
        <v>0.05</v>
      </c>
      <c r="I35" s="582">
        <f>+'Informe Seguimiento POA 2021'!P54</f>
        <v>0.05</v>
      </c>
      <c r="J35" s="582">
        <f>+'Informe Seguimiento POA 2021'!X54</f>
        <v>0.05</v>
      </c>
      <c r="K35" s="590">
        <f t="shared" si="2"/>
        <v>1</v>
      </c>
      <c r="L35" s="590">
        <f>IF(AND(G35&gt;0),I35/G35,"No programado")</f>
        <v>1</v>
      </c>
      <c r="M35" s="564">
        <f>+'Informe Seguimiento POA 2021'!Y54</f>
        <v>0.16666666666666666</v>
      </c>
      <c r="N35" s="587" t="str">
        <f>+'Rango indicadores'!H17</f>
        <v>Mayor o igual A:</v>
      </c>
      <c r="O35" s="580">
        <f>+'Rango indicadores'!I17</f>
        <v>90</v>
      </c>
      <c r="P35" s="580" t="str">
        <f>+'Rango indicadores'!J17</f>
        <v>Desde (&gt;):</v>
      </c>
      <c r="Q35" s="580">
        <f>+'Rango indicadores'!K17</f>
        <v>85</v>
      </c>
      <c r="R35" s="580" t="str">
        <f>+'Rango indicadores'!L17</f>
        <v>Hasta (&lt;):</v>
      </c>
      <c r="S35" s="580">
        <f>+'Rango indicadores'!M17</f>
        <v>90</v>
      </c>
      <c r="T35" s="580" t="str">
        <f>+'Rango indicadores'!N17</f>
        <v>Menor o Igual A:</v>
      </c>
      <c r="U35" s="580">
        <f>+'Rango indicadores'!O17</f>
        <v>85</v>
      </c>
      <c r="V35" s="709" t="s">
        <v>989</v>
      </c>
    </row>
    <row r="36" spans="2:22" ht="79.5" customHeight="1">
      <c r="B36" s="577">
        <f t="shared" si="3"/>
        <v>14</v>
      </c>
      <c r="C36" s="578" t="str">
        <f>+'Rango indicadores'!D18</f>
        <v>03-RI-07</v>
      </c>
      <c r="D36" s="578" t="str">
        <f>+'Rango indicadores'!E18</f>
        <v>Porcentaje de actividades ejecutadas de la hoja de ruta de optimización tecnológica</v>
      </c>
      <c r="E36" s="582">
        <f>+'Rango indicadores'!Q18</f>
        <v>0.3</v>
      </c>
      <c r="F36" s="582">
        <f>+'Informe Seguimiento POA 2021'!O55</f>
        <v>0.06</v>
      </c>
      <c r="G36" s="582">
        <f>+'Informe Seguimiento POA 2021'!O55</f>
        <v>0.06</v>
      </c>
      <c r="H36" s="582">
        <f>+'Informe Seguimiento POA 2021'!P55</f>
        <v>0.06</v>
      </c>
      <c r="I36" s="582">
        <f>+'Informe Seguimiento POA 2021'!P55</f>
        <v>0.06</v>
      </c>
      <c r="J36" s="582">
        <f>+'Informe Seguimiento POA 2021'!X55</f>
        <v>0.06</v>
      </c>
      <c r="K36" s="590">
        <f t="shared" ref="K36" si="4">IF(AND(F36&gt;0),H36/F36,"No programado")</f>
        <v>1</v>
      </c>
      <c r="L36" s="590">
        <f>IF(AND(G36&gt;0),I36/G36,"No programado")</f>
        <v>1</v>
      </c>
      <c r="M36" s="564">
        <f>+'Informe Seguimiento POA 2021'!Y55</f>
        <v>0.2</v>
      </c>
      <c r="N36" s="587" t="str">
        <f>+'Rango indicadores'!H18</f>
        <v>Mayor o igual A:</v>
      </c>
      <c r="O36" s="580">
        <f>+'Rango indicadores'!I18</f>
        <v>90</v>
      </c>
      <c r="P36" s="580" t="str">
        <f>+'Rango indicadores'!J18</f>
        <v>Desde (&gt;):</v>
      </c>
      <c r="Q36" s="580">
        <f>+'Rango indicadores'!K18</f>
        <v>85</v>
      </c>
      <c r="R36" s="580" t="str">
        <f>+'Rango indicadores'!L18</f>
        <v>Hasta (&lt;):</v>
      </c>
      <c r="S36" s="580">
        <f>+'Rango indicadores'!M18</f>
        <v>90</v>
      </c>
      <c r="T36" s="580" t="str">
        <f>+'Rango indicadores'!N18</f>
        <v>Menor o Igual A:</v>
      </c>
      <c r="U36" s="580">
        <f>+'Rango indicadores'!O18</f>
        <v>85</v>
      </c>
      <c r="V36" s="709" t="s">
        <v>988</v>
      </c>
    </row>
    <row r="37" spans="2:22" ht="15.6">
      <c r="C37" s="826" t="s">
        <v>941</v>
      </c>
      <c r="D37" s="827"/>
      <c r="E37" s="827"/>
      <c r="F37" s="827"/>
      <c r="G37" s="827"/>
      <c r="H37" s="827"/>
      <c r="I37" s="827"/>
      <c r="J37" s="828"/>
      <c r="K37" s="585">
        <f>IFERROR(AVERAGE(K30:K36),0)</f>
        <v>1</v>
      </c>
      <c r="L37" s="585">
        <f t="shared" ref="L37:M37" si="5">IFERROR(AVERAGE(L30:L36),0)</f>
        <v>1</v>
      </c>
      <c r="M37" s="585">
        <f t="shared" si="5"/>
        <v>0.18095238095238095</v>
      </c>
      <c r="N37" s="571"/>
      <c r="O37" s="571"/>
      <c r="P37" s="571"/>
      <c r="Q37" s="571"/>
      <c r="R37" s="571"/>
      <c r="S37" s="571"/>
      <c r="T37" s="571"/>
      <c r="U37" s="571"/>
      <c r="V37" s="710"/>
    </row>
    <row r="38" spans="2:22" s="573" customFormat="1">
      <c r="D38" s="575"/>
      <c r="V38" s="575"/>
    </row>
    <row r="39" spans="2:22" s="573" customFormat="1" ht="15.6">
      <c r="C39" s="576" t="s">
        <v>944</v>
      </c>
      <c r="D39" s="610"/>
      <c r="V39" s="575"/>
    </row>
    <row r="40" spans="2:22" ht="34.5" customHeight="1">
      <c r="C40" s="829" t="str">
        <f>+$C$11</f>
        <v>Identifificación del Indicador</v>
      </c>
      <c r="D40" s="842" t="s">
        <v>934</v>
      </c>
      <c r="E40" s="838" t="s">
        <v>935</v>
      </c>
      <c r="F40" s="839"/>
      <c r="G40" s="840"/>
      <c r="H40" s="829" t="s">
        <v>936</v>
      </c>
      <c r="I40" s="841" t="str">
        <f>$I$9</f>
        <v>Ejecución Acumulada Corte
31/03/2021</v>
      </c>
      <c r="J40" s="829" t="s">
        <v>937</v>
      </c>
      <c r="K40" s="829" t="s">
        <v>930</v>
      </c>
      <c r="L40" s="829"/>
      <c r="M40" s="829"/>
      <c r="N40" s="830" t="s">
        <v>780</v>
      </c>
      <c r="O40" s="830"/>
      <c r="P40" s="830"/>
      <c r="Q40" s="830"/>
      <c r="R40" s="830"/>
      <c r="S40" s="830"/>
      <c r="T40" s="830"/>
      <c r="U40" s="830"/>
      <c r="V40" s="829" t="s">
        <v>964</v>
      </c>
    </row>
    <row r="41" spans="2:22" ht="47.4" customHeight="1">
      <c r="C41" s="829"/>
      <c r="D41" s="842"/>
      <c r="E41" s="682" t="str">
        <f>$E$12</f>
        <v>Año 2021</v>
      </c>
      <c r="F41" s="682" t="str">
        <f>$D$5</f>
        <v>Primer Trimestre</v>
      </c>
      <c r="G41" s="683" t="str">
        <f>$G$9</f>
        <v>Acumulada Corte
31/03/2021</v>
      </c>
      <c r="H41" s="829"/>
      <c r="I41" s="841"/>
      <c r="J41" s="829"/>
      <c r="K41" s="682" t="str">
        <f>+$D$5</f>
        <v>Primer Trimestre</v>
      </c>
      <c r="L41" s="683" t="str">
        <f>$L$12</f>
        <v>Acumulado Corte 31/03/2021</v>
      </c>
      <c r="M41" s="684" t="s">
        <v>825</v>
      </c>
      <c r="N41" s="831" t="s">
        <v>939</v>
      </c>
      <c r="O41" s="832"/>
      <c r="P41" s="833" t="s">
        <v>940</v>
      </c>
      <c r="Q41" s="834"/>
      <c r="R41" s="834"/>
      <c r="S41" s="835"/>
      <c r="T41" s="836" t="s">
        <v>788</v>
      </c>
      <c r="U41" s="837"/>
      <c r="V41" s="829"/>
    </row>
    <row r="42" spans="2:22" ht="105.6">
      <c r="B42" s="577">
        <f>1+B36</f>
        <v>15</v>
      </c>
      <c r="C42" s="578" t="str">
        <f>+'Rango indicadores'!D19</f>
        <v>04-RI-01</v>
      </c>
      <c r="D42" s="578" t="str">
        <f>+'Rango indicadores'!E19</f>
        <v>Productos de comunicación externa desarrollados</v>
      </c>
      <c r="E42" s="582">
        <f>+'Rango indicadores'!Q19</f>
        <v>1</v>
      </c>
      <c r="F42" s="582">
        <f>+'Informe Seguimiento POA 2021'!O91</f>
        <v>1</v>
      </c>
      <c r="G42" s="582">
        <f>+'Informe Seguimiento POA 2021'!O91</f>
        <v>1</v>
      </c>
      <c r="H42" s="582">
        <f>+'Informe Seguimiento POA 2021'!P91</f>
        <v>1</v>
      </c>
      <c r="I42" s="582">
        <f>+'Informe Seguimiento POA 2021'!P91</f>
        <v>1</v>
      </c>
      <c r="J42" s="582">
        <f>+'Informe Seguimiento POA 2021'!X91</f>
        <v>1</v>
      </c>
      <c r="K42" s="619">
        <f>IF(AND(F42&gt;0),H42/F42,"No programado")</f>
        <v>1</v>
      </c>
      <c r="L42" s="619">
        <f>IF(AND(G42&gt;0),I42/G42,"No programado")</f>
        <v>1</v>
      </c>
      <c r="M42" s="564">
        <f>+'Informe Seguimiento POA 2021'!Y91</f>
        <v>0.25</v>
      </c>
      <c r="N42" s="587" t="str">
        <f>+'Rango indicadores'!H19</f>
        <v>Mayor A:</v>
      </c>
      <c r="O42" s="580">
        <f>+'Rango indicadores'!I19</f>
        <v>90</v>
      </c>
      <c r="P42" s="580" t="str">
        <f>+'Rango indicadores'!J19</f>
        <v>Desde (&gt;=):</v>
      </c>
      <c r="Q42" s="580">
        <f>+'Rango indicadores'!K19</f>
        <v>75</v>
      </c>
      <c r="R42" s="580" t="str">
        <f>+'Rango indicadores'!L19</f>
        <v>Hasta (&lt;=):</v>
      </c>
      <c r="S42" s="580">
        <f>+'Rango indicadores'!M19</f>
        <v>90</v>
      </c>
      <c r="T42" s="580" t="str">
        <f>+'Rango indicadores'!N19</f>
        <v>Menor A:</v>
      </c>
      <c r="U42" s="580">
        <f>+'Rango indicadores'!O19</f>
        <v>75</v>
      </c>
      <c r="V42" s="709" t="s">
        <v>1008</v>
      </c>
    </row>
    <row r="43" spans="2:22" ht="105.6">
      <c r="B43" s="577">
        <f>+B42+1</f>
        <v>16</v>
      </c>
      <c r="C43" s="578" t="str">
        <f>+'Rango indicadores'!D20</f>
        <v>04-RI-02</v>
      </c>
      <c r="D43" s="578" t="str">
        <f>+'Rango indicadores'!E20</f>
        <v>Productos  de comunicación interna
desarrollados</v>
      </c>
      <c r="E43" s="582">
        <f>+'Rango indicadores'!Q20</f>
        <v>1</v>
      </c>
      <c r="F43" s="582">
        <f>+'Informe Seguimiento POA 2021'!O92</f>
        <v>1</v>
      </c>
      <c r="G43" s="582">
        <f>+'Informe Seguimiento POA 2021'!O92</f>
        <v>1</v>
      </c>
      <c r="H43" s="582">
        <f>+'Informe Seguimiento POA 2021'!P92</f>
        <v>1</v>
      </c>
      <c r="I43" s="582">
        <f>+'Informe Seguimiento POA 2021'!P92</f>
        <v>1</v>
      </c>
      <c r="J43" s="582">
        <f>+'Informe Seguimiento POA 2021'!X92</f>
        <v>1</v>
      </c>
      <c r="K43" s="619">
        <f>IF(AND(F43&gt;0),H43/F43,"No programado")</f>
        <v>1</v>
      </c>
      <c r="L43" s="619">
        <f t="shared" ref="L43" si="6">IF(AND(G43&gt;0),I43/G43,"No programado")</f>
        <v>1</v>
      </c>
      <c r="M43" s="564">
        <f>+'Informe Seguimiento POA 2021'!Y92</f>
        <v>0.25</v>
      </c>
      <c r="N43" s="587" t="str">
        <f>+'Rango indicadores'!H20</f>
        <v>Mayor A:</v>
      </c>
      <c r="O43" s="580">
        <f>+'Rango indicadores'!I20</f>
        <v>90</v>
      </c>
      <c r="P43" s="580" t="str">
        <f>+'Rango indicadores'!J20</f>
        <v>Desde (&gt;=):</v>
      </c>
      <c r="Q43" s="580">
        <f>+'Rango indicadores'!K20</f>
        <v>75</v>
      </c>
      <c r="R43" s="580" t="str">
        <f>+'Rango indicadores'!L20</f>
        <v>Hasta (&lt;=):</v>
      </c>
      <c r="S43" s="580">
        <f>+'Rango indicadores'!M20</f>
        <v>90</v>
      </c>
      <c r="T43" s="580" t="str">
        <f>+'Rango indicadores'!N20</f>
        <v>Menor A:</v>
      </c>
      <c r="U43" s="580">
        <f>+'Rango indicadores'!O20</f>
        <v>75</v>
      </c>
      <c r="V43" s="709" t="s">
        <v>1008</v>
      </c>
    </row>
    <row r="44" spans="2:22" ht="15.6">
      <c r="C44" s="826" t="s">
        <v>941</v>
      </c>
      <c r="D44" s="827"/>
      <c r="E44" s="827"/>
      <c r="F44" s="827"/>
      <c r="G44" s="827"/>
      <c r="H44" s="827"/>
      <c r="I44" s="827"/>
      <c r="J44" s="828"/>
      <c r="K44" s="585">
        <f>IFERROR(AVERAGE(K42:K43),0)</f>
        <v>1</v>
      </c>
      <c r="L44" s="585">
        <f>IFERROR(AVERAGE(L42:L43),0)</f>
        <v>1</v>
      </c>
      <c r="M44" s="585">
        <f>IFERROR(AVERAGE(M42:M43),0)</f>
        <v>0.25</v>
      </c>
      <c r="N44" s="592"/>
      <c r="O44" s="592"/>
      <c r="P44" s="592"/>
      <c r="Q44" s="592"/>
      <c r="R44" s="592"/>
      <c r="S44" s="592"/>
      <c r="T44" s="592"/>
      <c r="U44" s="592"/>
      <c r="V44" s="710"/>
    </row>
    <row r="45" spans="2:22" s="573" customFormat="1">
      <c r="D45" s="575"/>
      <c r="V45" s="575"/>
    </row>
    <row r="46" spans="2:22" s="573" customFormat="1" ht="15.6">
      <c r="C46" s="576" t="s">
        <v>945</v>
      </c>
      <c r="D46" s="610"/>
      <c r="V46" s="575"/>
    </row>
    <row r="47" spans="2:22" ht="28.2" customHeight="1">
      <c r="C47" s="829" t="str">
        <f>+$C$11</f>
        <v>Identifificación del Indicador</v>
      </c>
      <c r="D47" s="842" t="s">
        <v>934</v>
      </c>
      <c r="E47" s="838" t="s">
        <v>935</v>
      </c>
      <c r="F47" s="839"/>
      <c r="G47" s="840"/>
      <c r="H47" s="829" t="s">
        <v>936</v>
      </c>
      <c r="I47" s="841" t="str">
        <f>$I$9</f>
        <v>Ejecución Acumulada Corte
31/03/2021</v>
      </c>
      <c r="J47" s="829" t="s">
        <v>937</v>
      </c>
      <c r="K47" s="838" t="s">
        <v>930</v>
      </c>
      <c r="L47" s="839"/>
      <c r="M47" s="840"/>
      <c r="N47" s="830" t="s">
        <v>780</v>
      </c>
      <c r="O47" s="830"/>
      <c r="P47" s="830"/>
      <c r="Q47" s="830"/>
      <c r="R47" s="830"/>
      <c r="S47" s="830"/>
      <c r="T47" s="830"/>
      <c r="U47" s="830"/>
      <c r="V47" s="829" t="s">
        <v>964</v>
      </c>
    </row>
    <row r="48" spans="2:22" ht="46.2" customHeight="1">
      <c r="C48" s="829"/>
      <c r="D48" s="842"/>
      <c r="E48" s="682" t="str">
        <f>$E$12</f>
        <v>Año 2021</v>
      </c>
      <c r="F48" s="682" t="str">
        <f>$D$5</f>
        <v>Primer Trimestre</v>
      </c>
      <c r="G48" s="683" t="str">
        <f>$G$9</f>
        <v>Acumulada Corte
31/03/2021</v>
      </c>
      <c r="H48" s="829"/>
      <c r="I48" s="841"/>
      <c r="J48" s="829"/>
      <c r="K48" s="682" t="str">
        <f>+$D$5</f>
        <v>Primer Trimestre</v>
      </c>
      <c r="L48" s="683" t="str">
        <f>$L$12</f>
        <v>Acumulado Corte 31/03/2021</v>
      </c>
      <c r="M48" s="682" t="s">
        <v>825</v>
      </c>
      <c r="N48" s="831" t="s">
        <v>939</v>
      </c>
      <c r="O48" s="832"/>
      <c r="P48" s="833" t="s">
        <v>940</v>
      </c>
      <c r="Q48" s="834"/>
      <c r="R48" s="834"/>
      <c r="S48" s="835"/>
      <c r="T48" s="836" t="s">
        <v>788</v>
      </c>
      <c r="U48" s="837"/>
      <c r="V48" s="829"/>
    </row>
    <row r="49" spans="2:24" ht="128.4" customHeight="1">
      <c r="B49" s="577">
        <f>+B43+1</f>
        <v>17</v>
      </c>
      <c r="C49" s="578" t="str">
        <f>+'Rango indicadores'!D80</f>
        <v>14-RI-01</v>
      </c>
      <c r="D49" s="578" t="str">
        <f>+'Rango indicadores'!E80</f>
        <v>Porcentaje de Percepción de los usuarios en calificación excelente y bueno incrementado</v>
      </c>
      <c r="E49" s="582">
        <f>+'Rango indicadores'!Q80</f>
        <v>0.9</v>
      </c>
      <c r="F49" s="582">
        <f>+'Informe Seguimiento POA 2021'!O60</f>
        <v>0.9</v>
      </c>
      <c r="G49" s="582">
        <f>+'Informe Seguimiento POA 2021'!O60</f>
        <v>0.9</v>
      </c>
      <c r="H49" s="582">
        <f>+'Informe Seguimiento POA 2021'!P60</f>
        <v>0.79800000000000004</v>
      </c>
      <c r="I49" s="582">
        <f>+'Informe Seguimiento POA 2021'!P60</f>
        <v>0.79800000000000004</v>
      </c>
      <c r="J49" s="582">
        <f>+'Informe Seguimiento POA 2021'!X60</f>
        <v>0.79800000000000004</v>
      </c>
      <c r="K49" s="564">
        <f>IF(AND(F49&gt;0),H49/F49,"No programado")</f>
        <v>0.88666666666666671</v>
      </c>
      <c r="L49" s="564">
        <f>IF(AND(G49&gt;0),I49/G49,"No programado")</f>
        <v>0.88666666666666671</v>
      </c>
      <c r="M49" s="564">
        <f>+'Informe Seguimiento POA 2021'!Y60</f>
        <v>0.44333333333333336</v>
      </c>
      <c r="N49" s="593" t="str">
        <f>+'Rango indicadores'!H80</f>
        <v>Mayor A:</v>
      </c>
      <c r="O49" s="580">
        <f>+'Rango indicadores'!I80</f>
        <v>90</v>
      </c>
      <c r="P49" s="580" t="str">
        <f>+'Rango indicadores'!J80</f>
        <v>Desde (&gt;=):</v>
      </c>
      <c r="Q49" s="580">
        <f>+'Rango indicadores'!K80</f>
        <v>70</v>
      </c>
      <c r="R49" s="580" t="str">
        <f>+'Rango indicadores'!L80</f>
        <v>Hasta (&lt;=):</v>
      </c>
      <c r="S49" s="580">
        <f>+'Rango indicadores'!M80</f>
        <v>90</v>
      </c>
      <c r="T49" s="580" t="str">
        <f>+'Rango indicadores'!N80</f>
        <v>Menor A:</v>
      </c>
      <c r="U49" s="580">
        <f>+'Rango indicadores'!O80</f>
        <v>70</v>
      </c>
      <c r="V49" s="709" t="s">
        <v>993</v>
      </c>
    </row>
    <row r="50" spans="2:24" ht="80.400000000000006" customHeight="1">
      <c r="B50" s="577">
        <f>+B49+1</f>
        <v>18</v>
      </c>
      <c r="C50" s="578" t="str">
        <f>+'Rango indicadores'!D81</f>
        <v>14-RI-02</v>
      </c>
      <c r="D50" s="578" t="str">
        <f>+'Rango indicadores'!E81</f>
        <v>Lineamientos implementados</v>
      </c>
      <c r="E50" s="580">
        <f>+'Rango indicadores'!Q81</f>
        <v>2</v>
      </c>
      <c r="F50" s="580">
        <f>+'Informe Seguimiento POA 2021'!O61</f>
        <v>1</v>
      </c>
      <c r="G50" s="580">
        <f>+'Informe Seguimiento POA 2021'!O61</f>
        <v>1</v>
      </c>
      <c r="H50" s="580">
        <f>+'Informe Seguimiento POA 2021'!P61</f>
        <v>1</v>
      </c>
      <c r="I50" s="580">
        <f>+'Informe Seguimiento POA 2021'!P61</f>
        <v>1</v>
      </c>
      <c r="J50" s="580">
        <f>+'Informe Seguimiento POA 2021'!X61</f>
        <v>1</v>
      </c>
      <c r="K50" s="564">
        <f>IF(AND(F50&gt;0),H50/F50,"No programado")</f>
        <v>1</v>
      </c>
      <c r="L50" s="564">
        <f t="shared" ref="L50:L51" si="7">IF(AND(G50&gt;0),I50/G50,"No programado")</f>
        <v>1</v>
      </c>
      <c r="M50" s="564">
        <f>+'Informe Seguimiento POA 2021'!Y61</f>
        <v>0.5</v>
      </c>
      <c r="N50" s="593" t="str">
        <f>+'Rango indicadores'!H81</f>
        <v>Mayor A:</v>
      </c>
      <c r="O50" s="580">
        <f>+'Rango indicadores'!I81</f>
        <v>90</v>
      </c>
      <c r="P50" s="580" t="str">
        <f>+'Rango indicadores'!J81</f>
        <v>Desde (&gt;=):</v>
      </c>
      <c r="Q50" s="580">
        <f>+'Rango indicadores'!K81</f>
        <v>70</v>
      </c>
      <c r="R50" s="580" t="str">
        <f>+'Rango indicadores'!L81</f>
        <v>Hasta (&lt;=):</v>
      </c>
      <c r="S50" s="580">
        <f>+'Rango indicadores'!M81</f>
        <v>90</v>
      </c>
      <c r="T50" s="580" t="str">
        <f>+'Rango indicadores'!N81</f>
        <v>Menor A:</v>
      </c>
      <c r="U50" s="580">
        <f>+'Rango indicadores'!O81</f>
        <v>70</v>
      </c>
      <c r="V50" s="709" t="s">
        <v>991</v>
      </c>
    </row>
    <row r="51" spans="2:24">
      <c r="B51" s="577">
        <f>+B50+1</f>
        <v>19</v>
      </c>
      <c r="C51" s="578" t="str">
        <f>+'Rango indicadores'!D82</f>
        <v>14-RI-03</v>
      </c>
      <c r="D51" s="578" t="str">
        <f>+'Rango indicadores'!E82</f>
        <v>Acuerdos interinstitucionales gestionados</v>
      </c>
      <c r="E51" s="580">
        <f>+'Rango indicadores'!Q82</f>
        <v>1</v>
      </c>
      <c r="F51" s="580">
        <f>+'Informe Seguimiento POA 2021'!O93</f>
        <v>0</v>
      </c>
      <c r="G51" s="580">
        <f>+'Informe Seguimiento POA 2021'!O93</f>
        <v>0</v>
      </c>
      <c r="H51" s="580">
        <f>+'Informe Seguimiento POA 2021'!P93</f>
        <v>0</v>
      </c>
      <c r="I51" s="580">
        <f>+'Informe Seguimiento POA 2021'!P93</f>
        <v>0</v>
      </c>
      <c r="J51" s="580">
        <f>+'Informe Seguimiento POA 2021'!X93</f>
        <v>0</v>
      </c>
      <c r="K51" s="598" t="str">
        <f>IF(AND(F51&gt;0),H51/F51,"No programado")</f>
        <v>No programado</v>
      </c>
      <c r="L51" s="598" t="str">
        <f t="shared" si="7"/>
        <v>No programado</v>
      </c>
      <c r="M51" s="564">
        <f>+'Informe Seguimiento POA 2021'!Y93</f>
        <v>0</v>
      </c>
      <c r="N51" s="593" t="str">
        <f>+'Rango indicadores'!H82</f>
        <v>Mayor A:</v>
      </c>
      <c r="O51" s="580">
        <f>+'Rango indicadores'!I82</f>
        <v>90</v>
      </c>
      <c r="P51" s="580" t="str">
        <f>+'Rango indicadores'!J82</f>
        <v>Desde (&gt;=):</v>
      </c>
      <c r="Q51" s="580">
        <f>+'Rango indicadores'!K82</f>
        <v>70</v>
      </c>
      <c r="R51" s="580" t="str">
        <f>+'Rango indicadores'!L82</f>
        <v>Hasta (&lt;=):</v>
      </c>
      <c r="S51" s="580">
        <f>+'Rango indicadores'!M82</f>
        <v>90</v>
      </c>
      <c r="T51" s="580" t="str">
        <f>+'Rango indicadores'!N82</f>
        <v>Menor A:</v>
      </c>
      <c r="U51" s="580">
        <f>+'Rango indicadores'!O82</f>
        <v>70</v>
      </c>
      <c r="V51" s="709" t="s">
        <v>987</v>
      </c>
    </row>
    <row r="52" spans="2:24" ht="15.6">
      <c r="C52" s="826" t="s">
        <v>941</v>
      </c>
      <c r="D52" s="827"/>
      <c r="E52" s="827"/>
      <c r="F52" s="827"/>
      <c r="G52" s="827"/>
      <c r="H52" s="827"/>
      <c r="I52" s="827"/>
      <c r="J52" s="828"/>
      <c r="K52" s="585">
        <f>IFERROR(AVERAGE(K49:K50),0)</f>
        <v>0.94333333333333336</v>
      </c>
      <c r="L52" s="585">
        <f>IFERROR(AVERAGE(L49:L50),0)</f>
        <v>0.94333333333333336</v>
      </c>
      <c r="M52" s="585">
        <f>IFERROR(AVERAGE(M49:M51),0)</f>
        <v>0.31444444444444447</v>
      </c>
      <c r="N52" s="592"/>
      <c r="O52" s="592"/>
      <c r="P52" s="592"/>
      <c r="Q52" s="592"/>
      <c r="R52" s="592"/>
      <c r="S52" s="592"/>
      <c r="T52" s="592"/>
      <c r="U52" s="592"/>
      <c r="V52" s="710"/>
    </row>
    <row r="53" spans="2:24" s="573" customFormat="1">
      <c r="D53" s="575"/>
      <c r="V53" s="575"/>
    </row>
    <row r="54" spans="2:24" s="573" customFormat="1" ht="15.6">
      <c r="C54" s="576" t="s">
        <v>946</v>
      </c>
      <c r="D54" s="610"/>
      <c r="V54" s="575"/>
    </row>
    <row r="55" spans="2:24" ht="27" customHeight="1">
      <c r="C55" s="829" t="str">
        <f>+$C$11</f>
        <v>Identifificación del Indicador</v>
      </c>
      <c r="D55" s="842" t="s">
        <v>934</v>
      </c>
      <c r="E55" s="838" t="s">
        <v>935</v>
      </c>
      <c r="F55" s="839"/>
      <c r="G55" s="840"/>
      <c r="H55" s="829" t="s">
        <v>936</v>
      </c>
      <c r="I55" s="841" t="str">
        <f>$I$9</f>
        <v>Ejecución Acumulada Corte
31/03/2021</v>
      </c>
      <c r="J55" s="829" t="s">
        <v>937</v>
      </c>
      <c r="K55" s="829" t="s">
        <v>930</v>
      </c>
      <c r="L55" s="829"/>
      <c r="M55" s="829"/>
      <c r="N55" s="830" t="s">
        <v>780</v>
      </c>
      <c r="O55" s="830"/>
      <c r="P55" s="830"/>
      <c r="Q55" s="830"/>
      <c r="R55" s="830"/>
      <c r="S55" s="830"/>
      <c r="T55" s="830"/>
      <c r="U55" s="830"/>
      <c r="V55" s="829" t="s">
        <v>964</v>
      </c>
    </row>
    <row r="56" spans="2:24" ht="43.8" customHeight="1">
      <c r="C56" s="829"/>
      <c r="D56" s="842"/>
      <c r="E56" s="682" t="str">
        <f>$E$12</f>
        <v>Año 2021</v>
      </c>
      <c r="F56" s="682" t="str">
        <f>$D$5</f>
        <v>Primer Trimestre</v>
      </c>
      <c r="G56" s="683" t="str">
        <f>$G$9</f>
        <v>Acumulada Corte
31/03/2021</v>
      </c>
      <c r="H56" s="829"/>
      <c r="I56" s="841"/>
      <c r="J56" s="829"/>
      <c r="K56" s="682" t="str">
        <f>+$D$5</f>
        <v>Primer Trimestre</v>
      </c>
      <c r="L56" s="683" t="str">
        <f>$L$12</f>
        <v>Acumulado Corte 31/03/2021</v>
      </c>
      <c r="M56" s="682" t="s">
        <v>825</v>
      </c>
      <c r="N56" s="831" t="s">
        <v>939</v>
      </c>
      <c r="O56" s="832"/>
      <c r="P56" s="833" t="s">
        <v>940</v>
      </c>
      <c r="Q56" s="834"/>
      <c r="R56" s="834"/>
      <c r="S56" s="835"/>
      <c r="T56" s="836" t="s">
        <v>788</v>
      </c>
      <c r="U56" s="837"/>
      <c r="V56" s="829"/>
    </row>
    <row r="57" spans="2:24" ht="132">
      <c r="B57" s="577">
        <f>+B51+1</f>
        <v>20</v>
      </c>
      <c r="C57" s="578" t="str">
        <f>+'Rango indicadores'!D21</f>
        <v>05-RI-01</v>
      </c>
      <c r="D57" s="578" t="str">
        <f>+'Rango indicadores'!E21</f>
        <v>Intervenciones realizadas en defensa de los derechos</v>
      </c>
      <c r="E57" s="594">
        <f>+'Rango indicadores'!Q21</f>
        <v>98250</v>
      </c>
      <c r="F57" s="594">
        <f>+'Informe Seguimiento POA 2021'!O13</f>
        <v>22050</v>
      </c>
      <c r="G57" s="594">
        <f>+'Informe Seguimiento POA 2021'!O13</f>
        <v>22050</v>
      </c>
      <c r="H57" s="594">
        <f>+'Informe Seguimiento POA 2021'!P13</f>
        <v>29988</v>
      </c>
      <c r="I57" s="594">
        <f>+'Informe Seguimiento POA 2021'!P13</f>
        <v>29988</v>
      </c>
      <c r="J57" s="594">
        <f>+'Informe Seguimiento POA 2021'!X13</f>
        <v>29988</v>
      </c>
      <c r="K57" s="581">
        <f t="shared" ref="K57:L73" si="8">IF(AND(F57&gt;0),H57/F57,"No programado")</f>
        <v>1.36</v>
      </c>
      <c r="L57" s="581">
        <f>IF(AND(G57&gt;0),I57/G57,"No programado")</f>
        <v>1.36</v>
      </c>
      <c r="M57" s="581">
        <f>+'Informe Seguimiento POA 2021'!Y13</f>
        <v>0.30522137404580152</v>
      </c>
      <c r="N57" s="587" t="str">
        <f>+'Rango indicadores'!H21</f>
        <v>Mayor A:</v>
      </c>
      <c r="O57" s="580">
        <f>+'Rango indicadores'!I21</f>
        <v>85</v>
      </c>
      <c r="P57" s="580" t="str">
        <f>+'Rango indicadores'!J21</f>
        <v>Desde (&gt;=):</v>
      </c>
      <c r="Q57" s="580">
        <f>+'Rango indicadores'!K21</f>
        <v>80</v>
      </c>
      <c r="R57" s="580" t="str">
        <f>+'Rango indicadores'!L21</f>
        <v>Hasta (&lt;=):</v>
      </c>
      <c r="S57" s="580">
        <f>+'Rango indicadores'!M21</f>
        <v>85</v>
      </c>
      <c r="T57" s="580" t="str">
        <f>+'Rango indicadores'!N21</f>
        <v>Menor A:</v>
      </c>
      <c r="U57" s="580">
        <f>+'Rango indicadores'!O21</f>
        <v>80</v>
      </c>
      <c r="V57" s="699" t="s">
        <v>994</v>
      </c>
      <c r="W57" s="595"/>
      <c r="X57" s="595"/>
    </row>
    <row r="58" spans="2:24" ht="125.4" customHeight="1">
      <c r="B58" s="577">
        <f t="shared" ref="B58:B63" si="9">+B57+1</f>
        <v>21</v>
      </c>
      <c r="C58" s="578" t="str">
        <f>+'Rango indicadores'!D22</f>
        <v>05-RI-02</v>
      </c>
      <c r="D58" s="578" t="str">
        <f>+'Rango indicadores'!E22</f>
        <v>Personas orientadas en garantía de derechos</v>
      </c>
      <c r="E58" s="594">
        <f>+'Rango indicadores'!Q22</f>
        <v>73600</v>
      </c>
      <c r="F58" s="594">
        <f>+'Informe Seguimiento POA 2021'!O14</f>
        <v>17420</v>
      </c>
      <c r="G58" s="594">
        <f>+'Informe Seguimiento POA 2021'!O14</f>
        <v>17420</v>
      </c>
      <c r="H58" s="594">
        <f>+'Informe Seguimiento POA 2021'!P14</f>
        <v>17308</v>
      </c>
      <c r="I58" s="594">
        <f>+'Informe Seguimiento POA 2021'!P14</f>
        <v>17308</v>
      </c>
      <c r="J58" s="594">
        <f>+'Informe Seguimiento POA 2021'!X14</f>
        <v>17308</v>
      </c>
      <c r="K58" s="581">
        <f t="shared" si="8"/>
        <v>0.99357060849598167</v>
      </c>
      <c r="L58" s="581">
        <f>IF(AND(G58&gt;0),I58/G58,"No programado")</f>
        <v>0.99357060849598167</v>
      </c>
      <c r="M58" s="581">
        <f>+'Informe Seguimiento POA 2021'!Y14</f>
        <v>0.23516304347826086</v>
      </c>
      <c r="N58" s="587" t="str">
        <f>+'Rango indicadores'!H22</f>
        <v>Mayor A:</v>
      </c>
      <c r="O58" s="580">
        <f>+'Rango indicadores'!I22</f>
        <v>85</v>
      </c>
      <c r="P58" s="580" t="str">
        <f>+'Rango indicadores'!J22</f>
        <v>Desde (&gt;=):</v>
      </c>
      <c r="Q58" s="580">
        <f>+'Rango indicadores'!K22</f>
        <v>80</v>
      </c>
      <c r="R58" s="580" t="str">
        <f>+'Rango indicadores'!L22</f>
        <v>Hasta (&lt;=):</v>
      </c>
      <c r="S58" s="580">
        <f>+'Rango indicadores'!M22</f>
        <v>85</v>
      </c>
      <c r="T58" s="580" t="str">
        <f>+'Rango indicadores'!N22</f>
        <v>Menor A:</v>
      </c>
      <c r="U58" s="580">
        <f>+'Rango indicadores'!O22</f>
        <v>80</v>
      </c>
      <c r="V58" s="699" t="s">
        <v>1025</v>
      </c>
      <c r="W58" s="595"/>
      <c r="X58" s="595"/>
    </row>
    <row r="59" spans="2:24" ht="123" customHeight="1">
      <c r="B59" s="616">
        <f t="shared" si="9"/>
        <v>22</v>
      </c>
      <c r="C59" s="578" t="str">
        <f>+'Rango indicadores'!D23</f>
        <v>05-RI-03</v>
      </c>
      <c r="D59" s="578" t="str">
        <f>+'Rango indicadores'!E23</f>
        <v>Personas asistidas en garantía de derechos</v>
      </c>
      <c r="E59" s="594">
        <f>+'Rango indicadores'!Q23</f>
        <v>38200</v>
      </c>
      <c r="F59" s="594">
        <f>+'Informe Seguimiento POA 2021'!O15</f>
        <v>8750</v>
      </c>
      <c r="G59" s="594">
        <f>+'Informe Seguimiento POA 2021'!O15</f>
        <v>8750</v>
      </c>
      <c r="H59" s="594">
        <f>+'Informe Seguimiento POA 2021'!P15</f>
        <v>4414</v>
      </c>
      <c r="I59" s="594">
        <f>+'Informe Seguimiento POA 2021'!P15</f>
        <v>4414</v>
      </c>
      <c r="J59" s="594">
        <f>+'Informe Seguimiento POA 2021'!X15</f>
        <v>4414</v>
      </c>
      <c r="K59" s="581">
        <f t="shared" si="8"/>
        <v>0.50445714285714283</v>
      </c>
      <c r="L59" s="581">
        <f>IF(AND(G59&gt;0),I59/G59,"No programado")</f>
        <v>0.50445714285714283</v>
      </c>
      <c r="M59" s="581">
        <f>+'Informe Seguimiento POA 2021'!Y15</f>
        <v>0.11554973821989528</v>
      </c>
      <c r="N59" s="587" t="str">
        <f>+'Rango indicadores'!H23</f>
        <v>Mayor A:</v>
      </c>
      <c r="O59" s="580">
        <f>+'Rango indicadores'!I23</f>
        <v>80</v>
      </c>
      <c r="P59" s="580" t="str">
        <f>+'Rango indicadores'!J23</f>
        <v>Desde (&gt;=):</v>
      </c>
      <c r="Q59" s="580">
        <f>+'Rango indicadores'!K23</f>
        <v>70</v>
      </c>
      <c r="R59" s="580" t="str">
        <f>+'Rango indicadores'!L23</f>
        <v>Hasta (&lt;=):</v>
      </c>
      <c r="S59" s="580">
        <f>+'Rango indicadores'!M23</f>
        <v>80</v>
      </c>
      <c r="T59" s="580" t="str">
        <f>+'Rango indicadores'!N23</f>
        <v>Menor A:</v>
      </c>
      <c r="U59" s="580">
        <f>+'Rango indicadores'!O23</f>
        <v>70</v>
      </c>
      <c r="V59" s="699" t="s">
        <v>1010</v>
      </c>
      <c r="W59" s="595"/>
      <c r="X59" s="595"/>
    </row>
    <row r="60" spans="2:24" ht="152.4" customHeight="1">
      <c r="B60" s="577">
        <f t="shared" si="9"/>
        <v>23</v>
      </c>
      <c r="C60" s="578" t="str">
        <f>+'Rango indicadores'!D24</f>
        <v>05-RI-04</v>
      </c>
      <c r="D60" s="578" t="str">
        <f>+'Rango indicadores'!E24</f>
        <v>Personas asistidas en Mecanismos Alternativos de Solución de Conflictos</v>
      </c>
      <c r="E60" s="594">
        <f>+'Rango indicadores'!Q24</f>
        <v>10500</v>
      </c>
      <c r="F60" s="594">
        <f>+'Informe Seguimiento POA 2021'!O16</f>
        <v>2420</v>
      </c>
      <c r="G60" s="594">
        <f>+'Informe Seguimiento POA 2021'!O16</f>
        <v>2420</v>
      </c>
      <c r="H60" s="594">
        <f>+'Informe Seguimiento POA 2021'!P16</f>
        <v>1338</v>
      </c>
      <c r="I60" s="594">
        <f>+'Informe Seguimiento POA 2021'!P16</f>
        <v>1338</v>
      </c>
      <c r="J60" s="594">
        <f>+'Informe Seguimiento POA 2021'!X16</f>
        <v>1338</v>
      </c>
      <c r="K60" s="581">
        <f t="shared" si="8"/>
        <v>0.55289256198347103</v>
      </c>
      <c r="L60" s="581">
        <f t="shared" si="8"/>
        <v>0.55289256198347103</v>
      </c>
      <c r="M60" s="581">
        <f>+'Informe Seguimiento POA 2021'!Y16</f>
        <v>0.12742857142857142</v>
      </c>
      <c r="N60" s="587" t="str">
        <f>+'Rango indicadores'!H24</f>
        <v>Mayor A:</v>
      </c>
      <c r="O60" s="580">
        <f>+'Rango indicadores'!I24</f>
        <v>85</v>
      </c>
      <c r="P60" s="580" t="str">
        <f>+'Rango indicadores'!J24</f>
        <v>Desde (&gt;=):</v>
      </c>
      <c r="Q60" s="580">
        <f>+'Rango indicadores'!K24</f>
        <v>80</v>
      </c>
      <c r="R60" s="580" t="str">
        <f>+'Rango indicadores'!L24</f>
        <v>Hasta (&lt;=):</v>
      </c>
      <c r="S60" s="580">
        <f>+'Rango indicadores'!M24</f>
        <v>85</v>
      </c>
      <c r="T60" s="580" t="str">
        <f>+'Rango indicadores'!N24</f>
        <v>Menor A:</v>
      </c>
      <c r="U60" s="580">
        <f>+'Rango indicadores'!O24</f>
        <v>80</v>
      </c>
      <c r="V60" s="699" t="s">
        <v>1011</v>
      </c>
      <c r="W60" s="595"/>
      <c r="X60" s="595"/>
    </row>
    <row r="61" spans="2:24" ht="146.4" customHeight="1">
      <c r="B61" s="616">
        <f t="shared" si="9"/>
        <v>24</v>
      </c>
      <c r="C61" s="578" t="str">
        <f>+'Rango indicadores'!D25</f>
        <v>05-RI-05</v>
      </c>
      <c r="D61" s="578" t="str">
        <f>+'Rango indicadores'!E25</f>
        <v>Peticiones o requerimientos ciudadanos atendidos en garantía de derechos</v>
      </c>
      <c r="E61" s="594">
        <f>+'Rango indicadores'!Q25</f>
        <v>16200</v>
      </c>
      <c r="F61" s="594">
        <f>+'Informe Seguimiento POA 2021'!O17</f>
        <v>3520</v>
      </c>
      <c r="G61" s="594">
        <f>+'Informe Seguimiento POA 2021'!O17</f>
        <v>3520</v>
      </c>
      <c r="H61" s="594">
        <f>+'Informe Seguimiento POA 2021'!P17</f>
        <v>2602</v>
      </c>
      <c r="I61" s="594">
        <f>+'Informe Seguimiento POA 2021'!P17</f>
        <v>2602</v>
      </c>
      <c r="J61" s="594">
        <f>+'Informe Seguimiento POA 2021'!X17</f>
        <v>2602</v>
      </c>
      <c r="K61" s="581">
        <f t="shared" si="8"/>
        <v>0.7392045454545455</v>
      </c>
      <c r="L61" s="581">
        <f t="shared" si="8"/>
        <v>0.7392045454545455</v>
      </c>
      <c r="M61" s="581">
        <f>+'Informe Seguimiento POA 2021'!Y17</f>
        <v>0.16061728395061728</v>
      </c>
      <c r="N61" s="587" t="str">
        <f>+'Rango indicadores'!H25</f>
        <v>Mayor A:</v>
      </c>
      <c r="O61" s="580">
        <f>+'Rango indicadores'!I25</f>
        <v>85</v>
      </c>
      <c r="P61" s="580" t="str">
        <f>+'Rango indicadores'!J25</f>
        <v>Desde (&gt;=):</v>
      </c>
      <c r="Q61" s="580">
        <f>+'Rango indicadores'!K25</f>
        <v>80</v>
      </c>
      <c r="R61" s="580" t="str">
        <f>+'Rango indicadores'!L25</f>
        <v>Hasta (&lt;=):</v>
      </c>
      <c r="S61" s="580">
        <f>+'Rango indicadores'!M25</f>
        <v>85</v>
      </c>
      <c r="T61" s="580" t="str">
        <f>+'Rango indicadores'!N25</f>
        <v>Menor A:</v>
      </c>
      <c r="U61" s="580">
        <f>+'Rango indicadores'!O25</f>
        <v>80</v>
      </c>
      <c r="V61" s="699" t="s">
        <v>1026</v>
      </c>
      <c r="W61" s="595"/>
      <c r="X61" s="595"/>
    </row>
    <row r="62" spans="2:24" ht="127.8" customHeight="1">
      <c r="B62" s="577">
        <f t="shared" si="9"/>
        <v>25</v>
      </c>
      <c r="C62" s="578" t="str">
        <f>+'Rango indicadores'!D26</f>
        <v>05-RI-06</v>
      </c>
      <c r="D62" s="578" t="str">
        <f>+'Rango indicadores'!E26</f>
        <v>Espacios de mejora y transferencia de conocimiento realizados</v>
      </c>
      <c r="E62" s="594">
        <f>+'Rango indicadores'!Q26</f>
        <v>20</v>
      </c>
      <c r="F62" s="594">
        <f>+'Informe Seguimiento POA 2021'!O18</f>
        <v>5</v>
      </c>
      <c r="G62" s="594">
        <f>+'Informe Seguimiento POA 2021'!O18</f>
        <v>5</v>
      </c>
      <c r="H62" s="594">
        <f>+'Informe Seguimiento POA 2021'!P18</f>
        <v>1</v>
      </c>
      <c r="I62" s="594">
        <f>+'Informe Seguimiento POA 2021'!P18</f>
        <v>1</v>
      </c>
      <c r="J62" s="594">
        <f>+'Informe Seguimiento POA 2021'!X18</f>
        <v>1</v>
      </c>
      <c r="K62" s="581">
        <f t="shared" si="8"/>
        <v>0.2</v>
      </c>
      <c r="L62" s="581">
        <f t="shared" si="8"/>
        <v>0.2</v>
      </c>
      <c r="M62" s="581">
        <f>+'Informe Seguimiento POA 2021'!Y18</f>
        <v>0.05</v>
      </c>
      <c r="N62" s="587" t="str">
        <f>+'Rango indicadores'!H26</f>
        <v>Mayor A:</v>
      </c>
      <c r="O62" s="580">
        <f>+'Rango indicadores'!I26</f>
        <v>85</v>
      </c>
      <c r="P62" s="580" t="str">
        <f>+'Rango indicadores'!J26</f>
        <v>Desde (&gt;=):</v>
      </c>
      <c r="Q62" s="580">
        <f>+'Rango indicadores'!K26</f>
        <v>80</v>
      </c>
      <c r="R62" s="580" t="str">
        <f>+'Rango indicadores'!L26</f>
        <v>Hasta (&lt;=):</v>
      </c>
      <c r="S62" s="580">
        <f>+'Rango indicadores'!M26</f>
        <v>85</v>
      </c>
      <c r="T62" s="580" t="str">
        <f>+'Rango indicadores'!N26</f>
        <v>Menor A:</v>
      </c>
      <c r="U62" s="580">
        <f>+'Rango indicadores'!O26</f>
        <v>80</v>
      </c>
      <c r="V62" s="699" t="s">
        <v>1012</v>
      </c>
      <c r="W62" s="595"/>
      <c r="X62" s="595"/>
    </row>
    <row r="63" spans="2:24" ht="118.8">
      <c r="B63" s="577">
        <f t="shared" si="9"/>
        <v>26</v>
      </c>
      <c r="C63" s="578" t="str">
        <f>+'Rango indicadores'!D27</f>
        <v>05-RI-07</v>
      </c>
      <c r="D63" s="578" t="str">
        <f>+'Rango indicadores'!E27</f>
        <v>Porcentaje de Acciones de Tutela, Desacatos e Impugnaciones Entregadas en un Termino Menor a Cinco (5) Días Hábiles</v>
      </c>
      <c r="E63" s="594" t="str">
        <f>+'Rango indicadores'!Q27</f>
        <v>&gt;=95%</v>
      </c>
      <c r="F63" s="700">
        <f>+'Informe Seguimiento POA 2021'!O19</f>
        <v>0.94999999999999984</v>
      </c>
      <c r="G63" s="700">
        <f>+'Informe Seguimiento POA 2021'!O19</f>
        <v>0.94999999999999984</v>
      </c>
      <c r="H63" s="700">
        <f>+'Informe Seguimiento POA 2021'!P19</f>
        <v>0.99199999999999999</v>
      </c>
      <c r="I63" s="700">
        <f>+'Informe Seguimiento POA 2021'!P19</f>
        <v>0.99199999999999999</v>
      </c>
      <c r="J63" s="700">
        <f>+'Informe Seguimiento POA 2021'!X19</f>
        <v>0.99199999999999999</v>
      </c>
      <c r="K63" s="581">
        <f t="shared" si="8"/>
        <v>1.0442105263157897</v>
      </c>
      <c r="L63" s="581">
        <f t="shared" si="8"/>
        <v>1.0442105263157897</v>
      </c>
      <c r="M63" s="581">
        <f>+'Informe Seguimiento POA 2021'!Y19</f>
        <v>0.26105263157894742</v>
      </c>
      <c r="N63" s="587" t="str">
        <f>+'Rango indicadores'!H27</f>
        <v>Mayor o igual A:</v>
      </c>
      <c r="O63" s="580">
        <f>+'Rango indicadores'!I27</f>
        <v>95</v>
      </c>
      <c r="P63" s="580" t="str">
        <f>+'Rango indicadores'!J27</f>
        <v>Desde (&gt;):</v>
      </c>
      <c r="Q63" s="580">
        <f>+'Rango indicadores'!K27</f>
        <v>90</v>
      </c>
      <c r="R63" s="580" t="str">
        <f>+'Rango indicadores'!L27</f>
        <v>Hasta (&lt;):</v>
      </c>
      <c r="S63" s="580">
        <f>+'Rango indicadores'!M27</f>
        <v>95</v>
      </c>
      <c r="T63" s="580" t="str">
        <f>+'Rango indicadores'!N27</f>
        <v>Menor o Igual A:</v>
      </c>
      <c r="U63" s="580">
        <f>+'Rango indicadores'!O27</f>
        <v>90</v>
      </c>
      <c r="V63" s="699" t="s">
        <v>995</v>
      </c>
      <c r="W63" s="595"/>
      <c r="X63" s="595"/>
    </row>
    <row r="64" spans="2:24" ht="132.6" customHeight="1">
      <c r="B64" s="577">
        <f t="shared" ref="B64:B77" si="10">+B63+1</f>
        <v>27</v>
      </c>
      <c r="C64" s="578" t="str">
        <f>+'Rango indicadores'!D28</f>
        <v>05-RI-08</v>
      </c>
      <c r="D64" s="578" t="str">
        <f>+'Rango indicadores'!E28</f>
        <v>Audiencias Publicas Realizadas con Asistencia del Ministerio Público</v>
      </c>
      <c r="E64" s="594">
        <f>+'Rango indicadores'!Q28</f>
        <v>5000</v>
      </c>
      <c r="F64" s="594">
        <f>+'Informe Seguimiento POA 2021'!O20</f>
        <v>1020</v>
      </c>
      <c r="G64" s="594">
        <f>+'Informe Seguimiento POA 2021'!O20</f>
        <v>1020</v>
      </c>
      <c r="H64" s="594">
        <f>+'Informe Seguimiento POA 2021'!P20</f>
        <v>977</v>
      </c>
      <c r="I64" s="594">
        <f>+'Informe Seguimiento POA 2021'!P20</f>
        <v>977</v>
      </c>
      <c r="J64" s="594">
        <f>+'Informe Seguimiento POA 2021'!X20</f>
        <v>977</v>
      </c>
      <c r="K64" s="581">
        <f t="shared" si="8"/>
        <v>0.957843137254902</v>
      </c>
      <c r="L64" s="581">
        <f t="shared" si="8"/>
        <v>0.957843137254902</v>
      </c>
      <c r="M64" s="581">
        <f>+'Informe Seguimiento POA 2021'!Y20</f>
        <v>0.19539999999999999</v>
      </c>
      <c r="N64" s="587" t="str">
        <f>+'Rango indicadores'!H28</f>
        <v>Mayor o igual A:</v>
      </c>
      <c r="O64" s="580">
        <f>+'Rango indicadores'!I28</f>
        <v>95</v>
      </c>
      <c r="P64" s="580" t="str">
        <f>+'Rango indicadores'!J28</f>
        <v>Desde (&gt;):</v>
      </c>
      <c r="Q64" s="580">
        <f>+'Rango indicadores'!K28</f>
        <v>90</v>
      </c>
      <c r="R64" s="580" t="str">
        <f>+'Rango indicadores'!L28</f>
        <v>Hasta (&lt;):</v>
      </c>
      <c r="S64" s="580">
        <f>+'Rango indicadores'!M28</f>
        <v>95</v>
      </c>
      <c r="T64" s="580" t="str">
        <f>+'Rango indicadores'!N28</f>
        <v>Menor o Igual A:</v>
      </c>
      <c r="U64" s="580">
        <f>+'Rango indicadores'!O28</f>
        <v>90</v>
      </c>
      <c r="V64" s="699" t="s">
        <v>1027</v>
      </c>
      <c r="W64" s="595"/>
    </row>
    <row r="65" spans="2:24" ht="145.19999999999999">
      <c r="B65" s="577">
        <f t="shared" si="10"/>
        <v>28</v>
      </c>
      <c r="C65" s="578" t="str">
        <f>+'Rango indicadores'!D29</f>
        <v>05-RI-09</v>
      </c>
      <c r="D65" s="578" t="str">
        <f>+'Rango indicadores'!E29</f>
        <v>Intervenciones realizadas oportunamente para evitar la caducidad y perdida de fuerza ejecutoria (Impulsos procesales)</v>
      </c>
      <c r="E65" s="594">
        <f>+'Rango indicadores'!Q29</f>
        <v>3000</v>
      </c>
      <c r="F65" s="594">
        <f>+'Informe Seguimiento POA 2021'!O21</f>
        <v>640</v>
      </c>
      <c r="G65" s="594">
        <f>+'Informe Seguimiento POA 2021'!O21</f>
        <v>640</v>
      </c>
      <c r="H65" s="594">
        <f>+'Informe Seguimiento POA 2021'!P21</f>
        <v>488</v>
      </c>
      <c r="I65" s="594">
        <f>+'Informe Seguimiento POA 2021'!P21</f>
        <v>488</v>
      </c>
      <c r="J65" s="594">
        <f>+'Informe Seguimiento POA 2021'!X21</f>
        <v>488</v>
      </c>
      <c r="K65" s="581">
        <f t="shared" si="8"/>
        <v>0.76249999999999996</v>
      </c>
      <c r="L65" s="581">
        <f t="shared" si="8"/>
        <v>0.76249999999999996</v>
      </c>
      <c r="M65" s="581">
        <f>+'Informe Seguimiento POA 2021'!Y21</f>
        <v>0.16266666666666665</v>
      </c>
      <c r="N65" s="587" t="str">
        <f>+'Rango indicadores'!H29</f>
        <v>Mayor o igual A:</v>
      </c>
      <c r="O65" s="580">
        <f>+'Rango indicadores'!I29</f>
        <v>95</v>
      </c>
      <c r="P65" s="580" t="str">
        <f>+'Rango indicadores'!J29</f>
        <v>Desde (&gt;):</v>
      </c>
      <c r="Q65" s="580">
        <f>+'Rango indicadores'!K29</f>
        <v>90</v>
      </c>
      <c r="R65" s="580" t="str">
        <f>+'Rango indicadores'!L29</f>
        <v>Hasta (&lt;):</v>
      </c>
      <c r="S65" s="580">
        <f>+'Rango indicadores'!M29</f>
        <v>95</v>
      </c>
      <c r="T65" s="580" t="str">
        <f>+'Rango indicadores'!N29</f>
        <v>Menor o Igual A:</v>
      </c>
      <c r="U65" s="580">
        <f>+'Rango indicadores'!O29</f>
        <v>90</v>
      </c>
      <c r="V65" s="699" t="s">
        <v>1013</v>
      </c>
      <c r="W65" s="595"/>
    </row>
    <row r="66" spans="2:24" ht="132">
      <c r="B66" s="577">
        <f t="shared" si="10"/>
        <v>29</v>
      </c>
      <c r="C66" s="578" t="str">
        <f>+'Rango indicadores'!D30</f>
        <v>05-RI-10</v>
      </c>
      <c r="D66" s="578" t="str">
        <f>+'Rango indicadores'!E30</f>
        <v>Expedientes con impulso procesal para la gestión de multas</v>
      </c>
      <c r="E66" s="594">
        <f>+'Rango indicadores'!Q30</f>
        <v>700</v>
      </c>
      <c r="F66" s="594">
        <f>+'Informe Seguimiento POA 2021'!O22</f>
        <v>145</v>
      </c>
      <c r="G66" s="594">
        <f>+'Informe Seguimiento POA 2021'!O22</f>
        <v>145</v>
      </c>
      <c r="H66" s="594">
        <f>+'Informe Seguimiento POA 2021'!P22</f>
        <v>74</v>
      </c>
      <c r="I66" s="594">
        <f>+'Informe Seguimiento POA 2021'!P22</f>
        <v>74</v>
      </c>
      <c r="J66" s="594">
        <f>+'Informe Seguimiento POA 2021'!X22</f>
        <v>74</v>
      </c>
      <c r="K66" s="581">
        <f t="shared" si="8"/>
        <v>0.51034482758620692</v>
      </c>
      <c r="L66" s="581">
        <f t="shared" si="8"/>
        <v>0.51034482758620692</v>
      </c>
      <c r="M66" s="581">
        <f>+'Informe Seguimiento POA 2021'!Y22</f>
        <v>0.10571428571428572</v>
      </c>
      <c r="N66" s="587" t="str">
        <f>+'Rango indicadores'!H30</f>
        <v>Mayor o igual A:</v>
      </c>
      <c r="O66" s="580">
        <f>+'Rango indicadores'!I30</f>
        <v>95</v>
      </c>
      <c r="P66" s="580" t="str">
        <f>+'Rango indicadores'!J30</f>
        <v>Desde (&gt;):</v>
      </c>
      <c r="Q66" s="580">
        <f>+'Rango indicadores'!K30</f>
        <v>90</v>
      </c>
      <c r="R66" s="580" t="str">
        <f>+'Rango indicadores'!L30</f>
        <v>Hasta (&lt;):</v>
      </c>
      <c r="S66" s="580">
        <f>+'Rango indicadores'!M30</f>
        <v>95</v>
      </c>
      <c r="T66" s="580" t="str">
        <f>+'Rango indicadores'!N30</f>
        <v>Menor o Igual A:</v>
      </c>
      <c r="U66" s="580">
        <f>+'Rango indicadores'!O30</f>
        <v>90</v>
      </c>
      <c r="V66" s="699" t="s">
        <v>1014</v>
      </c>
      <c r="W66" s="595"/>
    </row>
    <row r="67" spans="2:24">
      <c r="B67" s="577">
        <f t="shared" si="10"/>
        <v>30</v>
      </c>
      <c r="C67" s="578" t="str">
        <f>+'Rango indicadores'!D31</f>
        <v>05-RI-11</v>
      </c>
      <c r="D67" s="578" t="str">
        <f>+'Rango indicadores'!E31</f>
        <v>Estados de vulneración establecidos</v>
      </c>
      <c r="E67" s="594">
        <f>+'Rango indicadores'!Q31</f>
        <v>0</v>
      </c>
      <c r="F67" s="594">
        <f>+'Informe Seguimiento POA 2021'!O23</f>
        <v>0</v>
      </c>
      <c r="G67" s="594">
        <f>+'Informe Seguimiento POA 2021'!O23</f>
        <v>0</v>
      </c>
      <c r="H67" s="594">
        <f>+'Informe Seguimiento POA 2021'!P23</f>
        <v>0</v>
      </c>
      <c r="I67" s="594">
        <f>+'Informe Seguimiento POA 2021'!P23</f>
        <v>0</v>
      </c>
      <c r="J67" s="594">
        <f>+'Informe Seguimiento POA 2021'!X23</f>
        <v>0</v>
      </c>
      <c r="K67" s="596" t="str">
        <f t="shared" si="8"/>
        <v>No programado</v>
      </c>
      <c r="L67" s="596" t="str">
        <f t="shared" si="8"/>
        <v>No programado</v>
      </c>
      <c r="M67" s="581">
        <f>+'Informe Seguimiento POA 2021'!Y23</f>
        <v>0</v>
      </c>
      <c r="N67" s="587" t="str">
        <f>+'Rango indicadores'!H31</f>
        <v>Mayor o igual A:</v>
      </c>
      <c r="O67" s="580">
        <f>+'Rango indicadores'!I31</f>
        <v>95</v>
      </c>
      <c r="P67" s="580" t="str">
        <f>+'Rango indicadores'!J31</f>
        <v>Desde (&gt;):</v>
      </c>
      <c r="Q67" s="580">
        <f>+'Rango indicadores'!K31</f>
        <v>90</v>
      </c>
      <c r="R67" s="580" t="str">
        <f>+'Rango indicadores'!L31</f>
        <v>Hasta (&lt;):</v>
      </c>
      <c r="S67" s="580">
        <f>+'Rango indicadores'!M31</f>
        <v>95</v>
      </c>
      <c r="T67" s="580" t="str">
        <f>+'Rango indicadores'!N31</f>
        <v>Menor o Igual A:</v>
      </c>
      <c r="U67" s="580">
        <f>+'Rango indicadores'!O31</f>
        <v>90</v>
      </c>
      <c r="V67" s="709" t="s">
        <v>987</v>
      </c>
      <c r="W67" s="595"/>
      <c r="X67" s="595"/>
    </row>
    <row r="68" spans="2:24" ht="197.4" customHeight="1">
      <c r="B68" s="577">
        <f t="shared" si="10"/>
        <v>31</v>
      </c>
      <c r="C68" s="578" t="str">
        <f>+'Rango indicadores'!D32</f>
        <v>05-RI-12</v>
      </c>
      <c r="D68" s="578" t="str">
        <f>+'Rango indicadores'!E32</f>
        <v>Personas sensibilizadas en el Distrito Capital</v>
      </c>
      <c r="E68" s="594">
        <f>+'Rango indicadores'!Q32</f>
        <v>48000</v>
      </c>
      <c r="F68" s="594">
        <f>+'Informe Seguimiento POA 2021'!O24</f>
        <v>5300</v>
      </c>
      <c r="G68" s="594">
        <f>+'Informe Seguimiento POA 2021'!O24</f>
        <v>5300</v>
      </c>
      <c r="H68" s="594">
        <f>+'Informe Seguimiento POA 2021'!P24</f>
        <v>25347</v>
      </c>
      <c r="I68" s="594">
        <f>+'Informe Seguimiento POA 2021'!P24</f>
        <v>25347</v>
      </c>
      <c r="J68" s="594">
        <f>+'Informe Seguimiento POA 2021'!X24</f>
        <v>25347</v>
      </c>
      <c r="K68" s="581">
        <f t="shared" si="8"/>
        <v>4.7824528301886788</v>
      </c>
      <c r="L68" s="581">
        <f t="shared" si="8"/>
        <v>4.7824528301886788</v>
      </c>
      <c r="M68" s="581">
        <f>+'Informe Seguimiento POA 2021'!Y24</f>
        <v>0.52806249999999999</v>
      </c>
      <c r="N68" s="587" t="str">
        <f>+'Rango indicadores'!H32</f>
        <v>Mayor A:</v>
      </c>
      <c r="O68" s="580">
        <f>+'Rango indicadores'!I32</f>
        <v>85</v>
      </c>
      <c r="P68" s="580" t="str">
        <f>+'Rango indicadores'!J32</f>
        <v>Desde (&gt;=):</v>
      </c>
      <c r="Q68" s="580">
        <f>+'Rango indicadores'!K32</f>
        <v>80</v>
      </c>
      <c r="R68" s="580" t="str">
        <f>+'Rango indicadores'!L32</f>
        <v>Hasta (&lt;=):</v>
      </c>
      <c r="S68" s="580">
        <f>+'Rango indicadores'!M32</f>
        <v>85</v>
      </c>
      <c r="T68" s="580" t="str">
        <f>+'Rango indicadores'!N32</f>
        <v>Menor A:</v>
      </c>
      <c r="U68" s="580">
        <f>+'Rango indicadores'!O32</f>
        <v>80</v>
      </c>
      <c r="V68" s="699" t="s">
        <v>1028</v>
      </c>
      <c r="W68" s="595"/>
      <c r="X68" s="595"/>
    </row>
    <row r="69" spans="2:24" ht="120.6" customHeight="1">
      <c r="B69" s="577">
        <f t="shared" si="10"/>
        <v>32</v>
      </c>
      <c r="C69" s="578" t="str">
        <f>+'Rango indicadores'!D33</f>
        <v>05-RI-13</v>
      </c>
      <c r="D69" s="578" t="str">
        <f>+'Rango indicadores'!E33</f>
        <v>Acciones en favor de las víctimas del conflicto armado interno adelantadas</v>
      </c>
      <c r="E69" s="594">
        <f>+'Rango indicadores'!Q33</f>
        <v>6800</v>
      </c>
      <c r="F69" s="594">
        <f>+'Informe Seguimiento POA 2021'!O25</f>
        <v>1404</v>
      </c>
      <c r="G69" s="594">
        <f>+'Informe Seguimiento POA 2021'!O25</f>
        <v>1404</v>
      </c>
      <c r="H69" s="594">
        <f>+'Informe Seguimiento POA 2021'!P25</f>
        <v>1308</v>
      </c>
      <c r="I69" s="594">
        <f>+'Informe Seguimiento POA 2021'!P25</f>
        <v>1308</v>
      </c>
      <c r="J69" s="594">
        <f>+'Informe Seguimiento POA 2021'!X25</f>
        <v>1308</v>
      </c>
      <c r="K69" s="581">
        <f t="shared" si="8"/>
        <v>0.93162393162393164</v>
      </c>
      <c r="L69" s="581">
        <f t="shared" si="8"/>
        <v>0.93162393162393164</v>
      </c>
      <c r="M69" s="581">
        <f>+'Informe Seguimiento POA 2021'!Y25</f>
        <v>0.19235294117647059</v>
      </c>
      <c r="N69" s="587" t="str">
        <f>+'Rango indicadores'!H33</f>
        <v>Mayor A:</v>
      </c>
      <c r="O69" s="580">
        <f>+'Rango indicadores'!I33</f>
        <v>85</v>
      </c>
      <c r="P69" s="580" t="str">
        <f>+'Rango indicadores'!J33</f>
        <v>Desde (&gt;=):</v>
      </c>
      <c r="Q69" s="580">
        <f>+'Rango indicadores'!K33</f>
        <v>80</v>
      </c>
      <c r="R69" s="580" t="str">
        <f>+'Rango indicadores'!L33</f>
        <v>Hasta (&lt;=):</v>
      </c>
      <c r="S69" s="580">
        <f>+'Rango indicadores'!M33</f>
        <v>85</v>
      </c>
      <c r="T69" s="580" t="str">
        <f>+'Rango indicadores'!N33</f>
        <v>Menor A:</v>
      </c>
      <c r="U69" s="580">
        <f>+'Rango indicadores'!O33</f>
        <v>80</v>
      </c>
      <c r="V69" s="699" t="s">
        <v>1015</v>
      </c>
      <c r="W69" s="595"/>
      <c r="X69" s="595"/>
    </row>
    <row r="70" spans="2:24" ht="123.6" customHeight="1">
      <c r="B70" s="577">
        <f t="shared" si="10"/>
        <v>33</v>
      </c>
      <c r="C70" s="578" t="str">
        <f>+'Rango indicadores'!D34</f>
        <v>05-RI-14</v>
      </c>
      <c r="D70" s="578" t="str">
        <f>+'Rango indicadores'!E34</f>
        <v>Acciones constitucionales elaboradas para prevenir vulneración de derechos</v>
      </c>
      <c r="E70" s="594">
        <f>+'Rango indicadores'!Q34</f>
        <v>6100</v>
      </c>
      <c r="F70" s="594">
        <f>+'Informe Seguimiento POA 2021'!O26</f>
        <v>1350</v>
      </c>
      <c r="G70" s="594">
        <f>+'Informe Seguimiento POA 2021'!O26</f>
        <v>1350</v>
      </c>
      <c r="H70" s="594">
        <f>+'Informe Seguimiento POA 2021'!P26</f>
        <v>1189</v>
      </c>
      <c r="I70" s="594">
        <f>+'Informe Seguimiento POA 2021'!P26</f>
        <v>1189</v>
      </c>
      <c r="J70" s="594">
        <f>+'Informe Seguimiento POA 2021'!X26</f>
        <v>1189</v>
      </c>
      <c r="K70" s="581">
        <f t="shared" si="8"/>
        <v>0.88074074074074071</v>
      </c>
      <c r="L70" s="581">
        <f t="shared" si="8"/>
        <v>0.88074074074074071</v>
      </c>
      <c r="M70" s="581">
        <f>+'Informe Seguimiento POA 2021'!Y26</f>
        <v>0.19491803278688524</v>
      </c>
      <c r="N70" s="587" t="str">
        <f>+'Rango indicadores'!H34</f>
        <v>Mayor A:</v>
      </c>
      <c r="O70" s="580">
        <f>+'Rango indicadores'!I34</f>
        <v>85</v>
      </c>
      <c r="P70" s="580" t="str">
        <f>+'Rango indicadores'!J34</f>
        <v>Desde (&gt;=):</v>
      </c>
      <c r="Q70" s="580">
        <f>+'Rango indicadores'!K34</f>
        <v>80</v>
      </c>
      <c r="R70" s="580" t="str">
        <f>+'Rango indicadores'!L34</f>
        <v>Hasta (&lt;=):</v>
      </c>
      <c r="S70" s="580">
        <f>+'Rango indicadores'!M34</f>
        <v>85</v>
      </c>
      <c r="T70" s="580" t="str">
        <f>+'Rango indicadores'!N34</f>
        <v>Menor A:</v>
      </c>
      <c r="U70" s="580">
        <f>+'Rango indicadores'!O34</f>
        <v>80</v>
      </c>
      <c r="V70" s="699" t="s">
        <v>1016</v>
      </c>
      <c r="W70" s="595"/>
      <c r="X70" s="595"/>
    </row>
    <row r="71" spans="2:24" ht="145.19999999999999">
      <c r="B71" s="577">
        <f t="shared" si="10"/>
        <v>34</v>
      </c>
      <c r="C71" s="578" t="str">
        <f>+'Rango indicadores'!D35</f>
        <v>05-RI-15</v>
      </c>
      <c r="D71" s="578" t="str">
        <f>+'Rango indicadores'!E35</f>
        <v>Seguimientos realizados por el Ministerio Público a las medidas de protección impuestas por las Comisarias de Familia</v>
      </c>
      <c r="E71" s="594">
        <f>+'Rango indicadores'!Q35</f>
        <v>1200</v>
      </c>
      <c r="F71" s="594">
        <f>+'Informe Seguimiento POA 2021'!O27</f>
        <v>100</v>
      </c>
      <c r="G71" s="594">
        <f>+'Informe Seguimiento POA 2021'!O27</f>
        <v>100</v>
      </c>
      <c r="H71" s="594">
        <f>+'Informe Seguimiento POA 2021'!P27</f>
        <v>264</v>
      </c>
      <c r="I71" s="594">
        <f>+'Informe Seguimiento POA 2021'!P27</f>
        <v>264</v>
      </c>
      <c r="J71" s="594">
        <f>+'Informe Seguimiento POA 2021'!X27</f>
        <v>264</v>
      </c>
      <c r="K71" s="581">
        <f t="shared" si="8"/>
        <v>2.64</v>
      </c>
      <c r="L71" s="581">
        <f t="shared" si="8"/>
        <v>2.64</v>
      </c>
      <c r="M71" s="581">
        <f>+'Informe Seguimiento POA 2021'!Y27</f>
        <v>0.22</v>
      </c>
      <c r="N71" s="587" t="str">
        <f>+'Rango indicadores'!H35</f>
        <v>Mayor A:</v>
      </c>
      <c r="O71" s="580">
        <f>+'Rango indicadores'!I35</f>
        <v>85</v>
      </c>
      <c r="P71" s="580" t="str">
        <f>+'Rango indicadores'!J35</f>
        <v>Desde (&gt;=):</v>
      </c>
      <c r="Q71" s="580">
        <f>+'Rango indicadores'!K35</f>
        <v>80</v>
      </c>
      <c r="R71" s="580" t="str">
        <f>+'Rango indicadores'!L35</f>
        <v>Hasta (&lt;=):</v>
      </c>
      <c r="S71" s="580">
        <f>+'Rango indicadores'!M35</f>
        <v>85</v>
      </c>
      <c r="T71" s="580" t="str">
        <f>+'Rango indicadores'!N35</f>
        <v>Menor A:</v>
      </c>
      <c r="U71" s="580">
        <f>+'Rango indicadores'!O35</f>
        <v>80</v>
      </c>
      <c r="V71" s="699" t="s">
        <v>1029</v>
      </c>
      <c r="W71" s="595"/>
      <c r="X71" s="595"/>
    </row>
    <row r="72" spans="2:24" ht="189.6" customHeight="1">
      <c r="B72" s="577">
        <f t="shared" si="10"/>
        <v>35</v>
      </c>
      <c r="C72" s="578" t="str">
        <f>+'Rango indicadores'!D36</f>
        <v>05-RI-16</v>
      </c>
      <c r="D72" s="578" t="str">
        <f>+'Rango indicadores'!E36</f>
        <v>Espacios Interinstitucionales con participación</v>
      </c>
      <c r="E72" s="594">
        <f>+'Rango indicadores'!Q36</f>
        <v>1092</v>
      </c>
      <c r="F72" s="594">
        <f>+'Informe Seguimiento POA 2021'!O28</f>
        <v>196</v>
      </c>
      <c r="G72" s="594">
        <f>+'Informe Seguimiento POA 2021'!O28</f>
        <v>196</v>
      </c>
      <c r="H72" s="594">
        <f>+'Informe Seguimiento POA 2021'!P28</f>
        <v>642</v>
      </c>
      <c r="I72" s="594">
        <f>+'Informe Seguimiento POA 2021'!P28</f>
        <v>642</v>
      </c>
      <c r="J72" s="594">
        <f>+'Informe Seguimiento POA 2021'!X28</f>
        <v>642</v>
      </c>
      <c r="K72" s="581">
        <f t="shared" si="8"/>
        <v>3.2755102040816326</v>
      </c>
      <c r="L72" s="581">
        <f t="shared" si="8"/>
        <v>3.2755102040816326</v>
      </c>
      <c r="M72" s="581">
        <f>+'Informe Seguimiento POA 2021'!Y28</f>
        <v>0.58791208791208793</v>
      </c>
      <c r="N72" s="587" t="str">
        <f>+'Rango indicadores'!H36</f>
        <v>Mayor A:</v>
      </c>
      <c r="O72" s="580">
        <f>+'Rango indicadores'!I36</f>
        <v>85</v>
      </c>
      <c r="P72" s="580" t="str">
        <f>+'Rango indicadores'!J36</f>
        <v>Desde (&gt;=):</v>
      </c>
      <c r="Q72" s="580">
        <f>+'Rango indicadores'!K36</f>
        <v>80</v>
      </c>
      <c r="R72" s="580" t="str">
        <f>+'Rango indicadores'!L36</f>
        <v>Hasta (&lt;=):</v>
      </c>
      <c r="S72" s="580">
        <f>+'Rango indicadores'!M36</f>
        <v>85</v>
      </c>
      <c r="T72" s="580" t="str">
        <f>+'Rango indicadores'!N36</f>
        <v>Menor A:</v>
      </c>
      <c r="U72" s="580">
        <f>+'Rango indicadores'!O36</f>
        <v>80</v>
      </c>
      <c r="V72" s="699" t="s">
        <v>996</v>
      </c>
      <c r="W72" s="595"/>
      <c r="X72" s="595"/>
    </row>
    <row r="73" spans="2:24" ht="132">
      <c r="B73" s="577">
        <f t="shared" si="10"/>
        <v>36</v>
      </c>
      <c r="C73" s="578" t="str">
        <f>+'Rango indicadores'!D37</f>
        <v>05-RI-17</v>
      </c>
      <c r="D73" s="578" t="str">
        <f>+'Rango indicadores'!E37</f>
        <v>Seguimientos a la Amenaza y Vulneración de los Derechos Realizados</v>
      </c>
      <c r="E73" s="594">
        <f>+'Rango indicadores'!Q37</f>
        <v>182</v>
      </c>
      <c r="F73" s="594">
        <f>+'Informe Seguimiento POA 2021'!O29</f>
        <v>41</v>
      </c>
      <c r="G73" s="594">
        <f>+'Informe Seguimiento POA 2021'!O29</f>
        <v>41</v>
      </c>
      <c r="H73" s="594">
        <f>+'Informe Seguimiento POA 2021'!P29</f>
        <v>64</v>
      </c>
      <c r="I73" s="594">
        <f>+'Informe Seguimiento POA 2021'!P29</f>
        <v>64</v>
      </c>
      <c r="J73" s="594">
        <f>+'Informe Seguimiento POA 2021'!X29</f>
        <v>64</v>
      </c>
      <c r="K73" s="581">
        <f t="shared" si="8"/>
        <v>1.5609756097560976</v>
      </c>
      <c r="L73" s="581">
        <f t="shared" si="8"/>
        <v>1.5609756097560976</v>
      </c>
      <c r="M73" s="581">
        <f>+'Informe Seguimiento POA 2021'!Y29</f>
        <v>0.35164835164835168</v>
      </c>
      <c r="N73" s="587" t="str">
        <f>+'Rango indicadores'!H37</f>
        <v>Mayor A:</v>
      </c>
      <c r="O73" s="580">
        <f>+'Rango indicadores'!I37</f>
        <v>85</v>
      </c>
      <c r="P73" s="580" t="str">
        <f>+'Rango indicadores'!J37</f>
        <v>Desde (&gt;=):</v>
      </c>
      <c r="Q73" s="580">
        <f>+'Rango indicadores'!K37</f>
        <v>80</v>
      </c>
      <c r="R73" s="580" t="str">
        <f>+'Rango indicadores'!L37</f>
        <v>Hasta (&lt;=):</v>
      </c>
      <c r="S73" s="580">
        <f>+'Rango indicadores'!M37</f>
        <v>85</v>
      </c>
      <c r="T73" s="580" t="str">
        <f>+'Rango indicadores'!N37</f>
        <v>Menor A:</v>
      </c>
      <c r="U73" s="580">
        <f>+'Rango indicadores'!O37</f>
        <v>80</v>
      </c>
      <c r="V73" s="699" t="s">
        <v>997</v>
      </c>
      <c r="W73" s="595"/>
      <c r="X73" s="595"/>
    </row>
    <row r="74" spans="2:24" ht="30">
      <c r="B74" s="577">
        <f t="shared" si="10"/>
        <v>37</v>
      </c>
      <c r="C74" s="578" t="str">
        <f>+'Rango indicadores'!D38</f>
        <v>05-RI-18</v>
      </c>
      <c r="D74" s="578" t="str">
        <f>+'Rango indicadores'!E38</f>
        <v>Actividades de acercamiento de la Entidad a la comunidad realizadas</v>
      </c>
      <c r="E74" s="594">
        <f>+'Rango indicadores'!Q38</f>
        <v>2</v>
      </c>
      <c r="F74" s="594">
        <f>+'Informe Seguimiento POA 2021'!O30</f>
        <v>0</v>
      </c>
      <c r="G74" s="594">
        <f>+'Informe Seguimiento POA 2021'!O30</f>
        <v>0</v>
      </c>
      <c r="H74" s="594">
        <f>+'Informe Seguimiento POA 2021'!P30</f>
        <v>0</v>
      </c>
      <c r="I74" s="594">
        <f>+'Informe Seguimiento POA 2021'!P30</f>
        <v>0</v>
      </c>
      <c r="J74" s="594">
        <f>+'Informe Seguimiento POA 2021'!X30</f>
        <v>0</v>
      </c>
      <c r="K74" s="596" t="str">
        <f t="shared" ref="K74:K77" si="11">IF(AND(F74&gt;0),H74/F74,"No programado")</f>
        <v>No programado</v>
      </c>
      <c r="L74" s="596" t="str">
        <f t="shared" ref="L74:L77" si="12">IF(AND(G74&gt;0),I74/G74,"No programado")</f>
        <v>No programado</v>
      </c>
      <c r="M74" s="581">
        <f>+'Informe Seguimiento POA 2021'!Y30</f>
        <v>0</v>
      </c>
      <c r="N74" s="587" t="str">
        <f>+'Rango indicadores'!H38</f>
        <v>Mayor A:</v>
      </c>
      <c r="O74" s="580">
        <f>+'Rango indicadores'!I38</f>
        <v>85</v>
      </c>
      <c r="P74" s="580" t="str">
        <f>+'Rango indicadores'!J38</f>
        <v>Desde (&gt;=):</v>
      </c>
      <c r="Q74" s="580">
        <f>+'Rango indicadores'!K38</f>
        <v>80</v>
      </c>
      <c r="R74" s="580" t="str">
        <f>+'Rango indicadores'!L38</f>
        <v>Hasta (&lt;=):</v>
      </c>
      <c r="S74" s="580">
        <f>+'Rango indicadores'!M38</f>
        <v>85</v>
      </c>
      <c r="T74" s="580" t="str">
        <f>+'Rango indicadores'!N38</f>
        <v>Menor A:</v>
      </c>
      <c r="U74" s="580">
        <f>+'Rango indicadores'!O38</f>
        <v>80</v>
      </c>
      <c r="V74" s="709" t="s">
        <v>987</v>
      </c>
      <c r="W74" s="595"/>
      <c r="X74" s="595"/>
    </row>
    <row r="75" spans="2:24" ht="30">
      <c r="B75" s="577">
        <f t="shared" si="10"/>
        <v>38</v>
      </c>
      <c r="C75" s="578" t="str">
        <f>+'Rango indicadores'!D39</f>
        <v>05-RI-19</v>
      </c>
      <c r="D75" s="578" t="str">
        <f>+'Rango indicadores'!E39</f>
        <v>Acciones realizadas para incrementar la cobertura de los servicios</v>
      </c>
      <c r="E75" s="594">
        <f>+'Rango indicadores'!Q39</f>
        <v>3</v>
      </c>
      <c r="F75" s="594">
        <f>+'Informe Seguimiento POA 2021'!O31</f>
        <v>0</v>
      </c>
      <c r="G75" s="594">
        <f>+'Informe Seguimiento POA 2021'!O31</f>
        <v>0</v>
      </c>
      <c r="H75" s="594">
        <f>+'Informe Seguimiento POA 2021'!P31</f>
        <v>0</v>
      </c>
      <c r="I75" s="594">
        <f>+'Informe Seguimiento POA 2021'!P31</f>
        <v>0</v>
      </c>
      <c r="J75" s="594">
        <f>+'Informe Seguimiento POA 2021'!X31</f>
        <v>0</v>
      </c>
      <c r="K75" s="596" t="str">
        <f t="shared" si="11"/>
        <v>No programado</v>
      </c>
      <c r="L75" s="596" t="str">
        <f t="shared" si="12"/>
        <v>No programado</v>
      </c>
      <c r="M75" s="581">
        <f>+'Informe Seguimiento POA 2021'!Y31</f>
        <v>0</v>
      </c>
      <c r="N75" s="587" t="str">
        <f>+'Rango indicadores'!H39</f>
        <v>Mayor A:</v>
      </c>
      <c r="O75" s="580">
        <f>+'Rango indicadores'!I39</f>
        <v>85</v>
      </c>
      <c r="P75" s="580" t="str">
        <f>+'Rango indicadores'!J39</f>
        <v>Desde (&gt;=):</v>
      </c>
      <c r="Q75" s="580">
        <f>+'Rango indicadores'!K39</f>
        <v>80</v>
      </c>
      <c r="R75" s="580" t="str">
        <f>+'Rango indicadores'!L39</f>
        <v>Hasta (&lt;=):</v>
      </c>
      <c r="S75" s="580">
        <f>+'Rango indicadores'!M39</f>
        <v>85</v>
      </c>
      <c r="T75" s="580" t="str">
        <f>+'Rango indicadores'!N39</f>
        <v>Menor A:</v>
      </c>
      <c r="U75" s="580">
        <f>+'Rango indicadores'!O39</f>
        <v>80</v>
      </c>
      <c r="V75" s="709" t="s">
        <v>987</v>
      </c>
      <c r="W75" s="595"/>
      <c r="X75" s="595"/>
    </row>
    <row r="76" spans="2:24" ht="30">
      <c r="B76" s="577">
        <f t="shared" si="10"/>
        <v>39</v>
      </c>
      <c r="C76" s="578" t="str">
        <f>+'Rango indicadores'!D40</f>
        <v>05-RI-20</v>
      </c>
      <c r="D76" s="578" t="str">
        <f>+'Rango indicadores'!E40</f>
        <v>Herramientas de promoción y prevención a infracciones del Derecho Internacional Humanitario implementadas</v>
      </c>
      <c r="E76" s="594">
        <f>+'Rango indicadores'!Q40</f>
        <v>1</v>
      </c>
      <c r="F76" s="594">
        <f>+'Informe Seguimiento POA 2021'!O32</f>
        <v>0</v>
      </c>
      <c r="G76" s="594">
        <f>+'Informe Seguimiento POA 2021'!O32</f>
        <v>0</v>
      </c>
      <c r="H76" s="594">
        <f>+'Informe Seguimiento POA 2021'!P32</f>
        <v>0</v>
      </c>
      <c r="I76" s="594">
        <f>+'Informe Seguimiento POA 2021'!P32</f>
        <v>0</v>
      </c>
      <c r="J76" s="594">
        <f>+'Informe Seguimiento POA 2021'!X32</f>
        <v>0</v>
      </c>
      <c r="K76" s="596" t="str">
        <f t="shared" si="11"/>
        <v>No programado</v>
      </c>
      <c r="L76" s="596" t="str">
        <f t="shared" si="12"/>
        <v>No programado</v>
      </c>
      <c r="M76" s="581">
        <f>+'Informe Seguimiento POA 2021'!Y32</f>
        <v>0</v>
      </c>
      <c r="N76" s="587" t="str">
        <f>+'Rango indicadores'!H40</f>
        <v>Mayor A:</v>
      </c>
      <c r="O76" s="580">
        <f>+'Rango indicadores'!I40</f>
        <v>85</v>
      </c>
      <c r="P76" s="580" t="str">
        <f>+'Rango indicadores'!J40</f>
        <v>Desde (&gt;=):</v>
      </c>
      <c r="Q76" s="580">
        <f>+'Rango indicadores'!K40</f>
        <v>80</v>
      </c>
      <c r="R76" s="580" t="str">
        <f>+'Rango indicadores'!L40</f>
        <v>Hasta (&lt;=):</v>
      </c>
      <c r="S76" s="580">
        <f>+'Rango indicadores'!M40</f>
        <v>85</v>
      </c>
      <c r="T76" s="580" t="str">
        <f>+'Rango indicadores'!N40</f>
        <v>Menor A:</v>
      </c>
      <c r="U76" s="580">
        <f>+'Rango indicadores'!O40</f>
        <v>80</v>
      </c>
      <c r="V76" s="709" t="s">
        <v>987</v>
      </c>
      <c r="W76" s="595"/>
      <c r="X76" s="595"/>
    </row>
    <row r="77" spans="2:24">
      <c r="B77" s="577">
        <f t="shared" si="10"/>
        <v>40</v>
      </c>
      <c r="C77" s="578" t="str">
        <f>+'Rango indicadores'!D41</f>
        <v>05-RI-21</v>
      </c>
      <c r="D77" s="578" t="str">
        <f>+'Rango indicadores'!E41</f>
        <v>Coordinación interinstitucional realizada</v>
      </c>
      <c r="E77" s="594">
        <f>+'Rango indicadores'!Q41</f>
        <v>0</v>
      </c>
      <c r="F77" s="594">
        <f>+'Informe Seguimiento POA 2021'!O33</f>
        <v>0</v>
      </c>
      <c r="G77" s="594">
        <f>+'Informe Seguimiento POA 2021'!O33</f>
        <v>0</v>
      </c>
      <c r="H77" s="594">
        <f>+'Informe Seguimiento POA 2021'!P33</f>
        <v>0</v>
      </c>
      <c r="I77" s="594">
        <f>+'Informe Seguimiento POA 2021'!P33</f>
        <v>0</v>
      </c>
      <c r="J77" s="594">
        <f>+'Informe Seguimiento POA 2021'!X33</f>
        <v>0</v>
      </c>
      <c r="K77" s="596" t="str">
        <f t="shared" si="11"/>
        <v>No programado</v>
      </c>
      <c r="L77" s="596" t="str">
        <f t="shared" si="12"/>
        <v>No programado</v>
      </c>
      <c r="M77" s="581">
        <f>+'Informe Seguimiento POA 2021'!Y33</f>
        <v>0</v>
      </c>
      <c r="N77" s="587" t="str">
        <f>+'Rango indicadores'!H41</f>
        <v>Mayor A:</v>
      </c>
      <c r="O77" s="580">
        <f>+'Rango indicadores'!I41</f>
        <v>85</v>
      </c>
      <c r="P77" s="580" t="str">
        <f>+'Rango indicadores'!J41</f>
        <v>Desde (&gt;=):</v>
      </c>
      <c r="Q77" s="580">
        <f>+'Rango indicadores'!K41</f>
        <v>80</v>
      </c>
      <c r="R77" s="580" t="str">
        <f>+'Rango indicadores'!L41</f>
        <v>Hasta (&lt;=):</v>
      </c>
      <c r="S77" s="580">
        <f>+'Rango indicadores'!M41</f>
        <v>85</v>
      </c>
      <c r="T77" s="580" t="str">
        <f>+'Rango indicadores'!N41</f>
        <v>Menor A:</v>
      </c>
      <c r="U77" s="580">
        <f>+'Rango indicadores'!O41</f>
        <v>80</v>
      </c>
      <c r="V77" s="709" t="s">
        <v>987</v>
      </c>
      <c r="W77" s="595"/>
      <c r="X77" s="595"/>
    </row>
    <row r="78" spans="2:24" ht="15.6">
      <c r="C78" s="826" t="s">
        <v>941</v>
      </c>
      <c r="D78" s="827"/>
      <c r="E78" s="827"/>
      <c r="F78" s="827"/>
      <c r="G78" s="827"/>
      <c r="H78" s="827"/>
      <c r="I78" s="827"/>
      <c r="J78" s="828"/>
      <c r="K78" s="585">
        <f>IFERROR(AVERAGE(K57:K77),0)</f>
        <v>1.3560204166461953</v>
      </c>
      <c r="L78" s="585">
        <f>IFERROR(AVERAGE(L57:L77),0)</f>
        <v>1.3560204166461953</v>
      </c>
      <c r="M78" s="585">
        <f>IFERROR(AVERAGE(M57:M77),0)</f>
        <v>0.1806527385050877</v>
      </c>
      <c r="N78" s="592"/>
      <c r="O78" s="592"/>
      <c r="P78" s="592"/>
      <c r="Q78" s="592"/>
      <c r="R78" s="592"/>
      <c r="S78" s="592"/>
      <c r="T78" s="592"/>
      <c r="U78" s="592"/>
      <c r="V78" s="710"/>
    </row>
    <row r="79" spans="2:24" s="573" customFormat="1">
      <c r="D79" s="575"/>
      <c r="V79" s="575"/>
    </row>
    <row r="80" spans="2:24" s="573" customFormat="1" ht="15.6">
      <c r="C80" s="576" t="s">
        <v>947</v>
      </c>
      <c r="D80" s="610"/>
      <c r="V80" s="575"/>
    </row>
    <row r="81" spans="2:24" ht="22.2" customHeight="1">
      <c r="C81" s="829" t="str">
        <f>+$C$11</f>
        <v>Identifificación del Indicador</v>
      </c>
      <c r="D81" s="842" t="s">
        <v>934</v>
      </c>
      <c r="E81" s="838" t="s">
        <v>935</v>
      </c>
      <c r="F81" s="839"/>
      <c r="G81" s="840"/>
      <c r="H81" s="829" t="s">
        <v>936</v>
      </c>
      <c r="I81" s="841" t="str">
        <f>$I$9</f>
        <v>Ejecución Acumulada Corte
31/03/2021</v>
      </c>
      <c r="J81" s="829" t="s">
        <v>937</v>
      </c>
      <c r="K81" s="829" t="s">
        <v>930</v>
      </c>
      <c r="L81" s="829"/>
      <c r="M81" s="829"/>
      <c r="N81" s="830" t="s">
        <v>780</v>
      </c>
      <c r="O81" s="830"/>
      <c r="P81" s="830"/>
      <c r="Q81" s="830"/>
      <c r="R81" s="830"/>
      <c r="S81" s="830"/>
      <c r="T81" s="830"/>
      <c r="U81" s="830"/>
      <c r="V81" s="829" t="s">
        <v>964</v>
      </c>
    </row>
    <row r="82" spans="2:24" ht="42" customHeight="1">
      <c r="C82" s="829"/>
      <c r="D82" s="842"/>
      <c r="E82" s="682" t="str">
        <f>$E$12</f>
        <v>Año 2021</v>
      </c>
      <c r="F82" s="682" t="str">
        <f>$D$5</f>
        <v>Primer Trimestre</v>
      </c>
      <c r="G82" s="683" t="str">
        <f>$G$9</f>
        <v>Acumulada Corte
31/03/2021</v>
      </c>
      <c r="H82" s="829"/>
      <c r="I82" s="841"/>
      <c r="J82" s="829"/>
      <c r="K82" s="682" t="str">
        <f>+$D$5</f>
        <v>Primer Trimestre</v>
      </c>
      <c r="L82" s="683" t="str">
        <f>$L$12</f>
        <v>Acumulado Corte 31/03/2021</v>
      </c>
      <c r="M82" s="682" t="s">
        <v>825</v>
      </c>
      <c r="N82" s="831" t="s">
        <v>939</v>
      </c>
      <c r="O82" s="832"/>
      <c r="P82" s="833" t="s">
        <v>940</v>
      </c>
      <c r="Q82" s="834"/>
      <c r="R82" s="834"/>
      <c r="S82" s="835"/>
      <c r="T82" s="836" t="s">
        <v>788</v>
      </c>
      <c r="U82" s="837"/>
      <c r="V82" s="829"/>
    </row>
    <row r="83" spans="2:24">
      <c r="B83" s="577">
        <f>+B77+1</f>
        <v>41</v>
      </c>
      <c r="C83" s="578" t="str">
        <f>+'Rango indicadores'!D42</f>
        <v>06-RI-01</v>
      </c>
      <c r="D83" s="578" t="str">
        <f>+'Rango indicadores'!E42</f>
        <v>Informes realizados en temas específicos.</v>
      </c>
      <c r="E83" s="594">
        <f>+'Rango indicadores'!Q42</f>
        <v>3</v>
      </c>
      <c r="F83" s="594">
        <f>+'Informe Seguimiento POA 2021'!O34</f>
        <v>0</v>
      </c>
      <c r="G83" s="594">
        <f>+'Informe Seguimiento POA 2021'!O34</f>
        <v>0</v>
      </c>
      <c r="H83" s="594">
        <f>+'Informe Seguimiento POA 2021'!P34</f>
        <v>0</v>
      </c>
      <c r="I83" s="594">
        <f>+'Informe Seguimiento POA 2021'!P34</f>
        <v>0</v>
      </c>
      <c r="J83" s="594">
        <f>+'Informe Seguimiento POA 2021'!X34</f>
        <v>0</v>
      </c>
      <c r="K83" s="622" t="str">
        <f t="shared" ref="K83:L85" si="13">IF(AND(F83&gt;0),H83/F83,"No programado")</f>
        <v>No programado</v>
      </c>
      <c r="L83" s="622" t="str">
        <f>IF(AND(G83&gt;0),I83/G83,"No programado")</f>
        <v>No programado</v>
      </c>
      <c r="M83" s="597">
        <f>+'Informe Seguimiento POA 2021'!Y34</f>
        <v>0</v>
      </c>
      <c r="N83" s="587" t="str">
        <f>+'Rango indicadores'!H42</f>
        <v>Mayor A:</v>
      </c>
      <c r="O83" s="580">
        <f>+'Rango indicadores'!I42</f>
        <v>90</v>
      </c>
      <c r="P83" s="580" t="str">
        <f>+'Rango indicadores'!J42</f>
        <v>Desde (&gt;=):</v>
      </c>
      <c r="Q83" s="580">
        <f>+'Rango indicadores'!K42</f>
        <v>66</v>
      </c>
      <c r="R83" s="580" t="str">
        <f>+'Rango indicadores'!L42</f>
        <v>Hasta (&lt;=):</v>
      </c>
      <c r="S83" s="580">
        <f>+'Rango indicadores'!M42</f>
        <v>90</v>
      </c>
      <c r="T83" s="580" t="str">
        <f>+'Rango indicadores'!N42</f>
        <v>Menor A:</v>
      </c>
      <c r="U83" s="580">
        <f>+'Rango indicadores'!O42</f>
        <v>66</v>
      </c>
      <c r="V83" s="709" t="s">
        <v>987</v>
      </c>
    </row>
    <row r="84" spans="2:24" ht="39.6">
      <c r="B84" s="577">
        <f>+B83+1</f>
        <v>42</v>
      </c>
      <c r="C84" s="578" t="str">
        <f>+'Rango indicadores'!D43</f>
        <v>06-RI-02</v>
      </c>
      <c r="D84" s="578" t="str">
        <f>+'Rango indicadores'!E43</f>
        <v>Informes de seguimientos realizados en temas específicos.</v>
      </c>
      <c r="E84" s="594">
        <f>+'Rango indicadores'!Q43</f>
        <v>1</v>
      </c>
      <c r="F84" s="594">
        <f>+'Informe Seguimiento POA 2021'!O35</f>
        <v>1</v>
      </c>
      <c r="G84" s="594">
        <f>+'Informe Seguimiento POA 2021'!O35</f>
        <v>1</v>
      </c>
      <c r="H84" s="594">
        <f>+'Informe Seguimiento POA 2021'!P35</f>
        <v>1</v>
      </c>
      <c r="I84" s="594">
        <f>+'Informe Seguimiento POA 2021'!P35</f>
        <v>1</v>
      </c>
      <c r="J84" s="594">
        <f>+'Informe Seguimiento POA 2021'!X35</f>
        <v>1</v>
      </c>
      <c r="K84" s="597">
        <f t="shared" si="13"/>
        <v>1</v>
      </c>
      <c r="L84" s="597">
        <f t="shared" si="13"/>
        <v>1</v>
      </c>
      <c r="M84" s="597">
        <f>+'Informe Seguimiento POA 2021'!Y35</f>
        <v>1</v>
      </c>
      <c r="N84" s="587" t="str">
        <f>+'Rango indicadores'!H43</f>
        <v>Mayor A:</v>
      </c>
      <c r="O84" s="580">
        <f>+'Rango indicadores'!I43</f>
        <v>90</v>
      </c>
      <c r="P84" s="580" t="str">
        <f>+'Rango indicadores'!J43</f>
        <v>Desde (&gt;=):</v>
      </c>
      <c r="Q84" s="580">
        <f>+'Rango indicadores'!K43</f>
        <v>69</v>
      </c>
      <c r="R84" s="580" t="str">
        <f>+'Rango indicadores'!L43</f>
        <v>Hasta (&lt;=):</v>
      </c>
      <c r="S84" s="580">
        <f>+'Rango indicadores'!M43</f>
        <v>90</v>
      </c>
      <c r="T84" s="580" t="str">
        <f>+'Rango indicadores'!N43</f>
        <v>Menor A:</v>
      </c>
      <c r="U84" s="580">
        <f>+'Rango indicadores'!O43</f>
        <v>69</v>
      </c>
      <c r="V84" s="701" t="s">
        <v>998</v>
      </c>
      <c r="W84" s="595"/>
      <c r="X84" s="595"/>
    </row>
    <row r="85" spans="2:24" ht="145.19999999999999">
      <c r="B85" s="577">
        <f>+B84+1</f>
        <v>43</v>
      </c>
      <c r="C85" s="578" t="str">
        <f>+'Rango indicadores'!D44</f>
        <v>06-RI-03</v>
      </c>
      <c r="D85" s="578" t="str">
        <f>+'Rango indicadores'!E44</f>
        <v>Acciones de Prevención y Control a la Función Pública realizadas, con informe.</v>
      </c>
      <c r="E85" s="594">
        <f>+'Rango indicadores'!Q44</f>
        <v>200</v>
      </c>
      <c r="F85" s="594">
        <f>+'Informe Seguimiento POA 2021'!O36</f>
        <v>13</v>
      </c>
      <c r="G85" s="594">
        <f>+'Informe Seguimiento POA 2021'!O36</f>
        <v>13</v>
      </c>
      <c r="H85" s="594">
        <f>+'Informe Seguimiento POA 2021'!P36</f>
        <v>37</v>
      </c>
      <c r="I85" s="594">
        <f>+'Informe Seguimiento POA 2021'!P36</f>
        <v>37</v>
      </c>
      <c r="J85" s="594">
        <f>+'Informe Seguimiento POA 2021'!X36</f>
        <v>37</v>
      </c>
      <c r="K85" s="597">
        <f t="shared" si="13"/>
        <v>2.8461538461538463</v>
      </c>
      <c r="L85" s="597">
        <f t="shared" si="13"/>
        <v>2.8461538461538463</v>
      </c>
      <c r="M85" s="597">
        <f>+'Informe Seguimiento POA 2021'!Y36</f>
        <v>0.185</v>
      </c>
      <c r="N85" s="587" t="str">
        <f>+'Rango indicadores'!H44</f>
        <v>Mayor A:</v>
      </c>
      <c r="O85" s="580">
        <f>+'Rango indicadores'!I44</f>
        <v>77</v>
      </c>
      <c r="P85" s="580" t="str">
        <f>+'Rango indicadores'!J44</f>
        <v>Desde (&gt;=):</v>
      </c>
      <c r="Q85" s="580">
        <f>+'Rango indicadores'!K44</f>
        <v>53</v>
      </c>
      <c r="R85" s="580" t="str">
        <f>+'Rango indicadores'!L44</f>
        <v>Hasta (&lt;=):</v>
      </c>
      <c r="S85" s="580">
        <f>+'Rango indicadores'!M44</f>
        <v>77</v>
      </c>
      <c r="T85" s="580" t="str">
        <f>+'Rango indicadores'!N44</f>
        <v>Menor A:</v>
      </c>
      <c r="U85" s="580">
        <f>+'Rango indicadores'!O44</f>
        <v>53</v>
      </c>
      <c r="V85" s="699" t="s">
        <v>999</v>
      </c>
      <c r="W85" s="595"/>
      <c r="X85" s="595"/>
    </row>
    <row r="86" spans="2:24">
      <c r="B86" s="577">
        <f>+B85+1</f>
        <v>44</v>
      </c>
      <c r="C86" s="578" t="str">
        <f>+'Rango indicadores'!D45</f>
        <v>06-RI-04</v>
      </c>
      <c r="D86" s="578" t="str">
        <f>+'Rango indicadores'!E45</f>
        <v>Seguimientos realizados sobre acciones previas, con informe</v>
      </c>
      <c r="E86" s="594">
        <f>+'Rango indicadores'!Q45</f>
        <v>20</v>
      </c>
      <c r="F86" s="594">
        <f>+'Informe Seguimiento POA 2021'!O37</f>
        <v>0</v>
      </c>
      <c r="G86" s="594">
        <f>+'Informe Seguimiento POA 2021'!O37</f>
        <v>0</v>
      </c>
      <c r="H86" s="594">
        <f>+'Informe Seguimiento POA 2021'!P37</f>
        <v>0</v>
      </c>
      <c r="I86" s="594">
        <f>+'Informe Seguimiento POA 2021'!P37</f>
        <v>0</v>
      </c>
      <c r="J86" s="594">
        <f>+'Informe Seguimiento POA 2021'!X37</f>
        <v>0</v>
      </c>
      <c r="K86" s="622" t="str">
        <f t="shared" ref="K86:K89" si="14">IF(AND(F86&gt;0),H86/F86,"No programado")</f>
        <v>No programado</v>
      </c>
      <c r="L86" s="622" t="str">
        <f t="shared" ref="L86:L89" si="15">IF(AND(G86&gt;0),I86/G86,"No programado")</f>
        <v>No programado</v>
      </c>
      <c r="M86" s="597">
        <f>+'Informe Seguimiento POA 2021'!Y37</f>
        <v>0</v>
      </c>
      <c r="N86" s="587" t="str">
        <f>+'Rango indicadores'!H45</f>
        <v>Mayor A:</v>
      </c>
      <c r="O86" s="580">
        <f>+'Rango indicadores'!I45</f>
        <v>80</v>
      </c>
      <c r="P86" s="580" t="str">
        <f>+'Rango indicadores'!J45</f>
        <v>Desde (&gt;=):</v>
      </c>
      <c r="Q86" s="580">
        <f>+'Rango indicadores'!K45</f>
        <v>45</v>
      </c>
      <c r="R86" s="580" t="str">
        <f>+'Rango indicadores'!L45</f>
        <v>Hasta (&lt;=):</v>
      </c>
      <c r="S86" s="580">
        <f>+'Rango indicadores'!M45</f>
        <v>80</v>
      </c>
      <c r="T86" s="580" t="str">
        <f>+'Rango indicadores'!N45</f>
        <v>Menor A:</v>
      </c>
      <c r="U86" s="580">
        <f>+'Rango indicadores'!O45</f>
        <v>45</v>
      </c>
      <c r="V86" s="709" t="s">
        <v>987</v>
      </c>
      <c r="W86" s="595"/>
      <c r="X86" s="595"/>
    </row>
    <row r="87" spans="2:24" ht="118.8">
      <c r="B87" s="577">
        <f>+B86+1</f>
        <v>45</v>
      </c>
      <c r="C87" s="578" t="str">
        <f>+'Rango indicadores'!D46</f>
        <v>06-RI-05</v>
      </c>
      <c r="D87" s="578" t="str">
        <f>+'Rango indicadores'!E46</f>
        <v>Audiencias públicas y/o mesas de trabajo realizadas.</v>
      </c>
      <c r="E87" s="594">
        <f>+'Rango indicadores'!Q46</f>
        <v>7</v>
      </c>
      <c r="F87" s="594">
        <f>+'Informe Seguimiento POA 2021'!O38</f>
        <v>1</v>
      </c>
      <c r="G87" s="594">
        <f>+'Informe Seguimiento POA 2021'!O38</f>
        <v>1</v>
      </c>
      <c r="H87" s="594">
        <f>+'Informe Seguimiento POA 2021'!P38</f>
        <v>2</v>
      </c>
      <c r="I87" s="594">
        <f>+'Informe Seguimiento POA 2021'!P38</f>
        <v>2</v>
      </c>
      <c r="J87" s="594">
        <f>+'Informe Seguimiento POA 2021'!X38</f>
        <v>2</v>
      </c>
      <c r="K87" s="597">
        <f t="shared" si="14"/>
        <v>2</v>
      </c>
      <c r="L87" s="597">
        <f t="shared" si="15"/>
        <v>2</v>
      </c>
      <c r="M87" s="597">
        <f>+'Informe Seguimiento POA 2021'!Y38</f>
        <v>0.2857142857142857</v>
      </c>
      <c r="N87" s="587" t="str">
        <f>+'Rango indicadores'!H46</f>
        <v>Mayor A:</v>
      </c>
      <c r="O87" s="580">
        <f>+'Rango indicadores'!I46</f>
        <v>85</v>
      </c>
      <c r="P87" s="580" t="str">
        <f>+'Rango indicadores'!J46</f>
        <v>Desde (&gt;=):</v>
      </c>
      <c r="Q87" s="580">
        <f>+'Rango indicadores'!K46</f>
        <v>57</v>
      </c>
      <c r="R87" s="580" t="str">
        <f>+'Rango indicadores'!L46</f>
        <v>Hasta (&lt;=):</v>
      </c>
      <c r="S87" s="580">
        <f>+'Rango indicadores'!M46</f>
        <v>85</v>
      </c>
      <c r="T87" s="580" t="str">
        <f>+'Rango indicadores'!N46</f>
        <v>Menor A:</v>
      </c>
      <c r="U87" s="580">
        <f>+'Rango indicadores'!O46</f>
        <v>57</v>
      </c>
      <c r="V87" s="699" t="s">
        <v>1000</v>
      </c>
      <c r="W87" s="595"/>
    </row>
    <row r="88" spans="2:24" ht="145.19999999999999">
      <c r="B88" s="577">
        <f t="shared" ref="B88:B89" si="16">+B87+1</f>
        <v>46</v>
      </c>
      <c r="C88" s="578" t="str">
        <f>+'Rango indicadores'!D47</f>
        <v>06-RI-06</v>
      </c>
      <c r="D88" s="578" t="str">
        <f>+'Rango indicadores'!E47</f>
        <v>Acompañamientos a los ciudadanos realizados.</v>
      </c>
      <c r="E88" s="594">
        <f>+'Rango indicadores'!Q47</f>
        <v>40</v>
      </c>
      <c r="F88" s="594">
        <f>+'Informe Seguimiento POA 2021'!O39</f>
        <v>8</v>
      </c>
      <c r="G88" s="594">
        <f>+'Informe Seguimiento POA 2021'!O39</f>
        <v>8</v>
      </c>
      <c r="H88" s="594">
        <f>+'Informe Seguimiento POA 2021'!P39</f>
        <v>23</v>
      </c>
      <c r="I88" s="594">
        <f>+'Informe Seguimiento POA 2021'!P39</f>
        <v>23</v>
      </c>
      <c r="J88" s="594">
        <f>+'Informe Seguimiento POA 2021'!X39</f>
        <v>23</v>
      </c>
      <c r="K88" s="597">
        <f t="shared" si="14"/>
        <v>2.875</v>
      </c>
      <c r="L88" s="597">
        <f t="shared" si="15"/>
        <v>2.875</v>
      </c>
      <c r="M88" s="597">
        <f>+'Informe Seguimiento POA 2021'!Y39</f>
        <v>0.57499999999999996</v>
      </c>
      <c r="N88" s="587" t="str">
        <f>+'Rango indicadores'!H47</f>
        <v>Mayor A:</v>
      </c>
      <c r="O88" s="580">
        <f>+'Rango indicadores'!I47</f>
        <v>90</v>
      </c>
      <c r="P88" s="580" t="str">
        <f>+'Rango indicadores'!J47</f>
        <v>Desde (&gt;=):</v>
      </c>
      <c r="Q88" s="580">
        <f>+'Rango indicadores'!K47</f>
        <v>69</v>
      </c>
      <c r="R88" s="580" t="str">
        <f>+'Rango indicadores'!L47</f>
        <v>Hasta (&lt;=):</v>
      </c>
      <c r="S88" s="580">
        <f>+'Rango indicadores'!M47</f>
        <v>90</v>
      </c>
      <c r="T88" s="580" t="str">
        <f>+'Rango indicadores'!N47</f>
        <v>Menor A:</v>
      </c>
      <c r="U88" s="580">
        <f>+'Rango indicadores'!O47</f>
        <v>69</v>
      </c>
      <c r="V88" s="699" t="s">
        <v>1030</v>
      </c>
      <c r="W88" s="595"/>
    </row>
    <row r="89" spans="2:24" ht="66">
      <c r="B89" s="577">
        <f t="shared" si="16"/>
        <v>47</v>
      </c>
      <c r="C89" s="578" t="str">
        <f>+'Rango indicadores'!D48</f>
        <v>06-RI-07</v>
      </c>
      <c r="D89" s="578" t="str">
        <f>+'Rango indicadores'!E48</f>
        <v>Espacios de dialogo realizados.</v>
      </c>
      <c r="E89" s="594">
        <f>+'Rango indicadores'!Q48</f>
        <v>20</v>
      </c>
      <c r="F89" s="594">
        <f>+'Informe Seguimiento POA 2021'!O40</f>
        <v>4</v>
      </c>
      <c r="G89" s="594">
        <f>+'Informe Seguimiento POA 2021'!O40</f>
        <v>4</v>
      </c>
      <c r="H89" s="594">
        <f>+'Informe Seguimiento POA 2021'!P40</f>
        <v>0</v>
      </c>
      <c r="I89" s="594">
        <f>+'Informe Seguimiento POA 2021'!P40</f>
        <v>0</v>
      </c>
      <c r="J89" s="594">
        <f>+'Informe Seguimiento POA 2021'!X40</f>
        <v>0</v>
      </c>
      <c r="K89" s="597">
        <f t="shared" si="14"/>
        <v>0</v>
      </c>
      <c r="L89" s="597">
        <f t="shared" si="15"/>
        <v>0</v>
      </c>
      <c r="M89" s="597">
        <f>+'Informe Seguimiento POA 2021'!Y40</f>
        <v>0</v>
      </c>
      <c r="N89" s="587" t="str">
        <f>+'Rango indicadores'!H48</f>
        <v>Mayor A:</v>
      </c>
      <c r="O89" s="580">
        <f>+'Rango indicadores'!I48</f>
        <v>90</v>
      </c>
      <c r="P89" s="580" t="str">
        <f>+'Rango indicadores'!J48</f>
        <v>Desde (&gt;=):</v>
      </c>
      <c r="Q89" s="580">
        <f>+'Rango indicadores'!K48</f>
        <v>69</v>
      </c>
      <c r="R89" s="580" t="str">
        <f>+'Rango indicadores'!L48</f>
        <v>Hasta (&lt;=):</v>
      </c>
      <c r="S89" s="580">
        <f>+'Rango indicadores'!M48</f>
        <v>90</v>
      </c>
      <c r="T89" s="580" t="str">
        <f>+'Rango indicadores'!N48</f>
        <v>Menor A:</v>
      </c>
      <c r="U89" s="580">
        <f>+'Rango indicadores'!O48</f>
        <v>69</v>
      </c>
      <c r="V89" s="711" t="s">
        <v>1031</v>
      </c>
      <c r="W89" s="595"/>
      <c r="X89" s="595"/>
    </row>
    <row r="90" spans="2:24" ht="15.6">
      <c r="C90" s="843" t="s">
        <v>941</v>
      </c>
      <c r="D90" s="843"/>
      <c r="E90" s="843"/>
      <c r="F90" s="843"/>
      <c r="G90" s="843"/>
      <c r="H90" s="843"/>
      <c r="I90" s="685"/>
      <c r="J90" s="685"/>
      <c r="K90" s="585">
        <f>IFERROR(AVERAGE(K83:K89),0)</f>
        <v>1.7442307692307693</v>
      </c>
      <c r="L90" s="585">
        <f>IFERROR(AVERAGE(L83:L89),0)</f>
        <v>1.7442307692307693</v>
      </c>
      <c r="M90" s="585">
        <f>IFERROR(AVERAGE(M83:M89),0)</f>
        <v>0.29224489795918362</v>
      </c>
      <c r="N90" s="592"/>
      <c r="O90" s="592"/>
      <c r="P90" s="592"/>
      <c r="Q90" s="592"/>
      <c r="R90" s="592"/>
      <c r="S90" s="592"/>
      <c r="T90" s="592"/>
      <c r="U90" s="592"/>
      <c r="V90" s="710"/>
    </row>
    <row r="91" spans="2:24" s="573" customFormat="1">
      <c r="D91" s="575"/>
      <c r="V91" s="575"/>
    </row>
    <row r="92" spans="2:24" s="573" customFormat="1" ht="15.6">
      <c r="C92" s="576" t="s">
        <v>948</v>
      </c>
      <c r="D92" s="610"/>
      <c r="V92" s="575"/>
    </row>
    <row r="93" spans="2:24" ht="30" customHeight="1">
      <c r="C93" s="829" t="str">
        <f>+$C$11</f>
        <v>Identifificación del Indicador</v>
      </c>
      <c r="D93" s="842" t="s">
        <v>934</v>
      </c>
      <c r="E93" s="838" t="s">
        <v>935</v>
      </c>
      <c r="F93" s="839"/>
      <c r="G93" s="840"/>
      <c r="H93" s="829" t="s">
        <v>936</v>
      </c>
      <c r="I93" s="841" t="str">
        <f>$I$9</f>
        <v>Ejecución Acumulada Corte
31/03/2021</v>
      </c>
      <c r="J93" s="829" t="s">
        <v>937</v>
      </c>
      <c r="K93" s="829" t="s">
        <v>930</v>
      </c>
      <c r="L93" s="829"/>
      <c r="M93" s="829"/>
      <c r="N93" s="830" t="s">
        <v>780</v>
      </c>
      <c r="O93" s="830"/>
      <c r="P93" s="830"/>
      <c r="Q93" s="830"/>
      <c r="R93" s="830"/>
      <c r="S93" s="830"/>
      <c r="T93" s="830"/>
      <c r="U93" s="830"/>
      <c r="V93" s="829" t="s">
        <v>964</v>
      </c>
    </row>
    <row r="94" spans="2:24" ht="51.75" customHeight="1">
      <c r="C94" s="829"/>
      <c r="D94" s="842"/>
      <c r="E94" s="682" t="s">
        <v>938</v>
      </c>
      <c r="F94" s="682" t="str">
        <f>$D$5</f>
        <v>Primer Trimestre</v>
      </c>
      <c r="G94" s="683" t="str">
        <f>$G$9</f>
        <v>Acumulada Corte
31/03/2021</v>
      </c>
      <c r="H94" s="829"/>
      <c r="I94" s="841"/>
      <c r="J94" s="829"/>
      <c r="K94" s="682" t="str">
        <f>+$D$5</f>
        <v>Primer Trimestre</v>
      </c>
      <c r="L94" s="683" t="str">
        <f>$L$12</f>
        <v>Acumulado Corte 31/03/2021</v>
      </c>
      <c r="M94" s="682" t="s">
        <v>825</v>
      </c>
      <c r="N94" s="831" t="s">
        <v>939</v>
      </c>
      <c r="O94" s="832"/>
      <c r="P94" s="833" t="s">
        <v>940</v>
      </c>
      <c r="Q94" s="834"/>
      <c r="R94" s="834"/>
      <c r="S94" s="835"/>
      <c r="T94" s="836" t="s">
        <v>788</v>
      </c>
      <c r="U94" s="837"/>
      <c r="V94" s="829"/>
    </row>
    <row r="95" spans="2:24" ht="145.19999999999999">
      <c r="B95" s="577">
        <f>+B89+1</f>
        <v>48</v>
      </c>
      <c r="C95" s="578" t="str">
        <f>+'Rango indicadores'!D49</f>
        <v>07-RI-01</v>
      </c>
      <c r="D95" s="578" t="str">
        <f>+'Rango indicadores'!E49</f>
        <v>Procesos priorizados identificados y decididos de fondo</v>
      </c>
      <c r="E95" s="594">
        <f>+'Rango indicadores'!Q49</f>
        <v>900</v>
      </c>
      <c r="F95" s="594">
        <f>+'Informe Seguimiento POA 2021'!O41</f>
        <v>250</v>
      </c>
      <c r="G95" s="594">
        <f>+'Informe Seguimiento POA 2021'!O41</f>
        <v>250</v>
      </c>
      <c r="H95" s="594">
        <f>+'Informe Seguimiento POA 2021'!P41</f>
        <v>319</v>
      </c>
      <c r="I95" s="594">
        <f>+'Informe Seguimiento POA 2021'!P41</f>
        <v>319</v>
      </c>
      <c r="J95" s="594">
        <f>+'Informe Seguimiento POA 2021'!X41</f>
        <v>319</v>
      </c>
      <c r="K95" s="598">
        <f>IF(AND(F95&gt;0),H95/F95,"No programado")</f>
        <v>1.276</v>
      </c>
      <c r="L95" s="598">
        <f t="shared" ref="L95" si="17">IF(AND(G95&gt;0),I95/G95,"No programado")</f>
        <v>1.276</v>
      </c>
      <c r="M95" s="564">
        <f>+'Informe Seguimiento POA 2021'!Y41</f>
        <v>0.35444444444444445</v>
      </c>
      <c r="N95" s="587" t="str">
        <f>+'Rango indicadores'!H49</f>
        <v>Mayor A:</v>
      </c>
      <c r="O95" s="580">
        <f>+'Rango indicadores'!I49</f>
        <v>90</v>
      </c>
      <c r="P95" s="580" t="str">
        <f>+'Rango indicadores'!J49</f>
        <v>Desde (&gt;=):</v>
      </c>
      <c r="Q95" s="580">
        <f>+'Rango indicadores'!K49</f>
        <v>60</v>
      </c>
      <c r="R95" s="580" t="str">
        <f>+'Rango indicadores'!L49</f>
        <v>Hasta (&lt;=):</v>
      </c>
      <c r="S95" s="580">
        <f>+'Rango indicadores'!M49</f>
        <v>90</v>
      </c>
      <c r="T95" s="580" t="str">
        <f>+'Rango indicadores'!N49</f>
        <v>Menor A:</v>
      </c>
      <c r="U95" s="580">
        <f>+'Rango indicadores'!O49</f>
        <v>60</v>
      </c>
      <c r="V95" s="699" t="s">
        <v>1032</v>
      </c>
      <c r="W95" s="595"/>
    </row>
    <row r="96" spans="2:24" ht="153" customHeight="1">
      <c r="B96" s="577">
        <f t="shared" ref="B96:B102" si="18">+B95+1</f>
        <v>49</v>
      </c>
      <c r="C96" s="578" t="str">
        <f>+'Rango indicadores'!D50</f>
        <v>07-RI-02</v>
      </c>
      <c r="D96" s="578" t="str">
        <f>+'Rango indicadores'!E50</f>
        <v>Noticias disciplinarias  evaluadas y con impulso procesal</v>
      </c>
      <c r="E96" s="621">
        <f>+'Rango indicadores'!Q50</f>
        <v>1</v>
      </c>
      <c r="F96" s="621">
        <f>+'Informe Seguimiento POA 2021'!O42</f>
        <v>1</v>
      </c>
      <c r="G96" s="621">
        <f>+'Informe Seguimiento POA 2021'!O42</f>
        <v>1</v>
      </c>
      <c r="H96" s="621">
        <f>+'Informe Seguimiento POA 2021'!P42</f>
        <v>0.72299999999999998</v>
      </c>
      <c r="I96" s="621">
        <f>+'Informe Seguimiento POA 2021'!P42</f>
        <v>0.72299999999999998</v>
      </c>
      <c r="J96" s="621">
        <f>+'Informe Seguimiento POA 2021'!X42</f>
        <v>0.72299999999999998</v>
      </c>
      <c r="K96" s="598">
        <f t="shared" ref="K96:K100" si="19">IF(AND(F96&gt;0),H96/F96,"No programado")</f>
        <v>0.72299999999999998</v>
      </c>
      <c r="L96" s="598">
        <f t="shared" ref="L96:L100" si="20">IF(AND(G96&gt;0),I96/G96,"No programado")</f>
        <v>0.72299999999999998</v>
      </c>
      <c r="M96" s="564">
        <f>+'Informe Seguimiento POA 2021'!Y42</f>
        <v>0.18074999999999999</v>
      </c>
      <c r="N96" s="587" t="str">
        <f>+'Rango indicadores'!H50</f>
        <v>Mayor A:</v>
      </c>
      <c r="O96" s="580">
        <f>+'Rango indicadores'!I50</f>
        <v>90</v>
      </c>
      <c r="P96" s="580" t="str">
        <f>+'Rango indicadores'!J50</f>
        <v>Desde (&gt;=):</v>
      </c>
      <c r="Q96" s="580">
        <f>+'Rango indicadores'!K50</f>
        <v>60</v>
      </c>
      <c r="R96" s="580" t="str">
        <f>+'Rango indicadores'!L50</f>
        <v>Hasta (&lt;=):</v>
      </c>
      <c r="S96" s="580">
        <f>+'Rango indicadores'!M50</f>
        <v>90</v>
      </c>
      <c r="T96" s="580" t="str">
        <f>+'Rango indicadores'!N50</f>
        <v>Menor A:</v>
      </c>
      <c r="U96" s="580">
        <f>+'Rango indicadores'!O50</f>
        <v>60</v>
      </c>
      <c r="V96" s="699" t="s">
        <v>1017</v>
      </c>
      <c r="W96" s="705"/>
    </row>
    <row r="97" spans="2:24" ht="66">
      <c r="B97" s="577">
        <f t="shared" si="18"/>
        <v>50</v>
      </c>
      <c r="C97" s="578" t="str">
        <f>+'Rango indicadores'!D51</f>
        <v>07-RI-03</v>
      </c>
      <c r="D97" s="578" t="str">
        <f>+'Rango indicadores'!E51</f>
        <v>Visitas de seguimiento a Oficinas de Control Interno Disciplinario realizadas</v>
      </c>
      <c r="E97" s="594">
        <f>+'Rango indicadores'!Q51</f>
        <v>51</v>
      </c>
      <c r="F97" s="594">
        <f>+'Informe Seguimiento POA 2021'!O43</f>
        <v>0</v>
      </c>
      <c r="G97" s="594">
        <f>+'Informe Seguimiento POA 2021'!O43</f>
        <v>0</v>
      </c>
      <c r="H97" s="594">
        <f>+'Informe Seguimiento POA 2021'!P43</f>
        <v>12</v>
      </c>
      <c r="I97" s="594">
        <f>+'Informe Seguimiento POA 2021'!P43</f>
        <v>12</v>
      </c>
      <c r="J97" s="594">
        <f>+'Informe Seguimiento POA 2021'!X43</f>
        <v>12</v>
      </c>
      <c r="K97" s="598" t="str">
        <f t="shared" si="19"/>
        <v>No programado</v>
      </c>
      <c r="L97" s="598" t="str">
        <f t="shared" si="20"/>
        <v>No programado</v>
      </c>
      <c r="M97" s="564">
        <f>+'Informe Seguimiento POA 2021'!Y43</f>
        <v>0.23529411764705882</v>
      </c>
      <c r="N97" s="587" t="str">
        <f>+'Rango indicadores'!H51</f>
        <v>Mayor A:</v>
      </c>
      <c r="O97" s="580">
        <f>+'Rango indicadores'!I51</f>
        <v>90</v>
      </c>
      <c r="P97" s="580" t="str">
        <f>+'Rango indicadores'!J51</f>
        <v>Desde (&gt;=):</v>
      </c>
      <c r="Q97" s="580">
        <f>+'Rango indicadores'!K51</f>
        <v>65</v>
      </c>
      <c r="R97" s="580" t="str">
        <f>+'Rango indicadores'!L51</f>
        <v>Hasta (&lt;=):</v>
      </c>
      <c r="S97" s="580">
        <f>+'Rango indicadores'!M51</f>
        <v>90</v>
      </c>
      <c r="T97" s="580" t="str">
        <f>+'Rango indicadores'!N51</f>
        <v>Menor A:</v>
      </c>
      <c r="U97" s="580">
        <f>+'Rango indicadores'!O51</f>
        <v>65</v>
      </c>
      <c r="V97" s="709" t="s">
        <v>1001</v>
      </c>
      <c r="W97" s="595"/>
    </row>
    <row r="98" spans="2:24" ht="79.2">
      <c r="B98" s="577">
        <f t="shared" si="18"/>
        <v>51</v>
      </c>
      <c r="C98" s="578" t="str">
        <f>+'Rango indicadores'!D52</f>
        <v>07-RI-04</v>
      </c>
      <c r="D98" s="578" t="str">
        <f>+'Rango indicadores'!E52</f>
        <v>Procesos de interés e impacto asumidos por competencia</v>
      </c>
      <c r="E98" s="621">
        <f>+'Rango indicadores'!Q52</f>
        <v>1</v>
      </c>
      <c r="F98" s="621">
        <f>+'Informe Seguimiento POA 2021'!O44</f>
        <v>0</v>
      </c>
      <c r="G98" s="621">
        <f>+'Informe Seguimiento POA 2021'!O44</f>
        <v>0</v>
      </c>
      <c r="H98" s="621">
        <f>+'Informe Seguimiento POA 2021'!P44</f>
        <v>1</v>
      </c>
      <c r="I98" s="621">
        <f>+'Informe Seguimiento POA 2021'!P44</f>
        <v>1</v>
      </c>
      <c r="J98" s="621">
        <f>+'Informe Seguimiento POA 2021'!X44</f>
        <v>1</v>
      </c>
      <c r="K98" s="598" t="str">
        <f t="shared" si="19"/>
        <v>No programado</v>
      </c>
      <c r="L98" s="598" t="str">
        <f t="shared" si="20"/>
        <v>No programado</v>
      </c>
      <c r="M98" s="564">
        <f>+'Informe Seguimiento POA 2021'!Y44</f>
        <v>0.25</v>
      </c>
      <c r="N98" s="587" t="str">
        <f>+'Rango indicadores'!H52</f>
        <v>Mayor A:</v>
      </c>
      <c r="O98" s="580">
        <f>+'Rango indicadores'!I52</f>
        <v>90</v>
      </c>
      <c r="P98" s="580" t="str">
        <f>+'Rango indicadores'!J52</f>
        <v>Desde (&gt;=):</v>
      </c>
      <c r="Q98" s="580">
        <f>+'Rango indicadores'!K52</f>
        <v>65</v>
      </c>
      <c r="R98" s="580" t="str">
        <f>+'Rango indicadores'!L52</f>
        <v>Hasta (&lt;=):</v>
      </c>
      <c r="S98" s="580">
        <f>+'Rango indicadores'!M52</f>
        <v>90</v>
      </c>
      <c r="T98" s="580" t="str">
        <f>+'Rango indicadores'!N52</f>
        <v>Menor A:</v>
      </c>
      <c r="U98" s="580">
        <f>+'Rango indicadores'!O52</f>
        <v>65</v>
      </c>
      <c r="V98" s="709" t="s">
        <v>1005</v>
      </c>
      <c r="W98" s="595"/>
    </row>
    <row r="99" spans="2:24">
      <c r="B99" s="577">
        <f t="shared" si="18"/>
        <v>52</v>
      </c>
      <c r="C99" s="578" t="str">
        <f>+'Rango indicadores'!D53</f>
        <v>07-RI-05</v>
      </c>
      <c r="D99" s="578" t="str">
        <f>+'Rango indicadores'!E53</f>
        <v>Escenarios de intercambio de conocimiento generados</v>
      </c>
      <c r="E99" s="594">
        <f>+'Rango indicadores'!Q53</f>
        <v>2</v>
      </c>
      <c r="F99" s="594">
        <f>+'Informe Seguimiento POA 2021'!O45</f>
        <v>0</v>
      </c>
      <c r="G99" s="594">
        <f>+'Informe Seguimiento POA 2021'!O45</f>
        <v>0</v>
      </c>
      <c r="H99" s="594">
        <f>+'Informe Seguimiento POA 2021'!P45</f>
        <v>0</v>
      </c>
      <c r="I99" s="594">
        <f>+'Informe Seguimiento POA 2021'!P45</f>
        <v>0</v>
      </c>
      <c r="J99" s="594">
        <f>+'Informe Seguimiento POA 2021'!X45</f>
        <v>0</v>
      </c>
      <c r="K99" s="598" t="str">
        <f t="shared" si="19"/>
        <v>No programado</v>
      </c>
      <c r="L99" s="598" t="str">
        <f t="shared" si="20"/>
        <v>No programado</v>
      </c>
      <c r="M99" s="564">
        <f>+'Informe Seguimiento POA 2021'!Y45</f>
        <v>0</v>
      </c>
      <c r="N99" s="587" t="str">
        <f>+'Rango indicadores'!H53</f>
        <v>Mayor A:</v>
      </c>
      <c r="O99" s="580">
        <f>+'Rango indicadores'!I53</f>
        <v>90</v>
      </c>
      <c r="P99" s="580" t="str">
        <f>+'Rango indicadores'!J53</f>
        <v>Desde (&gt;=):</v>
      </c>
      <c r="Q99" s="580">
        <f>+'Rango indicadores'!K53</f>
        <v>65</v>
      </c>
      <c r="R99" s="580" t="str">
        <f>+'Rango indicadores'!L53</f>
        <v>Hasta (&lt;=):</v>
      </c>
      <c r="S99" s="580">
        <f>+'Rango indicadores'!M53</f>
        <v>90</v>
      </c>
      <c r="T99" s="580" t="str">
        <f>+'Rango indicadores'!N53</f>
        <v>Menor A:</v>
      </c>
      <c r="U99" s="580">
        <f>+'Rango indicadores'!O53</f>
        <v>65</v>
      </c>
      <c r="V99" s="709" t="s">
        <v>987</v>
      </c>
      <c r="W99" s="595"/>
    </row>
    <row r="100" spans="2:24" ht="79.2">
      <c r="B100" s="577">
        <f t="shared" si="18"/>
        <v>53</v>
      </c>
      <c r="C100" s="578" t="str">
        <f>+'Rango indicadores'!D54</f>
        <v>07-RI-06</v>
      </c>
      <c r="D100" s="578" t="str">
        <f>+'Rango indicadores'!E54</f>
        <v xml:space="preserve">Sistema de Comunicación con las Oficinas de Control Interno Disciplinario implementado </v>
      </c>
      <c r="E100" s="594">
        <f>+'Rango indicadores'!Q54</f>
        <v>0.5</v>
      </c>
      <c r="F100" s="594">
        <f>+'Informe Seguimiento POA 2021'!O46</f>
        <v>0.05</v>
      </c>
      <c r="G100" s="594">
        <f>+'Informe Seguimiento POA 2021'!O46</f>
        <v>0.05</v>
      </c>
      <c r="H100" s="594">
        <f>+'Informe Seguimiento POA 2021'!P46</f>
        <v>0.05</v>
      </c>
      <c r="I100" s="594">
        <f>+'Informe Seguimiento POA 2021'!P46</f>
        <v>0.05</v>
      </c>
      <c r="J100" s="594">
        <f>+'Informe Seguimiento POA 2021'!X46</f>
        <v>0.05</v>
      </c>
      <c r="K100" s="598">
        <f t="shared" si="19"/>
        <v>1</v>
      </c>
      <c r="L100" s="598">
        <f t="shared" si="20"/>
        <v>1</v>
      </c>
      <c r="M100" s="564">
        <f>+'Informe Seguimiento POA 2021'!Y46</f>
        <v>0.1</v>
      </c>
      <c r="N100" s="587" t="str">
        <f>+'Rango indicadores'!H54</f>
        <v>Mayor A:</v>
      </c>
      <c r="O100" s="580">
        <f>+'Rango indicadores'!I54</f>
        <v>90</v>
      </c>
      <c r="P100" s="580" t="str">
        <f>+'Rango indicadores'!J54</f>
        <v>Desde (&gt;=):</v>
      </c>
      <c r="Q100" s="580">
        <f>+'Rango indicadores'!K54</f>
        <v>65</v>
      </c>
      <c r="R100" s="580" t="str">
        <f>+'Rango indicadores'!L54</f>
        <v>Hasta (&lt;=):</v>
      </c>
      <c r="S100" s="580">
        <f>+'Rango indicadores'!M54</f>
        <v>90</v>
      </c>
      <c r="T100" s="580" t="str">
        <f>+'Rango indicadores'!N54</f>
        <v>Menor A:</v>
      </c>
      <c r="U100" s="580">
        <f>+'Rango indicadores'!O54</f>
        <v>65</v>
      </c>
      <c r="V100" s="709" t="s">
        <v>1002</v>
      </c>
      <c r="W100" s="595"/>
      <c r="X100" s="595"/>
    </row>
    <row r="101" spans="2:24" ht="79.2">
      <c r="B101" s="577">
        <f t="shared" si="18"/>
        <v>54</v>
      </c>
      <c r="C101" s="578" t="str">
        <f>+'Rango indicadores'!D55</f>
        <v>07-RI-07</v>
      </c>
      <c r="D101" s="578" t="str">
        <f>+'Rango indicadores'!E55</f>
        <v xml:space="preserve">Sistema de información misional implementado </v>
      </c>
      <c r="E101" s="594">
        <f>+'Rango indicadores'!Q55</f>
        <v>0.2</v>
      </c>
      <c r="F101" s="594">
        <f>+'Informe Seguimiento POA 2021'!O47</f>
        <v>0.02</v>
      </c>
      <c r="G101" s="594">
        <f>+'Informe Seguimiento POA 2021'!O47</f>
        <v>0.02</v>
      </c>
      <c r="H101" s="594">
        <f>+'Informe Seguimiento POA 2021'!P47</f>
        <v>0.02</v>
      </c>
      <c r="I101" s="594">
        <f>+'Informe Seguimiento POA 2021'!P47</f>
        <v>0.02</v>
      </c>
      <c r="J101" s="594">
        <f>+'Informe Seguimiento POA 2021'!X47</f>
        <v>0.02</v>
      </c>
      <c r="K101" s="598">
        <f t="shared" ref="K101:K102" si="21">IF(AND(F101&gt;0),H101/F101,"No programado")</f>
        <v>1</v>
      </c>
      <c r="L101" s="598">
        <f t="shared" ref="L101:L102" si="22">IF(AND(G101&gt;0),I101/G101,"No programado")</f>
        <v>1</v>
      </c>
      <c r="M101" s="564">
        <f>+'Informe Seguimiento POA 2021'!Y47</f>
        <v>9.9999999999999992E-2</v>
      </c>
      <c r="N101" s="587" t="str">
        <f>+'Rango indicadores'!H55</f>
        <v>Mayor A:</v>
      </c>
      <c r="O101" s="580">
        <f>+'Rango indicadores'!I55</f>
        <v>90</v>
      </c>
      <c r="P101" s="580" t="str">
        <f>+'Rango indicadores'!J55</f>
        <v>Desde (&gt;=):</v>
      </c>
      <c r="Q101" s="580">
        <f>+'Rango indicadores'!K55</f>
        <v>65</v>
      </c>
      <c r="R101" s="580" t="str">
        <f>+'Rango indicadores'!L55</f>
        <v>Hasta (&lt;=):</v>
      </c>
      <c r="S101" s="580">
        <f>+'Rango indicadores'!M55</f>
        <v>90</v>
      </c>
      <c r="T101" s="580" t="str">
        <f>+'Rango indicadores'!N55</f>
        <v>Menor A:</v>
      </c>
      <c r="U101" s="580">
        <f>+'Rango indicadores'!O55</f>
        <v>65</v>
      </c>
      <c r="V101" s="709" t="s">
        <v>1002</v>
      </c>
      <c r="W101" s="595"/>
      <c r="X101" s="595"/>
    </row>
    <row r="102" spans="2:24">
      <c r="B102" s="577">
        <f t="shared" si="18"/>
        <v>55</v>
      </c>
      <c r="C102" s="578" t="str">
        <f>+'Rango indicadores'!D56</f>
        <v>07-RI-08</v>
      </c>
      <c r="D102" s="578" t="str">
        <f>+'Rango indicadores'!E56</f>
        <v>Relatoría diseñada e implementada</v>
      </c>
      <c r="E102" s="594">
        <f>+'Rango indicadores'!Q56</f>
        <v>0.1</v>
      </c>
      <c r="F102" s="594">
        <f>+'Informe Seguimiento POA 2021'!O48</f>
        <v>0</v>
      </c>
      <c r="G102" s="594">
        <f>+'Informe Seguimiento POA 2021'!O48</f>
        <v>0</v>
      </c>
      <c r="H102" s="594">
        <f>+'Informe Seguimiento POA 2021'!P48</f>
        <v>0</v>
      </c>
      <c r="I102" s="594">
        <f>+'Informe Seguimiento POA 2021'!P48</f>
        <v>0</v>
      </c>
      <c r="J102" s="594">
        <f>+'Informe Seguimiento POA 2021'!X48</f>
        <v>0</v>
      </c>
      <c r="K102" s="598" t="str">
        <f t="shared" si="21"/>
        <v>No programado</v>
      </c>
      <c r="L102" s="598" t="str">
        <f t="shared" si="22"/>
        <v>No programado</v>
      </c>
      <c r="M102" s="564">
        <f>+'Informe Seguimiento POA 2021'!Y48</f>
        <v>0</v>
      </c>
      <c r="N102" s="587" t="str">
        <f>+'Rango indicadores'!H56</f>
        <v>Mayor A:</v>
      </c>
      <c r="O102" s="580">
        <f>+'Rango indicadores'!I56</f>
        <v>90</v>
      </c>
      <c r="P102" s="580" t="str">
        <f>+'Rango indicadores'!J56</f>
        <v>Desde (&gt;=):</v>
      </c>
      <c r="Q102" s="580">
        <f>+'Rango indicadores'!K56</f>
        <v>65</v>
      </c>
      <c r="R102" s="580" t="str">
        <f>+'Rango indicadores'!L56</f>
        <v>Hasta (&lt;=):</v>
      </c>
      <c r="S102" s="580">
        <f>+'Rango indicadores'!M56</f>
        <v>90</v>
      </c>
      <c r="T102" s="580" t="str">
        <f>+'Rango indicadores'!N56</f>
        <v>Menor A:</v>
      </c>
      <c r="U102" s="580">
        <f>+'Rango indicadores'!O56</f>
        <v>65</v>
      </c>
      <c r="V102" s="709" t="s">
        <v>987</v>
      </c>
      <c r="W102" s="595"/>
      <c r="X102" s="595"/>
    </row>
    <row r="103" spans="2:24" ht="15.6">
      <c r="C103" s="826" t="s">
        <v>941</v>
      </c>
      <c r="D103" s="827"/>
      <c r="E103" s="827"/>
      <c r="F103" s="827"/>
      <c r="G103" s="827"/>
      <c r="H103" s="827"/>
      <c r="I103" s="827"/>
      <c r="J103" s="828"/>
      <c r="K103" s="585">
        <f>IFERROR(AVERAGE(K95:K102),0)</f>
        <v>0.99975000000000003</v>
      </c>
      <c r="L103" s="585">
        <f t="shared" ref="L103:M103" si="23">IFERROR(AVERAGE(L95:L102),0)</f>
        <v>0.99975000000000003</v>
      </c>
      <c r="M103" s="585">
        <f t="shared" si="23"/>
        <v>0.15256107026143792</v>
      </c>
      <c r="N103" s="592"/>
      <c r="O103" s="592"/>
      <c r="P103" s="592"/>
      <c r="Q103" s="592"/>
      <c r="R103" s="592"/>
      <c r="S103" s="592"/>
      <c r="T103" s="592"/>
      <c r="U103" s="592"/>
      <c r="V103" s="712"/>
    </row>
    <row r="104" spans="2:24" s="573" customFormat="1">
      <c r="D104" s="575"/>
      <c r="M104" s="620"/>
      <c r="N104" s="620"/>
      <c r="O104" s="620"/>
      <c r="P104" s="620"/>
      <c r="Q104" s="620"/>
      <c r="R104" s="620"/>
      <c r="S104" s="620"/>
      <c r="T104" s="620"/>
      <c r="U104" s="620"/>
      <c r="V104" s="712"/>
    </row>
    <row r="105" spans="2:24" s="573" customFormat="1" ht="15.6">
      <c r="C105" s="576" t="s">
        <v>949</v>
      </c>
      <c r="D105" s="610"/>
      <c r="E105" s="676"/>
      <c r="F105" s="676"/>
      <c r="G105" s="676"/>
      <c r="H105" s="676"/>
      <c r="I105" s="676"/>
      <c r="J105" s="676"/>
      <c r="K105" s="708"/>
      <c r="L105" s="708"/>
      <c r="V105" s="712"/>
    </row>
    <row r="106" spans="2:24" ht="33" customHeight="1">
      <c r="C106" s="829" t="str">
        <f>+$C$11</f>
        <v>Identifificación del Indicador</v>
      </c>
      <c r="D106" s="842" t="s">
        <v>934</v>
      </c>
      <c r="E106" s="838" t="s">
        <v>935</v>
      </c>
      <c r="F106" s="839"/>
      <c r="G106" s="840"/>
      <c r="H106" s="829" t="s">
        <v>936</v>
      </c>
      <c r="I106" s="841" t="str">
        <f>$I$9</f>
        <v>Ejecución Acumulada Corte
31/03/2021</v>
      </c>
      <c r="J106" s="829" t="s">
        <v>937</v>
      </c>
      <c r="K106" s="829" t="s">
        <v>930</v>
      </c>
      <c r="L106" s="829"/>
      <c r="M106" s="829"/>
      <c r="N106" s="830" t="s">
        <v>780</v>
      </c>
      <c r="O106" s="830"/>
      <c r="P106" s="830"/>
      <c r="Q106" s="830"/>
      <c r="R106" s="830"/>
      <c r="S106" s="830"/>
      <c r="T106" s="830"/>
      <c r="U106" s="830"/>
      <c r="V106" s="829" t="s">
        <v>964</v>
      </c>
    </row>
    <row r="107" spans="2:24" ht="56.25" customHeight="1">
      <c r="C107" s="829"/>
      <c r="D107" s="842"/>
      <c r="E107" s="682" t="str">
        <f>$E$12</f>
        <v>Año 2021</v>
      </c>
      <c r="F107" s="682" t="str">
        <f>$D$5</f>
        <v>Primer Trimestre</v>
      </c>
      <c r="G107" s="683" t="str">
        <f>$G$9</f>
        <v>Acumulada Corte
31/03/2021</v>
      </c>
      <c r="H107" s="829"/>
      <c r="I107" s="841"/>
      <c r="J107" s="829"/>
      <c r="K107" s="682" t="str">
        <f>+$D$5</f>
        <v>Primer Trimestre</v>
      </c>
      <c r="L107" s="683" t="str">
        <f>$L$12</f>
        <v>Acumulado Corte 31/03/2021</v>
      </c>
      <c r="M107" s="682" t="s">
        <v>825</v>
      </c>
      <c r="N107" s="831" t="s">
        <v>939</v>
      </c>
      <c r="O107" s="832"/>
      <c r="P107" s="833" t="s">
        <v>940</v>
      </c>
      <c r="Q107" s="834"/>
      <c r="R107" s="834"/>
      <c r="S107" s="835"/>
      <c r="T107" s="836" t="s">
        <v>788</v>
      </c>
      <c r="U107" s="837"/>
      <c r="V107" s="829"/>
    </row>
    <row r="108" spans="2:24" ht="99.6" customHeight="1">
      <c r="B108" s="577">
        <f>+B102+1</f>
        <v>56</v>
      </c>
      <c r="C108" s="578" t="str">
        <f>+'Rango indicadores'!D57</f>
        <v>08-RI-01</v>
      </c>
      <c r="D108" s="578" t="str">
        <f>+'Rango indicadores'!E57</f>
        <v>Porcentaje de novedades y situaciones administrativas gestionadas</v>
      </c>
      <c r="E108" s="582">
        <f>+'Rango indicadores'!Q57</f>
        <v>1</v>
      </c>
      <c r="F108" s="582">
        <f>+'Informe Seguimiento POA 2021'!O62</f>
        <v>1</v>
      </c>
      <c r="G108" s="582">
        <f>+'Informe Seguimiento POA 2021'!O62</f>
        <v>1</v>
      </c>
      <c r="H108" s="582">
        <f>+'Informe Seguimiento POA 2021'!P62</f>
        <v>1</v>
      </c>
      <c r="I108" s="582">
        <f>+'Informe Seguimiento POA 2021'!P62</f>
        <v>1</v>
      </c>
      <c r="J108" s="582">
        <f>+'Informe Seguimiento POA 2021'!X62</f>
        <v>1</v>
      </c>
      <c r="K108" s="564">
        <f t="shared" ref="K108" si="24">IF(AND(F108&gt;0),H108/F108,"No programado")</f>
        <v>1</v>
      </c>
      <c r="L108" s="564">
        <f>IF(AND(G108&gt;0),I108/G108,"No programado")</f>
        <v>1</v>
      </c>
      <c r="M108" s="564">
        <f>+'Informe Seguimiento POA 2021'!Y62</f>
        <v>0.25</v>
      </c>
      <c r="N108" s="587" t="str">
        <f>+'Rango indicadores'!H57</f>
        <v>Mayor o igual A:</v>
      </c>
      <c r="O108" s="580">
        <f>+'Rango indicadores'!I57</f>
        <v>90</v>
      </c>
      <c r="P108" s="580" t="str">
        <f>+'Rango indicadores'!J57</f>
        <v>Desde (&gt;):</v>
      </c>
      <c r="Q108" s="580">
        <f>+'Rango indicadores'!K57</f>
        <v>69</v>
      </c>
      <c r="R108" s="580" t="str">
        <f>+'Rango indicadores'!L57</f>
        <v>Hasta (&lt;):</v>
      </c>
      <c r="S108" s="580">
        <f>+'Rango indicadores'!M57</f>
        <v>90</v>
      </c>
      <c r="T108" s="580" t="str">
        <f>+'Rango indicadores'!N57</f>
        <v>Menor o Igual A:</v>
      </c>
      <c r="U108" s="580">
        <f>+'Rango indicadores'!O57</f>
        <v>69</v>
      </c>
      <c r="V108" s="709" t="s">
        <v>1007</v>
      </c>
      <c r="W108" s="705"/>
    </row>
    <row r="109" spans="2:24" ht="118.8">
      <c r="B109" s="577">
        <f t="shared" ref="B109:B115" si="25">+B108+1</f>
        <v>57</v>
      </c>
      <c r="C109" s="578" t="str">
        <f>+'Rango indicadores'!D58</f>
        <v>08-RI-02</v>
      </c>
      <c r="D109" s="578" t="str">
        <f>+'Rango indicadores'!E58</f>
        <v xml:space="preserve">Novedades incluidas en la nómina  oportunamente  </v>
      </c>
      <c r="E109" s="582">
        <f>+'Rango indicadores'!Q58</f>
        <v>0.97</v>
      </c>
      <c r="F109" s="582">
        <f>+'Informe Seguimiento POA 2021'!O63</f>
        <v>0.97000000000000008</v>
      </c>
      <c r="G109" s="582">
        <f>+'Informe Seguimiento POA 2021'!O63</f>
        <v>0.97000000000000008</v>
      </c>
      <c r="H109" s="582">
        <f>+'Informe Seguimiento POA 2021'!P63</f>
        <v>0.99400000000000011</v>
      </c>
      <c r="I109" s="582">
        <f>+'Informe Seguimiento POA 2021'!P63</f>
        <v>0.99400000000000011</v>
      </c>
      <c r="J109" s="582">
        <f>+'Informe Seguimiento POA 2021'!X63</f>
        <v>0.99399999999999999</v>
      </c>
      <c r="K109" s="564">
        <f t="shared" ref="K109:K115" si="26">IF(AND(F109&gt;0),H109/F109,"No programado")</f>
        <v>1.024742268041237</v>
      </c>
      <c r="L109" s="564">
        <f t="shared" ref="L109:L115" si="27">IF(AND(G109&gt;0),I109/G109,"No programado")</f>
        <v>1.024742268041237</v>
      </c>
      <c r="M109" s="564">
        <f>+'Informe Seguimiento POA 2021'!Y63</f>
        <v>0.25618556701030926</v>
      </c>
      <c r="N109" s="587" t="str">
        <f>+'Rango indicadores'!H58</f>
        <v>Mayor o igual A:</v>
      </c>
      <c r="O109" s="580">
        <f>+'Rango indicadores'!I58</f>
        <v>97</v>
      </c>
      <c r="P109" s="580" t="str">
        <f>+'Rango indicadores'!J58</f>
        <v>Desde (&gt;):</v>
      </c>
      <c r="Q109" s="580">
        <f>+'Rango indicadores'!K58</f>
        <v>84</v>
      </c>
      <c r="R109" s="580" t="str">
        <f>+'Rango indicadores'!L58</f>
        <v>Hasta (&lt;):</v>
      </c>
      <c r="S109" s="580">
        <f>+'Rango indicadores'!M58</f>
        <v>97</v>
      </c>
      <c r="T109" s="580" t="str">
        <f>+'Rango indicadores'!N58</f>
        <v>Menor o Igual A:</v>
      </c>
      <c r="U109" s="580">
        <f>+'Rango indicadores'!O58</f>
        <v>84</v>
      </c>
      <c r="V109" s="709" t="s">
        <v>1006</v>
      </c>
      <c r="W109" s="705"/>
      <c r="X109" s="599"/>
    </row>
    <row r="110" spans="2:24" ht="60">
      <c r="B110" s="577">
        <f t="shared" si="25"/>
        <v>58</v>
      </c>
      <c r="C110" s="578" t="str">
        <f>+'Rango indicadores'!D59</f>
        <v>08-RI-03</v>
      </c>
      <c r="D110" s="578" t="str">
        <f>+'Rango indicadores'!E59</f>
        <v>Porcentaje de Usuarios internos satisfechos con las solicitudes de los servicios atendidas de la SGTH (Certificaciones laborales, bonos pensionales y autorizaciones de retiro de cesantías)</v>
      </c>
      <c r="E110" s="582">
        <f>+'Rango indicadores'!Q59</f>
        <v>0.9</v>
      </c>
      <c r="F110" s="582">
        <f>+'Informe Seguimiento POA 2021'!O64</f>
        <v>0</v>
      </c>
      <c r="G110" s="582">
        <f>+'Informe Seguimiento POA 2021'!O64</f>
        <v>0</v>
      </c>
      <c r="H110" s="582">
        <f>+'Informe Seguimiento POA 2021'!P64</f>
        <v>0</v>
      </c>
      <c r="I110" s="582">
        <f>+'Informe Seguimiento POA 2021'!P64</f>
        <v>0</v>
      </c>
      <c r="J110" s="582">
        <f>+'Informe Seguimiento POA 2021'!X64</f>
        <v>0</v>
      </c>
      <c r="K110" s="598" t="str">
        <f t="shared" si="26"/>
        <v>No programado</v>
      </c>
      <c r="L110" s="598" t="str">
        <f t="shared" si="27"/>
        <v>No programado</v>
      </c>
      <c r="M110" s="564">
        <f>+'Informe Seguimiento POA 2021'!Y64</f>
        <v>0</v>
      </c>
      <c r="N110" s="587" t="str">
        <f>+'Rango indicadores'!H59</f>
        <v>Mayor o igual A:</v>
      </c>
      <c r="O110" s="580">
        <f>+'Rango indicadores'!I59</f>
        <v>90</v>
      </c>
      <c r="P110" s="580" t="str">
        <f>+'Rango indicadores'!J59</f>
        <v>Desde (&gt;):</v>
      </c>
      <c r="Q110" s="580">
        <f>+'Rango indicadores'!K59</f>
        <v>79</v>
      </c>
      <c r="R110" s="580" t="str">
        <f>+'Rango indicadores'!L59</f>
        <v>Hasta (&lt;):</v>
      </c>
      <c r="S110" s="580">
        <f>+'Rango indicadores'!M59</f>
        <v>90</v>
      </c>
      <c r="T110" s="580" t="str">
        <f>+'Rango indicadores'!N59</f>
        <v>Menor o Igual A:</v>
      </c>
      <c r="U110" s="580">
        <f>+'Rango indicadores'!O59</f>
        <v>79</v>
      </c>
      <c r="V110" s="709" t="s">
        <v>987</v>
      </c>
      <c r="W110" s="705"/>
      <c r="X110" s="600"/>
    </row>
    <row r="111" spans="2:24" ht="92.4">
      <c r="B111" s="577">
        <f t="shared" si="25"/>
        <v>59</v>
      </c>
      <c r="C111" s="578" t="str">
        <f>+'Rango indicadores'!D60</f>
        <v>08-RI-04</v>
      </c>
      <c r="D111" s="578" t="str">
        <f>+'Rango indicadores'!E60</f>
        <v>Plan Institucional de Capacitación formulado y ejecutado</v>
      </c>
      <c r="E111" s="582">
        <f>+'Rango indicadores'!Q60</f>
        <v>1</v>
      </c>
      <c r="F111" s="582">
        <f>+'Informe Seguimiento POA 2021'!O65</f>
        <v>0.24100000000000002</v>
      </c>
      <c r="G111" s="582">
        <f>+'Informe Seguimiento POA 2021'!O65</f>
        <v>0.24100000000000002</v>
      </c>
      <c r="H111" s="582">
        <f>+'Informe Seguimiento POA 2021'!P65</f>
        <v>0.24100000000000002</v>
      </c>
      <c r="I111" s="582">
        <f>+'Informe Seguimiento POA 2021'!P65</f>
        <v>0.24100000000000002</v>
      </c>
      <c r="J111" s="582">
        <f>+'Informe Seguimiento POA 2021'!X65</f>
        <v>0.24100000000000002</v>
      </c>
      <c r="K111" s="564">
        <f t="shared" si="26"/>
        <v>1</v>
      </c>
      <c r="L111" s="564">
        <f t="shared" si="27"/>
        <v>1</v>
      </c>
      <c r="M111" s="564">
        <f>+'Informe Seguimiento POA 2021'!Y65</f>
        <v>0.24100000000000002</v>
      </c>
      <c r="N111" s="587" t="str">
        <f>+'Rango indicadores'!H60</f>
        <v>Mayor o igual A:</v>
      </c>
      <c r="O111" s="580">
        <f>+'Rango indicadores'!I60</f>
        <v>90</v>
      </c>
      <c r="P111" s="580" t="str">
        <f>+'Rango indicadores'!J60</f>
        <v>Desde (&gt;):</v>
      </c>
      <c r="Q111" s="580">
        <f>+'Rango indicadores'!K60</f>
        <v>69</v>
      </c>
      <c r="R111" s="580" t="str">
        <f>+'Rango indicadores'!L60</f>
        <v>Hasta (&lt;):</v>
      </c>
      <c r="S111" s="580">
        <f>+'Rango indicadores'!M60</f>
        <v>90</v>
      </c>
      <c r="T111" s="580" t="str">
        <f>+'Rango indicadores'!N60</f>
        <v>Menor o Igual A:</v>
      </c>
      <c r="U111" s="580">
        <f>+'Rango indicadores'!O60</f>
        <v>69</v>
      </c>
      <c r="V111" s="709" t="s">
        <v>1003</v>
      </c>
      <c r="W111" s="705"/>
    </row>
    <row r="112" spans="2:24" ht="100.2" customHeight="1">
      <c r="B112" s="577">
        <f t="shared" si="25"/>
        <v>60</v>
      </c>
      <c r="C112" s="578" t="str">
        <f>+'Rango indicadores'!D61</f>
        <v>08-RI-05</v>
      </c>
      <c r="D112" s="578" t="str">
        <f>+'Rango indicadores'!E61</f>
        <v>Plan Institucional de Bienestar formulado y ejecutado</v>
      </c>
      <c r="E112" s="582">
        <f>+'Rango indicadores'!Q61</f>
        <v>1</v>
      </c>
      <c r="F112" s="582">
        <f>+'Informe Seguimiento POA 2021'!O66</f>
        <v>0.308</v>
      </c>
      <c r="G112" s="582">
        <f>+'Informe Seguimiento POA 2021'!O66</f>
        <v>0.308</v>
      </c>
      <c r="H112" s="582">
        <f>+'Informe Seguimiento POA 2021'!P66</f>
        <v>0.308</v>
      </c>
      <c r="I112" s="582">
        <f>+'Informe Seguimiento POA 2021'!P66</f>
        <v>0.308</v>
      </c>
      <c r="J112" s="582">
        <f>+'Informe Seguimiento POA 2021'!X66</f>
        <v>0.308</v>
      </c>
      <c r="K112" s="564">
        <f t="shared" si="26"/>
        <v>1</v>
      </c>
      <c r="L112" s="564">
        <f t="shared" si="27"/>
        <v>1</v>
      </c>
      <c r="M112" s="564">
        <f>+'Informe Seguimiento POA 2021'!Y66</f>
        <v>0.308</v>
      </c>
      <c r="N112" s="587" t="str">
        <f>+'Rango indicadores'!H61</f>
        <v>Mayor o igual A:</v>
      </c>
      <c r="O112" s="580">
        <f>+'Rango indicadores'!I61</f>
        <v>90</v>
      </c>
      <c r="P112" s="580" t="str">
        <f>+'Rango indicadores'!J61</f>
        <v>Desde (&gt;):</v>
      </c>
      <c r="Q112" s="580">
        <f>+'Rango indicadores'!K61</f>
        <v>69</v>
      </c>
      <c r="R112" s="580" t="str">
        <f>+'Rango indicadores'!L61</f>
        <v>Hasta (&lt;):</v>
      </c>
      <c r="S112" s="580">
        <f>+'Rango indicadores'!M61</f>
        <v>90</v>
      </c>
      <c r="T112" s="580" t="str">
        <f>+'Rango indicadores'!N61</f>
        <v>Menor o Igual A:</v>
      </c>
      <c r="U112" s="580">
        <f>+'Rango indicadores'!O61</f>
        <v>69</v>
      </c>
      <c r="V112" s="709" t="s">
        <v>1004</v>
      </c>
      <c r="W112" s="705"/>
      <c r="X112" s="599"/>
    </row>
    <row r="113" spans="2:24" ht="125.4" customHeight="1">
      <c r="B113" s="577">
        <f t="shared" si="25"/>
        <v>61</v>
      </c>
      <c r="C113" s="578" t="str">
        <f>+'Rango indicadores'!D62</f>
        <v>08-RI-06</v>
      </c>
      <c r="D113" s="578" t="str">
        <f>+'Rango indicadores'!E62</f>
        <v>Plan Institucional de Incentivos formulado y ejecutado</v>
      </c>
      <c r="E113" s="582">
        <f>+'Rango indicadores'!Q62</f>
        <v>1</v>
      </c>
      <c r="F113" s="582">
        <f>+'Informe Seguimiento POA 2021'!O67</f>
        <v>0.26400000000000001</v>
      </c>
      <c r="G113" s="582">
        <f>+'Informe Seguimiento POA 2021'!O67</f>
        <v>0.26400000000000001</v>
      </c>
      <c r="H113" s="582">
        <f>+'Informe Seguimiento POA 2021'!P67</f>
        <v>0.248</v>
      </c>
      <c r="I113" s="582">
        <f>+'Informe Seguimiento POA 2021'!P67</f>
        <v>0.248</v>
      </c>
      <c r="J113" s="582">
        <f>+'Informe Seguimiento POA 2021'!X67</f>
        <v>0.248</v>
      </c>
      <c r="K113" s="564">
        <f t="shared" si="26"/>
        <v>0.93939393939393934</v>
      </c>
      <c r="L113" s="564">
        <f t="shared" si="27"/>
        <v>0.93939393939393934</v>
      </c>
      <c r="M113" s="564">
        <f>+'Informe Seguimiento POA 2021'!Y67</f>
        <v>0.24824824824824823</v>
      </c>
      <c r="N113" s="587" t="str">
        <f>+'Rango indicadores'!H62</f>
        <v>Mayor o igual A:</v>
      </c>
      <c r="O113" s="580">
        <f>+'Rango indicadores'!I62</f>
        <v>90</v>
      </c>
      <c r="P113" s="580" t="str">
        <f>+'Rango indicadores'!J62</f>
        <v>Desde (&gt;):</v>
      </c>
      <c r="Q113" s="580">
        <f>+'Rango indicadores'!K62</f>
        <v>69</v>
      </c>
      <c r="R113" s="580" t="str">
        <f>+'Rango indicadores'!L62</f>
        <v>Hasta (&lt;):</v>
      </c>
      <c r="S113" s="580">
        <f>+'Rango indicadores'!M62</f>
        <v>90</v>
      </c>
      <c r="T113" s="580" t="str">
        <f>+'Rango indicadores'!N62</f>
        <v>Menor o Igual A:</v>
      </c>
      <c r="U113" s="580">
        <f>+'Rango indicadores'!O62</f>
        <v>69</v>
      </c>
      <c r="V113" s="699" t="s">
        <v>1033</v>
      </c>
      <c r="W113" s="705"/>
      <c r="X113" s="600"/>
    </row>
    <row r="114" spans="2:24" ht="130.19999999999999" customHeight="1">
      <c r="B114" s="577">
        <f t="shared" si="25"/>
        <v>62</v>
      </c>
      <c r="C114" s="578" t="str">
        <f>+'Rango indicadores'!D63</f>
        <v>08-RI-07</v>
      </c>
      <c r="D114" s="578" t="str">
        <f>+'Rango indicadores'!E63</f>
        <v>Plan Anual de Trabajo del Sistema de Gestión de Seguridad y Salud en el Trabajo SG-SST diseñado y ejecutado</v>
      </c>
      <c r="E114" s="582">
        <f>+'Rango indicadores'!Q63</f>
        <v>1</v>
      </c>
      <c r="F114" s="582">
        <f>+'Informe Seguimiento POA 2021'!O68</f>
        <v>0.38924999999999998</v>
      </c>
      <c r="G114" s="582">
        <f>+'Informe Seguimiento POA 2021'!O68</f>
        <v>0.38924999999999998</v>
      </c>
      <c r="H114" s="582">
        <f>+'Informe Seguimiento POA 2021'!P68</f>
        <v>0.38400000000000001</v>
      </c>
      <c r="I114" s="582">
        <f>+'Informe Seguimiento POA 2021'!P68</f>
        <v>0.38400000000000001</v>
      </c>
      <c r="J114" s="582">
        <f>+'Informe Seguimiento POA 2021'!X68</f>
        <v>0.38400000000000001</v>
      </c>
      <c r="K114" s="564">
        <f t="shared" si="26"/>
        <v>0.98651252408477852</v>
      </c>
      <c r="L114" s="564">
        <f t="shared" si="27"/>
        <v>0.98651252408477852</v>
      </c>
      <c r="M114" s="564">
        <f>+'Informe Seguimiento POA 2021'!Y68</f>
        <v>0.38400000000000001</v>
      </c>
      <c r="N114" s="587" t="str">
        <f>+'Rango indicadores'!H63</f>
        <v>Mayor o igual A:</v>
      </c>
      <c r="O114" s="580">
        <f>+'Rango indicadores'!I63</f>
        <v>90</v>
      </c>
      <c r="P114" s="580" t="str">
        <f>+'Rango indicadores'!J63</f>
        <v>Desde (&gt;):</v>
      </c>
      <c r="Q114" s="580">
        <f>+'Rango indicadores'!K63</f>
        <v>69</v>
      </c>
      <c r="R114" s="580" t="str">
        <f>+'Rango indicadores'!L63</f>
        <v>Hasta (&lt;):</v>
      </c>
      <c r="S114" s="580">
        <f>+'Rango indicadores'!M63</f>
        <v>90</v>
      </c>
      <c r="T114" s="580" t="str">
        <f>+'Rango indicadores'!N63</f>
        <v>Menor o Igual A:</v>
      </c>
      <c r="U114" s="580">
        <f>+'Rango indicadores'!O63</f>
        <v>69</v>
      </c>
      <c r="V114" s="699" t="s">
        <v>1034</v>
      </c>
      <c r="W114" s="706"/>
      <c r="X114" s="600"/>
    </row>
    <row r="115" spans="2:24" ht="79.2">
      <c r="B115" s="577">
        <f t="shared" si="25"/>
        <v>63</v>
      </c>
      <c r="C115" s="578" t="str">
        <f>+'Rango indicadores'!D64</f>
        <v>08-RI-08</v>
      </c>
      <c r="D115" s="578" t="str">
        <f>+'Rango indicadores'!E64</f>
        <v>Capacitaciones realizadas sobre los Sistemas de Gestión y Evaluación del Desempeño Laboral de la Personería de Bogotá, D.C.</v>
      </c>
      <c r="E115" s="594">
        <f>+'Rango indicadores'!Q64</f>
        <v>9</v>
      </c>
      <c r="F115" s="594">
        <f>+'Informe Seguimiento POA 2021'!O69</f>
        <v>3</v>
      </c>
      <c r="G115" s="594">
        <f>+'Informe Seguimiento POA 2021'!O69</f>
        <v>3</v>
      </c>
      <c r="H115" s="594">
        <f>+'Informe Seguimiento POA 2021'!P69</f>
        <v>3</v>
      </c>
      <c r="I115" s="594">
        <f>+'Informe Seguimiento POA 2021'!P69</f>
        <v>3</v>
      </c>
      <c r="J115" s="594">
        <f>+'Informe Seguimiento POA 2021'!X69</f>
        <v>3</v>
      </c>
      <c r="K115" s="564">
        <f t="shared" si="26"/>
        <v>1</v>
      </c>
      <c r="L115" s="564">
        <f t="shared" si="27"/>
        <v>1</v>
      </c>
      <c r="M115" s="564">
        <f>+'Informe Seguimiento POA 2021'!Y69</f>
        <v>0.33333333333333331</v>
      </c>
      <c r="N115" s="587" t="str">
        <f>+'Rango indicadores'!H64</f>
        <v>Mayor A:</v>
      </c>
      <c r="O115" s="580">
        <f>+'Rango indicadores'!I64</f>
        <v>100</v>
      </c>
      <c r="P115" s="580" t="str">
        <f>+'Rango indicadores'!J64</f>
        <v>Desde (&gt;=):</v>
      </c>
      <c r="Q115" s="580">
        <f>+'Rango indicadores'!K64</f>
        <v>90</v>
      </c>
      <c r="R115" s="580" t="str">
        <f>+'Rango indicadores'!L64</f>
        <v>Hasta (&lt;=):</v>
      </c>
      <c r="S115" s="580">
        <f>+'Rango indicadores'!M64</f>
        <v>100</v>
      </c>
      <c r="T115" s="580" t="str">
        <f>+'Rango indicadores'!N64</f>
        <v>Menor A:</v>
      </c>
      <c r="U115" s="580">
        <f>+'Rango indicadores'!O64</f>
        <v>90</v>
      </c>
      <c r="V115" s="709" t="s">
        <v>986</v>
      </c>
      <c r="W115" s="705"/>
      <c r="X115" s="600"/>
    </row>
    <row r="116" spans="2:24" ht="15.6">
      <c r="C116" s="826" t="s">
        <v>941</v>
      </c>
      <c r="D116" s="827"/>
      <c r="E116" s="827"/>
      <c r="F116" s="827"/>
      <c r="G116" s="827"/>
      <c r="H116" s="827"/>
      <c r="I116" s="827"/>
      <c r="J116" s="828"/>
      <c r="K116" s="585">
        <f>IFERROR(AVERAGE(K108:K115),0)</f>
        <v>0.99294981878856503</v>
      </c>
      <c r="L116" s="585">
        <f>IFERROR(AVERAGE(L108:L115),0)</f>
        <v>0.99294981878856503</v>
      </c>
      <c r="M116" s="585">
        <f>IFERROR(AVERAGE(M108:M115),0)</f>
        <v>0.25259589357398637</v>
      </c>
      <c r="N116" s="592"/>
      <c r="O116" s="592"/>
      <c r="P116" s="592"/>
      <c r="Q116" s="592"/>
      <c r="R116" s="592"/>
      <c r="S116" s="592"/>
      <c r="T116" s="592"/>
      <c r="U116" s="592"/>
      <c r="V116" s="712"/>
    </row>
    <row r="117" spans="2:24" s="573" customFormat="1">
      <c r="D117" s="575"/>
      <c r="V117" s="575"/>
    </row>
    <row r="118" spans="2:24" s="573" customFormat="1" ht="15.6">
      <c r="C118" s="576" t="s">
        <v>950</v>
      </c>
      <c r="D118" s="610"/>
      <c r="V118" s="575"/>
    </row>
    <row r="119" spans="2:24" ht="29.4" customHeight="1">
      <c r="C119" s="829" t="str">
        <f>+$C$11</f>
        <v>Identifificación del Indicador</v>
      </c>
      <c r="D119" s="842" t="s">
        <v>934</v>
      </c>
      <c r="E119" s="838" t="s">
        <v>935</v>
      </c>
      <c r="F119" s="839"/>
      <c r="G119" s="840"/>
      <c r="H119" s="829" t="s">
        <v>936</v>
      </c>
      <c r="I119" s="841" t="str">
        <f>$I$9</f>
        <v>Ejecución Acumulada Corte
31/03/2021</v>
      </c>
      <c r="J119" s="829" t="s">
        <v>937</v>
      </c>
      <c r="K119" s="829" t="s">
        <v>930</v>
      </c>
      <c r="L119" s="829"/>
      <c r="M119" s="829"/>
      <c r="N119" s="830" t="s">
        <v>780</v>
      </c>
      <c r="O119" s="830"/>
      <c r="P119" s="830"/>
      <c r="Q119" s="830"/>
      <c r="R119" s="830"/>
      <c r="S119" s="830"/>
      <c r="T119" s="830"/>
      <c r="U119" s="830"/>
      <c r="V119" s="829" t="s">
        <v>964</v>
      </c>
    </row>
    <row r="120" spans="2:24" ht="54.6" customHeight="1">
      <c r="C120" s="829"/>
      <c r="D120" s="842"/>
      <c r="E120" s="682" t="str">
        <f>$E$12</f>
        <v>Año 2021</v>
      </c>
      <c r="F120" s="682" t="str">
        <f>$D$5</f>
        <v>Primer Trimestre</v>
      </c>
      <c r="G120" s="683" t="str">
        <f>$G$9</f>
        <v>Acumulada Corte
31/03/2021</v>
      </c>
      <c r="H120" s="829"/>
      <c r="I120" s="841"/>
      <c r="J120" s="829"/>
      <c r="K120" s="682" t="str">
        <f>+$D$5</f>
        <v>Primer Trimestre</v>
      </c>
      <c r="L120" s="683" t="str">
        <f>$L$12</f>
        <v>Acumulado Corte 31/03/2021</v>
      </c>
      <c r="M120" s="682" t="s">
        <v>825</v>
      </c>
      <c r="N120" s="831" t="s">
        <v>939</v>
      </c>
      <c r="O120" s="832"/>
      <c r="P120" s="833" t="s">
        <v>940</v>
      </c>
      <c r="Q120" s="834"/>
      <c r="R120" s="834"/>
      <c r="S120" s="835"/>
      <c r="T120" s="836" t="s">
        <v>788</v>
      </c>
      <c r="U120" s="837"/>
      <c r="V120" s="829"/>
    </row>
    <row r="121" spans="2:24" ht="141.6" customHeight="1">
      <c r="B121" s="577">
        <f>1+B115</f>
        <v>64</v>
      </c>
      <c r="C121" s="578" t="str">
        <f>+'Rango indicadores'!D65</f>
        <v>09-R1-01</v>
      </c>
      <c r="D121" s="578" t="str">
        <f>+'Rango indicadores'!E65</f>
        <v>Porcentaje de servicios atendidos</v>
      </c>
      <c r="E121" s="582">
        <f>+'Rango indicadores'!Q68</f>
        <v>0.95</v>
      </c>
      <c r="F121" s="582">
        <f>+'Informe Seguimiento POA 2021'!O70</f>
        <v>1</v>
      </c>
      <c r="G121" s="582">
        <f>+'Informe Seguimiento POA 2021'!O70</f>
        <v>1</v>
      </c>
      <c r="H121" s="582">
        <f>+'Informe Seguimiento POA 2021'!P70</f>
        <v>0.99633333333333329</v>
      </c>
      <c r="I121" s="582">
        <f>+'Informe Seguimiento POA 2021'!P70</f>
        <v>0.99633333333333329</v>
      </c>
      <c r="J121" s="582">
        <f>+'Informe Seguimiento POA 2021'!X70</f>
        <v>0.996</v>
      </c>
      <c r="K121" s="564">
        <f t="shared" ref="K121:L122" si="28">IF(AND(F121&gt;0),H121/F121,"No programado")</f>
        <v>0.99633333333333329</v>
      </c>
      <c r="L121" s="564">
        <f>IF(AND(G121&gt;0),I121/G121,"No programado")</f>
        <v>0.99633333333333329</v>
      </c>
      <c r="M121" s="564">
        <f>+'Informe Seguimiento POA 2021'!Y70</f>
        <v>0.249</v>
      </c>
      <c r="N121" s="587" t="str">
        <f>+'Rango indicadores'!H68</f>
        <v>Mayor o igual A:</v>
      </c>
      <c r="O121" s="580">
        <f>+'Rango indicadores'!I68</f>
        <v>95</v>
      </c>
      <c r="P121" s="580" t="str">
        <f>+'Rango indicadores'!J68</f>
        <v>Desde (&gt;):</v>
      </c>
      <c r="Q121" s="580">
        <f>+'Rango indicadores'!K68</f>
        <v>90</v>
      </c>
      <c r="R121" s="580" t="str">
        <f>+'Rango indicadores'!L68</f>
        <v>Hasta (&lt;):</v>
      </c>
      <c r="S121" s="580">
        <f>+'Rango indicadores'!M68</f>
        <v>95</v>
      </c>
      <c r="T121" s="580" t="str">
        <f>+'Rango indicadores'!N68</f>
        <v>Menor o Igual A:</v>
      </c>
      <c r="U121" s="580">
        <f>+'Rango indicadores'!O68</f>
        <v>90</v>
      </c>
      <c r="V121" s="699" t="s">
        <v>1035</v>
      </c>
      <c r="W121" s="705"/>
      <c r="X121" s="600"/>
    </row>
    <row r="122" spans="2:24" ht="139.80000000000001" customHeight="1">
      <c r="B122" s="577">
        <f>+B121+1</f>
        <v>65</v>
      </c>
      <c r="C122" s="578" t="str">
        <f>+'Rango indicadores'!D66</f>
        <v>09-R1-02</v>
      </c>
      <c r="D122" s="578" t="str">
        <f>+'Rango indicadores'!E66</f>
        <v>Porcentaje de actividades del PESV ejecutadas</v>
      </c>
      <c r="E122" s="582">
        <f>+'Rango indicadores'!Q69</f>
        <v>1</v>
      </c>
      <c r="F122" s="582">
        <f>+'Informe Seguimiento POA 2021'!O71</f>
        <v>0.97000000000000008</v>
      </c>
      <c r="G122" s="582">
        <f>+'Informe Seguimiento POA 2021'!O71</f>
        <v>0.97000000000000008</v>
      </c>
      <c r="H122" s="582">
        <f>+'Informe Seguimiento POA 2021'!P71</f>
        <v>1</v>
      </c>
      <c r="I122" s="582">
        <f>+'Informe Seguimiento POA 2021'!P71</f>
        <v>1</v>
      </c>
      <c r="J122" s="582">
        <f>+'Informe Seguimiento POA 2021'!X71</f>
        <v>1</v>
      </c>
      <c r="K122" s="564">
        <f t="shared" si="28"/>
        <v>1.0309278350515463</v>
      </c>
      <c r="L122" s="564">
        <f t="shared" si="28"/>
        <v>1.0309278350515463</v>
      </c>
      <c r="M122" s="564">
        <f>+'Informe Seguimiento POA 2021'!Y71</f>
        <v>0.25773195876288657</v>
      </c>
      <c r="N122" s="587" t="str">
        <f>+'Rango indicadores'!H69</f>
        <v>Mayor o igual A:</v>
      </c>
      <c r="O122" s="580">
        <f>+'Rango indicadores'!I69</f>
        <v>100</v>
      </c>
      <c r="P122" s="580" t="str">
        <f>+'Rango indicadores'!J69</f>
        <v>Desde (&gt;):</v>
      </c>
      <c r="Q122" s="580">
        <f>+'Rango indicadores'!K69</f>
        <v>95</v>
      </c>
      <c r="R122" s="580" t="str">
        <f>+'Rango indicadores'!L69</f>
        <v>Hasta (&lt;):</v>
      </c>
      <c r="S122" s="580">
        <f>+'Rango indicadores'!M69</f>
        <v>100</v>
      </c>
      <c r="T122" s="580" t="str">
        <f>+'Rango indicadores'!N69</f>
        <v>Menor o Igual A:</v>
      </c>
      <c r="U122" s="580">
        <f>+'Rango indicadores'!O69</f>
        <v>95</v>
      </c>
      <c r="V122" s="699" t="s">
        <v>1036</v>
      </c>
      <c r="W122" s="705"/>
      <c r="X122" s="600"/>
    </row>
    <row r="123" spans="2:24" ht="15.6">
      <c r="C123" s="826" t="s">
        <v>941</v>
      </c>
      <c r="D123" s="827"/>
      <c r="E123" s="827"/>
      <c r="F123" s="827"/>
      <c r="G123" s="827"/>
      <c r="H123" s="827"/>
      <c r="I123" s="827"/>
      <c r="J123" s="828"/>
      <c r="K123" s="585">
        <f>AVERAGE(K121:K122)</f>
        <v>1.0136305841924398</v>
      </c>
      <c r="L123" s="585">
        <f>AVERAGE(L121:L122)</f>
        <v>1.0136305841924398</v>
      </c>
      <c r="M123" s="585">
        <f>AVERAGE(M121:M122)</f>
        <v>0.25336597938144328</v>
      </c>
      <c r="N123" s="592"/>
      <c r="O123" s="592"/>
      <c r="P123" s="592"/>
      <c r="Q123" s="592"/>
      <c r="R123" s="592"/>
      <c r="S123" s="592"/>
      <c r="T123" s="592"/>
      <c r="U123" s="592"/>
      <c r="V123" s="710"/>
    </row>
    <row r="124" spans="2:24" s="573" customFormat="1">
      <c r="D124" s="575"/>
      <c r="V124" s="575"/>
    </row>
    <row r="125" spans="2:24" s="573" customFormat="1" ht="15.6">
      <c r="C125" s="576" t="s">
        <v>951</v>
      </c>
      <c r="D125" s="610"/>
      <c r="V125" s="575"/>
    </row>
    <row r="126" spans="2:24" ht="35.25" customHeight="1">
      <c r="C126" s="829" t="str">
        <f>+$C$11</f>
        <v>Identifificación del Indicador</v>
      </c>
      <c r="D126" s="842" t="s">
        <v>934</v>
      </c>
      <c r="E126" s="838" t="s">
        <v>935</v>
      </c>
      <c r="F126" s="839"/>
      <c r="G126" s="840"/>
      <c r="H126" s="829" t="s">
        <v>936</v>
      </c>
      <c r="I126" s="841" t="str">
        <f>$I$9</f>
        <v>Ejecución Acumulada Corte
31/03/2021</v>
      </c>
      <c r="J126" s="829" t="s">
        <v>937</v>
      </c>
      <c r="K126" s="829" t="s">
        <v>930</v>
      </c>
      <c r="L126" s="829"/>
      <c r="M126" s="829"/>
      <c r="N126" s="830" t="s">
        <v>780</v>
      </c>
      <c r="O126" s="830"/>
      <c r="P126" s="830"/>
      <c r="Q126" s="830"/>
      <c r="R126" s="830"/>
      <c r="S126" s="830"/>
      <c r="T126" s="830"/>
      <c r="U126" s="830"/>
      <c r="V126" s="829" t="s">
        <v>964</v>
      </c>
    </row>
    <row r="127" spans="2:24" ht="61.5" customHeight="1">
      <c r="C127" s="829"/>
      <c r="D127" s="842"/>
      <c r="E127" s="682" t="str">
        <f>$E$12</f>
        <v>Año 2021</v>
      </c>
      <c r="F127" s="682" t="str">
        <f>$D$5</f>
        <v>Primer Trimestre</v>
      </c>
      <c r="G127" s="683" t="str">
        <f>$G$9</f>
        <v>Acumulada Corte
31/03/2021</v>
      </c>
      <c r="H127" s="829"/>
      <c r="I127" s="841"/>
      <c r="J127" s="829"/>
      <c r="K127" s="682" t="str">
        <f>+$D$5</f>
        <v>Primer Trimestre</v>
      </c>
      <c r="L127" s="683" t="str">
        <f>$L$12</f>
        <v>Acumulado Corte 31/03/2021</v>
      </c>
      <c r="M127" s="682" t="s">
        <v>825</v>
      </c>
      <c r="N127" s="831" t="s">
        <v>939</v>
      </c>
      <c r="O127" s="832"/>
      <c r="P127" s="833" t="s">
        <v>940</v>
      </c>
      <c r="Q127" s="834"/>
      <c r="R127" s="834"/>
      <c r="S127" s="835"/>
      <c r="T127" s="836" t="s">
        <v>788</v>
      </c>
      <c r="U127" s="837"/>
      <c r="V127" s="829"/>
    </row>
    <row r="128" spans="2:24" ht="122.4" customHeight="1">
      <c r="B128" s="577">
        <f>+B122+1</f>
        <v>66</v>
      </c>
      <c r="C128" s="578" t="str">
        <f>+'Rango indicadores'!D67</f>
        <v>10-R1-01</v>
      </c>
      <c r="D128" s="578" t="str">
        <f>+'Rango indicadores'!E67</f>
        <v>Porcentaje del presupuesto aprobado y ejecutado.</v>
      </c>
      <c r="E128" s="582">
        <f>+'Rango indicadores'!Q67</f>
        <v>0.95</v>
      </c>
      <c r="F128" s="582">
        <f>+'Informe Seguimiento POA 2021'!O72</f>
        <v>0.22000000000000003</v>
      </c>
      <c r="G128" s="582">
        <f>+'Informe Seguimiento POA 2021'!O72</f>
        <v>0.22000000000000003</v>
      </c>
      <c r="H128" s="582">
        <f>+'Informe Seguimiento POA 2021'!P72</f>
        <v>0.20400000000000001</v>
      </c>
      <c r="I128" s="582">
        <f>+'Informe Seguimiento POA 2021'!P72</f>
        <v>0.20400000000000001</v>
      </c>
      <c r="J128" s="582">
        <f>+'Informe Seguimiento POA 2021'!X72</f>
        <v>0.20400000000000001</v>
      </c>
      <c r="K128" s="602">
        <f>IF(AND(F128&gt;0),H128/F128,"No programado")</f>
        <v>0.92727272727272725</v>
      </c>
      <c r="L128" s="602">
        <f>IF(AND(G128&gt;0),I128/G128,"No programado")</f>
        <v>0.92727272727272725</v>
      </c>
      <c r="M128" s="602">
        <f>+'Informe Seguimiento POA 2021'!Y72</f>
        <v>0.21473684210526317</v>
      </c>
      <c r="N128" s="587" t="str">
        <f>+'Rango indicadores'!H67</f>
        <v>Mayor o igual A:</v>
      </c>
      <c r="O128" s="580">
        <f>+'Rango indicadores'!I67</f>
        <v>95</v>
      </c>
      <c r="P128" s="580" t="str">
        <f>+'Rango indicadores'!J67</f>
        <v>Desde (&gt;):</v>
      </c>
      <c r="Q128" s="580">
        <f>+'Rango indicadores'!K67</f>
        <v>90</v>
      </c>
      <c r="R128" s="580" t="str">
        <f>+'Rango indicadores'!L67</f>
        <v>Hasta (&lt;):</v>
      </c>
      <c r="S128" s="580">
        <f>+'Rango indicadores'!M67</f>
        <v>95</v>
      </c>
      <c r="T128" s="580" t="str">
        <f>+'Rango indicadores'!N67</f>
        <v>Menor o Igual A:</v>
      </c>
      <c r="U128" s="580">
        <f>+'Rango indicadores'!O67</f>
        <v>90</v>
      </c>
      <c r="V128" s="699" t="s">
        <v>1037</v>
      </c>
      <c r="W128" s="705"/>
      <c r="X128" s="599"/>
    </row>
    <row r="129" spans="2:24" ht="145.19999999999999">
      <c r="B129" s="577">
        <f>+B128+1</f>
        <v>67</v>
      </c>
      <c r="C129" s="578" t="str">
        <f>+'Rango indicadores'!D68</f>
        <v>10-R1-02</v>
      </c>
      <c r="D129" s="578" t="str">
        <f>+'Rango indicadores'!E68</f>
        <v>Porcentaje de los compromisos de pago programados y ejecutados.</v>
      </c>
      <c r="E129" s="582">
        <f>+'Rango indicadores'!Q68</f>
        <v>0.95</v>
      </c>
      <c r="F129" s="582">
        <f>+'Informe Seguimiento POA 2021'!O73</f>
        <v>0.14000000000000001</v>
      </c>
      <c r="G129" s="582">
        <f>+'Informe Seguimiento POA 2021'!O73</f>
        <v>0.14000000000000001</v>
      </c>
      <c r="H129" s="582">
        <f>+'Informe Seguimiento POA 2021'!P73</f>
        <v>9.7397917127575201E-2</v>
      </c>
      <c r="I129" s="582">
        <f>+'Informe Seguimiento POA 2021'!P73</f>
        <v>9.7397917127575201E-2</v>
      </c>
      <c r="J129" s="582">
        <f>+'Informe Seguimiento POA 2021'!X73</f>
        <v>9.7397917127575201E-2</v>
      </c>
      <c r="K129" s="602">
        <f t="shared" ref="K129:K130" si="29">IF(AND(F129&gt;0),H129/F129,"No programado")</f>
        <v>0.69569940805410846</v>
      </c>
      <c r="L129" s="602">
        <f t="shared" ref="L129:L130" si="30">IF(AND(G129&gt;0),I129/G129,"No programado")</f>
        <v>0.69569940805410846</v>
      </c>
      <c r="M129" s="602">
        <f>+'Informe Seguimiento POA 2021'!Y73</f>
        <v>0.10252412329218441</v>
      </c>
      <c r="N129" s="587" t="str">
        <f>+'Rango indicadores'!H68</f>
        <v>Mayor o igual A:</v>
      </c>
      <c r="O129" s="580">
        <f>+'Rango indicadores'!I68</f>
        <v>95</v>
      </c>
      <c r="P129" s="580" t="str">
        <f>+'Rango indicadores'!J68</f>
        <v>Desde (&gt;):</v>
      </c>
      <c r="Q129" s="580">
        <f>+'Rango indicadores'!K68</f>
        <v>90</v>
      </c>
      <c r="R129" s="580" t="str">
        <f>+'Rango indicadores'!L68</f>
        <v>Hasta (&lt;):</v>
      </c>
      <c r="S129" s="580">
        <f>+'Rango indicadores'!M68</f>
        <v>95</v>
      </c>
      <c r="T129" s="580" t="str">
        <f>+'Rango indicadores'!N68</f>
        <v>Menor o Igual A:</v>
      </c>
      <c r="U129" s="580">
        <f>+'Rango indicadores'!O68</f>
        <v>90</v>
      </c>
      <c r="V129" s="699" t="s">
        <v>1018</v>
      </c>
      <c r="W129" s="705"/>
      <c r="X129" s="599"/>
    </row>
    <row r="130" spans="2:24" ht="79.2">
      <c r="B130" s="577">
        <f>+B129+1</f>
        <v>68</v>
      </c>
      <c r="C130" s="578" t="str">
        <f>+'Rango indicadores'!D69</f>
        <v>10-R1-03</v>
      </c>
      <c r="D130" s="578" t="str">
        <f>+'Rango indicadores'!E69</f>
        <v>Porcentaje de estados financieros de la Entidad elaborados y presentados.</v>
      </c>
      <c r="E130" s="582">
        <f>+'Rango indicadores'!Q69</f>
        <v>1</v>
      </c>
      <c r="F130" s="582">
        <f>+'Informe Seguimiento POA 2021'!O74</f>
        <v>0.25</v>
      </c>
      <c r="G130" s="582">
        <f>+'Informe Seguimiento POA 2021'!O74</f>
        <v>0.25</v>
      </c>
      <c r="H130" s="582">
        <f>+'Informe Seguimiento POA 2021'!P74</f>
        <v>0.25</v>
      </c>
      <c r="I130" s="582">
        <f>+'Informe Seguimiento POA 2021'!P74</f>
        <v>0.25</v>
      </c>
      <c r="J130" s="582">
        <f>+'Informe Seguimiento POA 2021'!X74</f>
        <v>0.25</v>
      </c>
      <c r="K130" s="602">
        <f t="shared" si="29"/>
        <v>1</v>
      </c>
      <c r="L130" s="602">
        <f t="shared" si="30"/>
        <v>1</v>
      </c>
      <c r="M130" s="602">
        <f>+'Informe Seguimiento POA 2021'!Y74</f>
        <v>0.25</v>
      </c>
      <c r="N130" s="587" t="str">
        <f>+'Rango indicadores'!H69</f>
        <v>Mayor o igual A:</v>
      </c>
      <c r="O130" s="580">
        <f>+'Rango indicadores'!I69</f>
        <v>100</v>
      </c>
      <c r="P130" s="580" t="str">
        <f>+'Rango indicadores'!J69</f>
        <v>Desde (&gt;):</v>
      </c>
      <c r="Q130" s="580">
        <f>+'Rango indicadores'!K69</f>
        <v>95</v>
      </c>
      <c r="R130" s="580" t="str">
        <f>+'Rango indicadores'!L69</f>
        <v>Hasta (&lt;):</v>
      </c>
      <c r="S130" s="580">
        <f>+'Rango indicadores'!M69</f>
        <v>100</v>
      </c>
      <c r="T130" s="580" t="str">
        <f>+'Rango indicadores'!N69</f>
        <v>Menor o Igual A:</v>
      </c>
      <c r="U130" s="580">
        <f>+'Rango indicadores'!O69</f>
        <v>95</v>
      </c>
      <c r="V130" s="709" t="s">
        <v>1009</v>
      </c>
      <c r="W130" s="705"/>
      <c r="X130" s="599"/>
    </row>
    <row r="131" spans="2:24" ht="15.6">
      <c r="C131" s="826" t="s">
        <v>941</v>
      </c>
      <c r="D131" s="827"/>
      <c r="E131" s="827"/>
      <c r="F131" s="827"/>
      <c r="G131" s="827"/>
      <c r="H131" s="827"/>
      <c r="I131" s="827"/>
      <c r="J131" s="828"/>
      <c r="K131" s="603">
        <f>IFERROR(AVERAGE(K128:K128),0)</f>
        <v>0.92727272727272725</v>
      </c>
      <c r="L131" s="603">
        <f>IFERROR(AVERAGE(L128:L128),0)</f>
        <v>0.92727272727272725</v>
      </c>
      <c r="M131" s="603">
        <f>IFERROR(AVERAGE(M128:M128),0)</f>
        <v>0.21473684210526317</v>
      </c>
      <c r="N131" s="592"/>
      <c r="O131" s="592"/>
      <c r="P131" s="592"/>
      <c r="Q131" s="592"/>
      <c r="R131" s="592"/>
      <c r="S131" s="592"/>
      <c r="T131" s="592"/>
      <c r="U131" s="592"/>
      <c r="V131" s="710"/>
    </row>
    <row r="132" spans="2:24" s="573" customFormat="1">
      <c r="D132" s="575"/>
      <c r="V132" s="575"/>
    </row>
    <row r="133" spans="2:24" s="573" customFormat="1" ht="15.6">
      <c r="C133" s="576" t="s">
        <v>952</v>
      </c>
      <c r="D133" s="610"/>
      <c r="V133" s="575"/>
    </row>
    <row r="134" spans="2:24" ht="36.75" customHeight="1">
      <c r="C134" s="829" t="str">
        <f>+$C$11</f>
        <v>Identifificación del Indicador</v>
      </c>
      <c r="D134" s="842" t="s">
        <v>934</v>
      </c>
      <c r="E134" s="838" t="s">
        <v>935</v>
      </c>
      <c r="F134" s="839"/>
      <c r="G134" s="840"/>
      <c r="H134" s="829" t="s">
        <v>936</v>
      </c>
      <c r="I134" s="841" t="str">
        <f>$I$9</f>
        <v>Ejecución Acumulada Corte
31/03/2021</v>
      </c>
      <c r="J134" s="829" t="s">
        <v>937</v>
      </c>
      <c r="K134" s="829" t="s">
        <v>930</v>
      </c>
      <c r="L134" s="829"/>
      <c r="M134" s="829"/>
      <c r="N134" s="830" t="s">
        <v>780</v>
      </c>
      <c r="O134" s="830"/>
      <c r="P134" s="830"/>
      <c r="Q134" s="830"/>
      <c r="R134" s="830"/>
      <c r="S134" s="830"/>
      <c r="T134" s="830"/>
      <c r="U134" s="830"/>
      <c r="V134" s="829" t="s">
        <v>964</v>
      </c>
    </row>
    <row r="135" spans="2:24" ht="60.75" customHeight="1">
      <c r="C135" s="829"/>
      <c r="D135" s="842"/>
      <c r="E135" s="682" t="str">
        <f>$E$12</f>
        <v>Año 2021</v>
      </c>
      <c r="F135" s="682" t="str">
        <f>$D$5</f>
        <v>Primer Trimestre</v>
      </c>
      <c r="G135" s="683" t="str">
        <f>$G$9</f>
        <v>Acumulada Corte
31/03/2021</v>
      </c>
      <c r="H135" s="829"/>
      <c r="I135" s="841"/>
      <c r="J135" s="829"/>
      <c r="K135" s="682" t="str">
        <f>+$D$5</f>
        <v>Primer Trimestre</v>
      </c>
      <c r="L135" s="683" t="str">
        <f>$L$12</f>
        <v>Acumulado Corte 31/03/2021</v>
      </c>
      <c r="M135" s="682" t="s">
        <v>825</v>
      </c>
      <c r="N135" s="831" t="s">
        <v>939</v>
      </c>
      <c r="O135" s="832"/>
      <c r="P135" s="833" t="s">
        <v>940</v>
      </c>
      <c r="Q135" s="834"/>
      <c r="R135" s="834"/>
      <c r="S135" s="835"/>
      <c r="T135" s="836" t="s">
        <v>788</v>
      </c>
      <c r="U135" s="837"/>
      <c r="V135" s="829"/>
    </row>
    <row r="136" spans="2:24" ht="145.19999999999999">
      <c r="B136" s="577">
        <f>+B130+1</f>
        <v>69</v>
      </c>
      <c r="C136" s="604" t="str">
        <f>+'Rango indicadores'!D70</f>
        <v>11-RI-01</v>
      </c>
      <c r="D136" s="604" t="str">
        <f>+'Rango indicadores'!E70</f>
        <v xml:space="preserve">Porcentaje del Plan Anual de Adquisiciones ejecutado </v>
      </c>
      <c r="E136" s="564">
        <f>+'Rango indicadores'!Q70</f>
        <v>0.95</v>
      </c>
      <c r="F136" s="564">
        <f>+'Informe Seguimiento POA 2021'!O75</f>
        <v>0.56999999999999995</v>
      </c>
      <c r="G136" s="582">
        <f>+'Informe Seguimiento POA 2021'!O75</f>
        <v>0.56999999999999995</v>
      </c>
      <c r="H136" s="564">
        <f>+'Informe Seguimiento POA 2021'!P75</f>
        <v>0.33</v>
      </c>
      <c r="I136" s="564">
        <f>+'Informe Seguimiento POA 2021'!P75</f>
        <v>0.33</v>
      </c>
      <c r="J136" s="564">
        <f>+'Informe Seguimiento POA 2021'!X75</f>
        <v>0.33</v>
      </c>
      <c r="K136" s="564">
        <f>IF(AND(F136&gt;0),H136/F136,"No programado")</f>
        <v>0.57894736842105265</v>
      </c>
      <c r="L136" s="564">
        <f>IF(AND(G136&gt;0),I136/G136,"No programado")</f>
        <v>0.57894736842105265</v>
      </c>
      <c r="M136" s="564">
        <f>+'Informe Seguimiento POA 2021'!Y75</f>
        <v>0.3473684210526316</v>
      </c>
      <c r="N136" s="587" t="str">
        <f>+'Rango indicadores'!H70</f>
        <v>Mayor o igual A:</v>
      </c>
      <c r="O136" s="580">
        <f>+'Rango indicadores'!I70</f>
        <v>95</v>
      </c>
      <c r="P136" s="580" t="str">
        <f>+'Rango indicadores'!J70</f>
        <v>Desde (&gt;):</v>
      </c>
      <c r="Q136" s="580">
        <f>+'Rango indicadores'!K70</f>
        <v>90</v>
      </c>
      <c r="R136" s="580" t="str">
        <f>+'Rango indicadores'!L70</f>
        <v>Hasta (&lt;):</v>
      </c>
      <c r="S136" s="580">
        <f>+'Rango indicadores'!M70</f>
        <v>95</v>
      </c>
      <c r="T136" s="580" t="str">
        <f>+'Rango indicadores'!N70</f>
        <v>Menor o Igual A:</v>
      </c>
      <c r="U136" s="580">
        <f>+'Rango indicadores'!O70</f>
        <v>90</v>
      </c>
      <c r="V136" s="699" t="s">
        <v>1019</v>
      </c>
      <c r="W136" s="705"/>
    </row>
    <row r="137" spans="2:24" ht="15.6">
      <c r="C137" s="826" t="s">
        <v>941</v>
      </c>
      <c r="D137" s="827"/>
      <c r="E137" s="827"/>
      <c r="F137" s="827"/>
      <c r="G137" s="827"/>
      <c r="H137" s="827"/>
      <c r="I137" s="827"/>
      <c r="J137" s="828"/>
      <c r="K137" s="585">
        <f>IFERROR(AVERAGE(K136:K136),0)</f>
        <v>0.57894736842105265</v>
      </c>
      <c r="L137" s="585">
        <f>IFERROR(AVERAGE(L136:L136),0)</f>
        <v>0.57894736842105265</v>
      </c>
      <c r="M137" s="585">
        <f>AVERAGE(M136:M136)</f>
        <v>0.3473684210526316</v>
      </c>
      <c r="N137" s="592"/>
      <c r="O137" s="592"/>
      <c r="P137" s="592"/>
      <c r="Q137" s="592"/>
      <c r="R137" s="592"/>
      <c r="S137" s="592"/>
      <c r="T137" s="592"/>
      <c r="U137" s="592"/>
      <c r="V137" s="710"/>
      <c r="W137" s="599"/>
      <c r="X137" s="599"/>
    </row>
    <row r="138" spans="2:24" s="573" customFormat="1">
      <c r="D138" s="575"/>
      <c r="V138" s="575"/>
    </row>
    <row r="139" spans="2:24" s="573" customFormat="1" ht="15.6">
      <c r="C139" s="576" t="s">
        <v>953</v>
      </c>
      <c r="D139" s="610"/>
      <c r="V139" s="575"/>
    </row>
    <row r="140" spans="2:24" ht="33" customHeight="1">
      <c r="C140" s="829" t="str">
        <f>+$C$11</f>
        <v>Identifificación del Indicador</v>
      </c>
      <c r="D140" s="842" t="s">
        <v>934</v>
      </c>
      <c r="E140" s="838" t="s">
        <v>935</v>
      </c>
      <c r="F140" s="839"/>
      <c r="G140" s="840"/>
      <c r="H140" s="829" t="s">
        <v>936</v>
      </c>
      <c r="I140" s="841" t="str">
        <f>$I$9</f>
        <v>Ejecución Acumulada Corte
31/03/2021</v>
      </c>
      <c r="J140" s="829" t="s">
        <v>937</v>
      </c>
      <c r="K140" s="829" t="s">
        <v>930</v>
      </c>
      <c r="L140" s="829"/>
      <c r="M140" s="829"/>
      <c r="N140" s="830" t="s">
        <v>780</v>
      </c>
      <c r="O140" s="830"/>
      <c r="P140" s="830"/>
      <c r="Q140" s="830"/>
      <c r="R140" s="830"/>
      <c r="S140" s="830"/>
      <c r="T140" s="830"/>
      <c r="U140" s="830"/>
      <c r="V140" s="829" t="s">
        <v>964</v>
      </c>
    </row>
    <row r="141" spans="2:24" ht="75" customHeight="1">
      <c r="C141" s="829"/>
      <c r="D141" s="842"/>
      <c r="E141" s="682" t="str">
        <f>$E$12</f>
        <v>Año 2021</v>
      </c>
      <c r="F141" s="682" t="str">
        <f>$D$5</f>
        <v>Primer Trimestre</v>
      </c>
      <c r="G141" s="683" t="str">
        <f>$G$9</f>
        <v>Acumulada Corte
31/03/2021</v>
      </c>
      <c r="H141" s="829"/>
      <c r="I141" s="841"/>
      <c r="J141" s="829"/>
      <c r="K141" s="682" t="str">
        <f>+$D$5</f>
        <v>Primer Trimestre</v>
      </c>
      <c r="L141" s="683" t="str">
        <f>$L$12</f>
        <v>Acumulado Corte 31/03/2021</v>
      </c>
      <c r="M141" s="682" t="s">
        <v>825</v>
      </c>
      <c r="N141" s="831" t="s">
        <v>939</v>
      </c>
      <c r="O141" s="832"/>
      <c r="P141" s="833" t="s">
        <v>940</v>
      </c>
      <c r="Q141" s="834"/>
      <c r="R141" s="834"/>
      <c r="S141" s="835"/>
      <c r="T141" s="836" t="s">
        <v>788</v>
      </c>
      <c r="U141" s="837"/>
      <c r="V141" s="829"/>
    </row>
    <row r="142" spans="2:24" ht="139.80000000000001" customHeight="1">
      <c r="B142" s="577">
        <f>+B136+1</f>
        <v>70</v>
      </c>
      <c r="C142" s="578" t="str">
        <f>+'Rango indicadores'!D71</f>
        <v>12-RI-01</v>
      </c>
      <c r="D142" s="578" t="str">
        <f>+'Rango indicadores'!E71</f>
        <v>Porcentaje de Comunicaciones oficiales con reparto realizado dentro de los 3 días hábiles desde su radicación</v>
      </c>
      <c r="E142" s="582">
        <f>+'Rango indicadores'!Q71</f>
        <v>0.95</v>
      </c>
      <c r="F142" s="582">
        <f>+'Informe Seguimiento POA 2021'!O76</f>
        <v>0.94999999999999984</v>
      </c>
      <c r="G142" s="582">
        <f>+'Informe Seguimiento POA 2021'!O76</f>
        <v>0.94999999999999984</v>
      </c>
      <c r="H142" s="582">
        <f>+'Informe Seguimiento POA 2021'!P76</f>
        <v>0.96200000000000008</v>
      </c>
      <c r="I142" s="582">
        <f>+'Informe Seguimiento POA 2021'!P76</f>
        <v>0.96200000000000008</v>
      </c>
      <c r="J142" s="582">
        <f>+'Informe Seguimiento POA 2021'!X76</f>
        <v>0.96199999999999997</v>
      </c>
      <c r="K142" s="564">
        <f t="shared" ref="K142:L144" si="31">IF(AND(F142&gt;0),H142/F142,"No programado")</f>
        <v>1.0126315789473688</v>
      </c>
      <c r="L142" s="564">
        <f t="shared" si="31"/>
        <v>1.0126315789473688</v>
      </c>
      <c r="M142" s="564">
        <f>+'Informe Seguimiento POA 2021'!Y76</f>
        <v>0.25315789473684214</v>
      </c>
      <c r="N142" s="587" t="str">
        <f>+'Rango indicadores'!H71</f>
        <v>Mayor A:</v>
      </c>
      <c r="O142" s="580">
        <f>+'Rango indicadores'!I71</f>
        <v>95</v>
      </c>
      <c r="P142" s="580" t="str">
        <f>+'Rango indicadores'!J71</f>
        <v>Desde (&gt;=):</v>
      </c>
      <c r="Q142" s="580">
        <f>+'Rango indicadores'!K71</f>
        <v>90</v>
      </c>
      <c r="R142" s="580" t="str">
        <f>+'Rango indicadores'!L71</f>
        <v>Hasta (&lt;=):</v>
      </c>
      <c r="S142" s="580">
        <f>+'Rango indicadores'!M71</f>
        <v>95</v>
      </c>
      <c r="T142" s="580" t="str">
        <f>+'Rango indicadores'!N71</f>
        <v>Menor A:</v>
      </c>
      <c r="U142" s="580">
        <f>+'Rango indicadores'!O71</f>
        <v>90</v>
      </c>
      <c r="V142" s="699" t="s">
        <v>1038</v>
      </c>
      <c r="W142" s="705"/>
    </row>
    <row r="143" spans="2:24" ht="92.4">
      <c r="B143" s="577">
        <f>B142+1</f>
        <v>71</v>
      </c>
      <c r="C143" s="578" t="str">
        <f>+'Rango indicadores'!D72</f>
        <v>12-RI-02</v>
      </c>
      <c r="D143" s="578" t="str">
        <f>+'Rango indicadores'!E72</f>
        <v>Porcentaje de documentación incorporada en el archivo central durante la vigencia.</v>
      </c>
      <c r="E143" s="582">
        <f>+'Rango indicadores'!Q72</f>
        <v>0.8</v>
      </c>
      <c r="F143" s="582">
        <f>+'Informe Seguimiento POA 2021'!O77</f>
        <v>0.80000000000000016</v>
      </c>
      <c r="G143" s="582">
        <f>+'Informe Seguimiento POA 2021'!O77</f>
        <v>0.80000000000000016</v>
      </c>
      <c r="H143" s="582">
        <f>+'Informe Seguimiento POA 2021'!P77</f>
        <v>0.80000000000000016</v>
      </c>
      <c r="I143" s="582">
        <f>+'Informe Seguimiento POA 2021'!P77</f>
        <v>0.80000000000000016</v>
      </c>
      <c r="J143" s="582">
        <f>+'Informe Seguimiento POA 2021'!X77</f>
        <v>0.8</v>
      </c>
      <c r="K143" s="564">
        <f t="shared" si="31"/>
        <v>1</v>
      </c>
      <c r="L143" s="564">
        <f t="shared" si="31"/>
        <v>1</v>
      </c>
      <c r="M143" s="564">
        <f>+'Informe Seguimiento POA 2021'!Y77</f>
        <v>0.25000000000000006</v>
      </c>
      <c r="N143" s="587" t="str">
        <f>+'Rango indicadores'!H72</f>
        <v>Mayor A:</v>
      </c>
      <c r="O143" s="580">
        <f>+'Rango indicadores'!I72</f>
        <v>100</v>
      </c>
      <c r="P143" s="580" t="str">
        <f>+'Rango indicadores'!J72</f>
        <v>Desde (&gt;=):</v>
      </c>
      <c r="Q143" s="580">
        <f>+'Rango indicadores'!K72</f>
        <v>93</v>
      </c>
      <c r="R143" s="580" t="str">
        <f>+'Rango indicadores'!L72</f>
        <v>Hasta (&lt;=):</v>
      </c>
      <c r="S143" s="580">
        <f>+'Rango indicadores'!M72</f>
        <v>100</v>
      </c>
      <c r="T143" s="580" t="str">
        <f>+'Rango indicadores'!N72</f>
        <v>Menor A:</v>
      </c>
      <c r="U143" s="580">
        <f>+'Rango indicadores'!O72</f>
        <v>93</v>
      </c>
      <c r="V143" s="709" t="s">
        <v>1020</v>
      </c>
      <c r="W143" s="705"/>
    </row>
    <row r="144" spans="2:24" ht="123" customHeight="1">
      <c r="B144" s="577">
        <f>B143+1</f>
        <v>72</v>
      </c>
      <c r="C144" s="578" t="str">
        <f>+'Rango indicadores'!D73</f>
        <v>12-RI-03</v>
      </c>
      <c r="D144" s="578" t="str">
        <f>+'Rango indicadores'!E73</f>
        <v>Cantidad de actividades realizadas por año para el diseño, actualización o ajuste de los instrumentos archivísticos establecidos por norma</v>
      </c>
      <c r="E144" s="594">
        <f>+'Rango indicadores'!Q73</f>
        <v>25</v>
      </c>
      <c r="F144" s="594">
        <f>+'Informe Seguimiento POA 2021'!O78</f>
        <v>5</v>
      </c>
      <c r="G144" s="594">
        <f>+'Informe Seguimiento POA 2021'!O78</f>
        <v>5</v>
      </c>
      <c r="H144" s="594">
        <f>+'Informe Seguimiento POA 2021'!P78</f>
        <v>7</v>
      </c>
      <c r="I144" s="594">
        <f>+'Informe Seguimiento POA 2021'!P78</f>
        <v>7</v>
      </c>
      <c r="J144" s="594">
        <f>+'Informe Seguimiento POA 2021'!X78</f>
        <v>7</v>
      </c>
      <c r="K144" s="564">
        <f t="shared" si="31"/>
        <v>1.4</v>
      </c>
      <c r="L144" s="564">
        <f t="shared" si="31"/>
        <v>1.4</v>
      </c>
      <c r="M144" s="564">
        <f>+'Informe Seguimiento POA 2021'!Y78</f>
        <v>0.28000000000000003</v>
      </c>
      <c r="N144" s="587" t="str">
        <f>+'Rango indicadores'!H73</f>
        <v>Mayor o igual A:</v>
      </c>
      <c r="O144" s="580">
        <f>+'Rango indicadores'!I73</f>
        <v>100</v>
      </c>
      <c r="P144" s="580" t="str">
        <f>+'Rango indicadores'!J73</f>
        <v>Desde (&gt;):</v>
      </c>
      <c r="Q144" s="580">
        <f>+'Rango indicadores'!K73</f>
        <v>80</v>
      </c>
      <c r="R144" s="580" t="str">
        <f>+'Rango indicadores'!L73</f>
        <v>Hasta (&lt;):</v>
      </c>
      <c r="S144" s="580">
        <f>+'Rango indicadores'!M73</f>
        <v>100</v>
      </c>
      <c r="T144" s="580" t="str">
        <f>+'Rango indicadores'!N73</f>
        <v>Menor o Igual A:</v>
      </c>
      <c r="U144" s="580">
        <f>+'Rango indicadores'!O73</f>
        <v>80</v>
      </c>
      <c r="V144" s="699" t="s">
        <v>1021</v>
      </c>
      <c r="W144" s="707"/>
    </row>
    <row r="145" spans="2:24" ht="145.19999999999999">
      <c r="B145" s="577">
        <f>B143+1</f>
        <v>72</v>
      </c>
      <c r="C145" s="578" t="str">
        <f>+'Rango indicadores'!D74</f>
        <v>12-RI-04</v>
      </c>
      <c r="D145" s="578" t="str">
        <f>+'Rango indicadores'!E74</f>
        <v>Cantidad de actividades realizadas por año para implementación de los instrumentos archivísticos establecidos por norma, y de herramientas de apoyo a la gestión documental.</v>
      </c>
      <c r="E145" s="594">
        <f>+'Rango indicadores'!Q74</f>
        <v>25</v>
      </c>
      <c r="F145" s="594">
        <f>+'Informe Seguimiento POA 2021'!O79</f>
        <v>5</v>
      </c>
      <c r="G145" s="594">
        <f>+'Informe Seguimiento POA 2021'!O79</f>
        <v>5</v>
      </c>
      <c r="H145" s="594">
        <f>+'Informe Seguimiento POA 2021'!P79</f>
        <v>6</v>
      </c>
      <c r="I145" s="594">
        <f>+'Informe Seguimiento POA 2021'!P79</f>
        <v>6</v>
      </c>
      <c r="J145" s="594">
        <f>+'Informe Seguimiento POA 2021'!X79</f>
        <v>6</v>
      </c>
      <c r="K145" s="564">
        <f>IF(AND(F145&gt;0),H145/F145,"No programado")</f>
        <v>1.2</v>
      </c>
      <c r="L145" s="564">
        <f t="shared" ref="L145" si="32">IF(AND(G145&gt;0),I145/G145,"No programado")</f>
        <v>1.2</v>
      </c>
      <c r="M145" s="564">
        <f>+'Informe Seguimiento POA 2021'!Y79</f>
        <v>0.24</v>
      </c>
      <c r="N145" s="587" t="str">
        <f>+'Rango indicadores'!H74</f>
        <v>Mayor o igual A:</v>
      </c>
      <c r="O145" s="580">
        <f>+'Rango indicadores'!I74</f>
        <v>100</v>
      </c>
      <c r="P145" s="580" t="str">
        <f>+'Rango indicadores'!J74</f>
        <v>Desde (&gt;):</v>
      </c>
      <c r="Q145" s="580">
        <f>+'Rango indicadores'!K74</f>
        <v>80</v>
      </c>
      <c r="R145" s="580" t="str">
        <f>+'Rango indicadores'!L74</f>
        <v>Hasta (&lt;):</v>
      </c>
      <c r="S145" s="580">
        <f>+'Rango indicadores'!M74</f>
        <v>100</v>
      </c>
      <c r="T145" s="580" t="str">
        <f>+'Rango indicadores'!N74</f>
        <v>Menor o Igual A:</v>
      </c>
      <c r="U145" s="580">
        <f>+'Rango indicadores'!O74</f>
        <v>80</v>
      </c>
      <c r="V145" s="699" t="s">
        <v>1022</v>
      </c>
      <c r="W145" s="707"/>
      <c r="X145" s="601"/>
    </row>
    <row r="146" spans="2:24" ht="15.6">
      <c r="C146" s="826" t="s">
        <v>941</v>
      </c>
      <c r="D146" s="827"/>
      <c r="E146" s="827"/>
      <c r="F146" s="827"/>
      <c r="G146" s="827"/>
      <c r="H146" s="827"/>
      <c r="I146" s="827"/>
      <c r="J146" s="828"/>
      <c r="K146" s="585">
        <f>IFERROR(AVERAGE(K142:K145),0)</f>
        <v>1.1531578947368422</v>
      </c>
      <c r="L146" s="585">
        <f>IFERROR(AVERAGE(L142:L145),0)</f>
        <v>1.1531578947368422</v>
      </c>
      <c r="M146" s="585">
        <f>IFERROR(AVERAGE(M142:M145),0)</f>
        <v>0.25578947368421057</v>
      </c>
      <c r="N146" s="592"/>
      <c r="O146" s="592"/>
      <c r="P146" s="592"/>
      <c r="Q146" s="592"/>
      <c r="R146" s="592"/>
      <c r="S146" s="592"/>
      <c r="T146" s="592"/>
      <c r="U146" s="592"/>
      <c r="V146" s="710"/>
    </row>
    <row r="147" spans="2:24" s="573" customFormat="1">
      <c r="D147" s="575"/>
      <c r="V147" s="575"/>
    </row>
    <row r="148" spans="2:24" s="573" customFormat="1" ht="15.6">
      <c r="C148" s="576" t="s">
        <v>954</v>
      </c>
      <c r="D148" s="610"/>
      <c r="V148" s="575"/>
    </row>
    <row r="149" spans="2:24" ht="30.75" customHeight="1">
      <c r="C149" s="829" t="str">
        <f>+$C$11</f>
        <v>Identifificación del Indicador</v>
      </c>
      <c r="D149" s="842" t="s">
        <v>934</v>
      </c>
      <c r="E149" s="838" t="s">
        <v>935</v>
      </c>
      <c r="F149" s="839"/>
      <c r="G149" s="840"/>
      <c r="H149" s="829" t="s">
        <v>936</v>
      </c>
      <c r="I149" s="841" t="str">
        <f>$I$9</f>
        <v>Ejecución Acumulada Corte
31/03/2021</v>
      </c>
      <c r="J149" s="829" t="s">
        <v>937</v>
      </c>
      <c r="K149" s="829" t="s">
        <v>930</v>
      </c>
      <c r="L149" s="829"/>
      <c r="M149" s="829"/>
      <c r="N149" s="830" t="s">
        <v>780</v>
      </c>
      <c r="O149" s="830"/>
      <c r="P149" s="830"/>
      <c r="Q149" s="830"/>
      <c r="R149" s="830"/>
      <c r="S149" s="830"/>
      <c r="T149" s="830"/>
      <c r="U149" s="830"/>
      <c r="V149" s="829" t="s">
        <v>964</v>
      </c>
    </row>
    <row r="150" spans="2:24" ht="63" customHeight="1">
      <c r="C150" s="829"/>
      <c r="D150" s="842"/>
      <c r="E150" s="682" t="str">
        <f>$E$12</f>
        <v>Año 2021</v>
      </c>
      <c r="F150" s="682" t="str">
        <f>$D$5</f>
        <v>Primer Trimestre</v>
      </c>
      <c r="G150" s="683" t="str">
        <f>$G$9</f>
        <v>Acumulada Corte
31/03/2021</v>
      </c>
      <c r="H150" s="829"/>
      <c r="I150" s="841"/>
      <c r="J150" s="829"/>
      <c r="K150" s="682" t="str">
        <f>+$D$5</f>
        <v>Primer Trimestre</v>
      </c>
      <c r="L150" s="683" t="str">
        <f>$L$12</f>
        <v>Acumulado Corte 31/03/2021</v>
      </c>
      <c r="M150" s="682" t="s">
        <v>825</v>
      </c>
      <c r="N150" s="831" t="s">
        <v>939</v>
      </c>
      <c r="O150" s="832"/>
      <c r="P150" s="833" t="s">
        <v>940</v>
      </c>
      <c r="Q150" s="834"/>
      <c r="R150" s="834"/>
      <c r="S150" s="835"/>
      <c r="T150" s="836" t="s">
        <v>788</v>
      </c>
      <c r="U150" s="837"/>
      <c r="V150" s="829"/>
    </row>
    <row r="151" spans="2:24" ht="105.6">
      <c r="B151" s="577">
        <f>1+B145</f>
        <v>73</v>
      </c>
      <c r="C151" s="578" t="str">
        <f>+'Rango indicadores'!D75</f>
        <v>13-RI-01</v>
      </c>
      <c r="D151" s="578" t="str">
        <f>+'Rango indicadores'!E75</f>
        <v>Porcentaje de procesos judiciales en los que se vincule o demande a la Entidad, objeto de representación oportuna</v>
      </c>
      <c r="E151" s="582">
        <f>+'Rango indicadores'!Q75</f>
        <v>1</v>
      </c>
      <c r="F151" s="582">
        <f>+'Informe Seguimiento POA 2021'!O80</f>
        <v>1</v>
      </c>
      <c r="G151" s="582">
        <f>+'Informe Seguimiento POA 2021'!O80</f>
        <v>1</v>
      </c>
      <c r="H151" s="582">
        <f>+'Informe Seguimiento POA 2021'!P80</f>
        <v>1</v>
      </c>
      <c r="I151" s="582">
        <f>+'Informe Seguimiento POA 2021'!P80</f>
        <v>1</v>
      </c>
      <c r="J151" s="582">
        <f>+'Informe Seguimiento POA 2021'!X80</f>
        <v>1</v>
      </c>
      <c r="K151" s="564">
        <f>IF(AND(F151&gt;0),H151/F151,"No programado")</f>
        <v>1</v>
      </c>
      <c r="L151" s="564">
        <f>IF(AND(G151&gt;0),I151/G151,"No programado")</f>
        <v>1</v>
      </c>
      <c r="M151" s="564">
        <f>+'Informe Seguimiento POA 2021'!Y80</f>
        <v>0.25</v>
      </c>
      <c r="N151" s="587" t="str">
        <f>+'Rango indicadores'!H75</f>
        <v>Mayor o igual A:</v>
      </c>
      <c r="O151" s="580">
        <f>+'Rango indicadores'!I75</f>
        <v>100</v>
      </c>
      <c r="P151" s="580" t="str">
        <f>+'Rango indicadores'!J75</f>
        <v>Desde (&gt;):</v>
      </c>
      <c r="Q151" s="580">
        <f>+'Rango indicadores'!K75</f>
        <v>90</v>
      </c>
      <c r="R151" s="580" t="str">
        <f>+'Rango indicadores'!L75</f>
        <v>Hasta (&lt;):</v>
      </c>
      <c r="S151" s="580">
        <f>+'Rango indicadores'!M75</f>
        <v>100</v>
      </c>
      <c r="T151" s="580" t="str">
        <f>+'Rango indicadores'!N75</f>
        <v>Menor o Igual A:</v>
      </c>
      <c r="U151" s="580">
        <f>+'Rango indicadores'!O75</f>
        <v>90</v>
      </c>
      <c r="V151" s="709" t="s">
        <v>1008</v>
      </c>
    </row>
    <row r="152" spans="2:24" ht="105.6">
      <c r="B152" s="577">
        <f>B151+1</f>
        <v>74</v>
      </c>
      <c r="C152" s="578" t="str">
        <f>+'Rango indicadores'!D76</f>
        <v>13-RI-02</v>
      </c>
      <c r="D152" s="578" t="str">
        <f>+'Rango indicadores'!E76</f>
        <v xml:space="preserve">Porcentaje de acciones de tutela en las cuales se defienda judicialmente a la Entidad oportunamente </v>
      </c>
      <c r="E152" s="582">
        <f>+'Rango indicadores'!Q76</f>
        <v>1</v>
      </c>
      <c r="F152" s="582">
        <f>+'Informe Seguimiento POA 2021'!O81</f>
        <v>1</v>
      </c>
      <c r="G152" s="582">
        <f>+'Informe Seguimiento POA 2021'!O81</f>
        <v>1</v>
      </c>
      <c r="H152" s="582">
        <f>+'Informe Seguimiento POA 2021'!P81</f>
        <v>1</v>
      </c>
      <c r="I152" s="582">
        <f>+'Informe Seguimiento POA 2021'!P81</f>
        <v>1</v>
      </c>
      <c r="J152" s="582">
        <f>+'Informe Seguimiento POA 2021'!X81</f>
        <v>1</v>
      </c>
      <c r="K152" s="564">
        <f>IF(AND(F152&gt;0),H152/F152,"No programado")</f>
        <v>1</v>
      </c>
      <c r="L152" s="564">
        <f t="shared" ref="L152:L154" si="33">IF(AND(G152&gt;0),I152/G152,"No programado")</f>
        <v>1</v>
      </c>
      <c r="M152" s="564">
        <f>+'Informe Seguimiento POA 2021'!Y81</f>
        <v>0.25</v>
      </c>
      <c r="N152" s="587" t="str">
        <f>+'Rango indicadores'!H76</f>
        <v>Mayor o igual A:</v>
      </c>
      <c r="O152" s="580">
        <f>+'Rango indicadores'!I76</f>
        <v>100</v>
      </c>
      <c r="P152" s="580" t="str">
        <f>+'Rango indicadores'!J76</f>
        <v>Desde (&gt;):</v>
      </c>
      <c r="Q152" s="580">
        <f>+'Rango indicadores'!K76</f>
        <v>90</v>
      </c>
      <c r="R152" s="580" t="str">
        <f>+'Rango indicadores'!L76</f>
        <v>Hasta (&lt;):</v>
      </c>
      <c r="S152" s="580">
        <f>+'Rango indicadores'!M76</f>
        <v>100</v>
      </c>
      <c r="T152" s="580" t="str">
        <f>+'Rango indicadores'!N76</f>
        <v>Menor o Igual A:</v>
      </c>
      <c r="U152" s="580">
        <f>+'Rango indicadores'!O76</f>
        <v>90</v>
      </c>
      <c r="V152" s="709" t="s">
        <v>1008</v>
      </c>
    </row>
    <row r="153" spans="2:24" ht="105.6">
      <c r="B153" s="577">
        <f t="shared" ref="B153:B155" si="34">B152+1</f>
        <v>75</v>
      </c>
      <c r="C153" s="578" t="str">
        <f>+'Rango indicadores'!D77</f>
        <v>13-RI-03</v>
      </c>
      <c r="D153" s="578" t="str">
        <f>+'Rango indicadores'!E77</f>
        <v>Porcentaje de conceptos de competencia de la dependencia emitidos oportunamente</v>
      </c>
      <c r="E153" s="582">
        <f>+'Rango indicadores'!Q77</f>
        <v>1</v>
      </c>
      <c r="F153" s="582">
        <f>+'Informe Seguimiento POA 2021'!O82</f>
        <v>1</v>
      </c>
      <c r="G153" s="582">
        <f>+'Informe Seguimiento POA 2021'!O82</f>
        <v>1</v>
      </c>
      <c r="H153" s="582">
        <f>+'Informe Seguimiento POA 2021'!P82</f>
        <v>1</v>
      </c>
      <c r="I153" s="582">
        <f>+'Informe Seguimiento POA 2021'!P82</f>
        <v>1</v>
      </c>
      <c r="J153" s="582">
        <f>+'Informe Seguimiento POA 2021'!X82</f>
        <v>1</v>
      </c>
      <c r="K153" s="564">
        <f>IF(AND(F153&gt;0),H153/F153,"No programado")</f>
        <v>1</v>
      </c>
      <c r="L153" s="564">
        <f t="shared" si="33"/>
        <v>1</v>
      </c>
      <c r="M153" s="564">
        <f>+'Informe Seguimiento POA 2021'!Y82</f>
        <v>0.25</v>
      </c>
      <c r="N153" s="587" t="str">
        <f>+'Rango indicadores'!H77</f>
        <v>Mayor o igual A:</v>
      </c>
      <c r="O153" s="580">
        <f>+'Rango indicadores'!I77</f>
        <v>100</v>
      </c>
      <c r="P153" s="580" t="str">
        <f>+'Rango indicadores'!J77</f>
        <v>Desde (&gt;):</v>
      </c>
      <c r="Q153" s="580">
        <f>+'Rango indicadores'!K77</f>
        <v>90</v>
      </c>
      <c r="R153" s="580" t="str">
        <f>+'Rango indicadores'!L77</f>
        <v>Hasta (&lt;):</v>
      </c>
      <c r="S153" s="580">
        <f>+'Rango indicadores'!M77</f>
        <v>100</v>
      </c>
      <c r="T153" s="580" t="str">
        <f>+'Rango indicadores'!N77</f>
        <v>Menor o Igual A:</v>
      </c>
      <c r="U153" s="580">
        <f>+'Rango indicadores'!O77</f>
        <v>90</v>
      </c>
      <c r="V153" s="709" t="s">
        <v>1008</v>
      </c>
    </row>
    <row r="154" spans="2:24" ht="105.6">
      <c r="B154" s="577">
        <f t="shared" si="34"/>
        <v>76</v>
      </c>
      <c r="C154" s="578" t="str">
        <f>+'Rango indicadores'!D78</f>
        <v>13-RI-04</v>
      </c>
      <c r="D154" s="578" t="str">
        <f>+'Rango indicadores'!E78</f>
        <v>Porcentaje de reportes de la base de datos de sanciones disciplinarias registrados</v>
      </c>
      <c r="E154" s="582">
        <f>+'Rango indicadores'!Q78</f>
        <v>1</v>
      </c>
      <c r="F154" s="582">
        <f>+'Informe Seguimiento POA 2021'!O83</f>
        <v>1</v>
      </c>
      <c r="G154" s="582">
        <f>+'Informe Seguimiento POA 2021'!O83</f>
        <v>1</v>
      </c>
      <c r="H154" s="582">
        <f>+'Informe Seguimiento POA 2021'!P83</f>
        <v>1</v>
      </c>
      <c r="I154" s="582">
        <f>+'Informe Seguimiento POA 2021'!P83</f>
        <v>1</v>
      </c>
      <c r="J154" s="582">
        <f>+'Informe Seguimiento POA 2021'!X83</f>
        <v>1</v>
      </c>
      <c r="K154" s="564">
        <f>IF(AND(F154&gt;0),H154/F154,"No programado")</f>
        <v>1</v>
      </c>
      <c r="L154" s="564">
        <f t="shared" si="33"/>
        <v>1</v>
      </c>
      <c r="M154" s="564">
        <f>+'Informe Seguimiento POA 2021'!Y83</f>
        <v>0.25</v>
      </c>
      <c r="N154" s="587" t="str">
        <f>+'Rango indicadores'!H78</f>
        <v>Mayor o igual A:</v>
      </c>
      <c r="O154" s="580">
        <f>+'Rango indicadores'!I78</f>
        <v>100</v>
      </c>
      <c r="P154" s="580" t="str">
        <f>+'Rango indicadores'!J78</f>
        <v>Desde (&gt;):</v>
      </c>
      <c r="Q154" s="580">
        <f>+'Rango indicadores'!K78</f>
        <v>90</v>
      </c>
      <c r="R154" s="580" t="str">
        <f>+'Rango indicadores'!L78</f>
        <v>Hasta (&lt;):</v>
      </c>
      <c r="S154" s="580">
        <f>+'Rango indicadores'!M78</f>
        <v>100</v>
      </c>
      <c r="T154" s="580" t="str">
        <f>+'Rango indicadores'!N78</f>
        <v>Menor o Igual A:</v>
      </c>
      <c r="U154" s="580">
        <f>+'Rango indicadores'!O78</f>
        <v>90</v>
      </c>
      <c r="V154" s="709" t="s">
        <v>1008</v>
      </c>
    </row>
    <row r="155" spans="2:24" ht="105.6">
      <c r="B155" s="577">
        <f t="shared" si="34"/>
        <v>77</v>
      </c>
      <c r="C155" s="578" t="str">
        <f>+'Rango indicadores'!D79</f>
        <v>13-RI-05</v>
      </c>
      <c r="D155" s="578" t="str">
        <f>+'Rango indicadores'!E79</f>
        <v>Porcentaje de antecedentes disciplinarios expedidos</v>
      </c>
      <c r="E155" s="582">
        <f>+'Rango indicadores'!Q79</f>
        <v>1</v>
      </c>
      <c r="F155" s="582">
        <f>+'Informe Seguimiento POA 2021'!O84</f>
        <v>1</v>
      </c>
      <c r="G155" s="582">
        <f>+'Informe Seguimiento POA 2021'!O84</f>
        <v>1</v>
      </c>
      <c r="H155" s="582">
        <f>+'Informe Seguimiento POA 2021'!P84</f>
        <v>1</v>
      </c>
      <c r="I155" s="582">
        <f>+'Informe Seguimiento POA 2021'!P84</f>
        <v>1</v>
      </c>
      <c r="J155" s="582">
        <f>+'Informe Seguimiento POA 2021'!X84</f>
        <v>1</v>
      </c>
      <c r="K155" s="564">
        <f>IF(AND(F155&gt;0),H155/F155,"No programado")</f>
        <v>1</v>
      </c>
      <c r="L155" s="564">
        <f t="shared" ref="L155" si="35">IF(AND(G155&gt;0),I155/G155,"No programado")</f>
        <v>1</v>
      </c>
      <c r="M155" s="564">
        <f>+'Informe Seguimiento POA 2021'!Y84</f>
        <v>0.25</v>
      </c>
      <c r="N155" s="587" t="str">
        <f>+'Rango indicadores'!H79</f>
        <v>Mayor o igual A:</v>
      </c>
      <c r="O155" s="580">
        <f>+'Rango indicadores'!I79</f>
        <v>100</v>
      </c>
      <c r="P155" s="580" t="str">
        <f>+'Rango indicadores'!J79</f>
        <v>Desde (&gt;):</v>
      </c>
      <c r="Q155" s="580">
        <f>+'Rango indicadores'!K79</f>
        <v>90</v>
      </c>
      <c r="R155" s="580" t="str">
        <f>+'Rango indicadores'!L79</f>
        <v>Hasta (&lt;):</v>
      </c>
      <c r="S155" s="580">
        <f>+'Rango indicadores'!M79</f>
        <v>100</v>
      </c>
      <c r="T155" s="580" t="str">
        <f>+'Rango indicadores'!N79</f>
        <v>Menor o Igual A:</v>
      </c>
      <c r="U155" s="580">
        <f>+'Rango indicadores'!O79</f>
        <v>90</v>
      </c>
      <c r="V155" s="709" t="s">
        <v>1008</v>
      </c>
    </row>
    <row r="156" spans="2:24" ht="15.6">
      <c r="C156" s="826" t="s">
        <v>941</v>
      </c>
      <c r="D156" s="827"/>
      <c r="E156" s="827"/>
      <c r="F156" s="827"/>
      <c r="G156" s="827"/>
      <c r="H156" s="827"/>
      <c r="I156" s="827"/>
      <c r="J156" s="828"/>
      <c r="K156" s="585">
        <f>IFERROR(AVERAGE(K151:K155),0)</f>
        <v>1</v>
      </c>
      <c r="L156" s="585">
        <f>IFERROR(AVERAGE(L151:L155),0)</f>
        <v>1</v>
      </c>
      <c r="M156" s="585">
        <f>IFERROR(AVERAGE(M151:M155),0)</f>
        <v>0.25</v>
      </c>
      <c r="N156" s="592"/>
      <c r="O156" s="592"/>
      <c r="P156" s="592"/>
      <c r="Q156" s="592"/>
      <c r="R156" s="592"/>
      <c r="S156" s="592"/>
      <c r="T156" s="592"/>
      <c r="U156" s="592"/>
      <c r="V156" s="710"/>
    </row>
    <row r="157" spans="2:24" ht="15.6">
      <c r="C157" s="605"/>
      <c r="D157" s="613"/>
      <c r="E157" s="605"/>
      <c r="F157" s="605"/>
      <c r="G157" s="605"/>
      <c r="H157" s="605"/>
      <c r="I157" s="605"/>
      <c r="J157" s="605"/>
      <c r="K157" s="571"/>
      <c r="L157" s="571"/>
      <c r="M157" s="592"/>
      <c r="N157" s="592"/>
      <c r="O157" s="592"/>
      <c r="P157" s="592"/>
      <c r="Q157" s="592"/>
      <c r="R157" s="592"/>
      <c r="S157" s="592"/>
      <c r="T157" s="592"/>
      <c r="U157" s="592"/>
      <c r="V157" s="710"/>
    </row>
    <row r="158" spans="2:24" s="573" customFormat="1" ht="15.6">
      <c r="C158" s="576" t="s">
        <v>955</v>
      </c>
      <c r="D158" s="610"/>
      <c r="V158" s="575"/>
    </row>
    <row r="159" spans="2:24" ht="27" customHeight="1">
      <c r="C159" s="829" t="str">
        <f>+$C$11</f>
        <v>Identifificación del Indicador</v>
      </c>
      <c r="D159" s="842" t="s">
        <v>934</v>
      </c>
      <c r="E159" s="838" t="s">
        <v>935</v>
      </c>
      <c r="F159" s="839"/>
      <c r="G159" s="840"/>
      <c r="H159" s="829" t="s">
        <v>936</v>
      </c>
      <c r="I159" s="841" t="str">
        <f>$I$9</f>
        <v>Ejecución Acumulada Corte
31/03/2021</v>
      </c>
      <c r="J159" s="829" t="s">
        <v>937</v>
      </c>
      <c r="K159" s="829" t="s">
        <v>930</v>
      </c>
      <c r="L159" s="829"/>
      <c r="M159" s="829"/>
      <c r="N159" s="830" t="s">
        <v>780</v>
      </c>
      <c r="O159" s="830"/>
      <c r="P159" s="830"/>
      <c r="Q159" s="830"/>
      <c r="R159" s="830"/>
      <c r="S159" s="830"/>
      <c r="T159" s="830"/>
      <c r="U159" s="830"/>
      <c r="V159" s="829" t="s">
        <v>964</v>
      </c>
    </row>
    <row r="160" spans="2:24" ht="46.2" customHeight="1">
      <c r="C160" s="829"/>
      <c r="D160" s="842"/>
      <c r="E160" s="682" t="str">
        <f>$E$12</f>
        <v>Año 2021</v>
      </c>
      <c r="F160" s="682" t="str">
        <f>$D$5</f>
        <v>Primer Trimestre</v>
      </c>
      <c r="G160" s="683" t="str">
        <f>$G$9</f>
        <v>Acumulada Corte
31/03/2021</v>
      </c>
      <c r="H160" s="829"/>
      <c r="I160" s="841"/>
      <c r="J160" s="829"/>
      <c r="K160" s="682" t="str">
        <f>+$D$5</f>
        <v>Primer Trimestre</v>
      </c>
      <c r="L160" s="683" t="str">
        <f>$L$12</f>
        <v>Acumulado Corte 31/03/2021</v>
      </c>
      <c r="M160" s="682" t="s">
        <v>825</v>
      </c>
      <c r="N160" s="831" t="s">
        <v>939</v>
      </c>
      <c r="O160" s="832"/>
      <c r="P160" s="833" t="s">
        <v>940</v>
      </c>
      <c r="Q160" s="834"/>
      <c r="R160" s="834"/>
      <c r="S160" s="835"/>
      <c r="T160" s="836" t="s">
        <v>788</v>
      </c>
      <c r="U160" s="837"/>
      <c r="V160" s="829"/>
    </row>
    <row r="161" spans="2:23" ht="145.19999999999999">
      <c r="B161" s="577">
        <f>+B155+1</f>
        <v>78</v>
      </c>
      <c r="C161" s="578" t="str">
        <f>+'Rango indicadores'!D83</f>
        <v>15-RI-01</v>
      </c>
      <c r="D161" s="578" t="str">
        <f>+'Rango indicadores'!E83</f>
        <v>Medidas de preservación del orden interno emitidas</v>
      </c>
      <c r="E161" s="606">
        <f>+'Rango indicadores'!Q83</f>
        <v>24</v>
      </c>
      <c r="F161" s="606">
        <f>+'Informe Seguimiento POA 2021'!O85</f>
        <v>6</v>
      </c>
      <c r="G161" s="606">
        <f>+'Informe Seguimiento POA 2021'!O85</f>
        <v>6</v>
      </c>
      <c r="H161" s="606">
        <f>+'Informe Seguimiento POA 2021'!P85</f>
        <v>10</v>
      </c>
      <c r="I161" s="606">
        <f>+'Informe Seguimiento POA 2021'!P85</f>
        <v>10</v>
      </c>
      <c r="J161" s="606">
        <f>+'Informe Seguimiento POA 2021'!X85</f>
        <v>10</v>
      </c>
      <c r="K161" s="598">
        <f>IF(AND(F161&gt;0),H161/F161,"No programado")</f>
        <v>1.6666666666666667</v>
      </c>
      <c r="L161" s="598">
        <f>IF(AND(G161&gt;0),I161/G161,"No programado")</f>
        <v>1.6666666666666667</v>
      </c>
      <c r="M161" s="564">
        <f>+'Informe Seguimiento POA 2021'!Y85</f>
        <v>0.41666666666666669</v>
      </c>
      <c r="N161" s="587" t="str">
        <f>+'Rango indicadores'!H83</f>
        <v>Mayor o igual A:</v>
      </c>
      <c r="O161" s="580">
        <f>+'Rango indicadores'!I83</f>
        <v>100</v>
      </c>
      <c r="P161" s="580" t="str">
        <f>+'Rango indicadores'!J83</f>
        <v>Desde (&gt;):</v>
      </c>
      <c r="Q161" s="580">
        <f>+'Rango indicadores'!K83</f>
        <v>79</v>
      </c>
      <c r="R161" s="580" t="str">
        <f>+'Rango indicadores'!L83</f>
        <v>Hasta (&lt;):</v>
      </c>
      <c r="S161" s="580">
        <f>+'Rango indicadores'!M83</f>
        <v>100</v>
      </c>
      <c r="T161" s="580" t="str">
        <f>+'Rango indicadores'!N83</f>
        <v>Menor o Igual A:</v>
      </c>
      <c r="U161" s="580">
        <f>+'Rango indicadores'!O83</f>
        <v>79</v>
      </c>
      <c r="V161" s="699" t="s">
        <v>1023</v>
      </c>
      <c r="W161" s="707"/>
    </row>
    <row r="162" spans="2:23">
      <c r="B162" s="577">
        <f>B161+1</f>
        <v>79</v>
      </c>
      <c r="C162" s="578" t="str">
        <f>+'Rango indicadores'!D84</f>
        <v>15-RI-02</v>
      </c>
      <c r="D162" s="578" t="str">
        <f>+'Rango indicadores'!E84</f>
        <v>Jornadas de sensibilización realizadas</v>
      </c>
      <c r="E162" s="606">
        <f>+'Rango indicadores'!Q84</f>
        <v>2</v>
      </c>
      <c r="F162" s="606">
        <f>+'Informe Seguimiento POA 2021'!O86</f>
        <v>0</v>
      </c>
      <c r="G162" s="606">
        <f>+'Informe Seguimiento POA 2021'!O86</f>
        <v>0</v>
      </c>
      <c r="H162" s="606">
        <f>+'Informe Seguimiento POA 2021'!P86</f>
        <v>0</v>
      </c>
      <c r="I162" s="606">
        <f>+'Informe Seguimiento POA 2021'!P86</f>
        <v>0</v>
      </c>
      <c r="J162" s="606">
        <f>+'Informe Seguimiento POA 2021'!X86</f>
        <v>0</v>
      </c>
      <c r="K162" s="598" t="str">
        <f>IF(AND(F162&gt;0),H162/F162,"No programado")</f>
        <v>No programado</v>
      </c>
      <c r="L162" s="598" t="str">
        <f t="shared" ref="L162:L163" si="36">IF(AND(G162&gt;0),I162/G162,"No programado")</f>
        <v>No programado</v>
      </c>
      <c r="M162" s="564">
        <f>+'Informe Seguimiento POA 2021'!Y86</f>
        <v>0</v>
      </c>
      <c r="N162" s="587" t="str">
        <f>+'Rango indicadores'!H84</f>
        <v>Mayor o igual A:</v>
      </c>
      <c r="O162" s="580">
        <f>+'Rango indicadores'!I84</f>
        <v>100</v>
      </c>
      <c r="P162" s="580" t="str">
        <f>+'Rango indicadores'!J84</f>
        <v>Desde (&gt;):</v>
      </c>
      <c r="Q162" s="580">
        <f>+'Rango indicadores'!K84</f>
        <v>99</v>
      </c>
      <c r="R162" s="580" t="str">
        <f>+'Rango indicadores'!L84</f>
        <v>Hasta (&lt;):</v>
      </c>
      <c r="S162" s="580">
        <f>+'Rango indicadores'!M84</f>
        <v>100</v>
      </c>
      <c r="T162" s="580" t="str">
        <f>+'Rango indicadores'!N84</f>
        <v>Menor o Igual A:</v>
      </c>
      <c r="U162" s="580">
        <f>+'Rango indicadores'!O84</f>
        <v>99</v>
      </c>
      <c r="V162" s="709" t="s">
        <v>987</v>
      </c>
      <c r="W162" s="707"/>
    </row>
    <row r="163" spans="2:23" ht="145.19999999999999">
      <c r="B163" s="577">
        <f t="shared" ref="B163" si="37">B162+1</f>
        <v>80</v>
      </c>
      <c r="C163" s="578" t="str">
        <f>+'Rango indicadores'!D85</f>
        <v>15-RI-03</v>
      </c>
      <c r="D163" s="578" t="str">
        <f>+'Rango indicadores'!E85</f>
        <v>Procesos disciplinarios con decisión de fondo proferida</v>
      </c>
      <c r="E163" s="606">
        <f>+'Rango indicadores'!Q85</f>
        <v>100</v>
      </c>
      <c r="F163" s="606">
        <f>+'Informe Seguimiento POA 2021'!O87</f>
        <v>23</v>
      </c>
      <c r="G163" s="606">
        <f>+'Informe Seguimiento POA 2021'!O87</f>
        <v>23</v>
      </c>
      <c r="H163" s="606">
        <f>+'Informe Seguimiento POA 2021'!P87</f>
        <v>38</v>
      </c>
      <c r="I163" s="606">
        <f>+'Informe Seguimiento POA 2021'!P87</f>
        <v>38</v>
      </c>
      <c r="J163" s="606">
        <f>+'Informe Seguimiento POA 2021'!X87</f>
        <v>38</v>
      </c>
      <c r="K163" s="598">
        <f>IF(AND(F163&gt;0),H163/F163,"No programado")</f>
        <v>1.6521739130434783</v>
      </c>
      <c r="L163" s="598">
        <f t="shared" si="36"/>
        <v>1.6521739130434783</v>
      </c>
      <c r="M163" s="564">
        <f>+'Informe Seguimiento POA 2021'!Y87</f>
        <v>0.38</v>
      </c>
      <c r="N163" s="587" t="str">
        <f>+'Rango indicadores'!H85</f>
        <v>Mayor o igual A:</v>
      </c>
      <c r="O163" s="580">
        <f>+'Rango indicadores'!I85</f>
        <v>100</v>
      </c>
      <c r="P163" s="580" t="str">
        <f>+'Rango indicadores'!J85</f>
        <v>Desde (&gt;):</v>
      </c>
      <c r="Q163" s="580">
        <f>+'Rango indicadores'!K85</f>
        <v>70</v>
      </c>
      <c r="R163" s="580" t="str">
        <f>+'Rango indicadores'!L85</f>
        <v>Hasta (&lt;):</v>
      </c>
      <c r="S163" s="580">
        <f>+'Rango indicadores'!M85</f>
        <v>100</v>
      </c>
      <c r="T163" s="580" t="str">
        <f>+'Rango indicadores'!N85</f>
        <v>Menor o Igual A:</v>
      </c>
      <c r="U163" s="580">
        <f>+'Rango indicadores'!O85</f>
        <v>70</v>
      </c>
      <c r="V163" s="699" t="s">
        <v>1039</v>
      </c>
      <c r="W163" s="707"/>
    </row>
    <row r="164" spans="2:23" ht="15.6">
      <c r="C164" s="826" t="s">
        <v>941</v>
      </c>
      <c r="D164" s="827"/>
      <c r="E164" s="827"/>
      <c r="F164" s="827"/>
      <c r="G164" s="827"/>
      <c r="H164" s="827"/>
      <c r="I164" s="827"/>
      <c r="J164" s="828"/>
      <c r="K164" s="585">
        <f>IFERROR(AVERAGE(K161:K163),0)</f>
        <v>1.6594202898550725</v>
      </c>
      <c r="L164" s="585">
        <f>IFERROR(AVERAGE(L161:L163),0)</f>
        <v>1.6594202898550725</v>
      </c>
      <c r="M164" s="585">
        <f>IFERROR(AVERAGE(M161:M163),0)</f>
        <v>0.26555555555555554</v>
      </c>
      <c r="N164" s="592"/>
      <c r="O164" s="592"/>
      <c r="P164" s="592"/>
      <c r="Q164" s="592"/>
      <c r="R164" s="592"/>
      <c r="S164" s="592"/>
      <c r="T164" s="592"/>
      <c r="U164" s="592"/>
      <c r="V164" s="710"/>
    </row>
    <row r="165" spans="2:23" s="573" customFormat="1">
      <c r="D165" s="575"/>
      <c r="V165" s="575"/>
    </row>
    <row r="166" spans="2:23" s="573" customFormat="1" ht="15.6">
      <c r="C166" s="576" t="s">
        <v>956</v>
      </c>
      <c r="D166" s="610"/>
      <c r="V166" s="575"/>
    </row>
    <row r="167" spans="2:23" ht="24.6" customHeight="1">
      <c r="C167" s="829" t="str">
        <f>+$C$11</f>
        <v>Identifificación del Indicador</v>
      </c>
      <c r="D167" s="842" t="s">
        <v>934</v>
      </c>
      <c r="E167" s="838" t="s">
        <v>935</v>
      </c>
      <c r="F167" s="839"/>
      <c r="G167" s="840"/>
      <c r="H167" s="829" t="s">
        <v>936</v>
      </c>
      <c r="I167" s="841" t="str">
        <f>$I$9</f>
        <v>Ejecución Acumulada Corte
31/03/2021</v>
      </c>
      <c r="J167" s="829" t="s">
        <v>937</v>
      </c>
      <c r="K167" s="829" t="s">
        <v>930</v>
      </c>
      <c r="L167" s="829"/>
      <c r="M167" s="829"/>
      <c r="N167" s="830" t="s">
        <v>780</v>
      </c>
      <c r="O167" s="830"/>
      <c r="P167" s="830"/>
      <c r="Q167" s="830"/>
      <c r="R167" s="830"/>
      <c r="S167" s="830"/>
      <c r="T167" s="830"/>
      <c r="U167" s="830"/>
      <c r="V167" s="829" t="s">
        <v>964</v>
      </c>
    </row>
    <row r="168" spans="2:23" ht="50.4" customHeight="1">
      <c r="C168" s="829"/>
      <c r="D168" s="842"/>
      <c r="E168" s="682" t="str">
        <f>$E$12</f>
        <v>Año 2021</v>
      </c>
      <c r="F168" s="682" t="str">
        <f>$D$5</f>
        <v>Primer Trimestre</v>
      </c>
      <c r="G168" s="683" t="str">
        <f>$G$9</f>
        <v>Acumulada Corte
31/03/2021</v>
      </c>
      <c r="H168" s="829"/>
      <c r="I168" s="841"/>
      <c r="J168" s="829"/>
      <c r="K168" s="682" t="str">
        <f>+$D$5</f>
        <v>Primer Trimestre</v>
      </c>
      <c r="L168" s="683" t="str">
        <f>$L$12</f>
        <v>Acumulado Corte 31/03/2021</v>
      </c>
      <c r="M168" s="682" t="s">
        <v>825</v>
      </c>
      <c r="N168" s="831" t="s">
        <v>939</v>
      </c>
      <c r="O168" s="832"/>
      <c r="P168" s="833" t="s">
        <v>940</v>
      </c>
      <c r="Q168" s="834"/>
      <c r="R168" s="834"/>
      <c r="S168" s="835"/>
      <c r="T168" s="836" t="s">
        <v>788</v>
      </c>
      <c r="U168" s="837"/>
      <c r="V168" s="829"/>
    </row>
    <row r="169" spans="2:23" ht="92.4">
      <c r="B169" s="577">
        <f>+B163+1</f>
        <v>81</v>
      </c>
      <c r="C169" s="578" t="str">
        <f>+'Rango indicadores'!D86</f>
        <v>16-RI-01</v>
      </c>
      <c r="D169" s="578" t="str">
        <f>+'Rango indicadores'!E86</f>
        <v>Programa anual de auditorías ejecutado.</v>
      </c>
      <c r="E169" s="606">
        <f>+'Rango indicadores'!Q86</f>
        <v>1</v>
      </c>
      <c r="F169" s="623">
        <f>+'Informe Seguimiento POA 2021'!O88</f>
        <v>0.51</v>
      </c>
      <c r="G169" s="623">
        <f>+'Informe Seguimiento POA 2021'!O88</f>
        <v>0.51</v>
      </c>
      <c r="H169" s="623">
        <f>+'Informe Seguimiento POA 2021'!P88</f>
        <v>0.51</v>
      </c>
      <c r="I169" s="623">
        <f>+'Informe Seguimiento POA 2021'!P88</f>
        <v>0.51</v>
      </c>
      <c r="J169" s="623">
        <f>+'Informe Seguimiento POA 2021'!X88</f>
        <v>0.51</v>
      </c>
      <c r="K169" s="587">
        <f t="shared" ref="K169:L171" si="38">IF(AND(F169&gt;0),H169/F169,"No programado")</f>
        <v>1</v>
      </c>
      <c r="L169" s="587">
        <f>IF(AND(G169&gt;0),I169/G169,"No programado")</f>
        <v>1</v>
      </c>
      <c r="M169" s="587">
        <f>+'Informe Seguimiento POA 2021'!Y88</f>
        <v>0.51</v>
      </c>
      <c r="N169" s="587" t="str">
        <f>+'Rango indicadores'!H86</f>
        <v>Mayor o igual A:</v>
      </c>
      <c r="O169" s="580">
        <f>+'Rango indicadores'!I86</f>
        <v>90</v>
      </c>
      <c r="P169" s="580" t="str">
        <f>+'Rango indicadores'!J86</f>
        <v>Desde (&gt;):</v>
      </c>
      <c r="Q169" s="580">
        <f>+'Rango indicadores'!K86</f>
        <v>69</v>
      </c>
      <c r="R169" s="580" t="str">
        <f>+'Rango indicadores'!L86</f>
        <v>Hasta (&lt;):</v>
      </c>
      <c r="S169" s="580">
        <f>+'Rango indicadores'!M86</f>
        <v>90</v>
      </c>
      <c r="T169" s="580" t="str">
        <f>+'Rango indicadores'!N86</f>
        <v>Menor o Igual A:</v>
      </c>
      <c r="U169" s="580">
        <f>+'Rango indicadores'!O86</f>
        <v>69</v>
      </c>
      <c r="V169" s="709" t="s">
        <v>1007</v>
      </c>
      <c r="W169" s="707"/>
    </row>
    <row r="170" spans="2:23" ht="57" customHeight="1">
      <c r="B170" s="577">
        <f>B169+1</f>
        <v>82</v>
      </c>
      <c r="C170" s="578" t="str">
        <f>+'Rango indicadores'!D87</f>
        <v>16-RI-02</v>
      </c>
      <c r="D170" s="578" t="str">
        <f>+'Rango indicadores'!E87</f>
        <v>Estrategia de Sensibilización acerca de la Cultura del Control realizada</v>
      </c>
      <c r="E170" s="606">
        <f>+'Rango indicadores'!Q87</f>
        <v>1</v>
      </c>
      <c r="F170" s="623">
        <f>+'Informe Seguimiento POA 2021'!O89</f>
        <v>0</v>
      </c>
      <c r="G170" s="623">
        <f>+'Informe Seguimiento POA 2021'!O89</f>
        <v>0</v>
      </c>
      <c r="H170" s="623">
        <f>+'Informe Seguimiento POA 2021'!P89</f>
        <v>0</v>
      </c>
      <c r="I170" s="623">
        <f>+'Informe Seguimiento POA 2021'!P89</f>
        <v>0</v>
      </c>
      <c r="J170" s="623">
        <f>+'Informe Seguimiento POA 2021'!X89</f>
        <v>0</v>
      </c>
      <c r="K170" s="588" t="str">
        <f t="shared" si="38"/>
        <v>No programado</v>
      </c>
      <c r="L170" s="588" t="str">
        <f t="shared" si="38"/>
        <v>No programado</v>
      </c>
      <c r="M170" s="587">
        <f>+'Informe Seguimiento POA 2021'!Y89</f>
        <v>0</v>
      </c>
      <c r="N170" s="587" t="str">
        <f>+'Rango indicadores'!H87</f>
        <v>Mayor o igual A:</v>
      </c>
      <c r="O170" s="580">
        <f>+'Rango indicadores'!I87</f>
        <v>90</v>
      </c>
      <c r="P170" s="580" t="str">
        <f>+'Rango indicadores'!J87</f>
        <v>Desde (&gt;):</v>
      </c>
      <c r="Q170" s="580">
        <f>+'Rango indicadores'!K87</f>
        <v>69</v>
      </c>
      <c r="R170" s="580" t="str">
        <f>+'Rango indicadores'!L87</f>
        <v>Hasta (&lt;):</v>
      </c>
      <c r="S170" s="580">
        <f>+'Rango indicadores'!M87</f>
        <v>90</v>
      </c>
      <c r="T170" s="580" t="str">
        <f>+'Rango indicadores'!N87</f>
        <v>Menor o Igual A:</v>
      </c>
      <c r="U170" s="580">
        <f>+'Rango indicadores'!O87</f>
        <v>69</v>
      </c>
      <c r="V170" s="709" t="s">
        <v>987</v>
      </c>
      <c r="W170" s="707"/>
    </row>
    <row r="171" spans="2:23" ht="45" customHeight="1">
      <c r="B171" s="577">
        <f t="shared" ref="B171" si="39">B170+1</f>
        <v>83</v>
      </c>
      <c r="C171" s="578" t="str">
        <f>+'Rango indicadores'!D88</f>
        <v>16-RI-03</v>
      </c>
      <c r="D171" s="578" t="str">
        <f>+'Rango indicadores'!E88</f>
        <v>Sensibilización a Directivos y Referentes de Gestión sobre la Séptima Dimensión del MIPG realizada</v>
      </c>
      <c r="E171" s="606">
        <f>+'Rango indicadores'!Q88</f>
        <v>1</v>
      </c>
      <c r="F171" s="623">
        <f>+'Informe Seguimiento POA 2021'!O90</f>
        <v>0</v>
      </c>
      <c r="G171" s="623">
        <f>+'Informe Seguimiento POA 2021'!O90</f>
        <v>0</v>
      </c>
      <c r="H171" s="623">
        <f>+'Informe Seguimiento POA 2021'!P90</f>
        <v>0</v>
      </c>
      <c r="I171" s="623">
        <f>+'Informe Seguimiento POA 2021'!P90</f>
        <v>0</v>
      </c>
      <c r="J171" s="623">
        <f>+'Informe Seguimiento POA 2021'!X90</f>
        <v>0</v>
      </c>
      <c r="K171" s="588" t="str">
        <f t="shared" si="38"/>
        <v>No programado</v>
      </c>
      <c r="L171" s="588" t="str">
        <f t="shared" si="38"/>
        <v>No programado</v>
      </c>
      <c r="M171" s="587">
        <f>+'Informe Seguimiento POA 2021'!Y90</f>
        <v>0</v>
      </c>
      <c r="N171" s="587" t="str">
        <f>+'Rango indicadores'!H88</f>
        <v>Mayor o igual A:</v>
      </c>
      <c r="O171" s="580">
        <f>+'Rango indicadores'!I88</f>
        <v>90</v>
      </c>
      <c r="P171" s="580" t="str">
        <f>+'Rango indicadores'!J88</f>
        <v>Desde (&gt;):</v>
      </c>
      <c r="Q171" s="580">
        <f>+'Rango indicadores'!K88</f>
        <v>69</v>
      </c>
      <c r="R171" s="580" t="str">
        <f>+'Rango indicadores'!L88</f>
        <v>Hasta (&lt;):</v>
      </c>
      <c r="S171" s="580">
        <f>+'Rango indicadores'!M88</f>
        <v>90</v>
      </c>
      <c r="T171" s="580" t="str">
        <f>+'Rango indicadores'!N88</f>
        <v>Menor o Igual A:</v>
      </c>
      <c r="U171" s="580">
        <f>+'Rango indicadores'!O88</f>
        <v>69</v>
      </c>
      <c r="V171" s="709" t="s">
        <v>987</v>
      </c>
      <c r="W171" s="707"/>
    </row>
    <row r="172" spans="2:23" ht="15.6">
      <c r="C172" s="826" t="s">
        <v>941</v>
      </c>
      <c r="D172" s="827"/>
      <c r="E172" s="827"/>
      <c r="F172" s="827"/>
      <c r="G172" s="827"/>
      <c r="H172" s="827"/>
      <c r="I172" s="827"/>
      <c r="J172" s="828"/>
      <c r="K172" s="585">
        <f>IFERROR(AVERAGE(K169:K171),0)</f>
        <v>1</v>
      </c>
      <c r="L172" s="585">
        <f>IFERROR(AVERAGE(L169:L171),0)</f>
        <v>1</v>
      </c>
      <c r="M172" s="585">
        <f>IFERROR(AVERAGE(M169:M171),0)</f>
        <v>0.17</v>
      </c>
      <c r="N172" s="592"/>
      <c r="O172" s="592"/>
      <c r="P172" s="592"/>
      <c r="Q172" s="592"/>
      <c r="R172" s="592"/>
      <c r="S172" s="592"/>
      <c r="T172" s="592"/>
      <c r="U172" s="592"/>
      <c r="V172" s="710"/>
    </row>
    <row r="173" spans="2:23" s="573" customFormat="1">
      <c r="D173" s="575"/>
      <c r="V173" s="575"/>
    </row>
    <row r="174" spans="2:23">
      <c r="E174" s="554"/>
    </row>
    <row r="175" spans="2:23"/>
    <row r="176" spans="2:23">
      <c r="E176" s="554"/>
    </row>
    <row r="177" spans="5:5">
      <c r="E177" s="554"/>
    </row>
    <row r="178" spans="5:5">
      <c r="E178" s="554"/>
    </row>
    <row r="179" spans="5:5">
      <c r="E179" s="554"/>
    </row>
    <row r="180" spans="5:5">
      <c r="E180" s="554"/>
    </row>
    <row r="181" spans="5:5">
      <c r="E181" s="554"/>
    </row>
    <row r="182" spans="5:5">
      <c r="E182" s="554"/>
    </row>
    <row r="183" spans="5:5"/>
    <row r="184" spans="5:5"/>
    <row r="185" spans="5:5"/>
    <row r="186" spans="5:5"/>
    <row r="187" spans="5:5"/>
    <row r="188" spans="5:5"/>
    <row r="189" spans="5:5"/>
    <row r="190" spans="5:5"/>
    <row r="191" spans="5:5"/>
    <row r="192" spans="5:5"/>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sheetData>
  <sheetProtection algorithmName="SHA-512" hashValue="3HjURGD1xwMPVyKZTyRf5wfNTg5b0i+e5CwjMb2bZmrwTE681dUYh73NbYtx6vCLHPQJnjyX4THqytPPsexTMA==" saltValue="7CAp/AYJ7lwpL1IeoRXu6Q==" spinCount="100000" sheet="1" objects="1" scenarios="1"/>
  <mergeCells count="213">
    <mergeCell ref="D11:D12"/>
    <mergeCell ref="K11:M11"/>
    <mergeCell ref="C2:C5"/>
    <mergeCell ref="N11:U11"/>
    <mergeCell ref="V11:V12"/>
    <mergeCell ref="N12:O12"/>
    <mergeCell ref="P12:S12"/>
    <mergeCell ref="T12:U12"/>
    <mergeCell ref="C11:C12"/>
    <mergeCell ref="E11:G11"/>
    <mergeCell ref="H11:H12"/>
    <mergeCell ref="I11:I12"/>
    <mergeCell ref="J11:J12"/>
    <mergeCell ref="D2:J2"/>
    <mergeCell ref="D3:J3"/>
    <mergeCell ref="D4:J4"/>
    <mergeCell ref="D5:J5"/>
    <mergeCell ref="K20:M20"/>
    <mergeCell ref="N20:U20"/>
    <mergeCell ref="V20:V21"/>
    <mergeCell ref="N21:O21"/>
    <mergeCell ref="P21:S21"/>
    <mergeCell ref="T21:U21"/>
    <mergeCell ref="C17:J17"/>
    <mergeCell ref="C20:C21"/>
    <mergeCell ref="E20:G20"/>
    <mergeCell ref="H20:H21"/>
    <mergeCell ref="I20:I21"/>
    <mergeCell ref="J20:J21"/>
    <mergeCell ref="D20:D21"/>
    <mergeCell ref="K28:M28"/>
    <mergeCell ref="N28:U28"/>
    <mergeCell ref="V28:V29"/>
    <mergeCell ref="N29:O29"/>
    <mergeCell ref="P29:S29"/>
    <mergeCell ref="T29:U29"/>
    <mergeCell ref="C25:J25"/>
    <mergeCell ref="C28:C29"/>
    <mergeCell ref="E28:G28"/>
    <mergeCell ref="H28:H29"/>
    <mergeCell ref="I28:I29"/>
    <mergeCell ref="J28:J29"/>
    <mergeCell ref="D28:D29"/>
    <mergeCell ref="K40:M40"/>
    <mergeCell ref="N40:U40"/>
    <mergeCell ref="V40:V41"/>
    <mergeCell ref="N41:O41"/>
    <mergeCell ref="P41:S41"/>
    <mergeCell ref="T41:U41"/>
    <mergeCell ref="C37:J37"/>
    <mergeCell ref="C40:C41"/>
    <mergeCell ref="E40:G40"/>
    <mergeCell ref="H40:H41"/>
    <mergeCell ref="I40:I41"/>
    <mergeCell ref="J40:J41"/>
    <mergeCell ref="D40:D41"/>
    <mergeCell ref="K47:M47"/>
    <mergeCell ref="N47:U47"/>
    <mergeCell ref="V47:V48"/>
    <mergeCell ref="N48:O48"/>
    <mergeCell ref="P48:S48"/>
    <mergeCell ref="T48:U48"/>
    <mergeCell ref="C44:J44"/>
    <mergeCell ref="C47:C48"/>
    <mergeCell ref="E47:G47"/>
    <mergeCell ref="H47:H48"/>
    <mergeCell ref="I47:I48"/>
    <mergeCell ref="J47:J48"/>
    <mergeCell ref="D47:D48"/>
    <mergeCell ref="K55:M55"/>
    <mergeCell ref="N55:U55"/>
    <mergeCell ref="V55:V56"/>
    <mergeCell ref="N56:O56"/>
    <mergeCell ref="P56:S56"/>
    <mergeCell ref="T56:U56"/>
    <mergeCell ref="C52:J52"/>
    <mergeCell ref="C55:C56"/>
    <mergeCell ref="E55:G55"/>
    <mergeCell ref="H55:H56"/>
    <mergeCell ref="I55:I56"/>
    <mergeCell ref="J55:J56"/>
    <mergeCell ref="D55:D56"/>
    <mergeCell ref="J81:J82"/>
    <mergeCell ref="K81:M81"/>
    <mergeCell ref="N81:U81"/>
    <mergeCell ref="V81:V82"/>
    <mergeCell ref="N82:O82"/>
    <mergeCell ref="P82:S82"/>
    <mergeCell ref="T82:U82"/>
    <mergeCell ref="C78:J78"/>
    <mergeCell ref="C81:C82"/>
    <mergeCell ref="E81:G81"/>
    <mergeCell ref="H81:H82"/>
    <mergeCell ref="I81:I82"/>
    <mergeCell ref="D81:D82"/>
    <mergeCell ref="J93:J94"/>
    <mergeCell ref="K93:M93"/>
    <mergeCell ref="N93:U93"/>
    <mergeCell ref="V93:V94"/>
    <mergeCell ref="N94:O94"/>
    <mergeCell ref="P94:S94"/>
    <mergeCell ref="T94:U94"/>
    <mergeCell ref="C90:H90"/>
    <mergeCell ref="C93:C94"/>
    <mergeCell ref="E93:G93"/>
    <mergeCell ref="H93:H94"/>
    <mergeCell ref="I93:I94"/>
    <mergeCell ref="D93:D94"/>
    <mergeCell ref="K106:M106"/>
    <mergeCell ref="N106:U106"/>
    <mergeCell ref="V106:V107"/>
    <mergeCell ref="N107:O107"/>
    <mergeCell ref="P107:S107"/>
    <mergeCell ref="T107:U107"/>
    <mergeCell ref="C103:J103"/>
    <mergeCell ref="C106:C107"/>
    <mergeCell ref="E106:G106"/>
    <mergeCell ref="H106:H107"/>
    <mergeCell ref="I106:I107"/>
    <mergeCell ref="J106:J107"/>
    <mergeCell ref="D106:D107"/>
    <mergeCell ref="K119:M119"/>
    <mergeCell ref="N119:U119"/>
    <mergeCell ref="V119:V120"/>
    <mergeCell ref="N120:O120"/>
    <mergeCell ref="P120:S120"/>
    <mergeCell ref="T120:U120"/>
    <mergeCell ref="C116:J116"/>
    <mergeCell ref="C119:C120"/>
    <mergeCell ref="E119:G119"/>
    <mergeCell ref="H119:H120"/>
    <mergeCell ref="I119:I120"/>
    <mergeCell ref="J119:J120"/>
    <mergeCell ref="D119:D120"/>
    <mergeCell ref="K126:M126"/>
    <mergeCell ref="N126:U126"/>
    <mergeCell ref="V126:V127"/>
    <mergeCell ref="N127:O127"/>
    <mergeCell ref="P127:S127"/>
    <mergeCell ref="T127:U127"/>
    <mergeCell ref="C123:J123"/>
    <mergeCell ref="C126:C127"/>
    <mergeCell ref="E126:G126"/>
    <mergeCell ref="H126:H127"/>
    <mergeCell ref="I126:I127"/>
    <mergeCell ref="J126:J127"/>
    <mergeCell ref="D126:D127"/>
    <mergeCell ref="K134:M134"/>
    <mergeCell ref="N134:U134"/>
    <mergeCell ref="V134:V135"/>
    <mergeCell ref="N135:O135"/>
    <mergeCell ref="P135:S135"/>
    <mergeCell ref="T135:U135"/>
    <mergeCell ref="C131:J131"/>
    <mergeCell ref="C134:C135"/>
    <mergeCell ref="E134:G134"/>
    <mergeCell ref="H134:H135"/>
    <mergeCell ref="I134:I135"/>
    <mergeCell ref="J134:J135"/>
    <mergeCell ref="D134:D135"/>
    <mergeCell ref="K140:M140"/>
    <mergeCell ref="N140:U140"/>
    <mergeCell ref="V140:V141"/>
    <mergeCell ref="N141:O141"/>
    <mergeCell ref="P141:S141"/>
    <mergeCell ref="T141:U141"/>
    <mergeCell ref="C137:J137"/>
    <mergeCell ref="C140:C141"/>
    <mergeCell ref="E140:G140"/>
    <mergeCell ref="H140:H141"/>
    <mergeCell ref="I140:I141"/>
    <mergeCell ref="J140:J141"/>
    <mergeCell ref="D140:D141"/>
    <mergeCell ref="K149:M149"/>
    <mergeCell ref="N149:U149"/>
    <mergeCell ref="V149:V150"/>
    <mergeCell ref="N150:O150"/>
    <mergeCell ref="P150:S150"/>
    <mergeCell ref="T150:U150"/>
    <mergeCell ref="C146:J146"/>
    <mergeCell ref="C149:C150"/>
    <mergeCell ref="E149:G149"/>
    <mergeCell ref="H149:H150"/>
    <mergeCell ref="I149:I150"/>
    <mergeCell ref="J149:J150"/>
    <mergeCell ref="D149:D150"/>
    <mergeCell ref="K159:M159"/>
    <mergeCell ref="N159:U159"/>
    <mergeCell ref="V159:V160"/>
    <mergeCell ref="N160:O160"/>
    <mergeCell ref="P160:S160"/>
    <mergeCell ref="T160:U160"/>
    <mergeCell ref="C156:J156"/>
    <mergeCell ref="C159:C160"/>
    <mergeCell ref="E159:G159"/>
    <mergeCell ref="H159:H160"/>
    <mergeCell ref="I159:I160"/>
    <mergeCell ref="J159:J160"/>
    <mergeCell ref="D159:D160"/>
    <mergeCell ref="C172:J172"/>
    <mergeCell ref="K167:M167"/>
    <mergeCell ref="N167:U167"/>
    <mergeCell ref="V167:V168"/>
    <mergeCell ref="N168:O168"/>
    <mergeCell ref="P168:S168"/>
    <mergeCell ref="T168:U168"/>
    <mergeCell ref="C164:J164"/>
    <mergeCell ref="C167:C168"/>
    <mergeCell ref="E167:G167"/>
    <mergeCell ref="H167:H168"/>
    <mergeCell ref="I167:I168"/>
    <mergeCell ref="J167:J168"/>
    <mergeCell ref="D167:D168"/>
  </mergeCells>
  <conditionalFormatting sqref="K22:M24">
    <cfRule type="cellIs" dxfId="196" priority="75" operator="equal">
      <formula>"No programado"</formula>
    </cfRule>
    <cfRule type="cellIs" dxfId="195" priority="199" operator="lessThanOrEqual">
      <formula>0.6</formula>
    </cfRule>
    <cfRule type="cellIs" dxfId="194" priority="200" operator="between">
      <formula>0.600000000001</formula>
      <formula>0.99999999999999</formula>
    </cfRule>
    <cfRule type="cellIs" dxfId="193" priority="201" operator="equal">
      <formula>1</formula>
    </cfRule>
  </conditionalFormatting>
  <conditionalFormatting sqref="K49:M51">
    <cfRule type="cellIs" dxfId="192" priority="72" operator="equal">
      <formula>"No programado"</formula>
    </cfRule>
    <cfRule type="cellIs" dxfId="191" priority="184" operator="between">
      <formula>0.7</formula>
      <formula>0.8999999999999</formula>
    </cfRule>
    <cfRule type="cellIs" dxfId="190" priority="185" operator="lessThan">
      <formula>0.7</formula>
    </cfRule>
    <cfRule type="cellIs" dxfId="189" priority="186" operator="between">
      <formula>0.90000000000001</formula>
      <formula>1</formula>
    </cfRule>
    <cfRule type="cellIs" dxfId="188" priority="187" operator="greaterThan">
      <formula>1</formula>
    </cfRule>
  </conditionalFormatting>
  <conditionalFormatting sqref="K95:M102">
    <cfRule type="cellIs" dxfId="187" priority="39" operator="equal">
      <formula>"No programado"</formula>
    </cfRule>
    <cfRule type="cellIs" dxfId="186" priority="152" operator="greaterThan">
      <formula>1</formula>
    </cfRule>
    <cfRule type="cellIs" dxfId="185" priority="155" operator="between">
      <formula>0.9000001</formula>
      <formula>1</formula>
    </cfRule>
  </conditionalFormatting>
  <conditionalFormatting sqref="K108:M115">
    <cfRule type="cellIs" dxfId="184" priority="32" operator="equal">
      <formula>"No programado"</formula>
    </cfRule>
    <cfRule type="cellIs" dxfId="183" priority="144" operator="greaterThan">
      <formula>1</formula>
    </cfRule>
  </conditionalFormatting>
  <conditionalFormatting sqref="K128:M130">
    <cfRule type="cellIs" dxfId="182" priority="18" operator="between">
      <formula>0.950000001</formula>
      <formula>0.999999999999</formula>
    </cfRule>
    <cfRule type="cellIs" dxfId="181" priority="21" operator="greaterThan">
      <formula>1</formula>
    </cfRule>
    <cfRule type="cellIs" dxfId="180" priority="124" operator="equal">
      <formula>"No programado"</formula>
    </cfRule>
  </conditionalFormatting>
  <conditionalFormatting sqref="K151:M155">
    <cfRule type="cellIs" dxfId="179" priority="16" operator="greaterThan">
      <formula>1</formula>
    </cfRule>
    <cfRule type="cellIs" dxfId="178" priority="120" operator="equal">
      <formula>"No programado"</formula>
    </cfRule>
    <cfRule type="cellIs" dxfId="177" priority="121" operator="between">
      <formula>0.900001</formula>
      <formula>0.9999999</formula>
    </cfRule>
    <cfRule type="cellIs" dxfId="176" priority="122" operator="lessThanOrEqual">
      <formula>0.9</formula>
    </cfRule>
    <cfRule type="cellIs" dxfId="175" priority="123" operator="equal">
      <formula>1</formula>
    </cfRule>
  </conditionalFormatting>
  <conditionalFormatting sqref="K136:M136">
    <cfRule type="cellIs" dxfId="174" priority="17" operator="greaterThan">
      <formula>1</formula>
    </cfRule>
    <cfRule type="cellIs" dxfId="173" priority="108" operator="equal">
      <formula>"No programado"</formula>
    </cfRule>
    <cfRule type="cellIs" dxfId="172" priority="109" operator="between">
      <formula>0.900001</formula>
      <formula>0.9499999</formula>
    </cfRule>
    <cfRule type="cellIs" dxfId="171" priority="110" operator="lessThanOrEqual">
      <formula>0.9</formula>
    </cfRule>
    <cfRule type="cellIs" dxfId="170" priority="111" operator="greaterThanOrEqual">
      <formula>0.95</formula>
    </cfRule>
  </conditionalFormatting>
  <conditionalFormatting sqref="K14:M14">
    <cfRule type="cellIs" dxfId="169" priority="205" operator="between">
      <formula>0.95001</formula>
      <formula>1</formula>
    </cfRule>
  </conditionalFormatting>
  <conditionalFormatting sqref="K42:M43">
    <cfRule type="cellIs" dxfId="168" priority="73" operator="equal">
      <formula>"No programado"</formula>
    </cfRule>
    <cfRule type="cellIs" dxfId="167" priority="188" operator="lessThan">
      <formula>0.75</formula>
    </cfRule>
    <cfRule type="cellIs" dxfId="166" priority="189" operator="between">
      <formula>0.75</formula>
      <formula>0.899999999999</formula>
    </cfRule>
    <cfRule type="cellIs" dxfId="165" priority="190" operator="between">
      <formula>0.90000000000001</formula>
      <formula>1</formula>
    </cfRule>
    <cfRule type="cellIs" dxfId="164" priority="191" operator="greaterThan">
      <formula>1</formula>
    </cfRule>
  </conditionalFormatting>
  <conditionalFormatting sqref="K83:M89">
    <cfRule type="cellIs" dxfId="163" priority="41" operator="equal">
      <formula>"No programado"</formula>
    </cfRule>
    <cfRule type="cellIs" dxfId="162" priority="42" operator="greaterThan">
      <formula>1</formula>
    </cfRule>
  </conditionalFormatting>
  <conditionalFormatting sqref="K121:M122">
    <cfRule type="cellIs" dxfId="161" priority="25" operator="greaterThan">
      <formula>1</formula>
    </cfRule>
    <cfRule type="cellIs" dxfId="160" priority="128" operator="equal">
      <formula>"No programado"</formula>
    </cfRule>
  </conditionalFormatting>
  <conditionalFormatting sqref="K13:M16">
    <cfRule type="cellIs" dxfId="159" priority="198" operator="equal">
      <formula>"No programado"</formula>
    </cfRule>
    <cfRule type="cellIs" dxfId="158" priority="207" operator="greaterThan">
      <formula>1</formula>
    </cfRule>
  </conditionalFormatting>
  <conditionalFormatting sqref="K13:M14">
    <cfRule type="cellIs" dxfId="157" priority="82" operator="between">
      <formula>0.8</formula>
      <formula>0.95</formula>
    </cfRule>
    <cfRule type="cellIs" dxfId="156" priority="204" operator="lessThan">
      <formula>0.8</formula>
    </cfRule>
  </conditionalFormatting>
  <conditionalFormatting sqref="K15:M15">
    <cfRule type="cellIs" dxfId="155" priority="80" operator="between">
      <formula>0.95</formula>
      <formula>1</formula>
    </cfRule>
    <cfRule type="cellIs" dxfId="154" priority="83" operator="lessThanOrEqual">
      <formula>0.85</formula>
    </cfRule>
    <cfRule type="cellIs" dxfId="153" priority="206" operator="between">
      <formula>0.85000000000001</formula>
      <formula>0.94999999999</formula>
    </cfRule>
  </conditionalFormatting>
  <conditionalFormatting sqref="K13:L13">
    <cfRule type="cellIs" dxfId="152" priority="81" operator="between">
      <formula>0.9500000001</formula>
      <formula>1</formula>
    </cfRule>
  </conditionalFormatting>
  <conditionalFormatting sqref="K16:M16">
    <cfRule type="cellIs" dxfId="151" priority="77" operator="lessThanOrEqual">
      <formula>0.8</formula>
    </cfRule>
    <cfRule type="cellIs" dxfId="150" priority="78" operator="between">
      <formula>0.800000000001</formula>
      <formula>0.999999999999999</formula>
    </cfRule>
    <cfRule type="cellIs" dxfId="149" priority="79" operator="equal">
      <formula>1</formula>
    </cfRule>
  </conditionalFormatting>
  <conditionalFormatting sqref="K22:L24">
    <cfRule type="cellIs" dxfId="148" priority="202" operator="greaterThan">
      <formula>1</formula>
    </cfRule>
  </conditionalFormatting>
  <conditionalFormatting sqref="K30:M36">
    <cfRule type="cellIs" dxfId="147" priority="74" operator="equal">
      <formula>"No programado"</formula>
    </cfRule>
    <cfRule type="cellIs" dxfId="146" priority="84" operator="lessThanOrEqual">
      <formula>0.85</formula>
    </cfRule>
    <cfRule type="cellIs" dxfId="145" priority="85" operator="between">
      <formula>0.850000000001</formula>
      <formula>0.899999999999</formula>
    </cfRule>
    <cfRule type="cellIs" dxfId="144" priority="86" operator="between">
      <formula>0.9</formula>
      <formula>1</formula>
    </cfRule>
    <cfRule type="cellIs" dxfId="143" priority="87" operator="greaterThan">
      <formula>1</formula>
    </cfRule>
  </conditionalFormatting>
  <conditionalFormatting sqref="K57:M77">
    <cfRule type="cellIs" dxfId="142" priority="61" operator="equal">
      <formula>"No programado"</formula>
    </cfRule>
    <cfRule type="cellIs" dxfId="141" priority="64" operator="greaterThan">
      <formula>1</formula>
    </cfRule>
  </conditionalFormatting>
  <conditionalFormatting sqref="K59:M59">
    <cfRule type="cellIs" dxfId="140" priority="66" operator="between">
      <formula>0.7</formula>
      <formula>0.8</formula>
    </cfRule>
    <cfRule type="cellIs" dxfId="139" priority="68" operator="lessThan">
      <formula>0.7</formula>
    </cfRule>
    <cfRule type="cellIs" dxfId="138" priority="71" operator="between">
      <formula>0.80000000000001</formula>
      <formula>1</formula>
    </cfRule>
  </conditionalFormatting>
  <conditionalFormatting sqref="K63:M67">
    <cfRule type="cellIs" dxfId="137" priority="65" operator="between">
      <formula>0.95</formula>
      <formula>1</formula>
    </cfRule>
    <cfRule type="cellIs" dxfId="136" priority="67" operator="between">
      <formula>0.90000000001</formula>
      <formula>0.94999999999</formula>
    </cfRule>
    <cfRule type="cellIs" dxfId="135" priority="161" operator="lessThanOrEqual">
      <formula>90</formula>
    </cfRule>
  </conditionalFormatting>
  <conditionalFormatting sqref="K68:M77">
    <cfRule type="cellIs" dxfId="134" priority="60" operator="between">
      <formula>80</formula>
      <formula>85</formula>
    </cfRule>
    <cfRule type="cellIs" dxfId="133" priority="62" operator="lessThan">
      <formula>0.8</formula>
    </cfRule>
    <cfRule type="cellIs" dxfId="132" priority="63" operator="between">
      <formula>0.850000000001</formula>
      <formula>1</formula>
    </cfRule>
  </conditionalFormatting>
  <conditionalFormatting sqref="K58:M58 K60:M62">
    <cfRule type="cellIs" dxfId="131" priority="57" operator="lessThan">
      <formula>0.8</formula>
    </cfRule>
    <cfRule type="cellIs" dxfId="130" priority="58" operator="between">
      <formula>0.8</formula>
      <formula>0.85</formula>
    </cfRule>
    <cfRule type="cellIs" dxfId="129" priority="59" operator="between">
      <formula>0.85000000001</formula>
      <formula>1</formula>
    </cfRule>
  </conditionalFormatting>
  <conditionalFormatting sqref="K57:M57">
    <cfRule type="cellIs" dxfId="128" priority="54" operator="between">
      <formula>0.8000000001</formula>
      <formula>0.84999999999999</formula>
    </cfRule>
    <cfRule type="cellIs" dxfId="127" priority="55" operator="between">
      <formula>0.850000001</formula>
      <formula>1</formula>
    </cfRule>
    <cfRule type="cellIs" dxfId="126" priority="56" operator="lessThan">
      <formula>0.8</formula>
    </cfRule>
  </conditionalFormatting>
  <conditionalFormatting sqref="K85:M85">
    <cfRule type="cellIs" dxfId="125" priority="157" operator="between">
      <formula>0.53000001</formula>
      <formula>0.7699999999999</formula>
    </cfRule>
    <cfRule type="cellIs" dxfId="124" priority="158" operator="lessThan">
      <formula>0.53</formula>
    </cfRule>
    <cfRule type="cellIs" dxfId="123" priority="159" operator="between">
      <formula>0.7700000000001</formula>
      <formula>1</formula>
    </cfRule>
  </conditionalFormatting>
  <conditionalFormatting sqref="K88:M89 K84:M84">
    <cfRule type="cellIs" dxfId="122" priority="50" operator="between">
      <formula>0.69</formula>
      <formula>0.9</formula>
    </cfRule>
    <cfRule type="cellIs" dxfId="121" priority="51" operator="between">
      <formula>0.770000001</formula>
      <formula>1</formula>
    </cfRule>
    <cfRule type="cellIs" dxfId="120" priority="156" operator="lessThan">
      <formula>69</formula>
    </cfRule>
  </conditionalFormatting>
  <conditionalFormatting sqref="K87:M87">
    <cfRule type="cellIs" dxfId="119" priority="46" operator="between">
      <formula>0.57</formula>
      <formula>0.84999999999</formula>
    </cfRule>
    <cfRule type="cellIs" dxfId="118" priority="48" operator="between">
      <formula>0.85000001</formula>
      <formula>1</formula>
    </cfRule>
    <cfRule type="cellIs" dxfId="117" priority="49" operator="lessThan">
      <formula>0.57</formula>
    </cfRule>
  </conditionalFormatting>
  <conditionalFormatting sqref="K86:M86">
    <cfRule type="cellIs" dxfId="116" priority="43" operator="between">
      <formula>"0.45000001"</formula>
      <formula>0.799999999</formula>
    </cfRule>
    <cfRule type="cellIs" dxfId="115" priority="44" operator="between">
      <formula>0.8000000001</formula>
      <formula>1</formula>
    </cfRule>
    <cfRule type="cellIs" dxfId="114" priority="53" operator="lessThan">
      <formula>0.45</formula>
    </cfRule>
  </conditionalFormatting>
  <conditionalFormatting sqref="K83:M83">
    <cfRule type="cellIs" dxfId="113" priority="40" operator="between">
      <formula>0.66000000001</formula>
      <formula>0.944444444444444</formula>
    </cfRule>
    <cfRule type="cellIs" dxfId="112" priority="45" operator="between">
      <formula>0.900000000001</formula>
      <formula>1</formula>
    </cfRule>
    <cfRule type="cellIs" dxfId="111" priority="52" operator="lessThan">
      <formula>0.66</formula>
    </cfRule>
  </conditionalFormatting>
  <conditionalFormatting sqref="K97:M102">
    <cfRule type="cellIs" dxfId="110" priority="154" operator="lessThan">
      <formula>0.65</formula>
    </cfRule>
  </conditionalFormatting>
  <conditionalFormatting sqref="K95:M96">
    <cfRule type="cellIs" dxfId="109" priority="38" operator="lessThan">
      <formula>0.6</formula>
    </cfRule>
    <cfRule type="cellIs" dxfId="108" priority="153" operator="between">
      <formula>0.6</formula>
      <formula>0.9</formula>
    </cfRule>
  </conditionalFormatting>
  <conditionalFormatting sqref="K111:M114 K108:M108">
    <cfRule type="cellIs" dxfId="107" priority="35" operator="lessThanOrEqual">
      <formula>0.69</formula>
    </cfRule>
    <cfRule type="cellIs" dxfId="106" priority="36" operator="between">
      <formula>0.9</formula>
      <formula>1</formula>
    </cfRule>
  </conditionalFormatting>
  <conditionalFormatting sqref="K115:M115">
    <cfRule type="cellIs" dxfId="105" priority="33" operator="equal">
      <formula>1</formula>
    </cfRule>
    <cfRule type="cellIs" dxfId="104" priority="34" operator="between">
      <formula>0.9</formula>
      <formula>0.99999999999999</formula>
    </cfRule>
    <cfRule type="cellIs" dxfId="103" priority="37" operator="lessThan">
      <formula>0.9</formula>
    </cfRule>
  </conditionalFormatting>
  <conditionalFormatting sqref="K110:M110">
    <cfRule type="cellIs" dxfId="102" priority="29" operator="between">
      <formula>0.6900000001</formula>
      <formula>0.89999999</formula>
    </cfRule>
    <cfRule type="cellIs" dxfId="101" priority="30" operator="between">
      <formula>0.9</formula>
      <formula>1</formula>
    </cfRule>
    <cfRule type="cellIs" dxfId="100" priority="31" operator="lessThanOrEqual">
      <formula>0.79</formula>
    </cfRule>
  </conditionalFormatting>
  <conditionalFormatting sqref="K109:M109">
    <cfRule type="cellIs" dxfId="99" priority="26" operator="between">
      <formula>0.840000001</formula>
      <formula>0.96999999999999</formula>
    </cfRule>
    <cfRule type="cellIs" dxfId="98" priority="27" operator="lessThanOrEqual">
      <formula>0.87</formula>
    </cfRule>
    <cfRule type="cellIs" dxfId="97" priority="28" operator="between">
      <formula>0.97</formula>
      <formula>1</formula>
    </cfRule>
  </conditionalFormatting>
  <conditionalFormatting sqref="K121:M121">
    <cfRule type="cellIs" dxfId="96" priority="129" operator="between">
      <formula>0.9000001</formula>
      <formula>0.9499999</formula>
    </cfRule>
    <cfRule type="cellIs" dxfId="95" priority="130" operator="lessThanOrEqual">
      <formula>0.9</formula>
    </cfRule>
    <cfRule type="cellIs" dxfId="94" priority="131" operator="between">
      <formula>0.95</formula>
      <formula>1</formula>
    </cfRule>
  </conditionalFormatting>
  <conditionalFormatting sqref="K122:M122">
    <cfRule type="cellIs" dxfId="93" priority="22" operator="between">
      <formula>0.9500000001</formula>
      <formula>0.99999999999</formula>
    </cfRule>
    <cfRule type="cellIs" dxfId="92" priority="23" operator="lessThanOrEqual">
      <formula>0.95</formula>
    </cfRule>
    <cfRule type="cellIs" dxfId="91" priority="24" operator="equal">
      <formula>1</formula>
    </cfRule>
  </conditionalFormatting>
  <conditionalFormatting sqref="K128:M129">
    <cfRule type="cellIs" dxfId="90" priority="125" operator="between">
      <formula>0.9000001</formula>
      <formula>0.9599999</formula>
    </cfRule>
    <cfRule type="cellIs" dxfId="89" priority="126" operator="lessThan">
      <formula>0.9</formula>
    </cfRule>
    <cfRule type="cellIs" dxfId="88" priority="127" operator="between">
      <formula>0.95</formula>
      <formula>1</formula>
    </cfRule>
  </conditionalFormatting>
  <conditionalFormatting sqref="K130:M130">
    <cfRule type="cellIs" dxfId="87" priority="19" operator="lessThanOrEqual">
      <formula>0.95</formula>
    </cfRule>
    <cfRule type="cellIs" dxfId="86" priority="20" operator="equal">
      <formula>1</formula>
    </cfRule>
  </conditionalFormatting>
  <conditionalFormatting sqref="K169:M171">
    <cfRule type="cellIs" dxfId="85" priority="116" operator="equal">
      <formula>"No programado"</formula>
    </cfRule>
    <cfRule type="cellIs" dxfId="84" priority="117" operator="between">
      <formula>0.690001</formula>
      <formula>0.899999</formula>
    </cfRule>
    <cfRule type="cellIs" dxfId="83" priority="118" operator="lessThanOrEqual">
      <formula>0.69</formula>
    </cfRule>
    <cfRule type="cellIs" dxfId="82" priority="119" operator="between">
      <formula>0.9</formula>
      <formula>1</formula>
    </cfRule>
  </conditionalFormatting>
  <conditionalFormatting sqref="K161:M163">
    <cfRule type="cellIs" dxfId="81" priority="6" operator="between">
      <formula>0.700000000001</formula>
      <formula>0.9999999999999</formula>
    </cfRule>
    <cfRule type="cellIs" dxfId="80" priority="12" operator="equal">
      <formula>"No programado"</formula>
    </cfRule>
    <cfRule type="cellIs" dxfId="79" priority="14" operator="equal">
      <formula>1</formula>
    </cfRule>
    <cfRule type="cellIs" dxfId="78" priority="15" operator="greaterThan">
      <formula>1</formula>
    </cfRule>
  </conditionalFormatting>
  <conditionalFormatting sqref="K161:M161">
    <cfRule type="cellIs" dxfId="77" priority="8" operator="between">
      <formula>0.790000001</formula>
      <formula>0.999999999999</formula>
    </cfRule>
    <cfRule type="cellIs" dxfId="76" priority="11" operator="lessThanOrEqual">
      <formula>0.79</formula>
    </cfRule>
  </conditionalFormatting>
  <conditionalFormatting sqref="K162:M162">
    <cfRule type="cellIs" dxfId="75" priority="7" operator="between">
      <formula>0.9900000001</formula>
      <formula>0.99999999999</formula>
    </cfRule>
    <cfRule type="cellIs" dxfId="74" priority="10" operator="lessThanOrEqual">
      <formula>0.99</formula>
    </cfRule>
  </conditionalFormatting>
  <conditionalFormatting sqref="K163:M163">
    <cfRule type="cellIs" dxfId="73" priority="9" operator="lessThanOrEqual">
      <formula>0.7</formula>
    </cfRule>
  </conditionalFormatting>
  <conditionalFormatting sqref="K142:M145">
    <cfRule type="cellIs" dxfId="72" priority="1" operator="equal">
      <formula>"No programado"</formula>
    </cfRule>
    <cfRule type="cellIs" dxfId="71" priority="2" operator="greaterThan">
      <formula>1</formula>
    </cfRule>
  </conditionalFormatting>
  <conditionalFormatting sqref="K144:M145">
    <cfRule type="cellIs" dxfId="70" priority="3" operator="between">
      <formula>0.8</formula>
      <formula>0.999999</formula>
    </cfRule>
    <cfRule type="cellIs" dxfId="69" priority="107" operator="lessThanOrEqual">
      <formula>0.79</formula>
    </cfRule>
  </conditionalFormatting>
  <conditionalFormatting sqref="K143:M143">
    <cfRule type="cellIs" dxfId="68" priority="4" operator="between">
      <formula>0.93</formula>
      <formula>0.99999999999</formula>
    </cfRule>
    <cfRule type="cellIs" dxfId="67" priority="106" operator="lessThan">
      <formula>0.93</formula>
    </cfRule>
  </conditionalFormatting>
  <conditionalFormatting sqref="K142:M142">
    <cfRule type="cellIs" dxfId="66" priority="5" operator="between">
      <formula>0.9</formula>
      <formula>0.95</formula>
    </cfRule>
    <cfRule type="cellIs" dxfId="65" priority="100" operator="between">
      <formula>0.9000000001</formula>
      <formula>1</formula>
    </cfRule>
    <cfRule type="cellIs" dxfId="64" priority="103" operator="lessThan">
      <formula>0.9</formula>
    </cfRule>
  </conditionalFormatting>
  <conditionalFormatting sqref="K143:M145">
    <cfRule type="cellIs" dxfId="63" priority="101" operator="equal">
      <formula>1</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theme="8" tint="-0.249977111117893"/>
  </sheetPr>
  <dimension ref="B1:V94"/>
  <sheetViews>
    <sheetView showGridLines="0" zoomScale="110" zoomScaleNormal="110" workbookViewId="0">
      <selection activeCell="B2" sqref="B2:B3"/>
    </sheetView>
  </sheetViews>
  <sheetFormatPr baseColWidth="10" defaultColWidth="11.44140625" defaultRowHeight="15" customHeight="1" zeroHeight="1"/>
  <cols>
    <col min="1" max="1" width="3.6640625" style="626" customWidth="1"/>
    <col min="2" max="2" width="58" style="626" customWidth="1"/>
    <col min="3" max="3" width="30.5546875" style="628" customWidth="1"/>
    <col min="4" max="5" width="21.5546875" style="628" customWidth="1"/>
    <col min="6" max="6" width="19.44140625" style="626" customWidth="1"/>
    <col min="7" max="7" width="47" style="626" customWidth="1"/>
    <col min="8" max="15" width="11.44140625" style="626"/>
    <col min="16" max="16" width="62.44140625" style="626" bestFit="1" customWidth="1"/>
    <col min="17" max="17" width="40" style="626" customWidth="1"/>
    <col min="18" max="16355" width="11.44140625" style="626"/>
    <col min="16356" max="16356" width="1.44140625" style="626" customWidth="1"/>
    <col min="16357" max="16384" width="2.88671875" style="626" customWidth="1"/>
  </cols>
  <sheetData>
    <row r="1" spans="2:22" s="554" customFormat="1">
      <c r="D1" s="557"/>
      <c r="E1" s="555"/>
      <c r="F1" s="556"/>
      <c r="G1" s="556"/>
      <c r="H1" s="556"/>
      <c r="I1" s="556"/>
      <c r="J1" s="556"/>
      <c r="K1" s="556"/>
      <c r="L1" s="556"/>
      <c r="V1" s="557"/>
    </row>
    <row r="2" spans="2:22" s="554" customFormat="1" ht="28.8" customHeight="1">
      <c r="B2" s="856" t="s">
        <v>1045</v>
      </c>
      <c r="C2" s="854" t="s">
        <v>976</v>
      </c>
      <c r="D2" s="854"/>
      <c r="E2" s="854"/>
      <c r="F2" s="854"/>
      <c r="G2" s="854"/>
      <c r="H2" s="854"/>
      <c r="I2" s="618"/>
      <c r="J2" s="618"/>
      <c r="K2" s="618"/>
      <c r="L2" s="618"/>
      <c r="M2" s="618"/>
      <c r="N2" s="687"/>
      <c r="O2" s="687"/>
      <c r="P2" s="687"/>
      <c r="Q2" s="687"/>
      <c r="R2" s="687"/>
      <c r="S2" s="687"/>
      <c r="T2" s="687"/>
      <c r="U2" s="687"/>
      <c r="V2" s="557"/>
    </row>
    <row r="3" spans="2:22" s="554" customFormat="1" ht="17.399999999999999" customHeight="1">
      <c r="B3" s="856"/>
      <c r="C3" s="855" t="s">
        <v>966</v>
      </c>
      <c r="D3" s="855"/>
      <c r="E3" s="855"/>
      <c r="F3" s="855"/>
      <c r="G3" s="855"/>
      <c r="H3" s="855"/>
      <c r="I3" s="617"/>
      <c r="J3" s="617"/>
      <c r="K3" s="617"/>
      <c r="L3" s="617"/>
      <c r="M3" s="617"/>
      <c r="N3" s="686"/>
      <c r="O3" s="686"/>
      <c r="P3" s="686"/>
      <c r="Q3" s="686"/>
      <c r="R3" s="686"/>
      <c r="S3" s="686"/>
      <c r="T3" s="686"/>
      <c r="U3" s="686"/>
      <c r="V3" s="558"/>
    </row>
    <row r="4" spans="2:22" s="554" customFormat="1" ht="6" customHeight="1">
      <c r="B4" s="654"/>
      <c r="D4" s="846"/>
      <c r="E4" s="846"/>
      <c r="F4" s="846"/>
      <c r="G4" s="846"/>
      <c r="H4" s="846"/>
      <c r="I4" s="607"/>
      <c r="J4" s="607"/>
      <c r="K4" s="607"/>
      <c r="L4" s="607"/>
      <c r="M4" s="607"/>
      <c r="N4" s="688"/>
      <c r="O4" s="688"/>
      <c r="P4" s="688"/>
      <c r="Q4" s="688"/>
      <c r="R4" s="688"/>
      <c r="S4" s="688"/>
      <c r="T4" s="688"/>
      <c r="U4" s="688"/>
      <c r="V4" s="559"/>
    </row>
    <row r="5" spans="2:22" s="554" customFormat="1" ht="19.5" customHeight="1">
      <c r="B5" s="560" t="str">
        <f>+'Informe Detallado Desempeño POA'!C6</f>
        <v>Fecha de corte: 31 de marzo de 2021</v>
      </c>
      <c r="D5" s="608"/>
      <c r="E5" s="561"/>
      <c r="V5" s="557"/>
    </row>
    <row r="6" spans="2:22" ht="1.8" customHeight="1">
      <c r="B6" s="629"/>
    </row>
    <row r="7" spans="2:22" ht="8.4" customHeight="1">
      <c r="B7" s="629"/>
    </row>
    <row r="8" spans="2:22" ht="54" customHeight="1">
      <c r="B8" s="695" t="s">
        <v>815</v>
      </c>
      <c r="C8" s="696" t="s">
        <v>982</v>
      </c>
      <c r="D8" s="630"/>
      <c r="E8" s="626"/>
    </row>
    <row r="9" spans="2:22">
      <c r="B9" s="631" t="s">
        <v>789</v>
      </c>
      <c r="C9" s="632">
        <f>+F32</f>
        <v>0.22663476874003191</v>
      </c>
      <c r="D9" s="633"/>
      <c r="E9" s="626"/>
      <c r="H9" s="713"/>
      <c r="I9" s="714" t="s">
        <v>1041</v>
      </c>
    </row>
    <row r="10" spans="2:22">
      <c r="B10" s="631" t="s">
        <v>791</v>
      </c>
      <c r="C10" s="632">
        <f t="shared" ref="C10:C13" si="0">+F33</f>
        <v>0.1111111111111111</v>
      </c>
      <c r="D10" s="633"/>
      <c r="E10" s="626"/>
      <c r="H10" s="715"/>
      <c r="I10" s="714" t="s">
        <v>1042</v>
      </c>
    </row>
    <row r="11" spans="2:22">
      <c r="B11" s="631" t="s">
        <v>792</v>
      </c>
      <c r="C11" s="632">
        <f t="shared" si="0"/>
        <v>0.18095238095238095</v>
      </c>
      <c r="D11" s="633"/>
      <c r="E11" s="626"/>
      <c r="H11" s="716"/>
      <c r="I11" s="714" t="s">
        <v>1043</v>
      </c>
    </row>
    <row r="12" spans="2:22">
      <c r="B12" s="631" t="s">
        <v>793</v>
      </c>
      <c r="C12" s="632">
        <f t="shared" si="0"/>
        <v>0.25</v>
      </c>
      <c r="D12" s="633"/>
      <c r="E12" s="626"/>
      <c r="H12" s="717"/>
      <c r="I12" s="714" t="s">
        <v>1044</v>
      </c>
    </row>
    <row r="13" spans="2:22">
      <c r="B13" s="631" t="s">
        <v>804</v>
      </c>
      <c r="C13" s="632">
        <f t="shared" si="0"/>
        <v>0.31444444444444447</v>
      </c>
      <c r="D13" s="634"/>
      <c r="E13" s="626"/>
    </row>
    <row r="14" spans="2:22">
      <c r="B14" s="631" t="s">
        <v>794</v>
      </c>
      <c r="C14" s="632">
        <f>+F38</f>
        <v>0.1806527385050877</v>
      </c>
      <c r="D14" s="633"/>
      <c r="E14" s="626"/>
    </row>
    <row r="15" spans="2:22">
      <c r="B15" s="631" t="s">
        <v>931</v>
      </c>
      <c r="C15" s="632">
        <f t="shared" ref="C15:C16" si="1">+F39</f>
        <v>0.29224489795918362</v>
      </c>
      <c r="D15" s="633"/>
      <c r="E15" s="626"/>
    </row>
    <row r="16" spans="2:22">
      <c r="B16" s="631" t="s">
        <v>797</v>
      </c>
      <c r="C16" s="632">
        <f t="shared" si="1"/>
        <v>0.15256107026143792</v>
      </c>
      <c r="D16" s="633"/>
      <c r="E16" s="626"/>
    </row>
    <row r="17" spans="2:22">
      <c r="B17" s="631" t="s">
        <v>798</v>
      </c>
      <c r="C17" s="632">
        <f>+F42</f>
        <v>0.25259589357398637</v>
      </c>
      <c r="D17" s="633"/>
      <c r="E17" s="626"/>
    </row>
    <row r="18" spans="2:22">
      <c r="B18" s="631" t="s">
        <v>799</v>
      </c>
      <c r="C18" s="632">
        <f t="shared" ref="C18:C22" si="2">+F43</f>
        <v>0.25336597938144328</v>
      </c>
      <c r="D18" s="633"/>
      <c r="E18" s="626"/>
    </row>
    <row r="19" spans="2:22">
      <c r="B19" s="631" t="s">
        <v>800</v>
      </c>
      <c r="C19" s="632">
        <f t="shared" si="2"/>
        <v>0.21473684210526317</v>
      </c>
      <c r="D19" s="633"/>
      <c r="E19" s="626"/>
    </row>
    <row r="20" spans="2:22">
      <c r="B20" s="631" t="s">
        <v>801</v>
      </c>
      <c r="C20" s="632">
        <f t="shared" si="2"/>
        <v>0.18095238095238095</v>
      </c>
      <c r="D20" s="633"/>
      <c r="E20" s="626"/>
    </row>
    <row r="21" spans="2:22">
      <c r="B21" s="631" t="s">
        <v>802</v>
      </c>
      <c r="C21" s="632">
        <f t="shared" si="2"/>
        <v>0.25578947368421057</v>
      </c>
      <c r="D21" s="633"/>
      <c r="E21" s="626"/>
    </row>
    <row r="22" spans="2:22">
      <c r="B22" s="631" t="s">
        <v>803</v>
      </c>
      <c r="C22" s="632">
        <f t="shared" si="2"/>
        <v>0.25</v>
      </c>
      <c r="D22" s="633"/>
      <c r="E22" s="626"/>
    </row>
    <row r="23" spans="2:22">
      <c r="B23" s="631" t="s">
        <v>805</v>
      </c>
      <c r="C23" s="632">
        <f>+F49</f>
        <v>0.26555555555555554</v>
      </c>
      <c r="D23" s="633"/>
      <c r="E23" s="626"/>
    </row>
    <row r="24" spans="2:22" ht="15.6" thickBot="1">
      <c r="B24" s="635" t="s">
        <v>806</v>
      </c>
      <c r="C24" s="632">
        <f>+F50</f>
        <v>0.17</v>
      </c>
      <c r="D24" s="633"/>
      <c r="E24" s="626"/>
    </row>
    <row r="25" spans="2:22" ht="16.2" thickBot="1">
      <c r="B25" s="636" t="s">
        <v>968</v>
      </c>
      <c r="C25" s="637">
        <f>AVERAGE(C9:C24)</f>
        <v>0.22197484607665735</v>
      </c>
      <c r="D25" s="638"/>
      <c r="E25" s="626"/>
    </row>
    <row r="26" spans="2:22" s="639" customFormat="1">
      <c r="C26" s="640"/>
      <c r="D26" s="640"/>
      <c r="E26" s="640"/>
      <c r="P26" s="626"/>
      <c r="Q26" s="626"/>
    </row>
    <row r="27" spans="2:22" s="639" customFormat="1" ht="56.25" customHeight="1">
      <c r="C27" s="640"/>
      <c r="P27" s="626"/>
      <c r="Q27" s="626"/>
    </row>
    <row r="28" spans="2:22" s="554" customFormat="1" ht="19.5" customHeight="1" thickBot="1">
      <c r="B28" s="560" t="str">
        <f>+B5</f>
        <v>Fecha de corte: 31 de marzo de 2021</v>
      </c>
      <c r="D28" s="561"/>
      <c r="E28" s="561"/>
      <c r="V28" s="557"/>
    </row>
    <row r="29" spans="2:22" s="554" customFormat="1" ht="33" customHeight="1" thickBot="1">
      <c r="B29" s="859" t="s">
        <v>815</v>
      </c>
      <c r="C29" s="857" t="s">
        <v>929</v>
      </c>
      <c r="D29" s="861" t="s">
        <v>978</v>
      </c>
      <c r="E29" s="862"/>
      <c r="F29" s="863"/>
      <c r="G29" s="555"/>
      <c r="H29" s="555"/>
      <c r="I29" s="555"/>
      <c r="U29" s="557"/>
    </row>
    <row r="30" spans="2:22" s="554" customFormat="1" ht="41.25" customHeight="1" thickBot="1">
      <c r="B30" s="860"/>
      <c r="C30" s="858"/>
      <c r="D30" s="667" t="str">
        <f>+'Informe Detallado Desempeño POA'!K12</f>
        <v>Primer Trimestre</v>
      </c>
      <c r="E30" s="669" t="str">
        <f>+'Informe Detallado Desempeño POA'!L12</f>
        <v>Acumulado Corte 31/03/2021</v>
      </c>
      <c r="F30" s="668" t="str">
        <f>+'Informe Detallado Desempeño POA'!M12</f>
        <v>Anual</v>
      </c>
      <c r="G30" s="655"/>
      <c r="H30" s="555"/>
      <c r="I30" s="555"/>
      <c r="J30" s="555"/>
      <c r="V30" s="557"/>
    </row>
    <row r="31" spans="2:22" s="554" customFormat="1" ht="34.799999999999997" customHeight="1" thickBot="1">
      <c r="B31" s="665" t="s">
        <v>979</v>
      </c>
      <c r="C31" s="568"/>
      <c r="D31" s="569"/>
      <c r="E31" s="569"/>
      <c r="F31" s="570"/>
      <c r="G31" s="571"/>
      <c r="H31" s="565"/>
      <c r="I31" s="565"/>
      <c r="J31" s="565"/>
      <c r="V31" s="557"/>
    </row>
    <row r="32" spans="2:22" s="554" customFormat="1">
      <c r="B32" s="562" t="s">
        <v>789</v>
      </c>
      <c r="C32" s="563">
        <f>+'Rango indicadores'!D108</f>
        <v>4</v>
      </c>
      <c r="D32" s="564">
        <f>IF(AND('Informe Detallado Desempeño POA'!K17&gt;0),'Informe Detallado Desempeño POA'!K17,"No Programado")</f>
        <v>1</v>
      </c>
      <c r="E32" s="564">
        <f>IF(AND('Informe Detallado Desempeño POA'!L17&gt;0),'Informe Detallado Desempeño POA'!L17,"No Programado")</f>
        <v>1</v>
      </c>
      <c r="F32" s="564">
        <f>IF(AND('Informe Detallado Desempeño POA'!M17&gt;0),'Informe Detallado Desempeño POA'!M17,"No Programado")</f>
        <v>0.22663476874003191</v>
      </c>
      <c r="G32" s="565"/>
      <c r="H32" s="565"/>
      <c r="I32" s="565"/>
      <c r="J32" s="565"/>
      <c r="V32" s="557"/>
    </row>
    <row r="33" spans="2:22" s="554" customFormat="1">
      <c r="B33" s="566" t="s">
        <v>791</v>
      </c>
      <c r="C33" s="563">
        <f>+'Rango indicadores'!D109</f>
        <v>3</v>
      </c>
      <c r="D33" s="564" t="str">
        <f>IF(AND('Informe Detallado Desempeño POA'!K25&gt;0),'Informe Detallado Desempeño POA'!K25,"No Programado")</f>
        <v>No Programado</v>
      </c>
      <c r="E33" s="564" t="str">
        <f>IF(AND('Informe Detallado Desempeño POA'!L25&gt;0),'Informe Detallado Desempeño POA'!L25,"No Programado")</f>
        <v>No Programado</v>
      </c>
      <c r="F33" s="564">
        <f>IF(AND('Informe Detallado Desempeño POA'!M25&gt;0),'Informe Detallado Desempeño POA'!M25,"No Programado")</f>
        <v>0.1111111111111111</v>
      </c>
      <c r="G33" s="565"/>
      <c r="H33" s="565"/>
      <c r="I33" s="565"/>
      <c r="J33" s="565"/>
      <c r="V33" s="557"/>
    </row>
    <row r="34" spans="2:22" s="554" customFormat="1">
      <c r="B34" s="566" t="s">
        <v>792</v>
      </c>
      <c r="C34" s="563">
        <f>+'Rango indicadores'!D110</f>
        <v>7</v>
      </c>
      <c r="D34" s="564">
        <f>IF(AND('Informe Detallado Desempeño POA'!K37&gt;0),'Informe Detallado Desempeño POA'!K37,"No Programado")</f>
        <v>1</v>
      </c>
      <c r="E34" s="564">
        <f>IF(AND('Informe Detallado Desempeño POA'!L37&gt;0),'Informe Detallado Desempeño POA'!L37,"No Programado")</f>
        <v>1</v>
      </c>
      <c r="F34" s="564">
        <f>IF(AND('Informe Detallado Desempeño POA'!M37&gt;0),'Informe Detallado Desempeño POA'!M37,"No Programado")</f>
        <v>0.18095238095238095</v>
      </c>
      <c r="G34" s="565"/>
      <c r="H34" s="565"/>
      <c r="I34" s="565"/>
      <c r="J34" s="565"/>
      <c r="V34" s="557"/>
    </row>
    <row r="35" spans="2:22" s="554" customFormat="1">
      <c r="B35" s="566" t="s">
        <v>793</v>
      </c>
      <c r="C35" s="563">
        <f>+'Rango indicadores'!D111</f>
        <v>2</v>
      </c>
      <c r="D35" s="564">
        <f>IF(AND('Informe Detallado Desempeño POA'!K44&gt;0),'Informe Detallado Desempeño POA'!K44,"No Programado")</f>
        <v>1</v>
      </c>
      <c r="E35" s="564">
        <f>IF(AND('Informe Detallado Desempeño POA'!L44&gt;0),'Informe Detallado Desempeño POA'!L44,"No Programado")</f>
        <v>1</v>
      </c>
      <c r="F35" s="564">
        <f>IF(AND('Informe Detallado Desempeño POA'!M44&gt;0),'Informe Detallado Desempeño POA'!M44,"No Programado")</f>
        <v>0.25</v>
      </c>
      <c r="G35" s="565"/>
      <c r="H35" s="565"/>
      <c r="I35" s="565"/>
      <c r="J35" s="565"/>
      <c r="V35" s="557"/>
    </row>
    <row r="36" spans="2:22" s="554" customFormat="1" ht="15.6" thickBot="1">
      <c r="B36" s="567" t="s">
        <v>804</v>
      </c>
      <c r="C36" s="563">
        <f>+'Rango indicadores'!D121</f>
        <v>3</v>
      </c>
      <c r="D36" s="564">
        <f>IF(AND('Informe Detallado Desempeño POA'!K52&gt;0),'Informe Detallado Desempeño POA'!K52,"No Programado")</f>
        <v>0.94333333333333336</v>
      </c>
      <c r="E36" s="564">
        <f>IF(AND('Informe Detallado Desempeño POA'!L52&gt;0),'Informe Detallado Desempeño POA'!L52,"No Programado")</f>
        <v>0.94333333333333336</v>
      </c>
      <c r="F36" s="564">
        <f>IF(AND('Informe Detallado Desempeño POA'!M52&gt;0),'Informe Detallado Desempeño POA'!M52,"No Programado")</f>
        <v>0.31444444444444447</v>
      </c>
      <c r="G36" s="565"/>
      <c r="H36" s="565"/>
      <c r="I36" s="565"/>
      <c r="J36" s="565"/>
      <c r="V36" s="557"/>
    </row>
    <row r="37" spans="2:22" s="554" customFormat="1" ht="34.799999999999997" customHeight="1" thickBot="1">
      <c r="B37" s="665" t="s">
        <v>980</v>
      </c>
      <c r="C37" s="568"/>
      <c r="D37" s="569"/>
      <c r="E37" s="569"/>
      <c r="F37" s="570"/>
      <c r="G37" s="571"/>
      <c r="H37" s="565"/>
      <c r="I37" s="565"/>
      <c r="J37" s="565"/>
      <c r="V37" s="557"/>
    </row>
    <row r="38" spans="2:22" s="554" customFormat="1">
      <c r="B38" s="562" t="s">
        <v>794</v>
      </c>
      <c r="C38" s="563">
        <f>+'Rango indicadores'!D112</f>
        <v>21</v>
      </c>
      <c r="D38" s="564">
        <f>IF(AND('Informe Detallado Desempeño POA'!K78&gt;0),'Informe Detallado Desempeño POA'!K78,"No Programado")</f>
        <v>1.3560204166461953</v>
      </c>
      <c r="E38" s="564">
        <f>IF(AND('Informe Detallado Desempeño POA'!L78&gt;0),'Informe Detallado Desempeño POA'!L78,"No Programado")</f>
        <v>1.3560204166461953</v>
      </c>
      <c r="F38" s="564">
        <f>IF(AND('Informe Detallado Desempeño POA'!M78&gt;0),'Informe Detallado Desempeño POA'!M78,"No Programado")</f>
        <v>0.1806527385050877</v>
      </c>
      <c r="G38" s="565"/>
      <c r="H38" s="565"/>
      <c r="I38" s="565"/>
      <c r="J38" s="565"/>
      <c r="V38" s="557"/>
    </row>
    <row r="39" spans="2:22" s="554" customFormat="1">
      <c r="B39" s="566" t="s">
        <v>931</v>
      </c>
      <c r="C39" s="563">
        <f>+'Rango indicadores'!D113</f>
        <v>7</v>
      </c>
      <c r="D39" s="564">
        <f>IF(AND('Informe Detallado Desempeño POA'!K90&gt;0),'Informe Detallado Desempeño POA'!K90,"No Programado")</f>
        <v>1.7442307692307693</v>
      </c>
      <c r="E39" s="564">
        <f>IF(AND('Informe Detallado Desempeño POA'!L90&gt;0),'Informe Detallado Desempeño POA'!L90,"No Programado")</f>
        <v>1.7442307692307693</v>
      </c>
      <c r="F39" s="564">
        <f>IF(AND('Informe Detallado Desempeño POA'!M90&gt;0),'Informe Detallado Desempeño POA'!M90,"No Programado")</f>
        <v>0.29224489795918362</v>
      </c>
      <c r="G39" s="565"/>
      <c r="H39" s="565"/>
      <c r="I39" s="565"/>
      <c r="J39" s="565"/>
      <c r="V39" s="557"/>
    </row>
    <row r="40" spans="2:22" s="554" customFormat="1" ht="15.6" thickBot="1">
      <c r="B40" s="567" t="s">
        <v>797</v>
      </c>
      <c r="C40" s="563">
        <f>+'Rango indicadores'!D114</f>
        <v>8</v>
      </c>
      <c r="D40" s="564">
        <f>IF(AND('Informe Detallado Desempeño POA'!K103&gt;0),'Informe Detallado Desempeño POA'!K103,"No Programado")</f>
        <v>0.99975000000000003</v>
      </c>
      <c r="E40" s="564">
        <f>IF(AND('Informe Detallado Desempeño POA'!L103&gt;0),'Informe Detallado Desempeño POA'!L103,"No Programado")</f>
        <v>0.99975000000000003</v>
      </c>
      <c r="F40" s="564">
        <f>IF(AND('Informe Detallado Desempeño POA'!M103&gt;0),'Informe Detallado Desempeño POA'!M103,"No Programado")</f>
        <v>0.15256107026143792</v>
      </c>
      <c r="G40" s="565"/>
      <c r="H40" s="565"/>
      <c r="I40" s="565"/>
      <c r="J40" s="565"/>
      <c r="V40" s="557"/>
    </row>
    <row r="41" spans="2:22" s="554" customFormat="1" ht="34.799999999999997" customHeight="1" thickBot="1">
      <c r="B41" s="665" t="s">
        <v>981</v>
      </c>
      <c r="C41" s="568"/>
      <c r="D41" s="569"/>
      <c r="E41" s="569"/>
      <c r="F41" s="570"/>
      <c r="G41" s="571"/>
      <c r="H41" s="565"/>
      <c r="I41" s="565"/>
      <c r="J41" s="565"/>
      <c r="V41" s="557"/>
    </row>
    <row r="42" spans="2:22" s="554" customFormat="1">
      <c r="B42" s="562" t="s">
        <v>798</v>
      </c>
      <c r="C42" s="563">
        <f>+'Rango indicadores'!D115</f>
        <v>8</v>
      </c>
      <c r="D42" s="564">
        <f>IF(AND('Informe Detallado Desempeño POA'!K116&gt;0),'Informe Detallado Desempeño POA'!K116,"No Programado")</f>
        <v>0.99294981878856503</v>
      </c>
      <c r="E42" s="564">
        <f>IF(AND('Informe Detallado Desempeño POA'!L116&gt;0),'Informe Detallado Desempeño POA'!L116,"No Programado")</f>
        <v>0.99294981878856503</v>
      </c>
      <c r="F42" s="564">
        <f>IF(AND('Informe Detallado Desempeño POA'!M116&gt;0),'Informe Detallado Desempeño POA'!M116,"No Programado")</f>
        <v>0.25259589357398637</v>
      </c>
      <c r="G42" s="565"/>
      <c r="H42" s="565"/>
      <c r="I42" s="565"/>
      <c r="J42" s="565"/>
      <c r="V42" s="557"/>
    </row>
    <row r="43" spans="2:22" s="554" customFormat="1">
      <c r="B43" s="566" t="s">
        <v>799</v>
      </c>
      <c r="C43" s="563">
        <f>+'Rango indicadores'!D116</f>
        <v>2</v>
      </c>
      <c r="D43" s="564">
        <f>IF(AND('Informe Detallado Desempeño POA'!K123),'Informe Detallado Desempeño POA'!K123,"No Programado")</f>
        <v>1.0136305841924398</v>
      </c>
      <c r="E43" s="564">
        <f>IF(AND('Informe Detallado Desempeño POA'!L123),'Informe Detallado Desempeño POA'!L123,"No Programado")</f>
        <v>1.0136305841924398</v>
      </c>
      <c r="F43" s="564">
        <f>IF(AND('Informe Detallado Desempeño POA'!M123),'Informe Detallado Desempeño POA'!M123,"No Programado")</f>
        <v>0.25336597938144328</v>
      </c>
      <c r="G43" s="565"/>
      <c r="H43" s="565"/>
      <c r="I43" s="565"/>
      <c r="J43" s="565"/>
      <c r="V43" s="557"/>
    </row>
    <row r="44" spans="2:22" s="554" customFormat="1">
      <c r="B44" s="566" t="s">
        <v>800</v>
      </c>
      <c r="C44" s="563">
        <f>+'Rango indicadores'!D117</f>
        <v>3</v>
      </c>
      <c r="D44" s="564">
        <f>IF(AND('Informe Detallado Desempeño POA'!K131&gt;0),'Informe Detallado Desempeño POA'!K131,"No Programado")</f>
        <v>0.92727272727272725</v>
      </c>
      <c r="E44" s="564">
        <f>IF(AND('Informe Detallado Desempeño POA'!L131&gt;0),'Informe Detallado Desempeño POA'!L131,"No Programado")</f>
        <v>0.92727272727272725</v>
      </c>
      <c r="F44" s="564">
        <f>IF(AND('Informe Detallado Desempeño POA'!M131&gt;0),'Informe Detallado Desempeño POA'!M131,"No Programado")</f>
        <v>0.21473684210526317</v>
      </c>
      <c r="G44" s="565"/>
      <c r="H44" s="565"/>
      <c r="I44" s="565"/>
      <c r="J44" s="565"/>
      <c r="V44" s="557"/>
    </row>
    <row r="45" spans="2:22" s="554" customFormat="1">
      <c r="B45" s="566" t="s">
        <v>801</v>
      </c>
      <c r="C45" s="563">
        <f>+'Rango indicadores'!D118</f>
        <v>1</v>
      </c>
      <c r="D45" s="564">
        <f>IF(AND('Informe Detallado Desempeño POA'!K137&gt;0),'Informe Detallado Desempeño POA'!K137,"No Programado")</f>
        <v>0.57894736842105265</v>
      </c>
      <c r="E45" s="564">
        <f>IF(AND('Informe Detallado Desempeño POA'!L137&gt;0),'Informe Detallado Desempeño POA'!L137,"No Programado")</f>
        <v>0.57894736842105265</v>
      </c>
      <c r="F45" s="564">
        <f>IF(AND('Informe Detallado Desempeño POA'!M37&gt;0),'Informe Detallado Desempeño POA'!M37,"No Programado")</f>
        <v>0.18095238095238095</v>
      </c>
      <c r="G45" s="565"/>
      <c r="H45" s="565"/>
      <c r="I45" s="565"/>
      <c r="J45" s="565"/>
      <c r="V45" s="557"/>
    </row>
    <row r="46" spans="2:22" s="554" customFormat="1">
      <c r="B46" s="566" t="s">
        <v>802</v>
      </c>
      <c r="C46" s="563">
        <f>+'Rango indicadores'!D119</f>
        <v>4</v>
      </c>
      <c r="D46" s="564">
        <f>IF(AND('Informe Detallado Desempeño POA'!K146&gt;0),'Informe Detallado Desempeño POA'!K146,"No Programado")</f>
        <v>1.1531578947368422</v>
      </c>
      <c r="E46" s="564">
        <f>IF(AND('Informe Detallado Desempeño POA'!L146&gt;0),'Informe Detallado Desempeño POA'!L146,"No Programado")</f>
        <v>1.1531578947368422</v>
      </c>
      <c r="F46" s="564">
        <f>IF(AND('Informe Detallado Desempeño POA'!M146&gt;0),'Informe Detallado Desempeño POA'!M146,"No Programado")</f>
        <v>0.25578947368421057</v>
      </c>
      <c r="G46" s="565"/>
      <c r="H46" s="565"/>
      <c r="I46" s="565"/>
      <c r="J46" s="565"/>
      <c r="V46" s="557"/>
    </row>
    <row r="47" spans="2:22" s="554" customFormat="1" ht="15.6" thickBot="1">
      <c r="B47" s="567" t="s">
        <v>803</v>
      </c>
      <c r="C47" s="563">
        <f>+'Rango indicadores'!D120</f>
        <v>5</v>
      </c>
      <c r="D47" s="564">
        <f>IF(AND('Informe Detallado Desempeño POA'!K156&gt;0),'Informe Detallado Desempeño POA'!K156,"No Programado")</f>
        <v>1</v>
      </c>
      <c r="E47" s="564">
        <f>IF(AND('Informe Detallado Desempeño POA'!L156&gt;0),'Informe Detallado Desempeño POA'!L156,"No Programado")</f>
        <v>1</v>
      </c>
      <c r="F47" s="564">
        <f>IF(AND('Informe Detallado Desempeño POA'!M156&gt;0),'Informe Detallado Desempeño POA'!M156,"No Programado")</f>
        <v>0.25</v>
      </c>
      <c r="G47" s="565"/>
      <c r="H47" s="565"/>
      <c r="I47" s="565"/>
      <c r="J47" s="565"/>
      <c r="V47" s="557"/>
    </row>
    <row r="48" spans="2:22" s="554" customFormat="1" ht="34.799999999999997" customHeight="1" thickBot="1">
      <c r="B48" s="666" t="s">
        <v>932</v>
      </c>
      <c r="C48" s="568"/>
      <c r="D48" s="569"/>
      <c r="E48" s="569"/>
      <c r="F48" s="570"/>
      <c r="G48" s="571"/>
      <c r="H48" s="565"/>
      <c r="I48" s="565"/>
      <c r="J48" s="565"/>
      <c r="V48" s="557"/>
    </row>
    <row r="49" spans="2:22" s="554" customFormat="1">
      <c r="B49" s="566" t="s">
        <v>805</v>
      </c>
      <c r="C49" s="563">
        <f>+'Rango indicadores'!D122</f>
        <v>3</v>
      </c>
      <c r="D49" s="564">
        <f>IF(AND('Informe Detallado Desempeño POA'!K164&gt;0),'Informe Detallado Desempeño POA'!K164,"No Programado")</f>
        <v>1.6594202898550725</v>
      </c>
      <c r="E49" s="564">
        <f>IF(AND('Informe Detallado Desempeño POA'!L164&gt;0),'Informe Detallado Desempeño POA'!L164,"No Programado")</f>
        <v>1.6594202898550725</v>
      </c>
      <c r="F49" s="564">
        <f>IF(AND('Informe Detallado Desempeño POA'!M164&gt;0),'Informe Detallado Desempeño POA'!M164,"No Programado")</f>
        <v>0.26555555555555554</v>
      </c>
      <c r="G49" s="565"/>
      <c r="H49" s="565"/>
      <c r="I49" s="565"/>
      <c r="J49" s="565"/>
      <c r="V49" s="557"/>
    </row>
    <row r="50" spans="2:22" s="554" customFormat="1">
      <c r="B50" s="663" t="s">
        <v>806</v>
      </c>
      <c r="C50" s="664">
        <f>+'Rango indicadores'!D123</f>
        <v>3</v>
      </c>
      <c r="D50" s="564">
        <f>IF(AND('Informe Detallado Desempeño POA'!K172&gt;0),'Informe Detallado Desempeño POA'!K172,"No Programado")</f>
        <v>1</v>
      </c>
      <c r="E50" s="564">
        <f>IF(AND('Informe Detallado Desempeño POA'!L172&gt;0),'Informe Detallado Desempeño POA'!L172,"No Programado")</f>
        <v>1</v>
      </c>
      <c r="F50" s="564">
        <f>IF(AND('Informe Detallado Desempeño POA'!M172&gt;0),'Informe Detallado Desempeño POA'!M172,"No Programado")</f>
        <v>0.17</v>
      </c>
      <c r="G50" s="565"/>
      <c r="H50" s="565"/>
      <c r="I50" s="565"/>
      <c r="J50" s="565"/>
      <c r="V50" s="557"/>
    </row>
    <row r="51" spans="2:22" s="639" customFormat="1">
      <c r="C51" s="640"/>
      <c r="P51" s="626"/>
      <c r="Q51" s="626"/>
    </row>
    <row r="52" spans="2:22" s="639" customFormat="1" ht="15.6" thickBot="1">
      <c r="C52" s="640"/>
      <c r="P52" s="626"/>
      <c r="Q52" s="626"/>
    </row>
    <row r="53" spans="2:22" s="639" customFormat="1" ht="15.6">
      <c r="B53" s="847" t="s">
        <v>815</v>
      </c>
      <c r="C53" s="849" t="s">
        <v>969</v>
      </c>
      <c r="D53" s="851" t="s">
        <v>970</v>
      </c>
      <c r="E53" s="852"/>
      <c r="F53" s="853"/>
      <c r="P53" s="626"/>
      <c r="Q53" s="626"/>
    </row>
    <row r="54" spans="2:22" ht="33" customHeight="1">
      <c r="B54" s="848"/>
      <c r="C54" s="850"/>
      <c r="D54" s="690" t="s">
        <v>824</v>
      </c>
      <c r="E54" s="690" t="s">
        <v>828</v>
      </c>
      <c r="F54" s="642" t="s">
        <v>832</v>
      </c>
    </row>
    <row r="55" spans="2:22">
      <c r="B55" s="643" t="s">
        <v>789</v>
      </c>
      <c r="C55" s="644">
        <f>+C32</f>
        <v>4</v>
      </c>
      <c r="D55" s="644">
        <f>+'Rango indicadores'!E108</f>
        <v>4</v>
      </c>
      <c r="E55" s="644">
        <f>+'Rango indicadores'!F108</f>
        <v>0</v>
      </c>
      <c r="F55" s="645">
        <f>+'Rango indicadores'!G108</f>
        <v>0</v>
      </c>
    </row>
    <row r="56" spans="2:22">
      <c r="B56" s="643" t="s">
        <v>791</v>
      </c>
      <c r="C56" s="644">
        <f>+C33</f>
        <v>3</v>
      </c>
      <c r="D56" s="644">
        <f>+'Rango indicadores'!E109</f>
        <v>3</v>
      </c>
      <c r="E56" s="644">
        <f>+'Rango indicadores'!F109</f>
        <v>0</v>
      </c>
      <c r="F56" s="645">
        <f>+'Rango indicadores'!G109</f>
        <v>0</v>
      </c>
    </row>
    <row r="57" spans="2:22">
      <c r="B57" s="643" t="s">
        <v>792</v>
      </c>
      <c r="C57" s="644">
        <f>+C34</f>
        <v>7</v>
      </c>
      <c r="D57" s="644">
        <f>+'Rango indicadores'!E110</f>
        <v>7</v>
      </c>
      <c r="E57" s="644">
        <f>+'Rango indicadores'!F110</f>
        <v>0</v>
      </c>
      <c r="F57" s="645">
        <f>+'Rango indicadores'!G110</f>
        <v>0</v>
      </c>
    </row>
    <row r="58" spans="2:22">
      <c r="B58" s="643" t="s">
        <v>793</v>
      </c>
      <c r="C58" s="644">
        <f>+C35</f>
        <v>2</v>
      </c>
      <c r="D58" s="644">
        <f>+'Rango indicadores'!E111</f>
        <v>2</v>
      </c>
      <c r="E58" s="644">
        <f>+'Rango indicadores'!F111</f>
        <v>0</v>
      </c>
      <c r="F58" s="645">
        <f>+'Rango indicadores'!G111</f>
        <v>0</v>
      </c>
    </row>
    <row r="59" spans="2:22">
      <c r="B59" s="643" t="s">
        <v>804</v>
      </c>
      <c r="C59" s="644">
        <f>+C36</f>
        <v>3</v>
      </c>
      <c r="D59" s="644">
        <f>+'Rango indicadores'!E112</f>
        <v>21</v>
      </c>
      <c r="E59" s="644">
        <f>+'Rango indicadores'!F112</f>
        <v>0</v>
      </c>
      <c r="F59" s="645">
        <f>+'Rango indicadores'!G112</f>
        <v>0</v>
      </c>
    </row>
    <row r="60" spans="2:22">
      <c r="B60" s="643" t="s">
        <v>794</v>
      </c>
      <c r="C60" s="644">
        <f>+C38</f>
        <v>21</v>
      </c>
      <c r="D60" s="644">
        <f>+'Rango indicadores'!E113</f>
        <v>7</v>
      </c>
      <c r="E60" s="644">
        <f>+'Rango indicadores'!F113</f>
        <v>0</v>
      </c>
      <c r="F60" s="645">
        <f>+'Rango indicadores'!G113</f>
        <v>0</v>
      </c>
    </row>
    <row r="61" spans="2:22">
      <c r="B61" s="643" t="s">
        <v>931</v>
      </c>
      <c r="C61" s="644">
        <f>+C39</f>
        <v>7</v>
      </c>
      <c r="D61" s="644">
        <f>+'Rango indicadores'!E114</f>
        <v>8</v>
      </c>
      <c r="E61" s="644">
        <f>+'Rango indicadores'!F114</f>
        <v>0</v>
      </c>
      <c r="F61" s="645">
        <f>+'Rango indicadores'!G114</f>
        <v>0</v>
      </c>
    </row>
    <row r="62" spans="2:22">
      <c r="B62" s="643" t="s">
        <v>797</v>
      </c>
      <c r="C62" s="644">
        <f>+C40</f>
        <v>8</v>
      </c>
      <c r="D62" s="644">
        <f>+'Rango indicadores'!E115</f>
        <v>7</v>
      </c>
      <c r="E62" s="644">
        <f>+'Rango indicadores'!F115</f>
        <v>0</v>
      </c>
      <c r="F62" s="645">
        <f>+'Rango indicadores'!G115</f>
        <v>1</v>
      </c>
    </row>
    <row r="63" spans="2:22">
      <c r="B63" s="643" t="s">
        <v>798</v>
      </c>
      <c r="C63" s="644">
        <f t="shared" ref="C63:C68" si="3">+C42</f>
        <v>8</v>
      </c>
      <c r="D63" s="644">
        <f>+'Rango indicadores'!E116</f>
        <v>2</v>
      </c>
      <c r="E63" s="644">
        <f>+'Rango indicadores'!F116</f>
        <v>0</v>
      </c>
      <c r="F63" s="645">
        <f>+'Rango indicadores'!G116</f>
        <v>0</v>
      </c>
    </row>
    <row r="64" spans="2:22">
      <c r="B64" s="643" t="s">
        <v>799</v>
      </c>
      <c r="C64" s="644">
        <f t="shared" si="3"/>
        <v>2</v>
      </c>
      <c r="D64" s="644">
        <f>+'Rango indicadores'!E117</f>
        <v>3</v>
      </c>
      <c r="E64" s="644">
        <f>+'Rango indicadores'!F117</f>
        <v>0</v>
      </c>
      <c r="F64" s="645">
        <f>+'Rango indicadores'!G117</f>
        <v>0</v>
      </c>
    </row>
    <row r="65" spans="2:6">
      <c r="B65" s="643" t="s">
        <v>800</v>
      </c>
      <c r="C65" s="644">
        <f t="shared" si="3"/>
        <v>3</v>
      </c>
      <c r="D65" s="644">
        <f>+'Rango indicadores'!E118</f>
        <v>1</v>
      </c>
      <c r="E65" s="644">
        <f>+'Rango indicadores'!F118</f>
        <v>0</v>
      </c>
      <c r="F65" s="645">
        <f>+'Rango indicadores'!G118</f>
        <v>0</v>
      </c>
    </row>
    <row r="66" spans="2:6">
      <c r="B66" s="643" t="s">
        <v>801</v>
      </c>
      <c r="C66" s="644">
        <f t="shared" si="3"/>
        <v>1</v>
      </c>
      <c r="D66" s="644">
        <f>+'Rango indicadores'!E119</f>
        <v>3</v>
      </c>
      <c r="E66" s="644">
        <f>+'Rango indicadores'!F119</f>
        <v>1</v>
      </c>
      <c r="F66" s="645">
        <f>+'Rango indicadores'!G119</f>
        <v>0</v>
      </c>
    </row>
    <row r="67" spans="2:6">
      <c r="B67" s="643" t="s">
        <v>802</v>
      </c>
      <c r="C67" s="644">
        <f t="shared" si="3"/>
        <v>4</v>
      </c>
      <c r="D67" s="644">
        <f>+'Rango indicadores'!E120</f>
        <v>5</v>
      </c>
      <c r="E67" s="644">
        <f>+'Rango indicadores'!F120</f>
        <v>0</v>
      </c>
      <c r="F67" s="645">
        <f>+'Rango indicadores'!G120</f>
        <v>0</v>
      </c>
    </row>
    <row r="68" spans="2:6">
      <c r="B68" s="643" t="s">
        <v>803</v>
      </c>
      <c r="C68" s="644">
        <f t="shared" si="3"/>
        <v>5</v>
      </c>
      <c r="D68" s="644">
        <f>+'Rango indicadores'!E121</f>
        <v>3</v>
      </c>
      <c r="E68" s="644">
        <f>+'Rango indicadores'!F121</f>
        <v>0</v>
      </c>
      <c r="F68" s="645">
        <f>+'Rango indicadores'!G121</f>
        <v>0</v>
      </c>
    </row>
    <row r="69" spans="2:6">
      <c r="B69" s="643" t="s">
        <v>805</v>
      </c>
      <c r="C69" s="644">
        <f>+C49</f>
        <v>3</v>
      </c>
      <c r="D69" s="644">
        <f>+'Rango indicadores'!E122</f>
        <v>3</v>
      </c>
      <c r="E69" s="644">
        <f>+'Rango indicadores'!F122</f>
        <v>0</v>
      </c>
      <c r="F69" s="645">
        <f>+'Rango indicadores'!G122</f>
        <v>0</v>
      </c>
    </row>
    <row r="70" spans="2:6">
      <c r="B70" s="643" t="s">
        <v>806</v>
      </c>
      <c r="C70" s="644">
        <f>+C50</f>
        <v>3</v>
      </c>
      <c r="D70" s="644">
        <f>+'Rango indicadores'!E123</f>
        <v>3</v>
      </c>
      <c r="E70" s="644">
        <f>+'Rango indicadores'!F123</f>
        <v>0</v>
      </c>
      <c r="F70" s="645">
        <f>+'Rango indicadores'!G123</f>
        <v>0</v>
      </c>
    </row>
    <row r="71" spans="2:6" ht="16.2" thickBot="1">
      <c r="B71" s="646" t="s">
        <v>971</v>
      </c>
      <c r="C71" s="647">
        <f>SUM(C55:C70)</f>
        <v>84</v>
      </c>
      <c r="D71" s="647">
        <f t="shared" ref="D71:E71" si="4">SUM(D55:D70)</f>
        <v>82</v>
      </c>
      <c r="E71" s="647">
        <f t="shared" si="4"/>
        <v>1</v>
      </c>
      <c r="F71" s="648">
        <f>SUM(F55:F70)</f>
        <v>1</v>
      </c>
    </row>
    <row r="72" spans="2:6"/>
    <row r="73" spans="2:6"/>
    <row r="74" spans="2:6"/>
    <row r="75" spans="2:6"/>
    <row r="76" spans="2:6"/>
    <row r="77" spans="2:6"/>
    <row r="78" spans="2:6"/>
    <row r="79" spans="2:6"/>
    <row r="80" spans="2:6"/>
    <row r="81"/>
    <row r="82"/>
    <row r="83"/>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sheetProtection algorithmName="SHA-512" hashValue="epMEueRn4D6/AVMqgluQLrdb9pQ/oOPRsuFN7j75dg7uN+6zkOjKVCAy2bt2djoeOzZL4M7T99Bsl+WKsfsK/w==" saltValue="9OtQwy1nz3LdkoY7J0AcTw==" spinCount="100000" sheet="1" objects="1" scenarios="1"/>
  <mergeCells count="10">
    <mergeCell ref="B53:B54"/>
    <mergeCell ref="C53:C54"/>
    <mergeCell ref="D53:F53"/>
    <mergeCell ref="D4:H4"/>
    <mergeCell ref="C2:H2"/>
    <mergeCell ref="C3:H3"/>
    <mergeCell ref="B2:B3"/>
    <mergeCell ref="C29:C30"/>
    <mergeCell ref="B29:B30"/>
    <mergeCell ref="D29:F2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theme="8" tint="-0.249977111117893"/>
  </sheetPr>
  <dimension ref="B1:Q63"/>
  <sheetViews>
    <sheetView showGridLines="0" zoomScale="85" zoomScaleNormal="85" workbookViewId="0">
      <selection activeCell="B2" sqref="B2:B3"/>
    </sheetView>
  </sheetViews>
  <sheetFormatPr baseColWidth="10" defaultColWidth="11.44140625" defaultRowHeight="15"/>
  <cols>
    <col min="1" max="1" width="3.6640625" style="626" customWidth="1"/>
    <col min="2" max="2" width="52.44140625" style="626" customWidth="1"/>
    <col min="3" max="5" width="23.5546875" style="628" customWidth="1"/>
    <col min="6" max="6" width="23.5546875" style="626" customWidth="1"/>
    <col min="7" max="7" width="6.109375" style="628" hidden="1" customWidth="1"/>
    <col min="8" max="8" width="11.44140625" style="626" hidden="1" customWidth="1"/>
    <col min="9" max="15" width="11.44140625" style="626"/>
    <col min="16" max="16" width="62.44140625" style="626" bestFit="1" customWidth="1"/>
    <col min="17" max="17" width="40" style="626" customWidth="1"/>
    <col min="18" max="16355" width="11.44140625" style="626"/>
    <col min="16356" max="16356" width="1.44140625" style="626" customWidth="1"/>
    <col min="16357" max="16384" width="2.88671875" style="626" customWidth="1"/>
  </cols>
  <sheetData>
    <row r="1" spans="2:17">
      <c r="C1" s="627"/>
      <c r="D1" s="627"/>
      <c r="E1" s="627"/>
    </row>
    <row r="2" spans="2:17" ht="15.6">
      <c r="B2" s="868" t="s">
        <v>1040</v>
      </c>
      <c r="C2" s="870" t="s">
        <v>972</v>
      </c>
      <c r="D2" s="870"/>
      <c r="E2" s="870"/>
      <c r="F2" s="871"/>
      <c r="G2" s="689"/>
    </row>
    <row r="3" spans="2:17" ht="17.399999999999999">
      <c r="B3" s="869"/>
      <c r="C3" s="872" t="s">
        <v>927</v>
      </c>
      <c r="D3" s="872"/>
      <c r="E3" s="872"/>
      <c r="F3" s="873"/>
      <c r="G3" s="689"/>
    </row>
    <row r="4" spans="2:17" ht="9.75" customHeight="1">
      <c r="B4" s="865"/>
      <c r="C4" s="865"/>
      <c r="D4" s="865"/>
      <c r="E4" s="865"/>
      <c r="F4" s="865"/>
      <c r="G4" s="649"/>
    </row>
    <row r="5" spans="2:17" ht="19.5" customHeight="1">
      <c r="B5" s="626" t="str">
        <f>+'Resumen Desempeño Procesos POA '!B5</f>
        <v>Fecha de corte: 31 de marzo de 2021</v>
      </c>
    </row>
    <row r="6" spans="2:17" ht="19.5" customHeight="1">
      <c r="B6" s="629"/>
    </row>
    <row r="7" spans="2:17" s="639" customFormat="1" ht="31.5" customHeight="1">
      <c r="B7" s="866" t="s">
        <v>782</v>
      </c>
      <c r="C7" s="867" t="s">
        <v>992</v>
      </c>
      <c r="D7" s="867"/>
      <c r="E7" s="867"/>
      <c r="F7" s="867"/>
      <c r="G7" s="640"/>
      <c r="P7" s="626"/>
      <c r="Q7" s="626"/>
    </row>
    <row r="8" spans="2:17" s="639" customFormat="1" ht="51" customHeight="1">
      <c r="B8" s="866"/>
      <c r="C8" s="694" t="s">
        <v>973</v>
      </c>
      <c r="D8" s="694" t="s">
        <v>974</v>
      </c>
      <c r="E8" s="694" t="s">
        <v>975</v>
      </c>
      <c r="F8" s="694" t="s">
        <v>990</v>
      </c>
      <c r="G8" s="640"/>
      <c r="P8" s="626"/>
      <c r="Q8" s="626"/>
    </row>
    <row r="9" spans="2:17">
      <c r="B9" s="631" t="s">
        <v>789</v>
      </c>
      <c r="C9" s="644">
        <f>+'Resumen Desempeño Procesos POA '!C55</f>
        <v>4</v>
      </c>
      <c r="D9" s="652">
        <v>4</v>
      </c>
      <c r="E9" s="653">
        <v>0</v>
      </c>
      <c r="F9" s="670">
        <v>0</v>
      </c>
      <c r="G9" s="650">
        <f t="shared" ref="G9:G25" si="0">SUM(D9:F9)</f>
        <v>4</v>
      </c>
      <c r="H9" s="651">
        <f t="shared" ref="H9:H25" si="1">C9-G9</f>
        <v>0</v>
      </c>
    </row>
    <row r="10" spans="2:17">
      <c r="B10" s="631" t="s">
        <v>791</v>
      </c>
      <c r="C10" s="644">
        <f>+'Resumen Desempeño Procesos POA '!C56</f>
        <v>3</v>
      </c>
      <c r="D10" s="652">
        <v>2</v>
      </c>
      <c r="E10" s="653">
        <v>1</v>
      </c>
      <c r="F10" s="670">
        <v>0</v>
      </c>
      <c r="G10" s="650">
        <f t="shared" si="0"/>
        <v>3</v>
      </c>
      <c r="H10" s="651">
        <f t="shared" si="1"/>
        <v>0</v>
      </c>
    </row>
    <row r="11" spans="2:17">
      <c r="B11" s="631" t="s">
        <v>792</v>
      </c>
      <c r="C11" s="644">
        <f>+'Resumen Desempeño Procesos POA '!C57</f>
        <v>7</v>
      </c>
      <c r="D11" s="652">
        <v>7</v>
      </c>
      <c r="E11" s="653">
        <v>0</v>
      </c>
      <c r="F11" s="670">
        <v>0</v>
      </c>
      <c r="G11" s="650">
        <f t="shared" si="0"/>
        <v>7</v>
      </c>
      <c r="H11" s="651">
        <f t="shared" si="1"/>
        <v>0</v>
      </c>
    </row>
    <row r="12" spans="2:17">
      <c r="B12" s="631" t="s">
        <v>793</v>
      </c>
      <c r="C12" s="644">
        <f>+'Resumen Desempeño Procesos POA '!C58</f>
        <v>2</v>
      </c>
      <c r="D12" s="652">
        <v>2</v>
      </c>
      <c r="E12" s="653">
        <v>0</v>
      </c>
      <c r="F12" s="670">
        <v>0</v>
      </c>
      <c r="G12" s="650">
        <f t="shared" si="0"/>
        <v>2</v>
      </c>
      <c r="H12" s="651">
        <f t="shared" si="1"/>
        <v>0</v>
      </c>
    </row>
    <row r="13" spans="2:17">
      <c r="B13" s="631" t="s">
        <v>804</v>
      </c>
      <c r="C13" s="644">
        <f>+'Resumen Desempeño Procesos POA '!C59</f>
        <v>3</v>
      </c>
      <c r="D13" s="652">
        <v>2</v>
      </c>
      <c r="E13" s="653">
        <v>0</v>
      </c>
      <c r="F13" s="670">
        <v>1</v>
      </c>
      <c r="G13" s="650">
        <f t="shared" si="0"/>
        <v>3</v>
      </c>
      <c r="H13" s="651">
        <f t="shared" si="1"/>
        <v>0</v>
      </c>
    </row>
    <row r="14" spans="2:17">
      <c r="B14" s="631" t="s">
        <v>794</v>
      </c>
      <c r="C14" s="644">
        <f>+'Resumen Desempeño Procesos POA '!C60</f>
        <v>21</v>
      </c>
      <c r="D14" s="652">
        <v>9</v>
      </c>
      <c r="E14" s="653">
        <v>6</v>
      </c>
      <c r="F14" s="670">
        <v>6</v>
      </c>
      <c r="G14" s="650">
        <f t="shared" si="0"/>
        <v>21</v>
      </c>
      <c r="H14" s="651">
        <f t="shared" si="1"/>
        <v>0</v>
      </c>
    </row>
    <row r="15" spans="2:17">
      <c r="B15" s="631" t="s">
        <v>931</v>
      </c>
      <c r="C15" s="644">
        <f>+'Resumen Desempeño Procesos POA '!C61</f>
        <v>7</v>
      </c>
      <c r="D15" s="652">
        <v>3</v>
      </c>
      <c r="E15" s="653">
        <v>3</v>
      </c>
      <c r="F15" s="670">
        <v>1</v>
      </c>
      <c r="G15" s="650">
        <f t="shared" si="0"/>
        <v>7</v>
      </c>
      <c r="H15" s="651">
        <f t="shared" si="1"/>
        <v>0</v>
      </c>
    </row>
    <row r="16" spans="2:17">
      <c r="B16" s="631" t="s">
        <v>797</v>
      </c>
      <c r="C16" s="644">
        <f>+'Resumen Desempeño Procesos POA '!C62</f>
        <v>8</v>
      </c>
      <c r="D16" s="652">
        <v>6</v>
      </c>
      <c r="E16" s="653">
        <v>1</v>
      </c>
      <c r="F16" s="670">
        <v>1</v>
      </c>
      <c r="G16" s="650">
        <f t="shared" si="0"/>
        <v>8</v>
      </c>
      <c r="H16" s="651">
        <f t="shared" si="1"/>
        <v>0</v>
      </c>
    </row>
    <row r="17" spans="2:8">
      <c r="B17" s="631" t="s">
        <v>798</v>
      </c>
      <c r="C17" s="644">
        <f>+'Resumen Desempeño Procesos POA '!C63</f>
        <v>8</v>
      </c>
      <c r="D17" s="652">
        <v>7</v>
      </c>
      <c r="E17" s="653">
        <v>1</v>
      </c>
      <c r="F17" s="670">
        <v>0</v>
      </c>
      <c r="G17" s="650">
        <f t="shared" si="0"/>
        <v>8</v>
      </c>
      <c r="H17" s="651">
        <f t="shared" si="1"/>
        <v>0</v>
      </c>
    </row>
    <row r="18" spans="2:8" ht="16.5" customHeight="1">
      <c r="B18" s="631" t="s">
        <v>799</v>
      </c>
      <c r="C18" s="644">
        <f>+'Resumen Desempeño Procesos POA '!C64</f>
        <v>2</v>
      </c>
      <c r="D18" s="652">
        <v>1</v>
      </c>
      <c r="E18" s="653">
        <v>1</v>
      </c>
      <c r="F18" s="670">
        <v>0</v>
      </c>
      <c r="G18" s="650">
        <f t="shared" si="0"/>
        <v>2</v>
      </c>
      <c r="H18" s="651">
        <f t="shared" si="1"/>
        <v>0</v>
      </c>
    </row>
    <row r="19" spans="2:8">
      <c r="B19" s="631" t="s">
        <v>800</v>
      </c>
      <c r="C19" s="644">
        <f>+'Resumen Desempeño Procesos POA '!C65</f>
        <v>3</v>
      </c>
      <c r="D19" s="652">
        <v>1</v>
      </c>
      <c r="E19" s="653">
        <v>0</v>
      </c>
      <c r="F19" s="670">
        <v>2</v>
      </c>
      <c r="G19" s="650">
        <f t="shared" si="0"/>
        <v>3</v>
      </c>
      <c r="H19" s="651">
        <f t="shared" si="1"/>
        <v>0</v>
      </c>
    </row>
    <row r="20" spans="2:8">
      <c r="B20" s="631" t="s">
        <v>801</v>
      </c>
      <c r="C20" s="644">
        <f>+'Resumen Desempeño Procesos POA '!C66</f>
        <v>1</v>
      </c>
      <c r="D20" s="652">
        <v>0</v>
      </c>
      <c r="E20" s="653">
        <v>0</v>
      </c>
      <c r="F20" s="670">
        <v>1</v>
      </c>
      <c r="G20" s="650">
        <f t="shared" si="0"/>
        <v>1</v>
      </c>
      <c r="H20" s="651">
        <f t="shared" si="1"/>
        <v>0</v>
      </c>
    </row>
    <row r="21" spans="2:8">
      <c r="B21" s="631" t="s">
        <v>802</v>
      </c>
      <c r="C21" s="644">
        <f>+'Resumen Desempeño Procesos POA '!C67</f>
        <v>4</v>
      </c>
      <c r="D21" s="652">
        <v>1</v>
      </c>
      <c r="E21" s="653">
        <v>3</v>
      </c>
      <c r="F21" s="670">
        <v>0</v>
      </c>
      <c r="G21" s="650">
        <f t="shared" si="0"/>
        <v>4</v>
      </c>
      <c r="H21" s="651">
        <f t="shared" si="1"/>
        <v>0</v>
      </c>
    </row>
    <row r="22" spans="2:8">
      <c r="B22" s="631" t="s">
        <v>803</v>
      </c>
      <c r="C22" s="644">
        <f>+'Resumen Desempeño Procesos POA '!C68</f>
        <v>5</v>
      </c>
      <c r="D22" s="652">
        <v>5</v>
      </c>
      <c r="E22" s="653">
        <v>0</v>
      </c>
      <c r="F22" s="670">
        <v>0</v>
      </c>
      <c r="G22" s="650">
        <f t="shared" si="0"/>
        <v>5</v>
      </c>
      <c r="H22" s="651">
        <f t="shared" si="1"/>
        <v>0</v>
      </c>
    </row>
    <row r="23" spans="2:8">
      <c r="B23" s="631" t="s">
        <v>805</v>
      </c>
      <c r="C23" s="644">
        <f>+'Resumen Desempeño Procesos POA '!C69</f>
        <v>3</v>
      </c>
      <c r="D23" s="652">
        <v>1</v>
      </c>
      <c r="E23" s="653">
        <v>2</v>
      </c>
      <c r="F23" s="670">
        <v>0</v>
      </c>
      <c r="G23" s="650">
        <f t="shared" si="0"/>
        <v>3</v>
      </c>
      <c r="H23" s="651">
        <f t="shared" si="1"/>
        <v>0</v>
      </c>
    </row>
    <row r="24" spans="2:8">
      <c r="B24" s="631" t="s">
        <v>806</v>
      </c>
      <c r="C24" s="644">
        <f>+'Resumen Desempeño Procesos POA '!C70</f>
        <v>3</v>
      </c>
      <c r="D24" s="652">
        <v>3</v>
      </c>
      <c r="E24" s="653">
        <v>0</v>
      </c>
      <c r="F24" s="670">
        <v>0</v>
      </c>
      <c r="G24" s="650">
        <f t="shared" si="0"/>
        <v>3</v>
      </c>
      <c r="H24" s="651">
        <f t="shared" si="1"/>
        <v>0</v>
      </c>
    </row>
    <row r="25" spans="2:8" ht="19.5" customHeight="1">
      <c r="B25" s="671" t="s">
        <v>971</v>
      </c>
      <c r="C25" s="672">
        <f>SUM(C9:C24)</f>
        <v>84</v>
      </c>
      <c r="D25" s="673">
        <f t="shared" ref="D25:E25" si="2">SUM(D9:D24)</f>
        <v>54</v>
      </c>
      <c r="E25" s="674">
        <f t="shared" si="2"/>
        <v>18</v>
      </c>
      <c r="F25" s="675">
        <f>SUM(F9:F24)</f>
        <v>12</v>
      </c>
      <c r="G25" s="650">
        <f t="shared" si="0"/>
        <v>84</v>
      </c>
      <c r="H25" s="651">
        <f t="shared" si="1"/>
        <v>0</v>
      </c>
    </row>
    <row r="29" spans="2:8" ht="43.8" customHeight="1">
      <c r="D29" s="864" t="s">
        <v>992</v>
      </c>
      <c r="E29" s="864"/>
    </row>
    <row r="30" spans="2:8" ht="41.4">
      <c r="D30" s="697" t="s">
        <v>974</v>
      </c>
      <c r="E30" s="698">
        <f>+D25</f>
        <v>54</v>
      </c>
    </row>
    <row r="31" spans="2:8" ht="41.4">
      <c r="D31" s="697" t="s">
        <v>975</v>
      </c>
      <c r="E31" s="698">
        <f>+E25</f>
        <v>18</v>
      </c>
    </row>
    <row r="32" spans="2:8" ht="41.4">
      <c r="D32" s="697" t="s">
        <v>990</v>
      </c>
      <c r="E32" s="698">
        <f>+F25</f>
        <v>12</v>
      </c>
    </row>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sheetData>
  <sheetProtection algorithmName="SHA-512" hashValue="aYVVZqvzxkyCdji3l8DHXc2FaPpS73WWdu8TB5rFDTFYRQGKHShyHFYFDzq2wNK5VsTEOH6/W0tlImx1BgvkLg==" saltValue="9UMmK7fvxRhhUjM6UIyw5g==" spinCount="100000" sheet="1" objects="1" scenarios="1"/>
  <mergeCells count="7">
    <mergeCell ref="D29:E29"/>
    <mergeCell ref="B4:F4"/>
    <mergeCell ref="B7:B8"/>
    <mergeCell ref="C7:F7"/>
    <mergeCell ref="B2:B3"/>
    <mergeCell ref="C2:F2"/>
    <mergeCell ref="C3:F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24"/>
  <sheetViews>
    <sheetView showGridLines="0" workbookViewId="0">
      <pane xSplit="5" ySplit="4" topLeftCell="F5" activePane="bottomRight" state="frozen"/>
      <selection pane="topRight" activeCell="F1" sqref="F1"/>
      <selection pane="bottomLeft" activeCell="A5" sqref="A5"/>
      <selection pane="bottomRight" activeCell="G114" sqref="G114"/>
    </sheetView>
  </sheetViews>
  <sheetFormatPr baseColWidth="10" defaultColWidth="11.44140625" defaultRowHeight="13.2"/>
  <cols>
    <col min="1" max="1" width="1.6640625" customWidth="1"/>
    <col min="2" max="2" width="6.5546875" style="524" customWidth="1"/>
    <col min="3" max="3" width="36.21875" style="525" customWidth="1"/>
    <col min="4" max="4" width="16" style="524" customWidth="1"/>
    <col min="5" max="6" width="41.88671875" style="526" customWidth="1"/>
    <col min="7" max="7" width="25" style="524" customWidth="1"/>
    <col min="8" max="8" width="19" customWidth="1"/>
    <col min="9" max="9" width="13.109375" customWidth="1"/>
    <col min="10" max="13" width="11.44140625" customWidth="1"/>
    <col min="14" max="15" width="15.5546875" customWidth="1"/>
    <col min="16" max="16" width="15.33203125" style="524" customWidth="1"/>
    <col min="17" max="17" width="12.6640625" style="524" customWidth="1"/>
    <col min="18" max="18" width="48.5546875" style="539" customWidth="1"/>
  </cols>
  <sheetData>
    <row r="2" spans="2:18" ht="17.399999999999999">
      <c r="B2" s="876" t="s">
        <v>779</v>
      </c>
      <c r="C2" s="876"/>
      <c r="D2" s="876"/>
      <c r="E2" s="876"/>
      <c r="F2" s="876"/>
      <c r="G2" s="876"/>
      <c r="H2" s="876"/>
      <c r="I2" s="876"/>
      <c r="J2" s="876"/>
      <c r="K2" s="876"/>
      <c r="L2" s="876"/>
      <c r="M2" s="876"/>
      <c r="N2" s="876"/>
      <c r="O2" s="876"/>
    </row>
    <row r="3" spans="2:18" ht="17.25" customHeight="1">
      <c r="B3" s="506"/>
      <c r="C3" s="506"/>
      <c r="D3" s="507"/>
      <c r="E3" s="507"/>
      <c r="F3" s="507"/>
      <c r="G3" s="507"/>
      <c r="H3" s="877" t="s">
        <v>780</v>
      </c>
      <c r="I3" s="877"/>
      <c r="J3" s="877"/>
      <c r="K3" s="877"/>
      <c r="L3" s="877"/>
      <c r="M3" s="877"/>
      <c r="N3" s="877"/>
      <c r="O3" s="877"/>
    </row>
    <row r="4" spans="2:18" ht="52.8" customHeight="1">
      <c r="B4" s="508" t="s">
        <v>781</v>
      </c>
      <c r="C4" s="508" t="s">
        <v>782</v>
      </c>
      <c r="D4" s="509" t="s">
        <v>783</v>
      </c>
      <c r="E4" s="510" t="s">
        <v>784</v>
      </c>
      <c r="F4" s="510" t="s">
        <v>814</v>
      </c>
      <c r="G4" s="510" t="s">
        <v>785</v>
      </c>
      <c r="H4" s="831" t="s">
        <v>786</v>
      </c>
      <c r="I4" s="832"/>
      <c r="J4" s="833" t="s">
        <v>787</v>
      </c>
      <c r="K4" s="834"/>
      <c r="L4" s="834"/>
      <c r="M4" s="835"/>
      <c r="N4" s="836" t="s">
        <v>788</v>
      </c>
      <c r="O4" s="837"/>
      <c r="P4" s="532" t="s">
        <v>878</v>
      </c>
      <c r="Q4" s="532" t="s">
        <v>879</v>
      </c>
      <c r="R4" s="519" t="s">
        <v>877</v>
      </c>
    </row>
    <row r="5" spans="2:18" ht="57.6" customHeight="1">
      <c r="B5" s="511">
        <v>1</v>
      </c>
      <c r="C5" s="512" t="s">
        <v>789</v>
      </c>
      <c r="D5" s="511" t="s">
        <v>808</v>
      </c>
      <c r="E5" s="527" t="str">
        <f>+'01-DIRECCIONAMIENTO ESTRATÉGICO'!I16</f>
        <v xml:space="preserve">Porcentaje de acciones implementadas para la sostenibilidad y mejora del SGC </v>
      </c>
      <c r="F5" s="527" t="str">
        <f>'01-DIRECCIONAMIENTO ESTRATÉGICO'!J16</f>
        <v xml:space="preserve"> Grado de avance en la implementación de acciones para la sostenibilidad y mejora del SGC</v>
      </c>
      <c r="G5" s="511" t="s">
        <v>824</v>
      </c>
      <c r="H5" s="514" t="s">
        <v>795</v>
      </c>
      <c r="I5" s="515">
        <v>95</v>
      </c>
      <c r="J5" s="516" t="str">
        <f t="shared" ref="J5:J36" si="0">IF(OR($H5="Mayor A:",$H5="Menor A:"),"Desde (&gt;=):",
IF(OR($H5="Mayor o Igual A:",$H5="Menor o Igual A:"),"Desde (&gt;):",
IF($H5="Igual A:","No Aplica",
IF($H5="",""))))</f>
        <v>Desde (&gt;=):</v>
      </c>
      <c r="K5" s="516">
        <f t="shared" ref="K5:K64" si="1">IF(I5&gt;O5,O5,
IF(I5&lt;O5,I5,
IF(I5=O5,"No Aplica","")))</f>
        <v>80</v>
      </c>
      <c r="L5" s="516" t="str">
        <f t="shared" ref="L5:L36" si="2">IF(OR($H5="Mayor A:",$H5="Menor A:"),"Hasta (&lt;=):",
IF(OR($H5="Mayor o Igual A:",$H5="Menor o Igual A:"),"Hasta (&lt;):",
IF($H5="Igual A:","No Aplica",
IF($H5="",""))))</f>
        <v>Hasta (&lt;=):</v>
      </c>
      <c r="M5" s="516">
        <f t="shared" ref="M5:M64" si="3">IF(I5&gt;O5,I5,
IF(I5&lt;O5,O5,
IF(I5=O5,"No Aplica","")))</f>
        <v>95</v>
      </c>
      <c r="N5" s="516" t="str">
        <f t="shared" ref="N5:N36" si="4">IF($H5="Mayor A:","Menor A:",
IF($H5="Menor A:","Mayor A:",
IF($H5="Mayor o Igual A:","Menor o Igual A:",
IF($H5="Menor o Igual A:","Mayor o Igual A:",
IF($H5="Igual A:","Igual A:",
IF($H5="",""))))))</f>
        <v>Menor A:</v>
      </c>
      <c r="O5" s="517">
        <v>80</v>
      </c>
      <c r="P5" s="530">
        <f>+'01-DIRECCIONAMIENTO ESTRATÉGICO'!F16</f>
        <v>1</v>
      </c>
      <c r="Q5" s="530">
        <f>+'01-DIRECCIONAMIENTO ESTRATÉGICO'!G16</f>
        <v>1</v>
      </c>
      <c r="R5" s="537" t="str">
        <f>+'01-DIRECCIONAMIENTO ESTRATÉGICO'!O16</f>
        <v>Dirección de Planeación
Aportan: Dependencias lideradas por  Responsables de procesos y operativos de todos los procesos institucionales</v>
      </c>
    </row>
    <row r="6" spans="2:18" ht="39.6">
      <c r="B6" s="511">
        <f>1+B5</f>
        <v>2</v>
      </c>
      <c r="C6" s="512" t="s">
        <v>789</v>
      </c>
      <c r="D6" s="511" t="s">
        <v>811</v>
      </c>
      <c r="E6" s="527" t="str">
        <f>+'01-DIRECCIONAMIENTO ESTRATÉGICO'!I17</f>
        <v>Porcentaje de actividades implementadas para la sostenibilidad  y mejora del MIPG</v>
      </c>
      <c r="F6" s="527" t="str">
        <f>'01-DIRECCIONAMIENTO ESTRATÉGICO'!J17</f>
        <v>Grado de avance en la implementación de acciones para la sostenibilidad y mejora del MIPG</v>
      </c>
      <c r="G6" s="519" t="s">
        <v>824</v>
      </c>
      <c r="H6" s="514" t="s">
        <v>795</v>
      </c>
      <c r="I6" s="515">
        <v>95</v>
      </c>
      <c r="J6" s="516" t="str">
        <f t="shared" si="0"/>
        <v>Desde (&gt;=):</v>
      </c>
      <c r="K6" s="516">
        <f t="shared" si="1"/>
        <v>80</v>
      </c>
      <c r="L6" s="516" t="str">
        <f t="shared" si="2"/>
        <v>Hasta (&lt;=):</v>
      </c>
      <c r="M6" s="516">
        <f t="shared" si="3"/>
        <v>95</v>
      </c>
      <c r="N6" s="516" t="str">
        <f t="shared" si="4"/>
        <v>Menor A:</v>
      </c>
      <c r="O6" s="517">
        <v>80</v>
      </c>
      <c r="P6" s="530">
        <f>+'01-DIRECCIONAMIENTO ESTRATÉGICO'!F17</f>
        <v>0.4</v>
      </c>
      <c r="Q6" s="530">
        <f>+'01-DIRECCIONAMIENTO ESTRATÉGICO'!G17</f>
        <v>0.22</v>
      </c>
      <c r="R6" s="537" t="str">
        <f>+'01-DIRECCIONAMIENTO ESTRATÉGICO'!O17</f>
        <v>Dirección de Planeación
Aportan: Dependencias lideradas por  Responsables de procesos y operativos de todos los procesos institucionales</v>
      </c>
    </row>
    <row r="7" spans="2:18" ht="26.4">
      <c r="B7" s="511">
        <f t="shared" ref="B7:B70" si="5">1+B6</f>
        <v>3</v>
      </c>
      <c r="C7" s="512" t="s">
        <v>789</v>
      </c>
      <c r="D7" s="511" t="s">
        <v>812</v>
      </c>
      <c r="E7" s="527" t="str">
        <f>+'01-DIRECCIONAMIENTO ESTRATÉGICO'!I18</f>
        <v xml:space="preserve">Porcentaje de requisitos del  SGA implementados bajo los estándares de la norma ISO 14001 </v>
      </c>
      <c r="F7" s="527" t="str">
        <f>'01-DIRECCIONAMIENTO ESTRATÉGICO'!J18</f>
        <v>Número de requisitos implementados del SGA/ Número total de requisitos del SGA</v>
      </c>
      <c r="G7" s="519" t="s">
        <v>824</v>
      </c>
      <c r="H7" s="514" t="s">
        <v>790</v>
      </c>
      <c r="I7" s="515">
        <v>95</v>
      </c>
      <c r="J7" s="516" t="str">
        <f t="shared" si="0"/>
        <v>Desde (&gt;):</v>
      </c>
      <c r="K7" s="516">
        <f t="shared" si="1"/>
        <v>85</v>
      </c>
      <c r="L7" s="516" t="str">
        <f t="shared" si="2"/>
        <v>Hasta (&lt;):</v>
      </c>
      <c r="M7" s="516">
        <f t="shared" si="3"/>
        <v>95</v>
      </c>
      <c r="N7" s="516" t="str">
        <f t="shared" si="4"/>
        <v>Menor o Igual A:</v>
      </c>
      <c r="O7" s="517">
        <v>85</v>
      </c>
      <c r="P7" s="530">
        <f>+'01-DIRECCIONAMIENTO ESTRATÉGICO'!F18</f>
        <v>1</v>
      </c>
      <c r="Q7" s="530">
        <f>+'01-DIRECCIONAMIENTO ESTRATÉGICO'!G18</f>
        <v>0.38</v>
      </c>
      <c r="R7" s="537" t="str">
        <f>+'01-DIRECCIONAMIENTO ESTRATÉGICO'!O18</f>
        <v>Dirección de Planeación</v>
      </c>
    </row>
    <row r="8" spans="2:18" ht="33" customHeight="1">
      <c r="B8" s="511">
        <f t="shared" si="5"/>
        <v>4</v>
      </c>
      <c r="C8" s="512" t="s">
        <v>789</v>
      </c>
      <c r="D8" s="511" t="s">
        <v>813</v>
      </c>
      <c r="E8" s="527" t="str">
        <f>+'01-DIRECCIONAMIENTO ESTRATÉGICO'!I19</f>
        <v>Acciones de monitoreo y revisión realizadas al PAAC</v>
      </c>
      <c r="F8" s="527" t="str">
        <f>'01-DIRECCIONAMIENTO ESTRATÉGICO'!J19</f>
        <v>Número de acciones de monitoreo realizadas al PAAC</v>
      </c>
      <c r="G8" s="519" t="s">
        <v>824</v>
      </c>
      <c r="H8" s="514" t="s">
        <v>790</v>
      </c>
      <c r="I8" s="515">
        <v>100</v>
      </c>
      <c r="J8" s="516" t="str">
        <f t="shared" si="0"/>
        <v>Desde (&gt;):</v>
      </c>
      <c r="K8" s="516">
        <f t="shared" si="1"/>
        <v>80</v>
      </c>
      <c r="L8" s="516" t="str">
        <f t="shared" si="2"/>
        <v>Hasta (&lt;):</v>
      </c>
      <c r="M8" s="516">
        <f t="shared" si="3"/>
        <v>100</v>
      </c>
      <c r="N8" s="516" t="str">
        <f t="shared" si="4"/>
        <v>Menor o Igual A:</v>
      </c>
      <c r="O8" s="517">
        <v>80</v>
      </c>
      <c r="P8" s="535">
        <f>+'01-DIRECCIONAMIENTO ESTRATÉGICO'!F19</f>
        <v>12</v>
      </c>
      <c r="Q8" s="535">
        <f>+'01-DIRECCIONAMIENTO ESTRATÉGICO'!G19</f>
        <v>3</v>
      </c>
      <c r="R8" s="537" t="str">
        <f>+'01-DIRECCIONAMIENTO ESTRATÉGICO'!O19</f>
        <v>Dirección de Planeación</v>
      </c>
    </row>
    <row r="9" spans="2:18" ht="25.5" customHeight="1">
      <c r="B9" s="511">
        <f t="shared" si="5"/>
        <v>5</v>
      </c>
      <c r="C9" s="518" t="s">
        <v>791</v>
      </c>
      <c r="D9" s="519" t="s">
        <v>846</v>
      </c>
      <c r="E9" s="523" t="str">
        <f>+'02-G. CONOCIMIENTO INNOVACIÓN'!I16</f>
        <v>Proyectos de Investigación, Desarrollo e Innovación (I+D+I) elaborados</v>
      </c>
      <c r="F9" s="523" t="str">
        <f>+'02-G. CONOCIMIENTO INNOVACIÓN'!J16</f>
        <v>Número de proyectos de investigación, desarrollo e innovación elaborados</v>
      </c>
      <c r="G9" s="519" t="s">
        <v>824</v>
      </c>
      <c r="H9" s="514" t="s">
        <v>790</v>
      </c>
      <c r="I9" s="515">
        <v>100</v>
      </c>
      <c r="J9" s="516" t="str">
        <f t="shared" si="0"/>
        <v>Desde (&gt;):</v>
      </c>
      <c r="K9" s="516">
        <f t="shared" si="1"/>
        <v>60</v>
      </c>
      <c r="L9" s="516" t="str">
        <f t="shared" si="2"/>
        <v>Hasta (&lt;):</v>
      </c>
      <c r="M9" s="516">
        <f t="shared" si="3"/>
        <v>100</v>
      </c>
      <c r="N9" s="516" t="str">
        <f t="shared" si="4"/>
        <v>Menor o Igual A:</v>
      </c>
      <c r="O9" s="517">
        <v>60</v>
      </c>
      <c r="P9" s="529">
        <f>+'02-G. CONOCIMIENTO INNOVACIÓN'!F16</f>
        <v>4</v>
      </c>
      <c r="Q9" s="529">
        <f>+'02-G. CONOCIMIENTO INNOVACIÓN'!G16</f>
        <v>1</v>
      </c>
      <c r="R9" s="534" t="str">
        <f>+'02-G. CONOCIMIENTO INNOVACIÓN'!O16</f>
        <v xml:space="preserve">Dirección de Gestión del Conocimiento e Innovación </v>
      </c>
    </row>
    <row r="10" spans="2:18" ht="32.25" customHeight="1">
      <c r="B10" s="511">
        <f t="shared" si="5"/>
        <v>6</v>
      </c>
      <c r="C10" s="518" t="s">
        <v>791</v>
      </c>
      <c r="D10" s="519" t="s">
        <v>809</v>
      </c>
      <c r="E10" s="523" t="str">
        <f>+'02-G. CONOCIMIENTO INNOVACIÓN'!I17</f>
        <v>Informes de investigación e innovación construidos</v>
      </c>
      <c r="F10" s="523" t="str">
        <f>+'02-G. CONOCIMIENTO INNOVACIÓN'!J17</f>
        <v>Número de Informes de Investigación e Innovación construidos</v>
      </c>
      <c r="G10" s="519" t="s">
        <v>824</v>
      </c>
      <c r="H10" s="514" t="s">
        <v>790</v>
      </c>
      <c r="I10" s="515">
        <v>100</v>
      </c>
      <c r="J10" s="516" t="str">
        <f t="shared" si="0"/>
        <v>Desde (&gt;):</v>
      </c>
      <c r="K10" s="516">
        <f t="shared" si="1"/>
        <v>60</v>
      </c>
      <c r="L10" s="516" t="str">
        <f t="shared" si="2"/>
        <v>Hasta (&lt;):</v>
      </c>
      <c r="M10" s="516">
        <f t="shared" si="3"/>
        <v>100</v>
      </c>
      <c r="N10" s="516" t="str">
        <f t="shared" si="4"/>
        <v>Menor o Igual A:</v>
      </c>
      <c r="O10" s="517">
        <v>60</v>
      </c>
      <c r="P10" s="529">
        <f>+'02-G. CONOCIMIENTO INNOVACIÓN'!F17</f>
        <v>8</v>
      </c>
      <c r="Q10" s="529">
        <f>+'02-G. CONOCIMIENTO INNOVACIÓN'!G17</f>
        <v>2</v>
      </c>
      <c r="R10" s="534" t="str">
        <f>+'02-G. CONOCIMIENTO INNOVACIÓN'!O17</f>
        <v xml:space="preserve">Dirección de Gestión del Conocimiento e Innovación </v>
      </c>
    </row>
    <row r="11" spans="2:18" ht="26.4">
      <c r="B11" s="511">
        <f t="shared" si="5"/>
        <v>7</v>
      </c>
      <c r="C11" s="518" t="s">
        <v>791</v>
      </c>
      <c r="D11" s="519" t="s">
        <v>849</v>
      </c>
      <c r="E11" s="523" t="str">
        <f>+'02-G. CONOCIMIENTO INNOVACIÓN'!I18</f>
        <v>Actividades de apropiación social del conocimiento desarrolladas</v>
      </c>
      <c r="F11" s="523" t="str">
        <f>+'02-G. CONOCIMIENTO INNOVACIÓN'!J18</f>
        <v xml:space="preserve"> Número de Actividades de apropiación social del conocimiento realizadas</v>
      </c>
      <c r="G11" s="519" t="s">
        <v>824</v>
      </c>
      <c r="H11" s="514" t="s">
        <v>790</v>
      </c>
      <c r="I11" s="515">
        <v>100</v>
      </c>
      <c r="J11" s="516" t="str">
        <f t="shared" si="0"/>
        <v>Desde (&gt;):</v>
      </c>
      <c r="K11" s="516">
        <f t="shared" si="1"/>
        <v>60</v>
      </c>
      <c r="L11" s="516" t="str">
        <f t="shared" si="2"/>
        <v>Hasta (&lt;):</v>
      </c>
      <c r="M11" s="516">
        <f t="shared" si="3"/>
        <v>100</v>
      </c>
      <c r="N11" s="516" t="str">
        <f t="shared" si="4"/>
        <v>Menor o Igual A:</v>
      </c>
      <c r="O11" s="517">
        <v>60</v>
      </c>
      <c r="P11" s="529">
        <f>+'02-G. CONOCIMIENTO INNOVACIÓN'!F18</f>
        <v>10</v>
      </c>
      <c r="Q11" s="529">
        <f>+'02-G. CONOCIMIENTO INNOVACIÓN'!G18</f>
        <v>3</v>
      </c>
      <c r="R11" s="534" t="str">
        <f>+'02-G. CONOCIMIENTO INNOVACIÓN'!O18</f>
        <v xml:space="preserve">Dirección de Gestión del Conocimiento e Innovación </v>
      </c>
    </row>
    <row r="12" spans="2:18" ht="26.4">
      <c r="B12" s="511">
        <f t="shared" si="5"/>
        <v>8</v>
      </c>
      <c r="C12" s="512" t="s">
        <v>792</v>
      </c>
      <c r="D12" s="519" t="s">
        <v>847</v>
      </c>
      <c r="E12" s="523" t="str">
        <f>+'03-DIRECCIONAMIENTO TIC'!I16</f>
        <v>Porcentaje de proyectos implementados de acuerdo al plan de tecnologías de la Información</v>
      </c>
      <c r="F12" s="523" t="str">
        <f>+'03-DIRECCIONAMIENTO TIC'!J16</f>
        <v>Porcentaje de proyectos implementados / Porcentaje de proyectos programados</v>
      </c>
      <c r="G12" s="519" t="s">
        <v>824</v>
      </c>
      <c r="H12" s="514" t="s">
        <v>790</v>
      </c>
      <c r="I12" s="515">
        <v>90</v>
      </c>
      <c r="J12" s="516" t="str">
        <f t="shared" si="0"/>
        <v>Desde (&gt;):</v>
      </c>
      <c r="K12" s="516">
        <f t="shared" si="1"/>
        <v>85</v>
      </c>
      <c r="L12" s="516" t="str">
        <f t="shared" si="2"/>
        <v>Hasta (&lt;):</v>
      </c>
      <c r="M12" s="516">
        <f t="shared" si="3"/>
        <v>90</v>
      </c>
      <c r="N12" s="516" t="str">
        <f t="shared" si="4"/>
        <v>Menor o Igual A:</v>
      </c>
      <c r="O12" s="517">
        <v>85</v>
      </c>
      <c r="P12" s="530">
        <f>+'03-DIRECCIONAMIENTO TIC'!F16</f>
        <v>1</v>
      </c>
      <c r="Q12" s="530">
        <f>+'03-DIRECCIONAMIENTO TIC'!G16</f>
        <v>0.3</v>
      </c>
      <c r="R12" s="534" t="str">
        <f>+'03-DIRECCIONAMIENTO TIC'!O16</f>
        <v>Dirección de Tecnologías de la  Información y las Comunicaciones</v>
      </c>
    </row>
    <row r="13" spans="2:18" ht="26.4">
      <c r="B13" s="511">
        <f t="shared" si="5"/>
        <v>9</v>
      </c>
      <c r="C13" s="512" t="s">
        <v>792</v>
      </c>
      <c r="D13" s="519" t="s">
        <v>850</v>
      </c>
      <c r="E13" s="523" t="str">
        <f>+'03-DIRECCIONAMIENTO TIC'!I17</f>
        <v>Porcentaje de actividades ejecutadas de acuerdo al plan de Seguridad de información</v>
      </c>
      <c r="F13" s="523" t="str">
        <f>+'03-DIRECCIONAMIENTO TIC'!J17</f>
        <v>Porcentaje de actividades ejecutadas / Porcentaje de actividades programadas</v>
      </c>
      <c r="G13" s="519" t="s">
        <v>824</v>
      </c>
      <c r="H13" s="514" t="s">
        <v>790</v>
      </c>
      <c r="I13" s="515">
        <v>90</v>
      </c>
      <c r="J13" s="516" t="str">
        <f t="shared" si="0"/>
        <v>Desde (&gt;):</v>
      </c>
      <c r="K13" s="516">
        <f t="shared" si="1"/>
        <v>85</v>
      </c>
      <c r="L13" s="516" t="str">
        <f t="shared" si="2"/>
        <v>Hasta (&lt;):</v>
      </c>
      <c r="M13" s="516">
        <f t="shared" si="3"/>
        <v>90</v>
      </c>
      <c r="N13" s="516" t="str">
        <f t="shared" si="4"/>
        <v>Menor o Igual A:</v>
      </c>
      <c r="O13" s="517">
        <v>85</v>
      </c>
      <c r="P13" s="530">
        <f>+'03-DIRECCIONAMIENTO TIC'!F17</f>
        <v>1</v>
      </c>
      <c r="Q13" s="530">
        <f>+'03-DIRECCIONAMIENTO TIC'!G17</f>
        <v>0.3</v>
      </c>
      <c r="R13" s="534" t="str">
        <f>+'03-DIRECCIONAMIENTO TIC'!O17</f>
        <v>Dirección de Tecnologías de la  Información y las Comunicaciones</v>
      </c>
    </row>
    <row r="14" spans="2:18" ht="26.4">
      <c r="B14" s="511">
        <f t="shared" si="5"/>
        <v>10</v>
      </c>
      <c r="C14" s="512" t="s">
        <v>792</v>
      </c>
      <c r="D14" s="519" t="s">
        <v>810</v>
      </c>
      <c r="E14" s="523" t="str">
        <f>+'03-DIRECCIONAMIENTO TIC'!I18</f>
        <v xml:space="preserve">Porcentaje de actividades ejecutadas  en la estrategia de servicios ciudadanos digitales </v>
      </c>
      <c r="F14" s="523" t="str">
        <f>+'03-DIRECCIONAMIENTO TIC'!J18</f>
        <v>Porcentaje de actividades ejecutadas / Porcentaje de actividades programadas</v>
      </c>
      <c r="G14" s="519" t="s">
        <v>824</v>
      </c>
      <c r="H14" s="514" t="s">
        <v>790</v>
      </c>
      <c r="I14" s="515">
        <v>90</v>
      </c>
      <c r="J14" s="516" t="str">
        <f t="shared" si="0"/>
        <v>Desde (&gt;):</v>
      </c>
      <c r="K14" s="516">
        <f t="shared" si="1"/>
        <v>85</v>
      </c>
      <c r="L14" s="516" t="str">
        <f t="shared" si="2"/>
        <v>Hasta (&lt;):</v>
      </c>
      <c r="M14" s="516">
        <f t="shared" si="3"/>
        <v>90</v>
      </c>
      <c r="N14" s="516" t="str">
        <f t="shared" si="4"/>
        <v>Menor o Igual A:</v>
      </c>
      <c r="O14" s="517">
        <v>85</v>
      </c>
      <c r="P14" s="530">
        <f>+'03-DIRECCIONAMIENTO TIC'!F18</f>
        <v>1</v>
      </c>
      <c r="Q14" s="530">
        <f>+'03-DIRECCIONAMIENTO TIC'!G18</f>
        <v>0.3</v>
      </c>
      <c r="R14" s="534" t="str">
        <f>+'03-DIRECCIONAMIENTO TIC'!O18</f>
        <v>Dirección de Tecnologías de la  Información y las Comunicaciones</v>
      </c>
    </row>
    <row r="15" spans="2:18" ht="26.4">
      <c r="B15" s="511">
        <f t="shared" si="5"/>
        <v>11</v>
      </c>
      <c r="C15" s="512" t="s">
        <v>792</v>
      </c>
      <c r="D15" s="519" t="s">
        <v>851</v>
      </c>
      <c r="E15" s="523" t="str">
        <f>+'03-DIRECCIONAMIENTO TIC'!I19</f>
        <v>Porcentaje de lineamientos adoptados  en la estrategia de gestión de datos</v>
      </c>
      <c r="F15" s="523" t="str">
        <f>+'03-DIRECCIONAMIENTO TIC'!J19</f>
        <v>Porcentaje de lineamientos adoptados / Porcentaje de lineamietnos proyectados</v>
      </c>
      <c r="G15" s="519" t="s">
        <v>824</v>
      </c>
      <c r="H15" s="514" t="s">
        <v>790</v>
      </c>
      <c r="I15" s="515">
        <v>90</v>
      </c>
      <c r="J15" s="516" t="str">
        <f t="shared" si="0"/>
        <v>Desde (&gt;):</v>
      </c>
      <c r="K15" s="516">
        <f t="shared" si="1"/>
        <v>85</v>
      </c>
      <c r="L15" s="516" t="str">
        <f t="shared" si="2"/>
        <v>Hasta (&lt;):</v>
      </c>
      <c r="M15" s="516">
        <f t="shared" si="3"/>
        <v>90</v>
      </c>
      <c r="N15" s="516" t="str">
        <f t="shared" si="4"/>
        <v>Menor o Igual A:</v>
      </c>
      <c r="O15" s="517">
        <v>85</v>
      </c>
      <c r="P15" s="530">
        <f>+'03-DIRECCIONAMIENTO TIC'!F19</f>
        <v>1</v>
      </c>
      <c r="Q15" s="530">
        <f>+'03-DIRECCIONAMIENTO TIC'!G19</f>
        <v>0.3</v>
      </c>
      <c r="R15" s="534" t="str">
        <f>+'03-DIRECCIONAMIENTO TIC'!O19</f>
        <v>Dirección de Tecnologías de la  Información y las Comunicaciones</v>
      </c>
    </row>
    <row r="16" spans="2:18" ht="39.6">
      <c r="B16" s="511">
        <f t="shared" si="5"/>
        <v>12</v>
      </c>
      <c r="C16" s="512" t="s">
        <v>792</v>
      </c>
      <c r="D16" s="519" t="s">
        <v>852</v>
      </c>
      <c r="E16" s="523" t="str">
        <f>+'03-DIRECCIONAMIENTO TIC'!I20</f>
        <v>Cantidad de requerimientos prioritarios desarrollados para los sistemas información</v>
      </c>
      <c r="F16" s="523" t="str">
        <f>+'03-DIRECCIONAMIENTO TIC'!J20</f>
        <v>Cantidad de requerimientos desarrollados / Cantidad de requerimientos prioritarios programados</v>
      </c>
      <c r="G16" s="519" t="s">
        <v>824</v>
      </c>
      <c r="H16" s="514" t="s">
        <v>790</v>
      </c>
      <c r="I16" s="515">
        <v>90</v>
      </c>
      <c r="J16" s="516" t="str">
        <f t="shared" si="0"/>
        <v>Desde (&gt;):</v>
      </c>
      <c r="K16" s="516">
        <f t="shared" si="1"/>
        <v>85</v>
      </c>
      <c r="L16" s="516" t="str">
        <f t="shared" si="2"/>
        <v>Hasta (&lt;):</v>
      </c>
      <c r="M16" s="516">
        <f t="shared" si="3"/>
        <v>90</v>
      </c>
      <c r="N16" s="516" t="str">
        <f t="shared" si="4"/>
        <v>Menor o Igual A:</v>
      </c>
      <c r="O16" s="517">
        <v>85</v>
      </c>
      <c r="P16" s="530">
        <f>+'03-DIRECCIONAMIENTO TIC'!F20</f>
        <v>1</v>
      </c>
      <c r="Q16" s="530">
        <f>+'03-DIRECCIONAMIENTO TIC'!G20</f>
        <v>0.3</v>
      </c>
      <c r="R16" s="534" t="str">
        <f>+'03-DIRECCIONAMIENTO TIC'!O20</f>
        <v>Dirección de Tecnologías de la  Información y las Comunicaciones</v>
      </c>
    </row>
    <row r="17" spans="2:18" ht="26.4">
      <c r="B17" s="511">
        <f t="shared" si="5"/>
        <v>13</v>
      </c>
      <c r="C17" s="512" t="s">
        <v>792</v>
      </c>
      <c r="D17" s="519" t="s">
        <v>853</v>
      </c>
      <c r="E17" s="523" t="str">
        <f>+'03-DIRECCIONAMIENTO TIC'!I21</f>
        <v>Porcentaje de actividades ejecutadas del plan de uso y apropiación</v>
      </c>
      <c r="F17" s="523" t="str">
        <f>+'03-DIRECCIONAMIENTO TIC'!J21</f>
        <v>Porcentaje de actividades ejecutadas / porcentje de actividades programadas</v>
      </c>
      <c r="G17" s="519" t="s">
        <v>824</v>
      </c>
      <c r="H17" s="514" t="s">
        <v>790</v>
      </c>
      <c r="I17" s="515">
        <v>90</v>
      </c>
      <c r="J17" s="516" t="str">
        <f t="shared" si="0"/>
        <v>Desde (&gt;):</v>
      </c>
      <c r="K17" s="516">
        <f t="shared" si="1"/>
        <v>85</v>
      </c>
      <c r="L17" s="516" t="str">
        <f t="shared" si="2"/>
        <v>Hasta (&lt;):</v>
      </c>
      <c r="M17" s="516">
        <f t="shared" si="3"/>
        <v>90</v>
      </c>
      <c r="N17" s="516" t="str">
        <f t="shared" si="4"/>
        <v>Menor o Igual A:</v>
      </c>
      <c r="O17" s="517">
        <v>85</v>
      </c>
      <c r="P17" s="530">
        <f>+'03-DIRECCIONAMIENTO TIC'!F21</f>
        <v>1</v>
      </c>
      <c r="Q17" s="530">
        <f>+'03-DIRECCIONAMIENTO TIC'!G21</f>
        <v>0.3</v>
      </c>
      <c r="R17" s="534" t="str">
        <f>+'03-DIRECCIONAMIENTO TIC'!O21</f>
        <v>Dirección de Tecnologías de la  Información y las Comunicaciones</v>
      </c>
    </row>
    <row r="18" spans="2:18" ht="26.4">
      <c r="B18" s="511">
        <f t="shared" si="5"/>
        <v>14</v>
      </c>
      <c r="C18" s="512" t="s">
        <v>792</v>
      </c>
      <c r="D18" s="519" t="s">
        <v>854</v>
      </c>
      <c r="E18" s="523" t="str">
        <f>+'03-DIRECCIONAMIENTO TIC'!I22</f>
        <v>Porcentaje de actividades ejecutadas de la hoja de ruta de optimización tecnológica</v>
      </c>
      <c r="F18" s="523" t="str">
        <f>+'03-DIRECCIONAMIENTO TIC'!J22</f>
        <v>Porcentaje de actividades ejecutadas / porcentaje de actividades programadas</v>
      </c>
      <c r="G18" s="519" t="s">
        <v>824</v>
      </c>
      <c r="H18" s="514" t="s">
        <v>790</v>
      </c>
      <c r="I18" s="515">
        <v>90</v>
      </c>
      <c r="J18" s="516" t="str">
        <f t="shared" si="0"/>
        <v>Desde (&gt;):</v>
      </c>
      <c r="K18" s="516">
        <f t="shared" si="1"/>
        <v>85</v>
      </c>
      <c r="L18" s="516" t="str">
        <f t="shared" si="2"/>
        <v>Hasta (&lt;):</v>
      </c>
      <c r="M18" s="516">
        <f t="shared" si="3"/>
        <v>90</v>
      </c>
      <c r="N18" s="516" t="str">
        <f t="shared" si="4"/>
        <v>Menor o Igual A:</v>
      </c>
      <c r="O18" s="517">
        <v>85</v>
      </c>
      <c r="P18" s="530">
        <f>+'03-DIRECCIONAMIENTO TIC'!F22</f>
        <v>1</v>
      </c>
      <c r="Q18" s="530">
        <f>+'03-DIRECCIONAMIENTO TIC'!G22</f>
        <v>0.3</v>
      </c>
      <c r="R18" s="534" t="str">
        <f>+'03-DIRECCIONAMIENTO TIC'!O22</f>
        <v>Dirección de Tecnologías de la  Información y las Comunicaciones</v>
      </c>
    </row>
    <row r="19" spans="2:18" ht="39.6">
      <c r="B19" s="511">
        <f t="shared" si="5"/>
        <v>15</v>
      </c>
      <c r="C19" s="518" t="s">
        <v>793</v>
      </c>
      <c r="D19" s="511" t="s">
        <v>848</v>
      </c>
      <c r="E19" s="523" t="str">
        <f>+'04-COMUNICACIÓN ESTRATÉGICA'!I16</f>
        <v>Productos de comunicación externa desarrollados</v>
      </c>
      <c r="F19" s="523" t="str">
        <f>+'04-COMUNICACIÓN ESTRATÉGICA'!J16</f>
        <v>Número de productos de comunicación externa realizados/ Número de productos de comunicación externa  programados* 100</v>
      </c>
      <c r="G19" s="519" t="s">
        <v>824</v>
      </c>
      <c r="H19" s="514" t="s">
        <v>795</v>
      </c>
      <c r="I19" s="515">
        <v>90</v>
      </c>
      <c r="J19" s="516" t="str">
        <f t="shared" si="0"/>
        <v>Desde (&gt;=):</v>
      </c>
      <c r="K19" s="516">
        <f t="shared" si="1"/>
        <v>75</v>
      </c>
      <c r="L19" s="516" t="str">
        <f t="shared" si="2"/>
        <v>Hasta (&lt;=):</v>
      </c>
      <c r="M19" s="516">
        <f t="shared" si="3"/>
        <v>90</v>
      </c>
      <c r="N19" s="516" t="str">
        <f t="shared" si="4"/>
        <v>Menor A:</v>
      </c>
      <c r="O19" s="517">
        <v>75</v>
      </c>
      <c r="P19" s="530">
        <f>+'04-COMUNICACIÓN ESTRATÉGICA'!F16</f>
        <v>1</v>
      </c>
      <c r="Q19" s="530">
        <f>+'04-COMUNICACIÓN ESTRATÉGICA'!G16</f>
        <v>1</v>
      </c>
      <c r="R19" s="534" t="str">
        <f>+'04-COMUNICACIÓN ESTRATÉGICA'!O16</f>
        <v>Oficina Asesora de Comunicaciones</v>
      </c>
    </row>
    <row r="20" spans="2:18" ht="39.6">
      <c r="B20" s="511">
        <f t="shared" si="5"/>
        <v>16</v>
      </c>
      <c r="C20" s="518" t="s">
        <v>793</v>
      </c>
      <c r="D20" s="511" t="s">
        <v>856</v>
      </c>
      <c r="E20" s="523" t="str">
        <f>+'04-COMUNICACIÓN ESTRATÉGICA'!I17</f>
        <v>Productos  de comunicación interna
desarrollados</v>
      </c>
      <c r="F20" s="523" t="str">
        <f>+'04-COMUNICACIÓN ESTRATÉGICA'!J17</f>
        <v>Número de productos de comunicación interna realizados/ Número de productos de comunicación interna  programados* 100</v>
      </c>
      <c r="G20" s="519" t="s">
        <v>824</v>
      </c>
      <c r="H20" s="514" t="s">
        <v>795</v>
      </c>
      <c r="I20" s="515">
        <v>90</v>
      </c>
      <c r="J20" s="516" t="str">
        <f t="shared" si="0"/>
        <v>Desde (&gt;=):</v>
      </c>
      <c r="K20" s="516">
        <f t="shared" si="1"/>
        <v>75</v>
      </c>
      <c r="L20" s="516" t="str">
        <f t="shared" si="2"/>
        <v>Hasta (&lt;=):</v>
      </c>
      <c r="M20" s="516">
        <f t="shared" si="3"/>
        <v>90</v>
      </c>
      <c r="N20" s="516" t="str">
        <f t="shared" si="4"/>
        <v>Menor A:</v>
      </c>
      <c r="O20" s="517">
        <v>75</v>
      </c>
      <c r="P20" s="530">
        <f>+'04-COMUNICACIÓN ESTRATÉGICA'!F17</f>
        <v>1</v>
      </c>
      <c r="Q20" s="530">
        <f>+'04-COMUNICACIÓN ESTRATÉGICA'!G17</f>
        <v>1</v>
      </c>
      <c r="R20" s="534" t="str">
        <f>+'04-COMUNICACIÓN ESTRATÉGICA'!O17</f>
        <v>Oficina Asesora de Comunicaciones</v>
      </c>
    </row>
    <row r="21" spans="2:18" ht="68.400000000000006" customHeight="1">
      <c r="B21" s="511">
        <f t="shared" si="5"/>
        <v>17</v>
      </c>
      <c r="C21" s="512" t="s">
        <v>794</v>
      </c>
      <c r="D21" s="511" t="s">
        <v>855</v>
      </c>
      <c r="E21" s="523" t="str">
        <f>+'05-POA PROM DEFENSA DERECHOS'!I16</f>
        <v>Intervenciones realizadas en defensa de los derechos</v>
      </c>
      <c r="F21" s="523" t="str">
        <f>+'05-POA PROM DEFENSA DERECHOS'!J16</f>
        <v>∑ Número de Intervenciones a Petición de Parte Realizadas en Defensa de los Derechos + Númerode Intervenciones de Oficio Realizadas en Defensa de los Derechos</v>
      </c>
      <c r="G21" s="519" t="s">
        <v>824</v>
      </c>
      <c r="H21" s="514" t="s">
        <v>795</v>
      </c>
      <c r="I21" s="515">
        <v>85</v>
      </c>
      <c r="J21" s="516" t="str">
        <f t="shared" si="0"/>
        <v>Desde (&gt;=):</v>
      </c>
      <c r="K21" s="516">
        <f t="shared" si="1"/>
        <v>80</v>
      </c>
      <c r="L21" s="516" t="str">
        <f t="shared" si="2"/>
        <v>Hasta (&lt;=):</v>
      </c>
      <c r="M21" s="516">
        <f t="shared" si="3"/>
        <v>85</v>
      </c>
      <c r="N21" s="516" t="str">
        <f t="shared" si="4"/>
        <v>Menor A:</v>
      </c>
      <c r="O21" s="517">
        <v>80</v>
      </c>
      <c r="P21" s="529">
        <f>+'05-POA PROM DEFENSA DERECHOS'!F16</f>
        <v>344000</v>
      </c>
      <c r="Q21" s="529">
        <f>+'05-POA PROM DEFENSA DERECHOS'!G16</f>
        <v>98250</v>
      </c>
      <c r="R21" s="534" t="str">
        <f>+'05-POA PROM DEFENSA DERECHOS'!O16</f>
        <v>P.D. para Asuntos Penales I, Penales II, Derechos Humanos y Policivos y Civiles
P.D. para los Sectores Planeación y Movilidad y la P.D. para los Sectores Educación y Cultura, Recreación y Deporte</v>
      </c>
    </row>
    <row r="22" spans="2:18" ht="68.400000000000006">
      <c r="B22" s="511">
        <f t="shared" si="5"/>
        <v>18</v>
      </c>
      <c r="C22" s="512" t="s">
        <v>794</v>
      </c>
      <c r="D22" s="511" t="s">
        <v>857</v>
      </c>
      <c r="E22" s="523" t="str">
        <f>+'05-POA PROM DEFENSA DERECHOS'!I17</f>
        <v>Personas orientadas en garantía de derechos</v>
      </c>
      <c r="F22" s="523" t="str">
        <f>+'05-POA PROM DEFENSA DERECHOS'!J17</f>
        <v>∑ Número de Personas Orientadas (Incluye las Orientaciones de Traslados por No Competencia)</v>
      </c>
      <c r="G22" s="519" t="s">
        <v>824</v>
      </c>
      <c r="H22" s="514" t="s">
        <v>795</v>
      </c>
      <c r="I22" s="515">
        <v>85</v>
      </c>
      <c r="J22" s="516" t="str">
        <f t="shared" si="0"/>
        <v>Desde (&gt;=):</v>
      </c>
      <c r="K22" s="516">
        <f t="shared" si="1"/>
        <v>80</v>
      </c>
      <c r="L22" s="516" t="str">
        <f t="shared" si="2"/>
        <v>Hasta (&lt;=):</v>
      </c>
      <c r="M22" s="516">
        <f t="shared" si="3"/>
        <v>85</v>
      </c>
      <c r="N22" s="516" t="str">
        <f t="shared" si="4"/>
        <v>Menor A:</v>
      </c>
      <c r="O22" s="517">
        <v>80</v>
      </c>
      <c r="P22" s="529">
        <f>+'05-POA PROM DEFENSA DERECHOS'!F17</f>
        <v>267100</v>
      </c>
      <c r="Q22" s="529">
        <f>+'05-POA PROM DEFENSA DERECHOS'!G17</f>
        <v>73600</v>
      </c>
      <c r="R22" s="534"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3" spans="2:18" ht="79.8">
      <c r="B23" s="511">
        <f t="shared" si="5"/>
        <v>19</v>
      </c>
      <c r="C23" s="512" t="s">
        <v>794</v>
      </c>
      <c r="D23" s="511" t="s">
        <v>858</v>
      </c>
      <c r="E23" s="523" t="str">
        <f>+'05-POA PROM DEFENSA DERECHOS'!I18</f>
        <v>Personas asistidas en garantía de derechos</v>
      </c>
      <c r="F23" s="523" t="str">
        <f>+'05-POA PROM DEFENSA DERECHOS'!J18</f>
        <v>∑ Número de Personas Asistidas</v>
      </c>
      <c r="G23" s="519" t="s">
        <v>824</v>
      </c>
      <c r="H23" s="514" t="s">
        <v>795</v>
      </c>
      <c r="I23" s="515">
        <v>80</v>
      </c>
      <c r="J23" s="516" t="str">
        <f t="shared" si="0"/>
        <v>Desde (&gt;=):</v>
      </c>
      <c r="K23" s="516">
        <f t="shared" si="1"/>
        <v>70</v>
      </c>
      <c r="L23" s="516" t="str">
        <f t="shared" si="2"/>
        <v>Hasta (&lt;=):</v>
      </c>
      <c r="M23" s="516">
        <f t="shared" si="3"/>
        <v>80</v>
      </c>
      <c r="N23" s="516" t="str">
        <f t="shared" si="4"/>
        <v>Menor A:</v>
      </c>
      <c r="O23" s="517">
        <v>70</v>
      </c>
      <c r="P23" s="529">
        <f>+'05-POA PROM DEFENSA DERECHOS'!F18</f>
        <v>140200</v>
      </c>
      <c r="Q23" s="529">
        <f>+'05-POA PROM DEFENSA DERECHOS'!G18</f>
        <v>38200</v>
      </c>
      <c r="R23" s="534"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4" spans="2:18" ht="39.6">
      <c r="B24" s="511">
        <f t="shared" si="5"/>
        <v>20</v>
      </c>
      <c r="C24" s="512" t="s">
        <v>794</v>
      </c>
      <c r="D24" s="511" t="s">
        <v>859</v>
      </c>
      <c r="E24" s="523" t="str">
        <f>+'05-POA PROM DEFENSA DERECHOS'!I19</f>
        <v>Personas asistidas en Mecanismos Alternativos de Solución de Conflictos</v>
      </c>
      <c r="F24" s="523" t="str">
        <f>+'05-POA PROM DEFENSA DERECHOS'!J19</f>
        <v>∑ Número de Solicitudes de Conciliación Atendidas + Número de Uniones Maritales de Hecho Atendidas</v>
      </c>
      <c r="G24" s="519" t="s">
        <v>824</v>
      </c>
      <c r="H24" s="514" t="s">
        <v>795</v>
      </c>
      <c r="I24" s="515">
        <v>85</v>
      </c>
      <c r="J24" s="516" t="str">
        <f t="shared" si="0"/>
        <v>Desde (&gt;=):</v>
      </c>
      <c r="K24" s="516">
        <f t="shared" si="1"/>
        <v>80</v>
      </c>
      <c r="L24" s="516" t="str">
        <f t="shared" si="2"/>
        <v>Hasta (&lt;=):</v>
      </c>
      <c r="M24" s="516">
        <f t="shared" si="3"/>
        <v>85</v>
      </c>
      <c r="N24" s="516" t="str">
        <f t="shared" si="4"/>
        <v>Menor A:</v>
      </c>
      <c r="O24" s="517">
        <v>80</v>
      </c>
      <c r="P24" s="529">
        <f>+'05-POA PROM DEFENSA DERECHOS'!F19</f>
        <v>35876</v>
      </c>
      <c r="Q24" s="529">
        <f>+'05-POA PROM DEFENSA DERECHOS'!G19</f>
        <v>10500</v>
      </c>
      <c r="R24" s="534" t="str">
        <f>+'05-POA PROM DEFENSA DERECHOS'!O19</f>
        <v>Dirección de Conciliación y M.A.S.C.</v>
      </c>
    </row>
    <row r="25" spans="2:18" ht="57">
      <c r="B25" s="511">
        <f t="shared" si="5"/>
        <v>21</v>
      </c>
      <c r="C25" s="512" t="s">
        <v>794</v>
      </c>
      <c r="D25" s="511" t="s">
        <v>860</v>
      </c>
      <c r="E25" s="523" t="str">
        <f>+'05-POA PROM DEFENSA DERECHOS'!I20</f>
        <v>Peticiones o requerimientos ciudadanos atendidos en garantía de derechos</v>
      </c>
      <c r="F25" s="523" t="str">
        <f>+'05-POA PROM DEFENSA DERECHOS'!J20</f>
        <v>∑ Número de Peticiones o Requerimientos Ciudadanos Atendidos en Garantía de Derechos</v>
      </c>
      <c r="G25" s="519" t="s">
        <v>824</v>
      </c>
      <c r="H25" s="514" t="s">
        <v>795</v>
      </c>
      <c r="I25" s="515">
        <v>85</v>
      </c>
      <c r="J25" s="516" t="str">
        <f t="shared" si="0"/>
        <v>Desde (&gt;=):</v>
      </c>
      <c r="K25" s="516">
        <f t="shared" si="1"/>
        <v>80</v>
      </c>
      <c r="L25" s="516" t="str">
        <f t="shared" si="2"/>
        <v>Hasta (&lt;=):</v>
      </c>
      <c r="M25" s="516">
        <f t="shared" si="3"/>
        <v>85</v>
      </c>
      <c r="N25" s="516" t="str">
        <f t="shared" si="4"/>
        <v>Menor A:</v>
      </c>
      <c r="O25" s="517">
        <v>80</v>
      </c>
      <c r="P25" s="529">
        <f>+'05-POA PROM DEFENSA DERECHOS'!F20</f>
        <v>62700</v>
      </c>
      <c r="Q25" s="529">
        <f>+'05-POA PROM DEFENSA DERECHOS'!G20</f>
        <v>16200</v>
      </c>
      <c r="R25" s="534" t="str">
        <f>+'05-POA PROM DEFENSA DERECHOS'!O20</f>
        <v>P.D. para la Coordinación del MP y DDHH, P.D. para Asuntos Penales I, Penales II, Policivos y Civiles, Derechos Humanos, Familia y Orientación y Asistencia.
P.D. para la Coordinación de la Gestión de Personerías Locales y sus Personerías Locales adscritas</v>
      </c>
    </row>
    <row r="26" spans="2:18" ht="26.4">
      <c r="B26" s="511">
        <f t="shared" si="5"/>
        <v>22</v>
      </c>
      <c r="C26" s="512" t="s">
        <v>794</v>
      </c>
      <c r="D26" s="511" t="s">
        <v>861</v>
      </c>
      <c r="E26" s="523" t="str">
        <f>+'05-POA PROM DEFENSA DERECHOS'!I21</f>
        <v>Espacios de mejora y transferencia de conocimiento realizados</v>
      </c>
      <c r="F26" s="523" t="str">
        <f>+'05-POA PROM DEFENSA DERECHOS'!J21</f>
        <v>∑ Número de Espacios de Mejora y Transferencia de Conocimiento</v>
      </c>
      <c r="G26" s="519" t="s">
        <v>824</v>
      </c>
      <c r="H26" s="514" t="s">
        <v>795</v>
      </c>
      <c r="I26" s="515">
        <v>85</v>
      </c>
      <c r="J26" s="516" t="str">
        <f t="shared" si="0"/>
        <v>Desde (&gt;=):</v>
      </c>
      <c r="K26" s="516">
        <f t="shared" si="1"/>
        <v>80</v>
      </c>
      <c r="L26" s="516" t="str">
        <f t="shared" si="2"/>
        <v>Hasta (&lt;=):</v>
      </c>
      <c r="M26" s="516">
        <f t="shared" si="3"/>
        <v>85</v>
      </c>
      <c r="N26" s="516" t="str">
        <f t="shared" si="4"/>
        <v>Menor A:</v>
      </c>
      <c r="O26" s="517">
        <v>80</v>
      </c>
      <c r="P26" s="529">
        <f>+'05-POA PROM DEFENSA DERECHOS'!F21</f>
        <v>80</v>
      </c>
      <c r="Q26" s="529">
        <f>+'05-POA PROM DEFENSA DERECHOS'!G21</f>
        <v>20</v>
      </c>
      <c r="R26" s="534" t="str">
        <f>+'05-POA PROM DEFENSA DERECHOS'!O21</f>
        <v>P.D. para la Coordinación del MP y DDHH y sus dependencias adscritas.</v>
      </c>
    </row>
    <row r="27" spans="2:18" ht="92.4">
      <c r="B27" s="511">
        <f t="shared" si="5"/>
        <v>23</v>
      </c>
      <c r="C27" s="512" t="s">
        <v>794</v>
      </c>
      <c r="D27" s="511" t="s">
        <v>862</v>
      </c>
      <c r="E27" s="523" t="str">
        <f>+'05-POA PROM DEFENSA DERECHOS'!I22</f>
        <v>Porcentaje de Acciones de Tutela, Desacatos e Impugnaciones Entregadas en un Termino Menor a Cinco (5) Días Hábiles</v>
      </c>
      <c r="F27" s="523" t="str">
        <f>+'05-POA PROM DEFENSA DERECHOS'!J22</f>
        <v>∑ Número de Tutelas, Desacatos e Impugnaciones entregadas en los primeros cinco (5) días hábiles
-------------------------------------------------------------------- * 100
∑ Número de Tutelas, Desacatos e Impugnaciones solicitadas</v>
      </c>
      <c r="G27" s="519" t="s">
        <v>824</v>
      </c>
      <c r="H27" s="514" t="s">
        <v>790</v>
      </c>
      <c r="I27" s="515">
        <v>95</v>
      </c>
      <c r="J27" s="516" t="str">
        <f t="shared" si="0"/>
        <v>Desde (&gt;):</v>
      </c>
      <c r="K27" s="516">
        <f t="shared" si="1"/>
        <v>90</v>
      </c>
      <c r="L27" s="516" t="str">
        <f t="shared" si="2"/>
        <v>Hasta (&lt;):</v>
      </c>
      <c r="M27" s="516">
        <f t="shared" si="3"/>
        <v>95</v>
      </c>
      <c r="N27" s="516" t="str">
        <f t="shared" si="4"/>
        <v>Menor o Igual A:</v>
      </c>
      <c r="O27" s="517">
        <v>90</v>
      </c>
      <c r="P27" s="529" t="str">
        <f>+'05-POA PROM DEFENSA DERECHOS'!F22</f>
        <v>&gt;=95%</v>
      </c>
      <c r="Q27" s="529" t="str">
        <f>+'05-POA PROM DEFENSA DERECHOS'!G22</f>
        <v>&gt;=95%</v>
      </c>
      <c r="R27" s="534" t="str">
        <f>+'05-POA PROM DEFENSA DERECHOS'!O22</f>
        <v>P.D. para Asuntos Jurisdiccionales, Víctimas y Penal II.
P.D. para la Coordinación de la Gestión de Personerías Locales y sus Personerías Locales adscritas</v>
      </c>
    </row>
    <row r="28" spans="2:18" ht="26.4">
      <c r="B28" s="511">
        <f t="shared" si="5"/>
        <v>24</v>
      </c>
      <c r="C28" s="512" t="s">
        <v>794</v>
      </c>
      <c r="D28" s="511" t="s">
        <v>863</v>
      </c>
      <c r="E28" s="523" t="str">
        <f>+'05-POA PROM DEFENSA DERECHOS'!I23</f>
        <v>Audiencias Publicas Realizadas con Asistencia del Ministerio Público</v>
      </c>
      <c r="F28" s="523" t="str">
        <f>+'05-POA PROM DEFENSA DERECHOS'!J23</f>
        <v>∑ Número de Audiencias Publicas Realizadas con Asistencia del Ministerio Público</v>
      </c>
      <c r="G28" s="519" t="s">
        <v>824</v>
      </c>
      <c r="H28" s="514" t="s">
        <v>790</v>
      </c>
      <c r="I28" s="515">
        <v>95</v>
      </c>
      <c r="J28" s="516" t="str">
        <f t="shared" si="0"/>
        <v>Desde (&gt;):</v>
      </c>
      <c r="K28" s="516">
        <f t="shared" si="1"/>
        <v>90</v>
      </c>
      <c r="L28" s="516" t="str">
        <f t="shared" si="2"/>
        <v>Hasta (&lt;):</v>
      </c>
      <c r="M28" s="516">
        <f t="shared" si="3"/>
        <v>95</v>
      </c>
      <c r="N28" s="516" t="str">
        <f t="shared" si="4"/>
        <v>Menor o Igual A:</v>
      </c>
      <c r="O28" s="517">
        <v>90</v>
      </c>
      <c r="P28" s="529">
        <f>+'05-POA PROM DEFENSA DERECHOS'!F23</f>
        <v>20000</v>
      </c>
      <c r="Q28" s="529">
        <f>+'05-POA PROM DEFENSA DERECHOS'!G23</f>
        <v>5000</v>
      </c>
      <c r="R28" s="534" t="str">
        <f>+'05-POA PROM DEFENSA DERECHOS'!O23</f>
        <v>P.D. para la Coordinación de la Gestión de Personerías Locales y sus Personerías Locales adscritas</v>
      </c>
    </row>
    <row r="29" spans="2:18" ht="39.6">
      <c r="B29" s="511">
        <f t="shared" si="5"/>
        <v>25</v>
      </c>
      <c r="C29" s="512" t="s">
        <v>794</v>
      </c>
      <c r="D29" s="511" t="s">
        <v>864</v>
      </c>
      <c r="E29" s="523" t="str">
        <f>+'05-POA PROM DEFENSA DERECHOS'!I24</f>
        <v>Intervenciones realizadas oportunamente para evitar la caducidad y perdida de fuerza ejecutoria (Impulsos procesales)</v>
      </c>
      <c r="F29" s="523" t="str">
        <f>+'05-POA PROM DEFENSA DERECHOS'!J24</f>
        <v>∑ Número de intervenciones realizadas para Evitar la Caducidad y Perdida de Fuerza Ejecutoria (Impulsos procesales)</v>
      </c>
      <c r="G29" s="519" t="s">
        <v>824</v>
      </c>
      <c r="H29" s="514" t="s">
        <v>790</v>
      </c>
      <c r="I29" s="515">
        <v>95</v>
      </c>
      <c r="J29" s="516" t="str">
        <f t="shared" si="0"/>
        <v>Desde (&gt;):</v>
      </c>
      <c r="K29" s="516">
        <f t="shared" si="1"/>
        <v>90</v>
      </c>
      <c r="L29" s="516" t="str">
        <f t="shared" si="2"/>
        <v>Hasta (&lt;):</v>
      </c>
      <c r="M29" s="516">
        <f t="shared" si="3"/>
        <v>95</v>
      </c>
      <c r="N29" s="516" t="str">
        <f t="shared" si="4"/>
        <v>Menor o Igual A:</v>
      </c>
      <c r="O29" s="517">
        <v>90</v>
      </c>
      <c r="P29" s="529">
        <f>+'05-POA PROM DEFENSA DERECHOS'!F24</f>
        <v>12000</v>
      </c>
      <c r="Q29" s="529">
        <f>+'05-POA PROM DEFENSA DERECHOS'!G24</f>
        <v>3000</v>
      </c>
      <c r="R29" s="534" t="str">
        <f>+'05-POA PROM DEFENSA DERECHOS'!O24</f>
        <v>P.D. para la Coordinación de la Gestión de Personerías Locales y sus Personerías Locales adscritas</v>
      </c>
    </row>
    <row r="30" spans="2:18" ht="26.4">
      <c r="B30" s="511">
        <f t="shared" si="5"/>
        <v>26</v>
      </c>
      <c r="C30" s="512" t="s">
        <v>794</v>
      </c>
      <c r="D30" s="511" t="s">
        <v>865</v>
      </c>
      <c r="E30" s="523" t="str">
        <f>+'05-POA PROM DEFENSA DERECHOS'!I25</f>
        <v>Expedientes con impulso procesal para la gestión de multas</v>
      </c>
      <c r="F30" s="523" t="str">
        <f>+'05-POA PROM DEFENSA DERECHOS'!J25</f>
        <v>∑ Número de expedientes con Impulso Procesal para la Gestión de las Multas</v>
      </c>
      <c r="G30" s="519" t="s">
        <v>824</v>
      </c>
      <c r="H30" s="514" t="s">
        <v>790</v>
      </c>
      <c r="I30" s="515">
        <v>95</v>
      </c>
      <c r="J30" s="516" t="str">
        <f t="shared" si="0"/>
        <v>Desde (&gt;):</v>
      </c>
      <c r="K30" s="516">
        <f t="shared" si="1"/>
        <v>90</v>
      </c>
      <c r="L30" s="516" t="str">
        <f t="shared" si="2"/>
        <v>Hasta (&lt;):</v>
      </c>
      <c r="M30" s="516">
        <f t="shared" si="3"/>
        <v>95</v>
      </c>
      <c r="N30" s="516" t="str">
        <f t="shared" si="4"/>
        <v>Menor o Igual A:</v>
      </c>
      <c r="O30" s="517">
        <v>90</v>
      </c>
      <c r="P30" s="529">
        <f>+'05-POA PROM DEFENSA DERECHOS'!F25</f>
        <v>2800</v>
      </c>
      <c r="Q30" s="529">
        <f>+'05-POA PROM DEFENSA DERECHOS'!G25</f>
        <v>700</v>
      </c>
      <c r="R30" s="534" t="str">
        <f>+'05-POA PROM DEFENSA DERECHOS'!O25</f>
        <v>P.D. para la Coordinación de la Gestión de Personerías Locales y sus Personerías Locales adscritas</v>
      </c>
    </row>
    <row r="31" spans="2:18" ht="39.6">
      <c r="B31" s="511">
        <f t="shared" si="5"/>
        <v>27</v>
      </c>
      <c r="C31" s="512" t="s">
        <v>794</v>
      </c>
      <c r="D31" s="511" t="s">
        <v>866</v>
      </c>
      <c r="E31" s="523" t="str">
        <f>+'05-POA PROM DEFENSA DERECHOS'!I26</f>
        <v>Estados de vulneración establecidos</v>
      </c>
      <c r="F31" s="523" t="str">
        <f>+'05-POA PROM DEFENSA DERECHOS'!J26</f>
        <v xml:space="preserve">∑ Número de Estados de vulneración realizados
</v>
      </c>
      <c r="G31" s="519" t="s">
        <v>824</v>
      </c>
      <c r="H31" s="514" t="s">
        <v>790</v>
      </c>
      <c r="I31" s="515">
        <v>95</v>
      </c>
      <c r="J31" s="516" t="str">
        <f t="shared" si="0"/>
        <v>Desde (&gt;):</v>
      </c>
      <c r="K31" s="516">
        <f t="shared" si="1"/>
        <v>90</v>
      </c>
      <c r="L31" s="516" t="str">
        <f t="shared" si="2"/>
        <v>Hasta (&lt;):</v>
      </c>
      <c r="M31" s="516">
        <f t="shared" si="3"/>
        <v>95</v>
      </c>
      <c r="N31" s="516" t="str">
        <f t="shared" si="4"/>
        <v>Menor o Igual A:</v>
      </c>
      <c r="O31" s="517">
        <v>90</v>
      </c>
      <c r="P31" s="529">
        <f>+'05-POA PROM DEFENSA DERECHOS'!F26</f>
        <v>60</v>
      </c>
      <c r="Q31" s="529">
        <f>+'05-POA PROM DEFENSA DERECHOS'!G26</f>
        <v>0</v>
      </c>
      <c r="R31" s="534" t="str">
        <f>+'05-POA PROM DEFENSA DERECHOS'!O26</f>
        <v>P.D. para la Coordinación de la Gestión de Personerías Locales y sus Personerías Locales adscritas</v>
      </c>
    </row>
    <row r="32" spans="2:18" ht="45.6">
      <c r="B32" s="511">
        <f t="shared" si="5"/>
        <v>28</v>
      </c>
      <c r="C32" s="512" t="s">
        <v>794</v>
      </c>
      <c r="D32" s="511" t="s">
        <v>867</v>
      </c>
      <c r="E32" s="523" t="str">
        <f>+'05-POA PROM DEFENSA DERECHOS'!I27</f>
        <v>Personas sensibilizadas en el Distrito Capital</v>
      </c>
      <c r="F32" s="523" t="str">
        <f>+'05-POA PROM DEFENSA DERECHOS'!J27</f>
        <v>∑ Número de Personas Sensibilizadas en el Distrito Capital</v>
      </c>
      <c r="G32" s="519" t="s">
        <v>824</v>
      </c>
      <c r="H32" s="514" t="s">
        <v>795</v>
      </c>
      <c r="I32" s="515">
        <v>85</v>
      </c>
      <c r="J32" s="516" t="str">
        <f t="shared" si="0"/>
        <v>Desde (&gt;=):</v>
      </c>
      <c r="K32" s="516">
        <f t="shared" si="1"/>
        <v>80</v>
      </c>
      <c r="L32" s="516" t="str">
        <f t="shared" si="2"/>
        <v>Hasta (&lt;=):</v>
      </c>
      <c r="M32" s="516">
        <f t="shared" si="3"/>
        <v>85</v>
      </c>
      <c r="N32" s="516" t="str">
        <f t="shared" si="4"/>
        <v>Menor A:</v>
      </c>
      <c r="O32" s="517">
        <v>80</v>
      </c>
      <c r="P32" s="529">
        <f>+'05-POA PROM DEFENSA DERECHOS'!F27</f>
        <v>173000</v>
      </c>
      <c r="Q32" s="529">
        <f>+'05-POA PROM DEFENSA DERECHOS'!G27</f>
        <v>48000</v>
      </c>
      <c r="R32" s="534" t="str">
        <f>+'05-POA PROM DEFENSA DERECHOS'!O27</f>
        <v>P.D. para la Coordinación del MP y DDHH y sus dependencias adscritas
P.D. para la Coordinación de la Gestión de Personerías Locales y sus Personerías Locales adscritas</v>
      </c>
    </row>
    <row r="33" spans="2:18" ht="45.6">
      <c r="B33" s="511">
        <f t="shared" si="5"/>
        <v>29</v>
      </c>
      <c r="C33" s="512" t="s">
        <v>794</v>
      </c>
      <c r="D33" s="511" t="s">
        <v>868</v>
      </c>
      <c r="E33" s="523" t="str">
        <f>+'05-POA PROM DEFENSA DERECHOS'!I28</f>
        <v>Acciones en favor de las víctimas del conflicto armado interno adelantadas</v>
      </c>
      <c r="F33" s="523" t="str">
        <f>+'05-POA PROM DEFENSA DERECHOS'!J28</f>
        <v>∑ Número de Acciones en Favor de las Víctimas del Conflicto Armado Interno Realizadas</v>
      </c>
      <c r="G33" s="519" t="s">
        <v>824</v>
      </c>
      <c r="H33" s="514" t="s">
        <v>795</v>
      </c>
      <c r="I33" s="515">
        <v>85</v>
      </c>
      <c r="J33" s="516" t="str">
        <f t="shared" si="0"/>
        <v>Desde (&gt;=):</v>
      </c>
      <c r="K33" s="516">
        <f t="shared" si="1"/>
        <v>80</v>
      </c>
      <c r="L33" s="516" t="str">
        <f t="shared" si="2"/>
        <v>Hasta (&lt;=):</v>
      </c>
      <c r="M33" s="516">
        <f t="shared" si="3"/>
        <v>85</v>
      </c>
      <c r="N33" s="516" t="str">
        <f t="shared" si="4"/>
        <v>Menor A:</v>
      </c>
      <c r="O33" s="517">
        <v>80</v>
      </c>
      <c r="P33" s="529">
        <f>+'05-POA PROM DEFENSA DERECHOS'!F28</f>
        <v>28400</v>
      </c>
      <c r="Q33" s="529">
        <f>+'05-POA PROM DEFENSA DERECHOS'!G28</f>
        <v>6800</v>
      </c>
      <c r="R33" s="534" t="str">
        <f>+'05-POA PROM DEFENSA DERECHOS'!O28</f>
        <v>P.D. para la Protección de las Víctimas del Conflicto Armado Interno
P.D. para la Coordinación de la Gestión de Personerías Locales y sus Personerías Locales adscritas</v>
      </c>
    </row>
    <row r="34" spans="2:18" ht="45.6">
      <c r="B34" s="511">
        <f t="shared" si="5"/>
        <v>30</v>
      </c>
      <c r="C34" s="512" t="s">
        <v>794</v>
      </c>
      <c r="D34" s="511" t="s">
        <v>869</v>
      </c>
      <c r="E34" s="523" t="str">
        <f>+'05-POA PROM DEFENSA DERECHOS'!I29</f>
        <v>Acciones constitucionales elaboradas para prevenir vulneración de derechos</v>
      </c>
      <c r="F34" s="523" t="str">
        <f>+'05-POA PROM DEFENSA DERECHOS'!J29</f>
        <v>∑ Número de Acciones Constitucionales Elaboradas</v>
      </c>
      <c r="G34" s="519" t="s">
        <v>824</v>
      </c>
      <c r="H34" s="514" t="s">
        <v>795</v>
      </c>
      <c r="I34" s="515">
        <v>85</v>
      </c>
      <c r="J34" s="516" t="str">
        <f t="shared" si="0"/>
        <v>Desde (&gt;=):</v>
      </c>
      <c r="K34" s="516">
        <f t="shared" si="1"/>
        <v>80</v>
      </c>
      <c r="L34" s="516" t="str">
        <f t="shared" si="2"/>
        <v>Hasta (&lt;=):</v>
      </c>
      <c r="M34" s="516">
        <f t="shared" si="3"/>
        <v>85</v>
      </c>
      <c r="N34" s="516" t="str">
        <f t="shared" si="4"/>
        <v>Menor A:</v>
      </c>
      <c r="O34" s="517">
        <v>80</v>
      </c>
      <c r="P34" s="529">
        <f>+'05-POA PROM DEFENSA DERECHOS'!F29</f>
        <v>21700</v>
      </c>
      <c r="Q34" s="529">
        <f>+'05-POA PROM DEFENSA DERECHOS'!G29</f>
        <v>6100</v>
      </c>
      <c r="R34" s="534" t="str">
        <f>+'05-POA PROM DEFENSA DERECHOS'!O29</f>
        <v>P.D. para Asuntos Jurisdiccionales, Víctimas, Penal II y Consumidor.
P.D. para la Coordinación de la Gestión de Personerías Locales y sus Personerías Locales adscritas</v>
      </c>
    </row>
    <row r="35" spans="2:18" ht="39.6">
      <c r="B35" s="511">
        <f t="shared" si="5"/>
        <v>31</v>
      </c>
      <c r="C35" s="512" t="s">
        <v>794</v>
      </c>
      <c r="D35" s="511" t="s">
        <v>870</v>
      </c>
      <c r="E35" s="523" t="str">
        <f>+'05-POA PROM DEFENSA DERECHOS'!I30</f>
        <v>Seguimientos realizados por el Ministerio Público a las medidas de protección impuestas por las Comisarias de Familia</v>
      </c>
      <c r="F35" s="523" t="str">
        <f>+'05-POA PROM DEFENSA DERECHOS'!J30</f>
        <v>∑ Número de Seguimientos Realizados por el Ministerio Público a las Medidas de Protección impuestas por las Comisarias de Familia</v>
      </c>
      <c r="G35" s="519" t="s">
        <v>824</v>
      </c>
      <c r="H35" s="514" t="s">
        <v>795</v>
      </c>
      <c r="I35" s="515">
        <v>85</v>
      </c>
      <c r="J35" s="516" t="str">
        <f t="shared" si="0"/>
        <v>Desde (&gt;=):</v>
      </c>
      <c r="K35" s="516">
        <f t="shared" si="1"/>
        <v>80</v>
      </c>
      <c r="L35" s="516" t="str">
        <f t="shared" si="2"/>
        <v>Hasta (&lt;=):</v>
      </c>
      <c r="M35" s="516">
        <f t="shared" si="3"/>
        <v>85</v>
      </c>
      <c r="N35" s="516" t="str">
        <f t="shared" si="4"/>
        <v>Menor A:</v>
      </c>
      <c r="O35" s="517">
        <v>80</v>
      </c>
      <c r="P35" s="529">
        <f>+'05-POA PROM DEFENSA DERECHOS'!F30</f>
        <v>4200</v>
      </c>
      <c r="Q35" s="529">
        <f>+'05-POA PROM DEFENSA DERECHOS'!G30</f>
        <v>1200</v>
      </c>
      <c r="R35" s="534" t="str">
        <f>+'05-POA PROM DEFENSA DERECHOS'!O30</f>
        <v>P.D. para la Familia y Sujetos de Especial Protección Constitucional</v>
      </c>
    </row>
    <row r="36" spans="2:18" ht="57">
      <c r="B36" s="511">
        <f t="shared" si="5"/>
        <v>32</v>
      </c>
      <c r="C36" s="512" t="s">
        <v>794</v>
      </c>
      <c r="D36" s="511" t="s">
        <v>871</v>
      </c>
      <c r="E36" s="523" t="str">
        <f>+'05-POA PROM DEFENSA DERECHOS'!I31</f>
        <v>Espacios Interinstitucionales con participación</v>
      </c>
      <c r="F36" s="523" t="str">
        <f>+'05-POA PROM DEFENSA DERECHOS'!J31</f>
        <v>∑ Número de Espacios Interinstitucional con Participación</v>
      </c>
      <c r="G36" s="519" t="s">
        <v>824</v>
      </c>
      <c r="H36" s="514" t="s">
        <v>795</v>
      </c>
      <c r="I36" s="515">
        <v>85</v>
      </c>
      <c r="J36" s="516" t="str">
        <f t="shared" si="0"/>
        <v>Desde (&gt;=):</v>
      </c>
      <c r="K36" s="516">
        <f t="shared" si="1"/>
        <v>80</v>
      </c>
      <c r="L36" s="516" t="str">
        <f t="shared" si="2"/>
        <v>Hasta (&lt;=):</v>
      </c>
      <c r="M36" s="516">
        <f t="shared" si="3"/>
        <v>85</v>
      </c>
      <c r="N36" s="516" t="str">
        <f t="shared" si="4"/>
        <v>Menor A:</v>
      </c>
      <c r="O36" s="517">
        <v>80</v>
      </c>
      <c r="P36" s="529">
        <f>+'05-POA PROM DEFENSA DERECHOS'!F31</f>
        <v>4322</v>
      </c>
      <c r="Q36" s="529">
        <f>+'05-POA PROM DEFENSA DERECHOS'!G31</f>
        <v>1092</v>
      </c>
      <c r="R36" s="534"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7" spans="2:18" ht="57">
      <c r="B37" s="511">
        <f t="shared" si="5"/>
        <v>33</v>
      </c>
      <c r="C37" s="512" t="s">
        <v>794</v>
      </c>
      <c r="D37" s="511" t="s">
        <v>872</v>
      </c>
      <c r="E37" s="523" t="str">
        <f>+'05-POA PROM DEFENSA DERECHOS'!I32</f>
        <v>Seguimientos a la Amenaza y Vulneración de los Derechos Realizados</v>
      </c>
      <c r="F37" s="523" t="str">
        <f>+'05-POA PROM DEFENSA DERECHOS'!J32</f>
        <v>∑ Número de Seguimientos a la Amenaza y Vulneración de los Derechos Realizados</v>
      </c>
      <c r="G37" s="519" t="s">
        <v>824</v>
      </c>
      <c r="H37" s="514" t="s">
        <v>795</v>
      </c>
      <c r="I37" s="515">
        <v>85</v>
      </c>
      <c r="J37" s="516" t="str">
        <f t="shared" ref="J37:J66" si="6">IF(OR($H37="Mayor A:",$H37="Menor A:"),"Desde (&gt;=):",
IF(OR($H37="Mayor o Igual A:",$H37="Menor o Igual A:"),"Desde (&gt;):",
IF($H37="Igual A:","No Aplica",
IF($H37="",""))))</f>
        <v>Desde (&gt;=):</v>
      </c>
      <c r="K37" s="516">
        <f t="shared" si="1"/>
        <v>80</v>
      </c>
      <c r="L37" s="516" t="str">
        <f t="shared" ref="L37:L66" si="7">IF(OR($H37="Mayor A:",$H37="Menor A:"),"Hasta (&lt;=):",
IF(OR($H37="Mayor o Igual A:",$H37="Menor o Igual A:"),"Hasta (&lt;):",
IF($H37="Igual A:","No Aplica",
IF($H37="",""))))</f>
        <v>Hasta (&lt;=):</v>
      </c>
      <c r="M37" s="516">
        <f t="shared" si="3"/>
        <v>85</v>
      </c>
      <c r="N37" s="516" t="str">
        <f t="shared" ref="N37:N66" si="8">IF($H37="Mayor A:","Menor A:",
IF($H37="Menor A:","Mayor A:",
IF($H37="Mayor o Igual A:","Menor o Igual A:",
IF($H37="Menor o Igual A:","Mayor o Igual A:",
IF($H37="Igual A:","Igual A:",
IF($H37="",""))))))</f>
        <v>Menor A:</v>
      </c>
      <c r="O37" s="517">
        <v>80</v>
      </c>
      <c r="P37" s="529">
        <f>+'05-POA PROM DEFENSA DERECHOS'!F32</f>
        <v>666</v>
      </c>
      <c r="Q37" s="529">
        <f>+'05-POA PROM DEFENSA DERECHOS'!G32</f>
        <v>182</v>
      </c>
      <c r="R37" s="534"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8" spans="2:18" ht="45.6">
      <c r="B38" s="511">
        <f t="shared" si="5"/>
        <v>34</v>
      </c>
      <c r="C38" s="512" t="s">
        <v>794</v>
      </c>
      <c r="D38" s="511" t="s">
        <v>873</v>
      </c>
      <c r="E38" s="523" t="str">
        <f>+'05-POA PROM DEFENSA DERECHOS'!I33</f>
        <v>Actividades de acercamiento de la Entidad a la comunidad realizadas</v>
      </c>
      <c r="F38" s="523" t="str">
        <f>+'05-POA PROM DEFENSA DERECHOS'!J33</f>
        <v>∑ Número de Actividades Realizadas para Acercar la Entidad a la Comunidad</v>
      </c>
      <c r="G38" s="519" t="s">
        <v>824</v>
      </c>
      <c r="H38" s="514" t="s">
        <v>795</v>
      </c>
      <c r="I38" s="515">
        <v>85</v>
      </c>
      <c r="J38" s="516" t="str">
        <f t="shared" si="6"/>
        <v>Desde (&gt;=):</v>
      </c>
      <c r="K38" s="516">
        <f t="shared" si="1"/>
        <v>80</v>
      </c>
      <c r="L38" s="516" t="str">
        <f t="shared" si="7"/>
        <v>Hasta (&lt;=):</v>
      </c>
      <c r="M38" s="516">
        <f t="shared" si="3"/>
        <v>85</v>
      </c>
      <c r="N38" s="516" t="str">
        <f t="shared" si="8"/>
        <v>Menor A:</v>
      </c>
      <c r="O38" s="517">
        <v>80</v>
      </c>
      <c r="P38" s="529">
        <f>+'05-POA PROM DEFENSA DERECHOS'!F33</f>
        <v>20</v>
      </c>
      <c r="Q38" s="529">
        <f>+'05-POA PROM DEFENSA DERECHOS'!G33</f>
        <v>2</v>
      </c>
      <c r="R38" s="534" t="str">
        <f>+'05-POA PROM DEFENSA DERECHOS'!O33</f>
        <v>P.D. para la Coordinación del MP y DDHH y sus dependencias adscritas
 P.D. para la Coordinación de la Gestión de Personerías Locales y sus Personerías Locales adscritas</v>
      </c>
    </row>
    <row r="39" spans="2:18" ht="45.6">
      <c r="B39" s="511">
        <f t="shared" si="5"/>
        <v>35</v>
      </c>
      <c r="C39" s="512" t="s">
        <v>794</v>
      </c>
      <c r="D39" s="511" t="s">
        <v>874</v>
      </c>
      <c r="E39" s="523" t="str">
        <f>+'05-POA PROM DEFENSA DERECHOS'!I34</f>
        <v>Acciones realizadas para incrementar la cobertura de los servicios</v>
      </c>
      <c r="F39" s="523" t="str">
        <f>+'05-POA PROM DEFENSA DERECHOS'!J34</f>
        <v>∑ Número de acciones realizadas para incrementar la Cobertura</v>
      </c>
      <c r="G39" s="519" t="s">
        <v>824</v>
      </c>
      <c r="H39" s="514" t="s">
        <v>795</v>
      </c>
      <c r="I39" s="515">
        <v>85</v>
      </c>
      <c r="J39" s="516" t="str">
        <f t="shared" si="6"/>
        <v>Desde (&gt;=):</v>
      </c>
      <c r="K39" s="516">
        <f t="shared" si="1"/>
        <v>80</v>
      </c>
      <c r="L39" s="516" t="str">
        <f t="shared" si="7"/>
        <v>Hasta (&lt;=):</v>
      </c>
      <c r="M39" s="516">
        <f t="shared" si="3"/>
        <v>85</v>
      </c>
      <c r="N39" s="516" t="str">
        <f t="shared" si="8"/>
        <v>Menor A:</v>
      </c>
      <c r="O39" s="517">
        <v>80</v>
      </c>
      <c r="P39" s="529">
        <f>+'05-POA PROM DEFENSA DERECHOS'!F34</f>
        <v>11</v>
      </c>
      <c r="Q39" s="529">
        <f>+'05-POA PROM DEFENSA DERECHOS'!G34</f>
        <v>3</v>
      </c>
      <c r="R39" s="534" t="str">
        <f>+'05-POA PROM DEFENSA DERECHOS'!O34</f>
        <v>P.D. para la Coordinación del MP y DDHH y sus dependencias adscritas
 P.D. para la Coordinación de la Gestión de Personerías Locales y sus Personerías Locales adscritas</v>
      </c>
    </row>
    <row r="40" spans="2:18" ht="45.6">
      <c r="B40" s="511">
        <f t="shared" si="5"/>
        <v>36</v>
      </c>
      <c r="C40" s="512" t="s">
        <v>794</v>
      </c>
      <c r="D40" s="511" t="s">
        <v>875</v>
      </c>
      <c r="E40" s="523" t="str">
        <f>+'05-POA PROM DEFENSA DERECHOS'!I35</f>
        <v>Herramientas de promoción y prevención a infracciones del Derecho Internacional Humanitario implementadas</v>
      </c>
      <c r="F40" s="523" t="str">
        <f>+'05-POA PROM DEFENSA DERECHOS'!J35</f>
        <v>∑ Número de Herramientas de Promoción y Prevención a Infracciones del Derecho Internacional Humanitario Implementadas</v>
      </c>
      <c r="G40" s="519" t="s">
        <v>824</v>
      </c>
      <c r="H40" s="514" t="s">
        <v>795</v>
      </c>
      <c r="I40" s="515">
        <v>85</v>
      </c>
      <c r="J40" s="516" t="str">
        <f t="shared" si="6"/>
        <v>Desde (&gt;=):</v>
      </c>
      <c r="K40" s="516">
        <f t="shared" si="1"/>
        <v>80</v>
      </c>
      <c r="L40" s="516" t="str">
        <f t="shared" si="7"/>
        <v>Hasta (&lt;=):</v>
      </c>
      <c r="M40" s="516">
        <f t="shared" si="3"/>
        <v>85</v>
      </c>
      <c r="N40" s="516" t="str">
        <f t="shared" si="8"/>
        <v>Menor A:</v>
      </c>
      <c r="O40" s="517">
        <v>80</v>
      </c>
      <c r="P40" s="529">
        <f>+'05-POA PROM DEFENSA DERECHOS'!F35</f>
        <v>4</v>
      </c>
      <c r="Q40" s="529">
        <f>+'05-POA PROM DEFENSA DERECHOS'!G35</f>
        <v>1</v>
      </c>
      <c r="R40" s="534" t="str">
        <f>+'05-POA PROM DEFENSA DERECHOS'!O35</f>
        <v>P.D. para la Coordinación del MP y DDHH y sus dependencias adscritas
 P.D. para la Coordinación de la Gestión de Personerías Locales y sus Personerías Locales adscritas</v>
      </c>
    </row>
    <row r="41" spans="2:18" ht="45.6">
      <c r="B41" s="511">
        <f t="shared" si="5"/>
        <v>37</v>
      </c>
      <c r="C41" s="512" t="s">
        <v>794</v>
      </c>
      <c r="D41" s="511" t="s">
        <v>876</v>
      </c>
      <c r="E41" s="523" t="str">
        <f>+'05-POA PROM DEFENSA DERECHOS'!I36</f>
        <v>Coordinación interinstitucional realizada</v>
      </c>
      <c r="F41" s="523" t="str">
        <f>+'05-POA PROM DEFENSA DERECHOS'!J36</f>
        <v>∑ Número de Coordinaciones Interinstitucionales Realizadas</v>
      </c>
      <c r="G41" s="519" t="s">
        <v>824</v>
      </c>
      <c r="H41" s="514" t="s">
        <v>795</v>
      </c>
      <c r="I41" s="515">
        <v>85</v>
      </c>
      <c r="J41" s="516" t="str">
        <f t="shared" si="6"/>
        <v>Desde (&gt;=):</v>
      </c>
      <c r="K41" s="516">
        <f t="shared" si="1"/>
        <v>80</v>
      </c>
      <c r="L41" s="516" t="str">
        <f t="shared" si="7"/>
        <v>Hasta (&lt;=):</v>
      </c>
      <c r="M41" s="516">
        <f t="shared" si="3"/>
        <v>85</v>
      </c>
      <c r="N41" s="516" t="str">
        <f t="shared" si="8"/>
        <v>Menor A:</v>
      </c>
      <c r="O41" s="517">
        <v>80</v>
      </c>
      <c r="P41" s="529">
        <f>+'05-POA PROM DEFENSA DERECHOS'!F36</f>
        <v>1</v>
      </c>
      <c r="Q41" s="529">
        <f>+'05-POA PROM DEFENSA DERECHOS'!G36</f>
        <v>0</v>
      </c>
      <c r="R41" s="534" t="str">
        <f>+'05-POA PROM DEFENSA DERECHOS'!O36</f>
        <v>P.D. para la Coordinación del MP y DDHH y sus dependencias adscritas
P.D. para la Coordinación de la Gestión de Personerías Locales y sus Personerías Locales adscritas</v>
      </c>
    </row>
    <row r="42" spans="2:18" ht="70.2" customHeight="1">
      <c r="B42" s="511">
        <f t="shared" si="5"/>
        <v>38</v>
      </c>
      <c r="C42" s="520" t="s">
        <v>796</v>
      </c>
      <c r="D42" s="519" t="s">
        <v>880</v>
      </c>
      <c r="E42" s="528" t="str">
        <f>+'06-PREV CTRL FUN PÚBLICA'!I16</f>
        <v>Informes realizados en temas específicos.</v>
      </c>
      <c r="F42" s="528" t="str">
        <f>+'06-PREV CTRL FUN PÚBLICA'!J16</f>
        <v>Número de informes realizados en temas específicos programados en el periodo.</v>
      </c>
      <c r="G42" s="519" t="s">
        <v>824</v>
      </c>
      <c r="H42" s="514" t="s">
        <v>795</v>
      </c>
      <c r="I42" s="515">
        <v>90</v>
      </c>
      <c r="J42" s="516" t="str">
        <f t="shared" si="6"/>
        <v>Desde (&gt;=):</v>
      </c>
      <c r="K42" s="516">
        <f t="shared" si="1"/>
        <v>66</v>
      </c>
      <c r="L42" s="516" t="str">
        <f t="shared" si="7"/>
        <v>Hasta (&lt;=):</v>
      </c>
      <c r="M42" s="516">
        <f t="shared" si="3"/>
        <v>90</v>
      </c>
      <c r="N42" s="516" t="str">
        <f t="shared" si="8"/>
        <v>Menor A:</v>
      </c>
      <c r="O42" s="517">
        <v>66</v>
      </c>
      <c r="P42" s="536">
        <f>+'06-PREV CTRL FUN PÚBLICA'!F16</f>
        <v>16</v>
      </c>
      <c r="Q42" s="536">
        <f>+'06-PREV CTRL FUN PÚBLICA'!G16</f>
        <v>3</v>
      </c>
      <c r="R42" s="534"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511">
        <f t="shared" si="5"/>
        <v>39</v>
      </c>
      <c r="C43" s="520" t="s">
        <v>796</v>
      </c>
      <c r="D43" s="519" t="s">
        <v>883</v>
      </c>
      <c r="E43" s="528" t="str">
        <f>+'06-PREV CTRL FUN PÚBLICA'!I17</f>
        <v>Informes de seguimientos realizados en temas específicos.</v>
      </c>
      <c r="F43" s="528" t="str">
        <f>+'06-PREV CTRL FUN PÚBLICA'!J17</f>
        <v>Número informes de seguimientos realizados en temas específicos en el periodo.</v>
      </c>
      <c r="G43" s="519" t="s">
        <v>824</v>
      </c>
      <c r="H43" s="514" t="s">
        <v>795</v>
      </c>
      <c r="I43" s="515">
        <v>90</v>
      </c>
      <c r="J43" s="516" t="str">
        <f t="shared" si="6"/>
        <v>Desde (&gt;=):</v>
      </c>
      <c r="K43" s="516">
        <f t="shared" si="1"/>
        <v>69</v>
      </c>
      <c r="L43" s="516" t="str">
        <f t="shared" si="7"/>
        <v>Hasta (&lt;=):</v>
      </c>
      <c r="M43" s="516">
        <f t="shared" si="3"/>
        <v>90</v>
      </c>
      <c r="N43" s="516" t="str">
        <f t="shared" si="8"/>
        <v>Menor A:</v>
      </c>
      <c r="O43" s="517">
        <v>69</v>
      </c>
      <c r="P43" s="536">
        <f>+'06-PREV CTRL FUN PÚBLICA'!F17</f>
        <v>6</v>
      </c>
      <c r="Q43" s="536">
        <f>+'06-PREV CTRL FUN PÚBLICA'!G17</f>
        <v>1</v>
      </c>
      <c r="R43" s="534"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511">
        <f t="shared" si="5"/>
        <v>40</v>
      </c>
      <c r="C44" s="520" t="s">
        <v>796</v>
      </c>
      <c r="D44" s="519" t="s">
        <v>884</v>
      </c>
      <c r="E44" s="528" t="str">
        <f>+'06-PREV CTRL FUN PÚBLICA'!I18</f>
        <v>Acciones de Prevención y Control a la Función Pública realizadas, con informe.</v>
      </c>
      <c r="F44" s="528" t="str">
        <f>+'06-PREV CTRL FUN PÚBLICA'!J18</f>
        <v>Número de informes de Acción de Prevención y Control a la Función Publica realizados en el periodo.</v>
      </c>
      <c r="G44" s="519" t="s">
        <v>824</v>
      </c>
      <c r="H44" s="514" t="s">
        <v>795</v>
      </c>
      <c r="I44" s="515">
        <v>77</v>
      </c>
      <c r="J44" s="516" t="str">
        <f t="shared" si="6"/>
        <v>Desde (&gt;=):</v>
      </c>
      <c r="K44" s="516">
        <f t="shared" si="1"/>
        <v>53</v>
      </c>
      <c r="L44" s="516" t="str">
        <f t="shared" si="7"/>
        <v>Hasta (&lt;=):</v>
      </c>
      <c r="M44" s="516">
        <f t="shared" si="3"/>
        <v>77</v>
      </c>
      <c r="N44" s="516" t="str">
        <f t="shared" si="8"/>
        <v>Menor A:</v>
      </c>
      <c r="O44" s="517">
        <v>53</v>
      </c>
      <c r="P44" s="536">
        <f>+'06-PREV CTRL FUN PÚBLICA'!F18</f>
        <v>790</v>
      </c>
      <c r="Q44" s="536">
        <f>+'06-PREV CTRL FUN PÚBLICA'!G18</f>
        <v>200</v>
      </c>
      <c r="R44" s="534"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511">
        <f t="shared" si="5"/>
        <v>41</v>
      </c>
      <c r="C45" s="520" t="s">
        <v>796</v>
      </c>
      <c r="D45" s="519" t="s">
        <v>885</v>
      </c>
      <c r="E45" s="528" t="str">
        <f>+'06-PREV CTRL FUN PÚBLICA'!I19</f>
        <v>Seguimientos realizados sobre acciones previas, con informe</v>
      </c>
      <c r="F45" s="528" t="str">
        <f>+'06-PREV CTRL FUN PÚBLICA'!J19</f>
        <v>Número de informes de seguimientos realizados en el periodo.</v>
      </c>
      <c r="G45" s="519" t="s">
        <v>824</v>
      </c>
      <c r="H45" s="514" t="s">
        <v>795</v>
      </c>
      <c r="I45" s="515">
        <v>80</v>
      </c>
      <c r="J45" s="516" t="str">
        <f t="shared" si="6"/>
        <v>Desde (&gt;=):</v>
      </c>
      <c r="K45" s="516">
        <f t="shared" si="1"/>
        <v>45</v>
      </c>
      <c r="L45" s="516" t="str">
        <f t="shared" si="7"/>
        <v>Hasta (&lt;=):</v>
      </c>
      <c r="M45" s="516">
        <f t="shared" si="3"/>
        <v>80</v>
      </c>
      <c r="N45" s="516" t="str">
        <f t="shared" si="8"/>
        <v>Menor A:</v>
      </c>
      <c r="O45" s="517">
        <v>45</v>
      </c>
      <c r="P45" s="536">
        <f>+'06-PREV CTRL FUN PÚBLICA'!F19</f>
        <v>90</v>
      </c>
      <c r="Q45" s="536">
        <f>+'06-PREV CTRL FUN PÚBLICA'!G19</f>
        <v>20</v>
      </c>
      <c r="R45" s="534"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511">
        <f t="shared" si="5"/>
        <v>42</v>
      </c>
      <c r="C46" s="520" t="s">
        <v>796</v>
      </c>
      <c r="D46" s="519" t="s">
        <v>886</v>
      </c>
      <c r="E46" s="528" t="str">
        <f>+'06-PREV CTRL FUN PÚBLICA'!I20</f>
        <v>Audiencias públicas y/o mesas de trabajo realizadas.</v>
      </c>
      <c r="F46" s="528" t="str">
        <f>+'06-PREV CTRL FUN PÚBLICA'!J20</f>
        <v>Número de audiencias públicas y/o mesas de trabajo realizadas en el periodo.</v>
      </c>
      <c r="G46" s="519" t="s">
        <v>824</v>
      </c>
      <c r="H46" s="514" t="s">
        <v>795</v>
      </c>
      <c r="I46" s="515">
        <v>85</v>
      </c>
      <c r="J46" s="516" t="str">
        <f t="shared" si="6"/>
        <v>Desde (&gt;=):</v>
      </c>
      <c r="K46" s="516">
        <f t="shared" si="1"/>
        <v>57</v>
      </c>
      <c r="L46" s="516" t="str">
        <f t="shared" si="7"/>
        <v>Hasta (&lt;=):</v>
      </c>
      <c r="M46" s="516">
        <f t="shared" si="3"/>
        <v>85</v>
      </c>
      <c r="N46" s="516" t="str">
        <f t="shared" si="8"/>
        <v>Menor A:</v>
      </c>
      <c r="O46" s="517">
        <v>57</v>
      </c>
      <c r="P46" s="536">
        <f>+'06-PREV CTRL FUN PÚBLICA'!F20</f>
        <v>55</v>
      </c>
      <c r="Q46" s="536">
        <f>+'06-PREV CTRL FUN PÚBLICA'!G20</f>
        <v>7</v>
      </c>
      <c r="R46" s="534" t="str">
        <f>+'06-PREV CTRL FUN PÚBLICA'!O20</f>
        <v>Personería Delegada para la Coordinación de Prevención y Control a la Función Pública y sus Personerías Delegadas.</v>
      </c>
    </row>
    <row r="47" spans="2:18" ht="26.4">
      <c r="B47" s="511">
        <f t="shared" si="5"/>
        <v>43</v>
      </c>
      <c r="C47" s="520" t="s">
        <v>796</v>
      </c>
      <c r="D47" s="519" t="s">
        <v>887</v>
      </c>
      <c r="E47" s="528" t="str">
        <f>+'06-PREV CTRL FUN PÚBLICA'!I21</f>
        <v>Acompañamientos a los ciudadanos realizados.</v>
      </c>
      <c r="F47" s="528" t="str">
        <f>+'06-PREV CTRL FUN PÚBLICA'!J21</f>
        <v>Número de acompañamientos a los ciudadanos realizados en el periodo.</v>
      </c>
      <c r="G47" s="519" t="s">
        <v>824</v>
      </c>
      <c r="H47" s="514" t="s">
        <v>795</v>
      </c>
      <c r="I47" s="515">
        <v>90</v>
      </c>
      <c r="J47" s="516" t="str">
        <f t="shared" si="6"/>
        <v>Desde (&gt;=):</v>
      </c>
      <c r="K47" s="516">
        <f t="shared" si="1"/>
        <v>69</v>
      </c>
      <c r="L47" s="516" t="str">
        <f t="shared" si="7"/>
        <v>Hasta (&lt;=):</v>
      </c>
      <c r="M47" s="516">
        <f t="shared" si="3"/>
        <v>90</v>
      </c>
      <c r="N47" s="516" t="str">
        <f t="shared" si="8"/>
        <v>Menor A:</v>
      </c>
      <c r="O47" s="517">
        <v>69</v>
      </c>
      <c r="P47" s="536">
        <f>+'06-PREV CTRL FUN PÚBLICA'!F21</f>
        <v>140</v>
      </c>
      <c r="Q47" s="536">
        <f>+'06-PREV CTRL FUN PÚBLICA'!G21</f>
        <v>40</v>
      </c>
      <c r="R47" s="534" t="str">
        <f>+'06-PREV CTRL FUN PÚBLICA'!O21</f>
        <v xml:space="preserve">Personería Delegada para la Coordinación de Gestión de las Personerías Locales y sus Personerías Locales. </v>
      </c>
    </row>
    <row r="48" spans="2:18" ht="45.6">
      <c r="B48" s="511">
        <f t="shared" si="5"/>
        <v>44</v>
      </c>
      <c r="C48" s="520" t="s">
        <v>796</v>
      </c>
      <c r="D48" s="519" t="s">
        <v>888</v>
      </c>
      <c r="E48" s="528" t="str">
        <f>+'06-PREV CTRL FUN PÚBLICA'!I22</f>
        <v>Espacios de dialogo realizados.</v>
      </c>
      <c r="F48" s="528" t="str">
        <f>+'06-PREV CTRL FUN PÚBLICA'!J22</f>
        <v>Número de espacios de dialogo realizados en el periodo.</v>
      </c>
      <c r="G48" s="519" t="s">
        <v>824</v>
      </c>
      <c r="H48" s="514" t="s">
        <v>795</v>
      </c>
      <c r="I48" s="515">
        <v>90</v>
      </c>
      <c r="J48" s="516" t="str">
        <f t="shared" si="6"/>
        <v>Desde (&gt;=):</v>
      </c>
      <c r="K48" s="516">
        <f t="shared" si="1"/>
        <v>69</v>
      </c>
      <c r="L48" s="516" t="str">
        <f t="shared" si="7"/>
        <v>Hasta (&lt;=):</v>
      </c>
      <c r="M48" s="516">
        <f t="shared" si="3"/>
        <v>90</v>
      </c>
      <c r="N48" s="516" t="str">
        <f t="shared" si="8"/>
        <v>Menor A:</v>
      </c>
      <c r="O48" s="517">
        <v>69</v>
      </c>
      <c r="P48" s="536">
        <f>+'06-PREV CTRL FUN PÚBLICA'!F22</f>
        <v>100</v>
      </c>
      <c r="Q48" s="536">
        <f>+'06-PREV CTRL FUN PÚBLICA'!G22</f>
        <v>20</v>
      </c>
      <c r="R48" s="534"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511">
        <f t="shared" si="5"/>
        <v>45</v>
      </c>
      <c r="C49" s="521" t="s">
        <v>797</v>
      </c>
      <c r="D49" s="519" t="s">
        <v>881</v>
      </c>
      <c r="E49" s="528" t="str">
        <f>+'07-POTESTAD DISCIPLINARIA'!I16</f>
        <v>Procesos priorizados identificados y decididos de fondo</v>
      </c>
      <c r="F49" s="528" t="str">
        <f>+'07-POTESTAD DISCIPLINARIA'!J16</f>
        <v>Número de procesos priorizados con decisiones de fondo proferidas</v>
      </c>
      <c r="G49" s="519" t="s">
        <v>824</v>
      </c>
      <c r="H49" s="514" t="s">
        <v>795</v>
      </c>
      <c r="I49" s="515">
        <v>90</v>
      </c>
      <c r="J49" s="516" t="str">
        <f t="shared" si="6"/>
        <v>Desde (&gt;=):</v>
      </c>
      <c r="K49" s="516">
        <f t="shared" si="1"/>
        <v>60</v>
      </c>
      <c r="L49" s="516" t="str">
        <f t="shared" si="7"/>
        <v>Hasta (&lt;=):</v>
      </c>
      <c r="M49" s="516">
        <f t="shared" si="3"/>
        <v>90</v>
      </c>
      <c r="N49" s="516" t="str">
        <f t="shared" si="8"/>
        <v>Menor A:</v>
      </c>
      <c r="O49" s="517">
        <v>60</v>
      </c>
      <c r="P49" s="529">
        <f>+'07-POTESTAD DISCIPLINARIA'!F16</f>
        <v>4500</v>
      </c>
      <c r="Q49" s="529">
        <f>+'07-POTESTAD DISCIPLINARIA'!G16</f>
        <v>900</v>
      </c>
      <c r="R49" s="534" t="str">
        <f>+'07-POTESTAD DISCIPLINARIA'!O16</f>
        <v>Personería Delegada para la Coordinación de Potestad Disciplinaria</v>
      </c>
    </row>
    <row r="50" spans="2:18" ht="39.6">
      <c r="B50" s="511">
        <f t="shared" si="5"/>
        <v>46</v>
      </c>
      <c r="C50" s="521" t="s">
        <v>797</v>
      </c>
      <c r="D50" s="519" t="s">
        <v>889</v>
      </c>
      <c r="E50" s="528" t="str">
        <f>+'07-POTESTAD DISCIPLINARIA'!I17</f>
        <v>Noticias disciplinarias  evaluadas y con impulso procesal</v>
      </c>
      <c r="F50" s="528" t="str">
        <f>+'07-POTESTAD DISCIPLINARIA'!J17</f>
        <v>Número de noticias disciplinarias evaluadas y con impulso procesal/ Número de noticias disciplinaria comisionadas a las Delegadas</v>
      </c>
      <c r="G50" s="519" t="s">
        <v>824</v>
      </c>
      <c r="H50" s="514" t="s">
        <v>795</v>
      </c>
      <c r="I50" s="515">
        <v>90</v>
      </c>
      <c r="J50" s="516" t="str">
        <f t="shared" si="6"/>
        <v>Desde (&gt;=):</v>
      </c>
      <c r="K50" s="516">
        <f t="shared" si="1"/>
        <v>60</v>
      </c>
      <c r="L50" s="516" t="str">
        <f t="shared" si="7"/>
        <v>Hasta (&lt;=):</v>
      </c>
      <c r="M50" s="516">
        <f t="shared" si="3"/>
        <v>90</v>
      </c>
      <c r="N50" s="516" t="str">
        <f t="shared" si="8"/>
        <v>Menor A:</v>
      </c>
      <c r="O50" s="517">
        <v>60</v>
      </c>
      <c r="P50" s="533">
        <f>+'07-POTESTAD DISCIPLINARIA'!F17</f>
        <v>1</v>
      </c>
      <c r="Q50" s="533">
        <f>+'07-POTESTAD DISCIPLINARIA'!G17</f>
        <v>1</v>
      </c>
      <c r="R50" s="534" t="str">
        <f>+'07-POTESTAD DISCIPLINARIA'!O17</f>
        <v>Personería Delegada para la Coordinación de Potestad Disciplinaria</v>
      </c>
    </row>
    <row r="51" spans="2:18" ht="26.4">
      <c r="B51" s="511">
        <f t="shared" si="5"/>
        <v>47</v>
      </c>
      <c r="C51" s="521" t="s">
        <v>797</v>
      </c>
      <c r="D51" s="519" t="s">
        <v>890</v>
      </c>
      <c r="E51" s="528" t="str">
        <f>+'07-POTESTAD DISCIPLINARIA'!I18</f>
        <v>Visitas de seguimiento a Oficinas de Control Interno Disciplinario realizadas</v>
      </c>
      <c r="F51" s="528" t="str">
        <f>+'07-POTESTAD DISCIPLINARIA'!J18</f>
        <v>Número de visitas de seguimiento a OCID realizadas</v>
      </c>
      <c r="G51" s="519" t="s">
        <v>824</v>
      </c>
      <c r="H51" s="514" t="s">
        <v>795</v>
      </c>
      <c r="I51" s="515">
        <v>90</v>
      </c>
      <c r="J51" s="516" t="str">
        <f t="shared" si="6"/>
        <v>Desde (&gt;=):</v>
      </c>
      <c r="K51" s="516">
        <f t="shared" si="1"/>
        <v>65</v>
      </c>
      <c r="L51" s="516" t="str">
        <f t="shared" si="7"/>
        <v>Hasta (&lt;=):</v>
      </c>
      <c r="M51" s="516">
        <f t="shared" si="3"/>
        <v>90</v>
      </c>
      <c r="N51" s="516" t="str">
        <f t="shared" si="8"/>
        <v>Menor A:</v>
      </c>
      <c r="O51" s="517">
        <v>65</v>
      </c>
      <c r="P51" s="529">
        <f>+'07-POTESTAD DISCIPLINARIA'!F18</f>
        <v>204</v>
      </c>
      <c r="Q51" s="529">
        <f>+'07-POTESTAD DISCIPLINARIA'!G18</f>
        <v>51</v>
      </c>
      <c r="R51" s="534" t="str">
        <f>+'07-POTESTAD DISCIPLINARIA'!O18</f>
        <v>Personería Delegada para la Coordinación de Potestad Disciplinaria</v>
      </c>
    </row>
    <row r="52" spans="2:18" ht="39.6">
      <c r="B52" s="511">
        <f t="shared" si="5"/>
        <v>48</v>
      </c>
      <c r="C52" s="521" t="s">
        <v>797</v>
      </c>
      <c r="D52" s="519" t="s">
        <v>891</v>
      </c>
      <c r="E52" s="528" t="str">
        <f>+'07-POTESTAD DISCIPLINARIA'!I19</f>
        <v>Procesos de interés e impacto asumidos por competencia</v>
      </c>
      <c r="F52" s="528" t="str">
        <f>+'07-POTESTAD DISCIPLINARIA'!J19</f>
        <v>Número de solicitudes a petición asumidas por poder preferente/ Número total de peticiones solicitadas por poder preferente</v>
      </c>
      <c r="G52" s="519" t="s">
        <v>824</v>
      </c>
      <c r="H52" s="514" t="s">
        <v>795</v>
      </c>
      <c r="I52" s="515">
        <v>90</v>
      </c>
      <c r="J52" s="516" t="str">
        <f t="shared" si="6"/>
        <v>Desde (&gt;=):</v>
      </c>
      <c r="K52" s="516">
        <f t="shared" si="1"/>
        <v>65</v>
      </c>
      <c r="L52" s="516" t="str">
        <f t="shared" si="7"/>
        <v>Hasta (&lt;=):</v>
      </c>
      <c r="M52" s="516">
        <f t="shared" si="3"/>
        <v>90</v>
      </c>
      <c r="N52" s="516" t="str">
        <f t="shared" si="8"/>
        <v>Menor A:</v>
      </c>
      <c r="O52" s="517">
        <v>65</v>
      </c>
      <c r="P52" s="533">
        <f>+'07-POTESTAD DISCIPLINARIA'!F19</f>
        <v>1</v>
      </c>
      <c r="Q52" s="533">
        <f>+'07-POTESTAD DISCIPLINARIA'!G19</f>
        <v>1</v>
      </c>
      <c r="R52" s="534" t="str">
        <f>+'07-POTESTAD DISCIPLINARIA'!O19</f>
        <v>Personería Delegada para la Coordinación de Potestad Disciplinaria</v>
      </c>
    </row>
    <row r="53" spans="2:18" ht="26.4">
      <c r="B53" s="511">
        <f t="shared" si="5"/>
        <v>49</v>
      </c>
      <c r="C53" s="521" t="s">
        <v>797</v>
      </c>
      <c r="D53" s="519" t="s">
        <v>892</v>
      </c>
      <c r="E53" s="528" t="str">
        <f>+'07-POTESTAD DISCIPLINARIA'!I20</f>
        <v>Escenarios de intercambio de conocimiento generados</v>
      </c>
      <c r="F53" s="528" t="str">
        <f>+'07-POTESTAD DISCIPLINARIA'!J20</f>
        <v xml:space="preserve">Número de escenarios de sensibilización generados </v>
      </c>
      <c r="G53" s="519" t="s">
        <v>824</v>
      </c>
      <c r="H53" s="514" t="s">
        <v>795</v>
      </c>
      <c r="I53" s="515">
        <v>90</v>
      </c>
      <c r="J53" s="516" t="str">
        <f t="shared" si="6"/>
        <v>Desde (&gt;=):</v>
      </c>
      <c r="K53" s="516">
        <f t="shared" si="1"/>
        <v>65</v>
      </c>
      <c r="L53" s="516" t="str">
        <f t="shared" si="7"/>
        <v>Hasta (&lt;=):</v>
      </c>
      <c r="M53" s="516">
        <f t="shared" si="3"/>
        <v>90</v>
      </c>
      <c r="N53" s="516" t="str">
        <f t="shared" si="8"/>
        <v>Menor A:</v>
      </c>
      <c r="O53" s="517">
        <v>65</v>
      </c>
      <c r="P53" s="529">
        <f>+'07-POTESTAD DISCIPLINARIA'!F20</f>
        <v>8</v>
      </c>
      <c r="Q53" s="529">
        <f>+'07-POTESTAD DISCIPLINARIA'!G20</f>
        <v>2</v>
      </c>
      <c r="R53" s="534" t="str">
        <f>+'07-POTESTAD DISCIPLINARIA'!O20</f>
        <v>Personería Delegada para la Coordinación de Potestad Disciplinaria</v>
      </c>
    </row>
    <row r="54" spans="2:18" ht="26.4">
      <c r="B54" s="511">
        <f t="shared" si="5"/>
        <v>50</v>
      </c>
      <c r="C54" s="521" t="s">
        <v>797</v>
      </c>
      <c r="D54" s="519" t="s">
        <v>893</v>
      </c>
      <c r="E54" s="528" t="str">
        <f>+'07-POTESTAD DISCIPLINARIA'!I21</f>
        <v xml:space="preserve">Sistema de Comunicación con las Oficinas de Control Interno Disciplinario implementado </v>
      </c>
      <c r="F54" s="528" t="str">
        <f>+'07-POTESTAD DISCIPLINARIA'!J21</f>
        <v>Porcentaje de avance en la implementación del Sistema de Comunicación</v>
      </c>
      <c r="G54" s="519" t="s">
        <v>824</v>
      </c>
      <c r="H54" s="514" t="s">
        <v>795</v>
      </c>
      <c r="I54" s="515">
        <v>90</v>
      </c>
      <c r="J54" s="516" t="str">
        <f t="shared" si="6"/>
        <v>Desde (&gt;=):</v>
      </c>
      <c r="K54" s="516">
        <f t="shared" si="1"/>
        <v>65</v>
      </c>
      <c r="L54" s="516" t="str">
        <f t="shared" si="7"/>
        <v>Hasta (&lt;=):</v>
      </c>
      <c r="M54" s="516">
        <f t="shared" si="3"/>
        <v>90</v>
      </c>
      <c r="N54" s="516" t="str">
        <f t="shared" si="8"/>
        <v>Menor A:</v>
      </c>
      <c r="O54" s="517">
        <v>65</v>
      </c>
      <c r="P54" s="529">
        <f>+'07-POTESTAD DISCIPLINARIA'!F21</f>
        <v>1</v>
      </c>
      <c r="Q54" s="531">
        <f>+'07-POTESTAD DISCIPLINARIA'!G21</f>
        <v>0.5</v>
      </c>
      <c r="R54" s="534" t="str">
        <f>+'07-POTESTAD DISCIPLINARIA'!O21</f>
        <v>Personería Delegada para la Coordinación de Potestad Disciplinaria</v>
      </c>
    </row>
    <row r="55" spans="2:18" ht="26.4">
      <c r="B55" s="511">
        <f t="shared" si="5"/>
        <v>51</v>
      </c>
      <c r="C55" s="521" t="s">
        <v>797</v>
      </c>
      <c r="D55" s="519" t="s">
        <v>894</v>
      </c>
      <c r="E55" s="528" t="str">
        <f>+'07-POTESTAD DISCIPLINARIA'!I22</f>
        <v xml:space="preserve">Sistema de información misional implementado </v>
      </c>
      <c r="F55" s="528" t="str">
        <f>+'07-POTESTAD DISCIPLINARIA'!J22</f>
        <v>Porcentaje de avance en la implementación de Sistema de Información</v>
      </c>
      <c r="G55" s="519" t="s">
        <v>824</v>
      </c>
      <c r="H55" s="514" t="s">
        <v>795</v>
      </c>
      <c r="I55" s="515">
        <v>90</v>
      </c>
      <c r="J55" s="516" t="str">
        <f t="shared" si="6"/>
        <v>Desde (&gt;=):</v>
      </c>
      <c r="K55" s="516">
        <f t="shared" si="1"/>
        <v>65</v>
      </c>
      <c r="L55" s="516" t="str">
        <f t="shared" si="7"/>
        <v>Hasta (&lt;=):</v>
      </c>
      <c r="M55" s="516">
        <f t="shared" si="3"/>
        <v>90</v>
      </c>
      <c r="N55" s="516" t="str">
        <f t="shared" si="8"/>
        <v>Menor A:</v>
      </c>
      <c r="O55" s="517">
        <v>65</v>
      </c>
      <c r="P55" s="529">
        <f>+'07-POTESTAD DISCIPLINARIA'!F22</f>
        <v>1</v>
      </c>
      <c r="Q55" s="531">
        <f>+'07-POTESTAD DISCIPLINARIA'!G22</f>
        <v>0.2</v>
      </c>
      <c r="R55" s="534" t="str">
        <f>+'07-POTESTAD DISCIPLINARIA'!O22</f>
        <v>Personería Delegada para la Coordinación de Potestad Disciplinaria</v>
      </c>
    </row>
    <row r="56" spans="2:18" ht="26.4">
      <c r="B56" s="511">
        <f t="shared" si="5"/>
        <v>52</v>
      </c>
      <c r="C56" s="521" t="s">
        <v>797</v>
      </c>
      <c r="D56" s="519" t="s">
        <v>895</v>
      </c>
      <c r="E56" s="528" t="str">
        <f>+'07-POTESTAD DISCIPLINARIA'!I23</f>
        <v>Relatoría diseñada e implementada</v>
      </c>
      <c r="F56" s="528" t="str">
        <f>+'07-POTESTAD DISCIPLINARIA'!J23</f>
        <v>Porcentaje de avance en la implementación de la relatoría</v>
      </c>
      <c r="G56" s="519" t="s">
        <v>824</v>
      </c>
      <c r="H56" s="514" t="s">
        <v>795</v>
      </c>
      <c r="I56" s="515">
        <v>90</v>
      </c>
      <c r="J56" s="516" t="str">
        <f t="shared" si="6"/>
        <v>Desde (&gt;=):</v>
      </c>
      <c r="K56" s="516">
        <f t="shared" si="1"/>
        <v>65</v>
      </c>
      <c r="L56" s="516" t="str">
        <f t="shared" si="7"/>
        <v>Hasta (&lt;=):</v>
      </c>
      <c r="M56" s="516">
        <f t="shared" si="3"/>
        <v>90</v>
      </c>
      <c r="N56" s="516" t="str">
        <f t="shared" si="8"/>
        <v>Menor A:</v>
      </c>
      <c r="O56" s="517">
        <v>65</v>
      </c>
      <c r="P56" s="529">
        <f>+'07-POTESTAD DISCIPLINARIA'!F23</f>
        <v>1</v>
      </c>
      <c r="Q56" s="531">
        <f>+'07-POTESTAD DISCIPLINARIA'!G23</f>
        <v>0.1</v>
      </c>
      <c r="R56" s="534" t="str">
        <f>+'07-POTESTAD DISCIPLINARIA'!O23</f>
        <v>Personería Delegada para la Coordinación de Potestad Disciplinaria</v>
      </c>
    </row>
    <row r="57" spans="2:18" ht="54" customHeight="1">
      <c r="B57" s="511">
        <f t="shared" si="5"/>
        <v>53</v>
      </c>
      <c r="C57" s="522" t="s">
        <v>798</v>
      </c>
      <c r="D57" s="519" t="s">
        <v>882</v>
      </c>
      <c r="E57" s="528" t="str">
        <f>+'08-G. DEL TALENTO HUMANO'!I16</f>
        <v>Porcentaje de novedades y situaciones administrativas gestionadas</v>
      </c>
      <c r="F57" s="528" t="str">
        <f>+'08-G. DEL TALENTO HUMANO'!J16</f>
        <v>N° de novedades y situaciones administrativas gestionadas /  N° requerimientos de novedades y situaciones administrativas presentados * 100</v>
      </c>
      <c r="G57" s="519" t="s">
        <v>824</v>
      </c>
      <c r="H57" s="514" t="s">
        <v>790</v>
      </c>
      <c r="I57" s="515">
        <v>90</v>
      </c>
      <c r="J57" s="516" t="str">
        <f t="shared" si="6"/>
        <v>Desde (&gt;):</v>
      </c>
      <c r="K57" s="516">
        <f t="shared" si="1"/>
        <v>69</v>
      </c>
      <c r="L57" s="516" t="str">
        <f t="shared" si="7"/>
        <v>Hasta (&lt;):</v>
      </c>
      <c r="M57" s="516">
        <f t="shared" si="3"/>
        <v>90</v>
      </c>
      <c r="N57" s="516" t="str">
        <f t="shared" si="8"/>
        <v>Menor o Igual A:</v>
      </c>
      <c r="O57" s="517">
        <v>69</v>
      </c>
      <c r="P57" s="530">
        <f>+'08-G. DEL TALENTO HUMANO'!F16</f>
        <v>1</v>
      </c>
      <c r="Q57" s="530">
        <f>+'08-G. DEL TALENTO HUMANO'!G16</f>
        <v>1</v>
      </c>
      <c r="R57" s="534" t="str">
        <f>+'08-G. DEL TALENTO HUMANO'!O16</f>
        <v xml:space="preserve">
Dirección de Talento Humano
</v>
      </c>
    </row>
    <row r="58" spans="2:18" ht="79.2" customHeight="1">
      <c r="B58" s="511">
        <f t="shared" si="5"/>
        <v>54</v>
      </c>
      <c r="C58" s="522" t="s">
        <v>798</v>
      </c>
      <c r="D58" s="519" t="s">
        <v>898</v>
      </c>
      <c r="E58" s="528" t="str">
        <f>+'08-G. DEL TALENTO HUMANO'!I17</f>
        <v xml:space="preserve">Novedades incluidas en la nómina  oportunamente  </v>
      </c>
      <c r="F58" s="528" t="str">
        <f>+'08-G. DEL TALENTO HUMANO'!J17</f>
        <v xml:space="preserve"> N° de Novedades incluidas en la Nomina oportunamente / N° de novedades radicadas en los plazos establecidos</v>
      </c>
      <c r="G58" s="519" t="s">
        <v>824</v>
      </c>
      <c r="H58" s="514" t="s">
        <v>790</v>
      </c>
      <c r="I58" s="515">
        <v>97</v>
      </c>
      <c r="J58" s="516" t="str">
        <f t="shared" si="6"/>
        <v>Desde (&gt;):</v>
      </c>
      <c r="K58" s="516">
        <f t="shared" si="1"/>
        <v>84</v>
      </c>
      <c r="L58" s="516" t="str">
        <f t="shared" si="7"/>
        <v>Hasta (&lt;):</v>
      </c>
      <c r="M58" s="516">
        <f t="shared" si="3"/>
        <v>97</v>
      </c>
      <c r="N58" s="516" t="str">
        <f t="shared" si="8"/>
        <v>Menor o Igual A:</v>
      </c>
      <c r="O58" s="517">
        <v>84</v>
      </c>
      <c r="P58" s="530">
        <f>+'08-G. DEL TALENTO HUMANO'!F17</f>
        <v>0.97</v>
      </c>
      <c r="Q58" s="530">
        <f>+'08-G. DEL TALENTO HUMANO'!G17</f>
        <v>0.97</v>
      </c>
      <c r="R58" s="534" t="str">
        <f>+'08-G. DEL TALENTO HUMANO'!O17</f>
        <v>Dependencia Líder: 
Dirección de Talento Humano
Dependencia Operativa:
Subdirección de Gestión del Talento Humano</v>
      </c>
    </row>
    <row r="59" spans="2:18" ht="66">
      <c r="B59" s="511">
        <f t="shared" si="5"/>
        <v>55</v>
      </c>
      <c r="C59" s="522" t="s">
        <v>798</v>
      </c>
      <c r="D59" s="519" t="s">
        <v>899</v>
      </c>
      <c r="E59" s="528" t="str">
        <f>+'08-G. DEL TALENTO HUMANO'!I18</f>
        <v>Porcentaje de Usuarios internos satisfechos con las solicitudes de los servicios atendidas de la SGTH (Certificaciones laborales, bonos pensionales y autorizaciones de retiro de cesantías)</v>
      </c>
      <c r="F59" s="528" t="str">
        <f>+'08-G. DEL TALENTO HUMANO'!J18</f>
        <v>N° de usuarios satisfechos con las solicitudes de servicios atendidas por la SGTH (Certificaciones laborales, bonos pensionales y autorizaciones de retiro de cesantías. / N° de usuarios encuestados *100</v>
      </c>
      <c r="G59" s="519" t="s">
        <v>832</v>
      </c>
      <c r="H59" s="514" t="s">
        <v>790</v>
      </c>
      <c r="I59" s="515">
        <v>90</v>
      </c>
      <c r="J59" s="516" t="str">
        <f t="shared" si="6"/>
        <v>Desde (&gt;):</v>
      </c>
      <c r="K59" s="516">
        <f t="shared" si="1"/>
        <v>79</v>
      </c>
      <c r="L59" s="516" t="str">
        <f t="shared" si="7"/>
        <v>Hasta (&lt;):</v>
      </c>
      <c r="M59" s="516">
        <f t="shared" si="3"/>
        <v>90</v>
      </c>
      <c r="N59" s="516" t="str">
        <f t="shared" si="8"/>
        <v>Menor o Igual A:</v>
      </c>
      <c r="O59" s="517">
        <v>79</v>
      </c>
      <c r="P59" s="530">
        <f>+'08-G. DEL TALENTO HUMANO'!F18</f>
        <v>0.9</v>
      </c>
      <c r="Q59" s="530">
        <f>+'08-G. DEL TALENTO HUMANO'!G18</f>
        <v>0.9</v>
      </c>
      <c r="R59" s="534" t="str">
        <f>+'08-G. DEL TALENTO HUMANO'!O18</f>
        <v>Dependencia Líder: 
Dirección de Talento Humano
Dependencia Operativa:
Subdirección de Gestión del Talento Humano</v>
      </c>
    </row>
    <row r="60" spans="2:18" ht="62.4" customHeight="1">
      <c r="B60" s="511">
        <f t="shared" si="5"/>
        <v>56</v>
      </c>
      <c r="C60" s="522" t="s">
        <v>798</v>
      </c>
      <c r="D60" s="519" t="s">
        <v>900</v>
      </c>
      <c r="E60" s="528" t="str">
        <f>+'08-G. DEL TALENTO HUMANO'!I19</f>
        <v>Plan Institucional de Capacitación formulado y ejecutado</v>
      </c>
      <c r="F60" s="528" t="str">
        <f>+'08-G. DEL TALENTO HUMANO'!J19</f>
        <v>Grado de avance en la formulación y ejecución del Plan Institucional de Capacitación</v>
      </c>
      <c r="G60" s="519" t="s">
        <v>824</v>
      </c>
      <c r="H60" s="514" t="s">
        <v>790</v>
      </c>
      <c r="I60" s="515">
        <v>90</v>
      </c>
      <c r="J60" s="516" t="str">
        <f t="shared" si="6"/>
        <v>Desde (&gt;):</v>
      </c>
      <c r="K60" s="516">
        <f t="shared" si="1"/>
        <v>69</v>
      </c>
      <c r="L60" s="516" t="str">
        <f t="shared" si="7"/>
        <v>Hasta (&lt;):</v>
      </c>
      <c r="M60" s="516">
        <f t="shared" si="3"/>
        <v>90</v>
      </c>
      <c r="N60" s="516" t="str">
        <f t="shared" si="8"/>
        <v>Menor o Igual A:</v>
      </c>
      <c r="O60" s="517">
        <v>69</v>
      </c>
      <c r="P60" s="530">
        <f>+'08-G. DEL TALENTO HUMANO'!F19</f>
        <v>1</v>
      </c>
      <c r="Q60" s="530">
        <f>+'08-G. DEL TALENTO HUMANO'!G19</f>
        <v>1</v>
      </c>
      <c r="R60" s="534" t="str">
        <f>+'08-G. DEL TALENTO HUMANO'!O19</f>
        <v>Dependencia Líder: 
Dirección de Talento Humano
Dependencia Operativa:
Subdirección de Desarrollo del Talento Humano</v>
      </c>
    </row>
    <row r="61" spans="2:18" ht="63" customHeight="1">
      <c r="B61" s="511">
        <f t="shared" si="5"/>
        <v>57</v>
      </c>
      <c r="C61" s="522" t="s">
        <v>798</v>
      </c>
      <c r="D61" s="519" t="s">
        <v>901</v>
      </c>
      <c r="E61" s="528" t="str">
        <f>+'08-G. DEL TALENTO HUMANO'!I20</f>
        <v>Plan Institucional de Bienestar formulado y ejecutado</v>
      </c>
      <c r="F61" s="528" t="str">
        <f>+'08-G. DEL TALENTO HUMANO'!J20</f>
        <v>Grado de avance en la formulación y ejecución del Plan Institucional de Bienestar</v>
      </c>
      <c r="G61" s="519" t="s">
        <v>824</v>
      </c>
      <c r="H61" s="514" t="s">
        <v>790</v>
      </c>
      <c r="I61" s="515">
        <v>90</v>
      </c>
      <c r="J61" s="516" t="str">
        <f t="shared" si="6"/>
        <v>Desde (&gt;):</v>
      </c>
      <c r="K61" s="516">
        <f t="shared" si="1"/>
        <v>69</v>
      </c>
      <c r="L61" s="516" t="str">
        <f t="shared" si="7"/>
        <v>Hasta (&lt;):</v>
      </c>
      <c r="M61" s="516">
        <f t="shared" si="3"/>
        <v>90</v>
      </c>
      <c r="N61" s="516" t="str">
        <f t="shared" si="8"/>
        <v>Menor o Igual A:</v>
      </c>
      <c r="O61" s="517">
        <v>69</v>
      </c>
      <c r="P61" s="530">
        <f>+'08-G. DEL TALENTO HUMANO'!F20</f>
        <v>1</v>
      </c>
      <c r="Q61" s="530">
        <f>+'08-G. DEL TALENTO HUMANO'!G20</f>
        <v>1</v>
      </c>
      <c r="R61" s="534" t="str">
        <f>+'08-G. DEL TALENTO HUMANO'!O20</f>
        <v>Dependencia Líder: 
Dirección de Talento Humano
Dependencia Operativa:
Subdirección de Desarrollo del Talento Humano</v>
      </c>
    </row>
    <row r="62" spans="2:18" ht="57">
      <c r="B62" s="511">
        <f t="shared" si="5"/>
        <v>58</v>
      </c>
      <c r="C62" s="522" t="s">
        <v>798</v>
      </c>
      <c r="D62" s="519" t="s">
        <v>902</v>
      </c>
      <c r="E62" s="528" t="str">
        <f>+'08-G. DEL TALENTO HUMANO'!I21</f>
        <v>Plan Institucional de Incentivos formulado y ejecutado</v>
      </c>
      <c r="F62" s="528" t="str">
        <f>+'08-G. DEL TALENTO HUMANO'!J21</f>
        <v>Grado de avance en la formulación y ejecución del Plan Institucional de Incentivos</v>
      </c>
      <c r="G62" s="519" t="s">
        <v>824</v>
      </c>
      <c r="H62" s="514" t="s">
        <v>790</v>
      </c>
      <c r="I62" s="515">
        <v>90</v>
      </c>
      <c r="J62" s="516" t="str">
        <f t="shared" si="6"/>
        <v>Desde (&gt;):</v>
      </c>
      <c r="K62" s="516">
        <f t="shared" si="1"/>
        <v>69</v>
      </c>
      <c r="L62" s="516" t="str">
        <f t="shared" si="7"/>
        <v>Hasta (&lt;):</v>
      </c>
      <c r="M62" s="516">
        <f t="shared" si="3"/>
        <v>90</v>
      </c>
      <c r="N62" s="516" t="str">
        <f t="shared" si="8"/>
        <v>Menor o Igual A:</v>
      </c>
      <c r="O62" s="517">
        <v>69</v>
      </c>
      <c r="P62" s="530">
        <f>+'08-G. DEL TALENTO HUMANO'!F21</f>
        <v>1</v>
      </c>
      <c r="Q62" s="530">
        <f>+'08-G. DEL TALENTO HUMANO'!G21</f>
        <v>1</v>
      </c>
      <c r="R62" s="534" t="str">
        <f>+'08-G. DEL TALENTO HUMANO'!O21</f>
        <v>Dependencia Líder: 
Dirección de Talento Humano
Dependencia Operativa:
Subdirección de Desarrollo del Talento Humano</v>
      </c>
    </row>
    <row r="63" spans="2:18" ht="57">
      <c r="B63" s="511">
        <f t="shared" si="5"/>
        <v>59</v>
      </c>
      <c r="C63" s="522" t="s">
        <v>798</v>
      </c>
      <c r="D63" s="519" t="s">
        <v>903</v>
      </c>
      <c r="E63" s="528" t="str">
        <f>+'08-G. DEL TALENTO HUMANO'!I22</f>
        <v>Plan Anual de Trabajo del Sistema de Gestión de Seguridad y Salud en el Trabajo SG-SST diseñado y ejecutado</v>
      </c>
      <c r="F63" s="528" t="str">
        <f>+'08-G. DEL TALENTO HUMANO'!J22</f>
        <v>Grado de avance en la formulación y ejecución del Plan Anual de Trabajo del SG-SST</v>
      </c>
      <c r="G63" s="519" t="s">
        <v>824</v>
      </c>
      <c r="H63" s="514" t="s">
        <v>790</v>
      </c>
      <c r="I63" s="515">
        <v>90</v>
      </c>
      <c r="J63" s="516" t="str">
        <f t="shared" si="6"/>
        <v>Desde (&gt;):</v>
      </c>
      <c r="K63" s="516">
        <f t="shared" si="1"/>
        <v>69</v>
      </c>
      <c r="L63" s="516" t="str">
        <f t="shared" si="7"/>
        <v>Hasta (&lt;):</v>
      </c>
      <c r="M63" s="516">
        <f t="shared" si="3"/>
        <v>90</v>
      </c>
      <c r="N63" s="516" t="str">
        <f t="shared" si="8"/>
        <v>Menor o Igual A:</v>
      </c>
      <c r="O63" s="517">
        <v>69</v>
      </c>
      <c r="P63" s="530">
        <f>+'08-G. DEL TALENTO HUMANO'!F22</f>
        <v>1</v>
      </c>
      <c r="Q63" s="530">
        <f>+'08-G. DEL TALENTO HUMANO'!G22</f>
        <v>1</v>
      </c>
      <c r="R63" s="534" t="str">
        <f>+'08-G. DEL TALENTO HUMANO'!O22</f>
        <v>Dependencia Líder: 
Dirección de Talento Humano
Dependencia Operativa:
Subdirección de Desarrollo del Talento Humano</v>
      </c>
    </row>
    <row r="64" spans="2:18" ht="52.8">
      <c r="B64" s="511">
        <f t="shared" si="5"/>
        <v>60</v>
      </c>
      <c r="C64" s="522" t="s">
        <v>798</v>
      </c>
      <c r="D64" s="519" t="s">
        <v>904</v>
      </c>
      <c r="E64" s="528" t="str">
        <f>+'08-G. DEL TALENTO HUMANO'!I23</f>
        <v>Capacitaciones realizadas sobre los Sistemas de Gestión y Evaluación del Desempeño Laboral de la Personería de Bogotá, D.C.</v>
      </c>
      <c r="F64" s="528" t="str">
        <f>+'08-G. DEL TALENTO HUMANO'!J23</f>
        <v>Número de capacitacionese realizadas sobre los Sistemas de Gestión y Evaluación del Desempeño Laboral de la Personería de Bogotá, D.C.</v>
      </c>
      <c r="G64" s="519" t="s">
        <v>824</v>
      </c>
      <c r="H64" s="514" t="s">
        <v>795</v>
      </c>
      <c r="I64" s="515">
        <v>100</v>
      </c>
      <c r="J64" s="516" t="str">
        <f t="shared" si="6"/>
        <v>Desde (&gt;=):</v>
      </c>
      <c r="K64" s="516">
        <f t="shared" si="1"/>
        <v>90</v>
      </c>
      <c r="L64" s="516" t="str">
        <f t="shared" si="7"/>
        <v>Hasta (&lt;=):</v>
      </c>
      <c r="M64" s="516">
        <f t="shared" si="3"/>
        <v>100</v>
      </c>
      <c r="N64" s="516" t="str">
        <f t="shared" si="8"/>
        <v>Menor A:</v>
      </c>
      <c r="O64" s="517">
        <v>90</v>
      </c>
      <c r="P64" s="529">
        <f>+'08-G. DEL TALENTO HUMANO'!F23</f>
        <v>36</v>
      </c>
      <c r="Q64" s="529">
        <f>+'08-G. DEL TALENTO HUMANO'!G23</f>
        <v>9</v>
      </c>
      <c r="R64" s="534" t="str">
        <f>+'08-G. DEL TALENTO HUMANO'!O23</f>
        <v>Dirección de Talento Humano</v>
      </c>
    </row>
    <row r="65" spans="2:18" ht="34.200000000000003" customHeight="1">
      <c r="B65" s="511">
        <f t="shared" si="5"/>
        <v>61</v>
      </c>
      <c r="C65" s="521" t="s">
        <v>799</v>
      </c>
      <c r="D65" s="519" t="s">
        <v>905</v>
      </c>
      <c r="E65" s="528" t="str">
        <f>+'09-G.  ADMINISTRATIVA'!I16</f>
        <v>Porcentaje de servicios atendidos</v>
      </c>
      <c r="F65" s="528" t="str">
        <f>+'09-G.  ADMINISTRATIVA'!J16</f>
        <v>No. Servicios realizados /Total de servicios solicitados *100</v>
      </c>
      <c r="G65" s="519" t="s">
        <v>824</v>
      </c>
      <c r="H65" s="514" t="s">
        <v>795</v>
      </c>
      <c r="I65" s="515">
        <v>97</v>
      </c>
      <c r="J65" s="516" t="str">
        <f t="shared" si="6"/>
        <v>Desde (&gt;=):</v>
      </c>
      <c r="K65" s="516">
        <f t="shared" ref="K65:K103" si="9">IF(I65&gt;O65,O65,
IF(I65&lt;O65,I65,
IF(I65=O65,"No Aplica","")))</f>
        <v>93</v>
      </c>
      <c r="L65" s="516" t="str">
        <f t="shared" si="7"/>
        <v>Hasta (&lt;=):</v>
      </c>
      <c r="M65" s="516">
        <f t="shared" ref="M65:M103" si="10">IF(I65&gt;O65,I65,
IF(I65&lt;O65,O65,
IF(I65=O65,"No Aplica","")))</f>
        <v>97</v>
      </c>
      <c r="N65" s="516" t="str">
        <f t="shared" si="8"/>
        <v>Menor A:</v>
      </c>
      <c r="O65" s="517">
        <v>93</v>
      </c>
      <c r="P65" s="530">
        <f>+'09-G.  ADMINISTRATIVA'!G16</f>
        <v>1</v>
      </c>
      <c r="Q65" s="530">
        <f>+'09-G.  ADMINISTRATIVA'!G16</f>
        <v>1</v>
      </c>
      <c r="R65" s="534" t="str">
        <f>+'09-G.  ADMINISTRATIVA'!O16</f>
        <v>Subdirección de Gestión Documental y Recursos Físicos
Dirección Administrativa y Financiera</v>
      </c>
    </row>
    <row r="66" spans="2:18" ht="39.6">
      <c r="B66" s="511">
        <f t="shared" si="5"/>
        <v>62</v>
      </c>
      <c r="C66" s="521" t="s">
        <v>799</v>
      </c>
      <c r="D66" s="519" t="s">
        <v>907</v>
      </c>
      <c r="E66" s="528" t="str">
        <f>+'09-G.  ADMINISTRATIVA'!I17</f>
        <v>Porcentaje de actividades del PESV ejecutadas</v>
      </c>
      <c r="F66" s="528" t="str">
        <f>+'09-G.  ADMINISTRATIVA'!J17</f>
        <v>N° de actividades ejecutadas en el periodo/N° de actividades programadas en el PESV para la vigencia*100</v>
      </c>
      <c r="G66" s="519" t="s">
        <v>824</v>
      </c>
      <c r="H66" s="514" t="s">
        <v>795</v>
      </c>
      <c r="I66" s="515">
        <v>97</v>
      </c>
      <c r="J66" s="516" t="str">
        <f t="shared" si="6"/>
        <v>Desde (&gt;=):</v>
      </c>
      <c r="K66" s="516">
        <f t="shared" si="9"/>
        <v>93</v>
      </c>
      <c r="L66" s="516" t="str">
        <f t="shared" si="7"/>
        <v>Hasta (&lt;=):</v>
      </c>
      <c r="M66" s="516">
        <f t="shared" si="10"/>
        <v>97</v>
      </c>
      <c r="N66" s="516" t="str">
        <f t="shared" si="8"/>
        <v>Menor A:</v>
      </c>
      <c r="O66" s="517">
        <v>93</v>
      </c>
      <c r="P66" s="530">
        <f>+'09-G.  ADMINISTRATIVA'!G17</f>
        <v>0.97</v>
      </c>
      <c r="Q66" s="530">
        <f>+'09-G.  ADMINISTRATIVA'!G17</f>
        <v>0.97</v>
      </c>
      <c r="R66" s="534" t="str">
        <f>+'09-G.  ADMINISTRATIVA'!O17</f>
        <v>Subdirección de Gestión Documental y Recursos Físicos
Dirección Administrativa y Financiera</v>
      </c>
    </row>
    <row r="67" spans="2:18" ht="26.4">
      <c r="B67" s="511">
        <f t="shared" si="5"/>
        <v>63</v>
      </c>
      <c r="C67" s="522" t="s">
        <v>800</v>
      </c>
      <c r="D67" s="519" t="s">
        <v>906</v>
      </c>
      <c r="E67" s="528" t="str">
        <f>+'10-GESTIÓN FINANCIERA'!I16</f>
        <v>Porcentaje del presupuesto aprobado y ejecutado.</v>
      </c>
      <c r="F67" s="528" t="str">
        <f>+'10-GESTIÓN FINANCIERA'!J16</f>
        <v>Valor de ejecución de presupuesto / Valor del presupuesto aprobado</v>
      </c>
      <c r="G67" s="519" t="s">
        <v>824</v>
      </c>
      <c r="H67" s="514" t="s">
        <v>790</v>
      </c>
      <c r="I67" s="515">
        <v>95</v>
      </c>
      <c r="J67" s="516" t="str">
        <f t="shared" ref="J67:J103" si="11">IF(OR($H67="Mayor A:",$H67="Menor A:"),"Desde (&gt;=):",
IF(OR($H67="Mayor o Igual A:",$H67="Menor o Igual A:"),"Desde (&gt;):",
IF($H67="Igual A:","No Aplica",
IF($H67="",""))))</f>
        <v>Desde (&gt;):</v>
      </c>
      <c r="K67" s="516">
        <f t="shared" si="9"/>
        <v>90</v>
      </c>
      <c r="L67" s="516" t="str">
        <f t="shared" ref="L67:L103" si="12">IF(OR($H67="Mayor A:",$H67="Menor A:"),"Hasta (&lt;=):",
IF(OR($H67="Mayor o Igual A:",$H67="Menor o Igual A:"),"Hasta (&lt;):",
IF($H67="Igual A:","No Aplica",
IF($H67="",""))))</f>
        <v>Hasta (&lt;):</v>
      </c>
      <c r="M67" s="516">
        <f t="shared" si="10"/>
        <v>95</v>
      </c>
      <c r="N67" s="516" t="str">
        <f t="shared" ref="N67:N103" si="13">IF($H67="Mayor A:","Menor A:",
IF($H67="Menor A:","Mayor A:",
IF($H67="Mayor o Igual A:","Menor o Igual A:",
IF($H67="Menor o Igual A:","Mayor o Igual A:",
IF($H67="Igual A:","Igual A:",
IF($H67="",""))))))</f>
        <v>Menor o Igual A:</v>
      </c>
      <c r="O67" s="517">
        <v>90</v>
      </c>
      <c r="P67" s="530">
        <f>+'10-GESTIÓN FINANCIERA'!F16</f>
        <v>0.95</v>
      </c>
      <c r="Q67" s="530">
        <f>+'10-GESTIÓN FINANCIERA'!G16</f>
        <v>0.95</v>
      </c>
      <c r="R67" s="534" t="str">
        <f>+'10-GESTIÓN FINANCIERA'!O16</f>
        <v>Subdirección de Gestión Financiera
Dirección Administrativa y Financiera</v>
      </c>
    </row>
    <row r="68" spans="2:18" ht="26.4">
      <c r="B68" s="511">
        <f t="shared" si="5"/>
        <v>64</v>
      </c>
      <c r="C68" s="522" t="s">
        <v>800</v>
      </c>
      <c r="D68" s="519" t="s">
        <v>908</v>
      </c>
      <c r="E68" s="528" t="str">
        <f>+'10-GESTIÓN FINANCIERA'!I17</f>
        <v>Porcentaje de los compromisos de pago programados y ejecutados.</v>
      </c>
      <c r="F68" s="528" t="str">
        <f>+'10-GESTIÓN FINANCIERA'!J17</f>
        <v>Valor de pagos realizados / Valor del presupuesto ejecutado</v>
      </c>
      <c r="G68" s="519" t="s">
        <v>824</v>
      </c>
      <c r="H68" s="514" t="s">
        <v>790</v>
      </c>
      <c r="I68" s="515">
        <v>95</v>
      </c>
      <c r="J68" s="516" t="str">
        <f t="shared" si="11"/>
        <v>Desde (&gt;):</v>
      </c>
      <c r="K68" s="516">
        <f t="shared" si="9"/>
        <v>90</v>
      </c>
      <c r="L68" s="516" t="str">
        <f t="shared" si="12"/>
        <v>Hasta (&lt;):</v>
      </c>
      <c r="M68" s="516">
        <f t="shared" si="10"/>
        <v>95</v>
      </c>
      <c r="N68" s="516" t="str">
        <f t="shared" si="13"/>
        <v>Menor o Igual A:</v>
      </c>
      <c r="O68" s="517">
        <v>90</v>
      </c>
      <c r="P68" s="530">
        <f>+'10-GESTIÓN FINANCIERA'!F17</f>
        <v>0.95</v>
      </c>
      <c r="Q68" s="530">
        <f>+'10-GESTIÓN FINANCIERA'!G17</f>
        <v>0.95</v>
      </c>
      <c r="R68" s="534" t="str">
        <f>+'10-GESTIÓN FINANCIERA'!O17</f>
        <v>Subdirección de Gestión Financiera
Dirección Administrativa y Financiera</v>
      </c>
    </row>
    <row r="69" spans="2:18" ht="26.4">
      <c r="B69" s="511">
        <f t="shared" si="5"/>
        <v>65</v>
      </c>
      <c r="C69" s="522" t="s">
        <v>800</v>
      </c>
      <c r="D69" s="519" t="s">
        <v>909</v>
      </c>
      <c r="E69" s="528" t="str">
        <f>+'10-GESTIÓN FINANCIERA'!I18</f>
        <v>Porcentaje de estados financieros de la Entidad elaborados y presentados.</v>
      </c>
      <c r="F69" s="528" t="str">
        <f>+'10-GESTIÓN FINANCIERA'!J18</f>
        <v>Estados Financieros presentados</v>
      </c>
      <c r="G69" s="519" t="s">
        <v>824</v>
      </c>
      <c r="H69" s="514" t="s">
        <v>790</v>
      </c>
      <c r="I69" s="515">
        <v>100</v>
      </c>
      <c r="J69" s="516" t="str">
        <f t="shared" si="11"/>
        <v>Desde (&gt;):</v>
      </c>
      <c r="K69" s="516">
        <f t="shared" si="9"/>
        <v>95</v>
      </c>
      <c r="L69" s="516" t="str">
        <f t="shared" si="12"/>
        <v>Hasta (&lt;):</v>
      </c>
      <c r="M69" s="516">
        <f t="shared" si="10"/>
        <v>100</v>
      </c>
      <c r="N69" s="516" t="str">
        <f t="shared" si="13"/>
        <v>Menor o Igual A:</v>
      </c>
      <c r="O69" s="517">
        <v>95</v>
      </c>
      <c r="P69" s="530">
        <f>+'10-GESTIÓN FINANCIERA'!F18</f>
        <v>1</v>
      </c>
      <c r="Q69" s="530">
        <f>+'10-GESTIÓN FINANCIERA'!G18</f>
        <v>1</v>
      </c>
      <c r="R69" s="534" t="str">
        <f>+'10-GESTIÓN FINANCIERA'!O18</f>
        <v>Subdirección de Gestión Financiera
Dirección Administrativa y Financiera</v>
      </c>
    </row>
    <row r="70" spans="2:18" ht="26.4">
      <c r="B70" s="511">
        <f t="shared" si="5"/>
        <v>66</v>
      </c>
      <c r="C70" s="521" t="s">
        <v>801</v>
      </c>
      <c r="D70" s="519" t="s">
        <v>896</v>
      </c>
      <c r="E70" s="528" t="str">
        <f>+'11-GESTIÓN CONTRACTUAL'!I16</f>
        <v xml:space="preserve">Porcentaje del Plan Anual de Adquisiciones ejecutado </v>
      </c>
      <c r="F70" s="528" t="str">
        <f>+'11-GESTIÓN CONTRACTUAL'!J16</f>
        <v>No. de adquisiciones realizadas /Total de adquisiciones planeadas *100</v>
      </c>
      <c r="G70" s="519" t="s">
        <v>824</v>
      </c>
      <c r="H70" s="514" t="s">
        <v>790</v>
      </c>
      <c r="I70" s="515">
        <v>95</v>
      </c>
      <c r="J70" s="516" t="str">
        <f t="shared" si="11"/>
        <v>Desde (&gt;):</v>
      </c>
      <c r="K70" s="516">
        <f t="shared" si="9"/>
        <v>90</v>
      </c>
      <c r="L70" s="516" t="str">
        <f t="shared" si="12"/>
        <v>Hasta (&lt;):</v>
      </c>
      <c r="M70" s="516">
        <f t="shared" si="10"/>
        <v>95</v>
      </c>
      <c r="N70" s="516" t="str">
        <f t="shared" si="13"/>
        <v>Menor o Igual A:</v>
      </c>
      <c r="O70" s="517">
        <v>90</v>
      </c>
      <c r="P70" s="530">
        <f>+'11-GESTIÓN CONTRACTUAL'!F16</f>
        <v>0.95</v>
      </c>
      <c r="Q70" s="530">
        <f>+'11-GESTIÓN CONTRACTUAL'!G16</f>
        <v>0.95</v>
      </c>
      <c r="R70" s="534" t="str">
        <f>+'11-GESTIÓN CONTRACTUAL'!O16</f>
        <v>Subdirección de Gestión Contractual
Dirección Administrativa y Financiera</v>
      </c>
    </row>
    <row r="71" spans="2:18" ht="58.2" customHeight="1">
      <c r="B71" s="511">
        <f t="shared" ref="B71:B88" si="14">1+B70</f>
        <v>67</v>
      </c>
      <c r="C71" s="522" t="s">
        <v>802</v>
      </c>
      <c r="D71" s="519" t="s">
        <v>897</v>
      </c>
      <c r="E71" s="528" t="str">
        <f>+'12-GESTIÓN DOCUMENTAL'!I16</f>
        <v>Porcentaje de Comunicaciones oficiales con reparto realizado dentro de los 3 días hábiles desde su radicación</v>
      </c>
      <c r="F71" s="528" t="str">
        <f>+'12-GESTIÓN DOCUMENTAL'!J16</f>
        <v>No comunicaciones entregadas a las dependencias internas dentro de los 3 días hábiles de su recepción / Numero de comunicaciones recibidas en el Grupo de Correspondencia</v>
      </c>
      <c r="G71" s="519" t="s">
        <v>828</v>
      </c>
      <c r="H71" s="514" t="s">
        <v>795</v>
      </c>
      <c r="I71" s="515">
        <v>95</v>
      </c>
      <c r="J71" s="516" t="str">
        <f t="shared" si="11"/>
        <v>Desde (&gt;=):</v>
      </c>
      <c r="K71" s="516">
        <f t="shared" si="9"/>
        <v>90</v>
      </c>
      <c r="L71" s="516" t="str">
        <f t="shared" si="12"/>
        <v>Hasta (&lt;=):</v>
      </c>
      <c r="M71" s="516">
        <f t="shared" si="10"/>
        <v>95</v>
      </c>
      <c r="N71" s="516" t="str">
        <f t="shared" si="13"/>
        <v>Menor A:</v>
      </c>
      <c r="O71" s="517">
        <v>90</v>
      </c>
      <c r="P71" s="530">
        <f>+'12-GESTIÓN DOCUMENTAL'!F16</f>
        <v>0.95</v>
      </c>
      <c r="Q71" s="530">
        <f>+'12-GESTIÓN DOCUMENTAL'!G16</f>
        <v>0.95</v>
      </c>
      <c r="R71" s="534" t="str">
        <f>+'12-GESTIÓN DOCUMENTAL'!O16</f>
        <v>Subdirección de Gestión Documental y Recursos Físicos - Grupo de Correspondencia</v>
      </c>
    </row>
    <row r="72" spans="2:18" ht="54" customHeight="1">
      <c r="B72" s="511">
        <f t="shared" si="14"/>
        <v>68</v>
      </c>
      <c r="C72" s="522" t="s">
        <v>802</v>
      </c>
      <c r="D72" s="519" t="s">
        <v>912</v>
      </c>
      <c r="E72" s="528" t="str">
        <f>+'12-GESTIÓN DOCUMENTAL'!I17</f>
        <v>Porcentaje de documentación incorporada en el archivo central durante la vigencia.</v>
      </c>
      <c r="F72" s="528" t="str">
        <f>+'12-GESTIÓN DOCUMENTAL'!J17</f>
        <v xml:space="preserve">Metros lineales incorporados al archivo central/ Metros lineales recibidos para incorporar al archivo central que cumplen los requisitos </v>
      </c>
      <c r="G72" s="519" t="s">
        <v>824</v>
      </c>
      <c r="H72" s="514" t="s">
        <v>795</v>
      </c>
      <c r="I72" s="515">
        <v>100</v>
      </c>
      <c r="J72" s="516" t="str">
        <f t="shared" si="11"/>
        <v>Desde (&gt;=):</v>
      </c>
      <c r="K72" s="516">
        <f t="shared" si="9"/>
        <v>93</v>
      </c>
      <c r="L72" s="516" t="str">
        <f t="shared" si="12"/>
        <v>Hasta (&lt;=):</v>
      </c>
      <c r="M72" s="516">
        <f t="shared" si="10"/>
        <v>100</v>
      </c>
      <c r="N72" s="516" t="str">
        <f t="shared" si="13"/>
        <v>Menor A:</v>
      </c>
      <c r="O72" s="517">
        <v>93</v>
      </c>
      <c r="P72" s="530">
        <f>+'12-GESTIÓN DOCUMENTAL'!F17</f>
        <v>0.8</v>
      </c>
      <c r="Q72" s="530">
        <f>+'12-GESTIÓN DOCUMENTAL'!G17</f>
        <v>0.8</v>
      </c>
      <c r="R72" s="534" t="str">
        <f>+'12-GESTIÓN DOCUMENTAL'!O17</f>
        <v>Subdirección de Gestión Documental y Recursos Físicos - Archivo central</v>
      </c>
    </row>
    <row r="73" spans="2:18" ht="52.8">
      <c r="B73" s="511">
        <f t="shared" si="14"/>
        <v>69</v>
      </c>
      <c r="C73" s="522" t="s">
        <v>802</v>
      </c>
      <c r="D73" s="519" t="s">
        <v>913</v>
      </c>
      <c r="E73" s="528" t="str">
        <f>+'12-GESTIÓN DOCUMENTAL'!I18</f>
        <v>Cantidad de actividades realizadas por año para el diseño, actualización o ajuste de los instrumentos archivísticos establecidos por norma</v>
      </c>
      <c r="F73" s="528" t="str">
        <f>+'12-GESTIÓN DOCUMENTAL'!J18</f>
        <v>Cantidad de actividades de diseño, actualización o ajuste de los instrumentos archivisticos establecidos por norma.</v>
      </c>
      <c r="G73" s="519" t="s">
        <v>824</v>
      </c>
      <c r="H73" s="514" t="s">
        <v>790</v>
      </c>
      <c r="I73" s="515">
        <v>100</v>
      </c>
      <c r="J73" s="516" t="str">
        <f t="shared" si="11"/>
        <v>Desde (&gt;):</v>
      </c>
      <c r="K73" s="516">
        <f t="shared" si="9"/>
        <v>80</v>
      </c>
      <c r="L73" s="516" t="str">
        <f t="shared" si="12"/>
        <v>Hasta (&lt;):</v>
      </c>
      <c r="M73" s="516">
        <f t="shared" si="10"/>
        <v>100</v>
      </c>
      <c r="N73" s="516" t="str">
        <f t="shared" si="13"/>
        <v>Menor o Igual A:</v>
      </c>
      <c r="O73" s="517">
        <v>80</v>
      </c>
      <c r="P73" s="536">
        <f>+'12-GESTIÓN DOCUMENTAL'!F18</f>
        <v>100</v>
      </c>
      <c r="Q73" s="536">
        <f>+'12-GESTIÓN DOCUMENTAL'!G18</f>
        <v>25</v>
      </c>
      <c r="R73" s="534" t="str">
        <f>+'12-GESTIÓN DOCUMENTAL'!O18</f>
        <v xml:space="preserve">Subdirección de Gestión Documental y Recursos Físicos </v>
      </c>
    </row>
    <row r="74" spans="2:18" ht="52.8">
      <c r="B74" s="511">
        <f t="shared" si="14"/>
        <v>70</v>
      </c>
      <c r="C74" s="522" t="s">
        <v>802</v>
      </c>
      <c r="D74" s="519" t="s">
        <v>914</v>
      </c>
      <c r="E74" s="528" t="str">
        <f>+'12-GESTIÓN DOCUMENTAL'!I19</f>
        <v>Cantidad de actividades realizadas por año para implementación de los instrumentos archivísticos establecidos por norma, y de herramientas de apoyo a la gestión documental.</v>
      </c>
      <c r="F74" s="528" t="str">
        <f>+'12-GESTIÓN DOCUMENTAL'!J19</f>
        <v>Cantidad de actividades de implementación de los instrumentos archivisticos establecidos por norma.</v>
      </c>
      <c r="G74" s="519" t="s">
        <v>824</v>
      </c>
      <c r="H74" s="514" t="s">
        <v>790</v>
      </c>
      <c r="I74" s="515">
        <v>100</v>
      </c>
      <c r="J74" s="516" t="str">
        <f t="shared" si="11"/>
        <v>Desde (&gt;):</v>
      </c>
      <c r="K74" s="516">
        <f t="shared" si="9"/>
        <v>80</v>
      </c>
      <c r="L74" s="516" t="str">
        <f t="shared" si="12"/>
        <v>Hasta (&lt;):</v>
      </c>
      <c r="M74" s="516">
        <f t="shared" si="10"/>
        <v>100</v>
      </c>
      <c r="N74" s="516" t="str">
        <f t="shared" si="13"/>
        <v>Menor o Igual A:</v>
      </c>
      <c r="O74" s="517">
        <v>80</v>
      </c>
      <c r="P74" s="536">
        <f>+'12-GESTIÓN DOCUMENTAL'!F19</f>
        <v>100</v>
      </c>
      <c r="Q74" s="536">
        <f>+'12-GESTIÓN DOCUMENTAL'!G19</f>
        <v>25</v>
      </c>
      <c r="R74" s="534" t="str">
        <f>+'12-GESTIÓN DOCUMENTAL'!O19</f>
        <v>Subdirección de Gestión Documental y Recursos Físicos
Dirección de Tecnologías de la Información y Comunicaciones</v>
      </c>
    </row>
    <row r="75" spans="2:18" ht="73.2" customHeight="1">
      <c r="B75" s="511">
        <f t="shared" si="14"/>
        <v>71</v>
      </c>
      <c r="C75" s="521" t="s">
        <v>803</v>
      </c>
      <c r="D75" s="519" t="s">
        <v>910</v>
      </c>
      <c r="E75" s="528" t="str">
        <f>+'13-GESTIÓN JURÍDICA'!I16</f>
        <v>Porcentaje de procesos judiciales en los que se vincule o demande a la Entidad, objeto de representación oportuna</v>
      </c>
      <c r="F75" s="528" t="str">
        <f>+'13-GESTIÓN JURÍDICA'!J16</f>
        <v>(Número de procesos judiciales en los que se representa oportunamente, de acuerdo con los términos fijados por los despachos judiciales / Número total de procesos judiciales en los que se vincula la Entidad )  (x 100)</v>
      </c>
      <c r="G75" s="519" t="s">
        <v>824</v>
      </c>
      <c r="H75" s="514" t="s">
        <v>790</v>
      </c>
      <c r="I75" s="515">
        <v>100</v>
      </c>
      <c r="J75" s="516" t="str">
        <f t="shared" si="11"/>
        <v>Desde (&gt;):</v>
      </c>
      <c r="K75" s="516">
        <f t="shared" si="9"/>
        <v>90</v>
      </c>
      <c r="L75" s="516" t="str">
        <f t="shared" si="12"/>
        <v>Hasta (&lt;):</v>
      </c>
      <c r="M75" s="516">
        <f t="shared" si="10"/>
        <v>100</v>
      </c>
      <c r="N75" s="516" t="str">
        <f t="shared" si="13"/>
        <v>Menor o Igual A:</v>
      </c>
      <c r="O75" s="517">
        <v>90</v>
      </c>
      <c r="P75" s="530">
        <f>+'13-GESTIÓN JURÍDICA'!F16</f>
        <v>1</v>
      </c>
      <c r="Q75" s="530">
        <f>+'13-GESTIÓN JURÍDICA'!G16</f>
        <v>1</v>
      </c>
      <c r="R75" s="534" t="str">
        <f>+'13-GESTIÓN JURÍDICA'!O16</f>
        <v>Oficina Asesora Jurídica</v>
      </c>
    </row>
    <row r="76" spans="2:18" ht="66">
      <c r="B76" s="511">
        <f t="shared" si="14"/>
        <v>72</v>
      </c>
      <c r="C76" s="521" t="s">
        <v>803</v>
      </c>
      <c r="D76" s="519" t="s">
        <v>917</v>
      </c>
      <c r="E76" s="528" t="str">
        <f>+'13-GESTIÓN JURÍDICA'!I17</f>
        <v xml:space="preserve">Porcentaje de acciones de tutela en las cuales se defienda judicialmente a la Entidad oportunamente </v>
      </c>
      <c r="F76" s="528"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6" s="519" t="s">
        <v>824</v>
      </c>
      <c r="H76" s="514" t="s">
        <v>790</v>
      </c>
      <c r="I76" s="515">
        <v>100</v>
      </c>
      <c r="J76" s="516" t="str">
        <f t="shared" si="11"/>
        <v>Desde (&gt;):</v>
      </c>
      <c r="K76" s="516">
        <f t="shared" si="9"/>
        <v>90</v>
      </c>
      <c r="L76" s="516" t="str">
        <f t="shared" si="12"/>
        <v>Hasta (&lt;):</v>
      </c>
      <c r="M76" s="516">
        <f t="shared" si="10"/>
        <v>100</v>
      </c>
      <c r="N76" s="516" t="str">
        <f t="shared" si="13"/>
        <v>Menor o Igual A:</v>
      </c>
      <c r="O76" s="517">
        <v>90</v>
      </c>
      <c r="P76" s="530">
        <f>+'13-GESTIÓN JURÍDICA'!F17</f>
        <v>1</v>
      </c>
      <c r="Q76" s="530">
        <f>+'13-GESTIÓN JURÍDICA'!G17</f>
        <v>1</v>
      </c>
      <c r="R76" s="534" t="str">
        <f>+'13-GESTIÓN JURÍDICA'!O17</f>
        <v>Oficina Asesora Jurídica</v>
      </c>
    </row>
    <row r="77" spans="2:18" ht="52.8">
      <c r="B77" s="511">
        <f t="shared" si="14"/>
        <v>73</v>
      </c>
      <c r="C77" s="521" t="s">
        <v>803</v>
      </c>
      <c r="D77" s="519" t="s">
        <v>918</v>
      </c>
      <c r="E77" s="528" t="str">
        <f>+'13-GESTIÓN JURÍDICA'!I18</f>
        <v>Porcentaje de conceptos de competencia de la dependencia emitidos oportunamente</v>
      </c>
      <c r="F77" s="528" t="str">
        <f>+'13-GESTIÓN JURÍDICA'!J18</f>
        <v>Número de conceptos emitidos oportunamente / Número de solicitudes de conceptos jurídicos recibidas de competencia de la dependencia (x100)</v>
      </c>
      <c r="G77" s="519" t="s">
        <v>824</v>
      </c>
      <c r="H77" s="514" t="s">
        <v>790</v>
      </c>
      <c r="I77" s="515">
        <v>100</v>
      </c>
      <c r="J77" s="516" t="str">
        <f t="shared" si="11"/>
        <v>Desde (&gt;):</v>
      </c>
      <c r="K77" s="516">
        <f t="shared" si="9"/>
        <v>90</v>
      </c>
      <c r="L77" s="516" t="str">
        <f t="shared" si="12"/>
        <v>Hasta (&lt;):</v>
      </c>
      <c r="M77" s="516">
        <f t="shared" si="10"/>
        <v>100</v>
      </c>
      <c r="N77" s="516" t="str">
        <f t="shared" si="13"/>
        <v>Menor o Igual A:</v>
      </c>
      <c r="O77" s="517">
        <v>90</v>
      </c>
      <c r="P77" s="530">
        <f>+'13-GESTIÓN JURÍDICA'!F18</f>
        <v>1</v>
      </c>
      <c r="Q77" s="530">
        <f>+'13-GESTIÓN JURÍDICA'!G18</f>
        <v>1</v>
      </c>
      <c r="R77" s="534" t="str">
        <f>+'13-GESTIÓN JURÍDICA'!O18</f>
        <v>Oficina Asesora Jurídica</v>
      </c>
    </row>
    <row r="78" spans="2:18" ht="39.6">
      <c r="B78" s="511">
        <f t="shared" si="14"/>
        <v>74</v>
      </c>
      <c r="C78" s="521" t="s">
        <v>803</v>
      </c>
      <c r="D78" s="519" t="s">
        <v>919</v>
      </c>
      <c r="E78" s="528" t="str">
        <f>+'13-GESTIÓN JURÍDICA'!I19</f>
        <v>Porcentaje de reportes de la base de datos de sanciones disciplinarias registrados</v>
      </c>
      <c r="F78" s="528" t="str">
        <f>+'13-GESTIÓN JURÍDICA'!J19</f>
        <v>Número de reportes actualizados / Número de solicitudes de actualización de reportes recibidos (x100)</v>
      </c>
      <c r="G78" s="519" t="s">
        <v>824</v>
      </c>
      <c r="H78" s="514" t="s">
        <v>790</v>
      </c>
      <c r="I78" s="515">
        <v>100</v>
      </c>
      <c r="J78" s="516" t="str">
        <f t="shared" si="11"/>
        <v>Desde (&gt;):</v>
      </c>
      <c r="K78" s="516">
        <f t="shared" si="9"/>
        <v>90</v>
      </c>
      <c r="L78" s="516" t="str">
        <f t="shared" si="12"/>
        <v>Hasta (&lt;):</v>
      </c>
      <c r="M78" s="516">
        <f t="shared" si="10"/>
        <v>100</v>
      </c>
      <c r="N78" s="516" t="str">
        <f t="shared" si="13"/>
        <v>Menor o Igual A:</v>
      </c>
      <c r="O78" s="517">
        <v>90</v>
      </c>
      <c r="P78" s="530">
        <f>+'13-GESTIÓN JURÍDICA'!F19</f>
        <v>1</v>
      </c>
      <c r="Q78" s="530">
        <f>+'13-GESTIÓN JURÍDICA'!G19</f>
        <v>1</v>
      </c>
      <c r="R78" s="534" t="str">
        <f>+'13-GESTIÓN JURÍDICA'!O19</f>
        <v>Oficina Asesora Jurídica</v>
      </c>
    </row>
    <row r="79" spans="2:18" ht="39.6">
      <c r="B79" s="511">
        <f t="shared" si="14"/>
        <v>75</v>
      </c>
      <c r="C79" s="521" t="s">
        <v>803</v>
      </c>
      <c r="D79" s="519" t="s">
        <v>920</v>
      </c>
      <c r="E79" s="528" t="str">
        <f>+'13-GESTIÓN JURÍDICA'!I20</f>
        <v>Porcentaje de antecedentes disciplinarios expedidos</v>
      </c>
      <c r="F79" s="528" t="str">
        <f>+'13-GESTIÓN JURÍDICA'!J20</f>
        <v>Número de antecedentes disciplinarios expedidos / Número de antecedentes disciplinarios solicitados (x100)</v>
      </c>
      <c r="G79" s="519" t="s">
        <v>824</v>
      </c>
      <c r="H79" s="514" t="s">
        <v>790</v>
      </c>
      <c r="I79" s="515">
        <v>100</v>
      </c>
      <c r="J79" s="516" t="str">
        <f t="shared" si="11"/>
        <v>Desde (&gt;):</v>
      </c>
      <c r="K79" s="516">
        <f t="shared" si="9"/>
        <v>90</v>
      </c>
      <c r="L79" s="516" t="str">
        <f t="shared" si="12"/>
        <v>Hasta (&lt;):</v>
      </c>
      <c r="M79" s="516">
        <f t="shared" si="10"/>
        <v>100</v>
      </c>
      <c r="N79" s="516" t="str">
        <f t="shared" si="13"/>
        <v>Menor o Igual A:</v>
      </c>
      <c r="O79" s="517">
        <v>90</v>
      </c>
      <c r="P79" s="530">
        <f>+'13-GESTIÓN JURÍDICA'!F20</f>
        <v>1</v>
      </c>
      <c r="Q79" s="530">
        <f>+'13-GESTIÓN JURÍDICA'!G20</f>
        <v>1</v>
      </c>
      <c r="R79" s="534" t="str">
        <f>+'13-GESTIÓN JURÍDICA'!O20</f>
        <v>Oficina Asesora Jurídica</v>
      </c>
    </row>
    <row r="80" spans="2:18" ht="39.6">
      <c r="B80" s="511">
        <f t="shared" si="14"/>
        <v>76</v>
      </c>
      <c r="C80" s="522" t="s">
        <v>804</v>
      </c>
      <c r="D80" s="519" t="s">
        <v>911</v>
      </c>
      <c r="E80" s="527" t="str">
        <f>+'14-SERVICIO AL USUARIO'!I16</f>
        <v>Porcentaje de Percepción de los usuarios en calificación excelente y bueno incrementado</v>
      </c>
      <c r="F80" s="527" t="str">
        <f>+'14-SERVICIO AL USUARIO'!J16</f>
        <v>(Número total de encuestas con calificación excelente y bueno/Número total de encuestras registradas)*100</v>
      </c>
      <c r="G80" s="519" t="s">
        <v>824</v>
      </c>
      <c r="H80" s="514" t="s">
        <v>795</v>
      </c>
      <c r="I80" s="515">
        <v>90</v>
      </c>
      <c r="J80" s="516" t="str">
        <f t="shared" si="11"/>
        <v>Desde (&gt;=):</v>
      </c>
      <c r="K80" s="516">
        <f t="shared" si="9"/>
        <v>70</v>
      </c>
      <c r="L80" s="516" t="str">
        <f t="shared" si="12"/>
        <v>Hasta (&lt;=):</v>
      </c>
      <c r="M80" s="516">
        <f t="shared" si="10"/>
        <v>90</v>
      </c>
      <c r="N80" s="516" t="str">
        <f t="shared" si="13"/>
        <v>Menor A:</v>
      </c>
      <c r="O80" s="517">
        <v>70</v>
      </c>
      <c r="P80" s="530">
        <f>+'14-SERVICIO AL USUARIO'!F16</f>
        <v>0.9</v>
      </c>
      <c r="Q80" s="530">
        <f>+'14-SERVICIO AL USUARIO'!G16</f>
        <v>0.9</v>
      </c>
      <c r="R80" s="534" t="str">
        <f>+'14-SERVICIO AL USUARIO'!O16</f>
        <v>Secretaría General</v>
      </c>
    </row>
    <row r="81" spans="2:18" ht="24.6" customHeight="1">
      <c r="B81" s="511">
        <f t="shared" si="14"/>
        <v>77</v>
      </c>
      <c r="C81" s="522" t="s">
        <v>804</v>
      </c>
      <c r="D81" s="519" t="s">
        <v>921</v>
      </c>
      <c r="E81" s="527" t="str">
        <f>+'14-SERVICIO AL USUARIO'!I17</f>
        <v>Lineamientos implementados</v>
      </c>
      <c r="F81" s="527" t="str">
        <f>+'14-SERVICIO AL USUARIO'!J17</f>
        <v>Número de lineamientos implementados en el periodo</v>
      </c>
      <c r="G81" s="519" t="s">
        <v>824</v>
      </c>
      <c r="H81" s="514" t="s">
        <v>795</v>
      </c>
      <c r="I81" s="515">
        <v>90</v>
      </c>
      <c r="J81" s="516" t="str">
        <f t="shared" si="11"/>
        <v>Desde (&gt;=):</v>
      </c>
      <c r="K81" s="516">
        <f t="shared" si="9"/>
        <v>70</v>
      </c>
      <c r="L81" s="516" t="str">
        <f t="shared" si="12"/>
        <v>Hasta (&lt;=):</v>
      </c>
      <c r="M81" s="516">
        <f t="shared" si="10"/>
        <v>90</v>
      </c>
      <c r="N81" s="516" t="str">
        <f t="shared" si="13"/>
        <v>Menor A:</v>
      </c>
      <c r="O81" s="517">
        <v>70</v>
      </c>
      <c r="P81" s="511">
        <f>+'14-SERVICIO AL USUARIO'!F17</f>
        <v>7</v>
      </c>
      <c r="Q81" s="511">
        <f>+'14-SERVICIO AL USUARIO'!G17</f>
        <v>2</v>
      </c>
      <c r="R81" s="534" t="str">
        <f>+'14-SERVICIO AL USUARIO'!O17</f>
        <v>Secretaría General</v>
      </c>
    </row>
    <row r="82" spans="2:18" ht="31.2" customHeight="1">
      <c r="B82" s="511">
        <f t="shared" si="14"/>
        <v>78</v>
      </c>
      <c r="C82" s="522" t="s">
        <v>804</v>
      </c>
      <c r="D82" s="519" t="s">
        <v>922</v>
      </c>
      <c r="E82" s="527" t="str">
        <f>+'14-SERVICIO AL USUARIO'!I18</f>
        <v>Acuerdos interinstitucionales gestionados</v>
      </c>
      <c r="F82" s="527" t="str">
        <f>+'14-SERVICIO AL USUARIO'!J18</f>
        <v>Número de acuerdos interinstitucionales gestionados en el periodo</v>
      </c>
      <c r="G82" s="519" t="s">
        <v>824</v>
      </c>
      <c r="H82" s="514" t="s">
        <v>795</v>
      </c>
      <c r="I82" s="515">
        <v>90</v>
      </c>
      <c r="J82" s="516" t="str">
        <f t="shared" si="11"/>
        <v>Desde (&gt;=):</v>
      </c>
      <c r="K82" s="516">
        <f t="shared" si="9"/>
        <v>70</v>
      </c>
      <c r="L82" s="516" t="str">
        <f t="shared" si="12"/>
        <v>Hasta (&lt;=):</v>
      </c>
      <c r="M82" s="516">
        <f t="shared" si="10"/>
        <v>90</v>
      </c>
      <c r="N82" s="516" t="str">
        <f t="shared" si="13"/>
        <v>Menor A:</v>
      </c>
      <c r="O82" s="517">
        <v>70</v>
      </c>
      <c r="P82" s="511">
        <f>+'14-SERVICIO AL USUARIO'!F18</f>
        <v>3</v>
      </c>
      <c r="Q82" s="511">
        <f>+'14-SERVICIO AL USUARIO'!G18</f>
        <v>1</v>
      </c>
      <c r="R82" s="534" t="str">
        <f>+'14-SERVICIO AL USUARIO'!O18</f>
        <v>Secretaría General</v>
      </c>
    </row>
    <row r="83" spans="2:18" ht="35.4" customHeight="1">
      <c r="B83" s="511">
        <f t="shared" si="14"/>
        <v>79</v>
      </c>
      <c r="C83" s="521" t="s">
        <v>805</v>
      </c>
      <c r="D83" s="519" t="s">
        <v>915</v>
      </c>
      <c r="E83" s="523" t="str">
        <f>+'15-CTRL DISCIPLINARIO INTERNO'!I16</f>
        <v>Medidas de preservación del orden interno emitidas</v>
      </c>
      <c r="F83" s="523" t="str">
        <f>+'15-CTRL DISCIPLINARIO INTERNO'!J16</f>
        <v>Número de medidas de preservación del orden interno emitidas</v>
      </c>
      <c r="G83" s="519" t="s">
        <v>824</v>
      </c>
      <c r="H83" s="514" t="s">
        <v>790</v>
      </c>
      <c r="I83" s="515">
        <v>100</v>
      </c>
      <c r="J83" s="516" t="str">
        <f t="shared" si="11"/>
        <v>Desde (&gt;):</v>
      </c>
      <c r="K83" s="516">
        <f t="shared" si="9"/>
        <v>79</v>
      </c>
      <c r="L83" s="516" t="str">
        <f t="shared" si="12"/>
        <v>Hasta (&lt;):</v>
      </c>
      <c r="M83" s="516">
        <f t="shared" si="10"/>
        <v>100</v>
      </c>
      <c r="N83" s="516" t="str">
        <f t="shared" si="13"/>
        <v>Menor o Igual A:</v>
      </c>
      <c r="O83" s="517">
        <v>79</v>
      </c>
      <c r="P83" s="511">
        <f>+'15-CTRL DISCIPLINARIO INTERNO'!F16</f>
        <v>96</v>
      </c>
      <c r="Q83" s="511">
        <f>+'15-CTRL DISCIPLINARIO INTERNO'!G16</f>
        <v>24</v>
      </c>
      <c r="R83" s="534" t="str">
        <f>+'15-CTRL DISCIPLINARIO INTERNO'!O16</f>
        <v>Oficina Control Interno Disciplinario</v>
      </c>
    </row>
    <row r="84" spans="2:18">
      <c r="B84" s="511">
        <f t="shared" si="14"/>
        <v>80</v>
      </c>
      <c r="C84" s="521" t="s">
        <v>805</v>
      </c>
      <c r="D84" s="519" t="s">
        <v>923</v>
      </c>
      <c r="E84" s="523" t="str">
        <f>+'15-CTRL DISCIPLINARIO INTERNO'!I17</f>
        <v>Jornadas de sensibilización realizadas</v>
      </c>
      <c r="F84" s="523" t="str">
        <f>+'15-CTRL DISCIPLINARIO INTERNO'!J17</f>
        <v>Número de jornadas de sensibilización realizadas</v>
      </c>
      <c r="G84" s="519" t="s">
        <v>824</v>
      </c>
      <c r="H84" s="514" t="s">
        <v>790</v>
      </c>
      <c r="I84" s="515">
        <v>100</v>
      </c>
      <c r="J84" s="516" t="str">
        <f t="shared" si="11"/>
        <v>Desde (&gt;):</v>
      </c>
      <c r="K84" s="516">
        <f t="shared" si="9"/>
        <v>99</v>
      </c>
      <c r="L84" s="516" t="str">
        <f t="shared" si="12"/>
        <v>Hasta (&lt;):</v>
      </c>
      <c r="M84" s="516">
        <f t="shared" si="10"/>
        <v>100</v>
      </c>
      <c r="N84" s="516" t="str">
        <f t="shared" si="13"/>
        <v>Menor o Igual A:</v>
      </c>
      <c r="O84" s="517">
        <v>99</v>
      </c>
      <c r="P84" s="511">
        <f>+'15-CTRL DISCIPLINARIO INTERNO'!F17</f>
        <v>7</v>
      </c>
      <c r="Q84" s="511">
        <f>+'15-CTRL DISCIPLINARIO INTERNO'!G17</f>
        <v>2</v>
      </c>
      <c r="R84" s="534" t="str">
        <f>+'15-CTRL DISCIPLINARIO INTERNO'!O17</f>
        <v>Oficina Control Interno Disciplinario</v>
      </c>
    </row>
    <row r="85" spans="2:18" ht="26.4">
      <c r="B85" s="511">
        <f t="shared" si="14"/>
        <v>81</v>
      </c>
      <c r="C85" s="521" t="s">
        <v>805</v>
      </c>
      <c r="D85" s="519" t="s">
        <v>924</v>
      </c>
      <c r="E85" s="523" t="str">
        <f>+'15-CTRL DISCIPLINARIO INTERNO'!I18</f>
        <v>Procesos disciplinarios con decisión de fondo proferida</v>
      </c>
      <c r="F85" s="523" t="str">
        <f>+'15-CTRL DISCIPLINARIO INTERNO'!J18</f>
        <v>Número de procesos disciplinarios con decisión de fondo proferidos</v>
      </c>
      <c r="G85" s="519" t="s">
        <v>824</v>
      </c>
      <c r="H85" s="514" t="s">
        <v>790</v>
      </c>
      <c r="I85" s="515">
        <v>100</v>
      </c>
      <c r="J85" s="516" t="str">
        <f t="shared" si="11"/>
        <v>Desde (&gt;):</v>
      </c>
      <c r="K85" s="516">
        <f t="shared" si="9"/>
        <v>70</v>
      </c>
      <c r="L85" s="516" t="str">
        <f t="shared" si="12"/>
        <v>Hasta (&lt;):</v>
      </c>
      <c r="M85" s="516">
        <f t="shared" si="10"/>
        <v>100</v>
      </c>
      <c r="N85" s="516" t="str">
        <f t="shared" si="13"/>
        <v>Menor o Igual A:</v>
      </c>
      <c r="O85" s="517">
        <v>70</v>
      </c>
      <c r="P85" s="511">
        <f>+'15-CTRL DISCIPLINARIO INTERNO'!F18</f>
        <v>400</v>
      </c>
      <c r="Q85" s="511">
        <f>+'15-CTRL DISCIPLINARIO INTERNO'!G18</f>
        <v>100</v>
      </c>
      <c r="R85" s="534" t="str">
        <f>+'15-CTRL DISCIPLINARIO INTERNO'!O18</f>
        <v>Oficina Control Interno Disciplinario</v>
      </c>
    </row>
    <row r="86" spans="2:18" ht="36" customHeight="1">
      <c r="B86" s="511">
        <f t="shared" si="14"/>
        <v>82</v>
      </c>
      <c r="C86" s="522" t="s">
        <v>806</v>
      </c>
      <c r="D86" s="519" t="s">
        <v>916</v>
      </c>
      <c r="E86" s="523" t="str">
        <f>+'16-EVALUACIÓN Y SEGUIMIENTO'!I16</f>
        <v>Programa anual de auditorías ejecutado.</v>
      </c>
      <c r="F86" s="523" t="str">
        <f>+'16-EVALUACIÓN Y SEGUIMIENTO'!J16</f>
        <v>Grado del avance del Programa Anual de Auditoría</v>
      </c>
      <c r="G86" s="519" t="s">
        <v>824</v>
      </c>
      <c r="H86" s="514" t="s">
        <v>790</v>
      </c>
      <c r="I86" s="515">
        <v>90</v>
      </c>
      <c r="J86" s="516" t="str">
        <f t="shared" si="11"/>
        <v>Desde (&gt;):</v>
      </c>
      <c r="K86" s="516">
        <f t="shared" si="9"/>
        <v>69</v>
      </c>
      <c r="L86" s="516" t="str">
        <f t="shared" si="12"/>
        <v>Hasta (&lt;):</v>
      </c>
      <c r="M86" s="516">
        <f t="shared" si="10"/>
        <v>90</v>
      </c>
      <c r="N86" s="516" t="str">
        <f t="shared" si="13"/>
        <v>Menor o Igual A:</v>
      </c>
      <c r="O86" s="517">
        <v>69</v>
      </c>
      <c r="P86" s="511">
        <f>+'16-EVALUACIÓN Y SEGUIMIENTO'!F16</f>
        <v>4</v>
      </c>
      <c r="Q86" s="511">
        <f>+'16-EVALUACIÓN Y SEGUIMIENTO'!G16</f>
        <v>1</v>
      </c>
      <c r="R86" s="534" t="str">
        <f>+'16-EVALUACIÓN Y SEGUIMIENTO'!O16</f>
        <v>Oficina de Control Interno</v>
      </c>
    </row>
    <row r="87" spans="2:18" ht="26.4">
      <c r="B87" s="511">
        <f t="shared" si="14"/>
        <v>83</v>
      </c>
      <c r="C87" s="522" t="s">
        <v>806</v>
      </c>
      <c r="D87" s="519" t="s">
        <v>925</v>
      </c>
      <c r="E87" s="523" t="str">
        <f>+'16-EVALUACIÓN Y SEGUIMIENTO'!I17</f>
        <v>Estrategia de Sensibilización acerca de la Cultura del Control realizada</v>
      </c>
      <c r="F87" s="523" t="str">
        <f>+'16-EVALUACIÓN Y SEGUIMIENTO'!J17</f>
        <v>Número de estratégias de sensibilización acerca de la cultura del control desarrolladas</v>
      </c>
      <c r="G87" s="519" t="s">
        <v>824</v>
      </c>
      <c r="H87" s="514" t="s">
        <v>790</v>
      </c>
      <c r="I87" s="515">
        <v>90</v>
      </c>
      <c r="J87" s="516" t="str">
        <f t="shared" si="11"/>
        <v>Desde (&gt;):</v>
      </c>
      <c r="K87" s="516">
        <f t="shared" si="9"/>
        <v>69</v>
      </c>
      <c r="L87" s="516" t="str">
        <f t="shared" si="12"/>
        <v>Hasta (&lt;):</v>
      </c>
      <c r="M87" s="516">
        <f t="shared" si="10"/>
        <v>90</v>
      </c>
      <c r="N87" s="516" t="str">
        <f t="shared" si="13"/>
        <v>Menor o Igual A:</v>
      </c>
      <c r="O87" s="517">
        <v>69</v>
      </c>
      <c r="P87" s="511">
        <f>+'16-EVALUACIÓN Y SEGUIMIENTO'!F17</f>
        <v>4</v>
      </c>
      <c r="Q87" s="511">
        <f>+'16-EVALUACIÓN Y SEGUIMIENTO'!G17</f>
        <v>1</v>
      </c>
      <c r="R87" s="534" t="str">
        <f>+'16-EVALUACIÓN Y SEGUIMIENTO'!O17</f>
        <v>Oficina de Control Interno</v>
      </c>
    </row>
    <row r="88" spans="2:18" ht="39.6">
      <c r="B88" s="511">
        <f t="shared" si="14"/>
        <v>84</v>
      </c>
      <c r="C88" s="522" t="s">
        <v>806</v>
      </c>
      <c r="D88" s="519" t="s">
        <v>926</v>
      </c>
      <c r="E88" s="523" t="str">
        <f>+'16-EVALUACIÓN Y SEGUIMIENTO'!I18</f>
        <v>Sensibilización a Directivos y Referentes de Gestión sobre la Séptima Dimensión del MIPG realizada</v>
      </c>
      <c r="F88" s="523" t="str">
        <f>+'16-EVALUACIÓN Y SEGUIMIENTO'!J18</f>
        <v>Número de jornadas de Sensibilización realizadas</v>
      </c>
      <c r="G88" s="519" t="s">
        <v>824</v>
      </c>
      <c r="H88" s="514" t="s">
        <v>790</v>
      </c>
      <c r="I88" s="515">
        <v>90</v>
      </c>
      <c r="J88" s="516" t="str">
        <f t="shared" si="11"/>
        <v>Desde (&gt;):</v>
      </c>
      <c r="K88" s="516">
        <f t="shared" si="9"/>
        <v>69</v>
      </c>
      <c r="L88" s="516" t="str">
        <f t="shared" si="12"/>
        <v>Hasta (&lt;):</v>
      </c>
      <c r="M88" s="516">
        <f t="shared" si="10"/>
        <v>90</v>
      </c>
      <c r="N88" s="516" t="str">
        <f t="shared" si="13"/>
        <v>Menor o Igual A:</v>
      </c>
      <c r="O88" s="517">
        <v>69</v>
      </c>
      <c r="P88" s="511">
        <f>+'16-EVALUACIÓN Y SEGUIMIENTO'!F18</f>
        <v>4</v>
      </c>
      <c r="Q88" s="511">
        <f>+'16-EVALUACIÓN Y SEGUIMIENTO'!G18</f>
        <v>1</v>
      </c>
      <c r="R88" s="534" t="str">
        <f>+'16-EVALUACIÓN Y SEGUIMIENTO'!O18</f>
        <v>Oficina de Control Interno</v>
      </c>
    </row>
    <row r="89" spans="2:18">
      <c r="B89" s="511">
        <f t="shared" ref="B89:B103" si="15">1+B88</f>
        <v>85</v>
      </c>
      <c r="C89" s="538"/>
      <c r="D89" s="511"/>
      <c r="E89" s="523"/>
      <c r="F89" s="523"/>
      <c r="G89" s="519"/>
      <c r="H89" s="514"/>
      <c r="I89" s="515"/>
      <c r="J89" s="516" t="str">
        <f t="shared" si="11"/>
        <v/>
      </c>
      <c r="K89" s="516" t="str">
        <f t="shared" si="9"/>
        <v>No Aplica</v>
      </c>
      <c r="L89" s="516" t="str">
        <f t="shared" si="12"/>
        <v/>
      </c>
      <c r="M89" s="516" t="str">
        <f t="shared" si="10"/>
        <v>No Aplica</v>
      </c>
      <c r="N89" s="516" t="str">
        <f t="shared" si="13"/>
        <v/>
      </c>
      <c r="O89" s="517"/>
      <c r="P89" s="511"/>
      <c r="Q89" s="511"/>
      <c r="R89" s="534"/>
    </row>
    <row r="90" spans="2:18">
      <c r="B90" s="511">
        <f t="shared" si="15"/>
        <v>86</v>
      </c>
      <c r="C90" s="538"/>
      <c r="D90" s="511"/>
      <c r="E90" s="523"/>
      <c r="F90" s="523"/>
      <c r="G90" s="519"/>
      <c r="H90" s="514"/>
      <c r="I90" s="515"/>
      <c r="J90" s="516" t="str">
        <f t="shared" si="11"/>
        <v/>
      </c>
      <c r="K90" s="516" t="str">
        <f t="shared" si="9"/>
        <v>No Aplica</v>
      </c>
      <c r="L90" s="516" t="str">
        <f t="shared" si="12"/>
        <v/>
      </c>
      <c r="M90" s="516" t="str">
        <f t="shared" si="10"/>
        <v>No Aplica</v>
      </c>
      <c r="N90" s="516" t="str">
        <f t="shared" si="13"/>
        <v/>
      </c>
      <c r="O90" s="517"/>
      <c r="P90" s="511"/>
      <c r="Q90" s="511"/>
      <c r="R90" s="534"/>
    </row>
    <row r="91" spans="2:18">
      <c r="B91" s="511">
        <f t="shared" si="15"/>
        <v>87</v>
      </c>
      <c r="C91" s="538"/>
      <c r="D91" s="511"/>
      <c r="E91" s="523"/>
      <c r="F91" s="523"/>
      <c r="G91" s="519"/>
      <c r="H91" s="514"/>
      <c r="I91" s="515"/>
      <c r="J91" s="516" t="str">
        <f t="shared" si="11"/>
        <v/>
      </c>
      <c r="K91" s="516" t="str">
        <f t="shared" si="9"/>
        <v>No Aplica</v>
      </c>
      <c r="L91" s="516" t="str">
        <f t="shared" si="12"/>
        <v/>
      </c>
      <c r="M91" s="516" t="str">
        <f t="shared" si="10"/>
        <v>No Aplica</v>
      </c>
      <c r="N91" s="516" t="str">
        <f t="shared" si="13"/>
        <v/>
      </c>
      <c r="O91" s="517"/>
      <c r="P91" s="511"/>
      <c r="Q91" s="511"/>
      <c r="R91" s="534"/>
    </row>
    <row r="92" spans="2:18" hidden="1">
      <c r="B92" s="511">
        <f t="shared" si="15"/>
        <v>88</v>
      </c>
      <c r="C92" s="538"/>
      <c r="D92" s="511"/>
      <c r="E92" s="523"/>
      <c r="F92" s="523"/>
      <c r="G92" s="519"/>
      <c r="H92" s="514"/>
      <c r="I92" s="515"/>
      <c r="J92" s="516" t="str">
        <f t="shared" si="11"/>
        <v/>
      </c>
      <c r="K92" s="516" t="str">
        <f t="shared" si="9"/>
        <v>No Aplica</v>
      </c>
      <c r="L92" s="516" t="str">
        <f t="shared" si="12"/>
        <v/>
      </c>
      <c r="M92" s="516" t="str">
        <f t="shared" si="10"/>
        <v>No Aplica</v>
      </c>
      <c r="N92" s="516" t="str">
        <f t="shared" si="13"/>
        <v/>
      </c>
      <c r="O92" s="517"/>
      <c r="P92" s="511"/>
      <c r="Q92" s="511"/>
      <c r="R92" s="534"/>
    </row>
    <row r="93" spans="2:18" hidden="1">
      <c r="B93" s="511">
        <f t="shared" si="15"/>
        <v>89</v>
      </c>
      <c r="C93" s="538"/>
      <c r="D93" s="511"/>
      <c r="E93" s="523"/>
      <c r="F93" s="523"/>
      <c r="G93" s="519"/>
      <c r="H93" s="514"/>
      <c r="I93" s="515"/>
      <c r="J93" s="516" t="str">
        <f t="shared" si="11"/>
        <v/>
      </c>
      <c r="K93" s="516" t="str">
        <f t="shared" si="9"/>
        <v>No Aplica</v>
      </c>
      <c r="L93" s="516" t="str">
        <f t="shared" si="12"/>
        <v/>
      </c>
      <c r="M93" s="516" t="str">
        <f t="shared" si="10"/>
        <v>No Aplica</v>
      </c>
      <c r="N93" s="516" t="str">
        <f t="shared" si="13"/>
        <v/>
      </c>
      <c r="O93" s="517"/>
      <c r="P93" s="511"/>
      <c r="Q93" s="511"/>
      <c r="R93" s="534"/>
    </row>
    <row r="94" spans="2:18" hidden="1">
      <c r="B94" s="511">
        <f t="shared" si="15"/>
        <v>90</v>
      </c>
      <c r="C94" s="523"/>
      <c r="D94" s="511"/>
      <c r="E94" s="523"/>
      <c r="F94" s="523"/>
      <c r="G94" s="511"/>
      <c r="H94" s="514"/>
      <c r="I94" s="515"/>
      <c r="J94" s="516" t="str">
        <f t="shared" si="11"/>
        <v/>
      </c>
      <c r="K94" s="516" t="str">
        <f t="shared" si="9"/>
        <v>No Aplica</v>
      </c>
      <c r="L94" s="516" t="str">
        <f t="shared" si="12"/>
        <v/>
      </c>
      <c r="M94" s="516" t="str">
        <f t="shared" si="10"/>
        <v>No Aplica</v>
      </c>
      <c r="N94" s="516" t="str">
        <f t="shared" si="13"/>
        <v/>
      </c>
      <c r="O94" s="517"/>
      <c r="P94" s="511"/>
      <c r="Q94" s="511"/>
      <c r="R94" s="534"/>
    </row>
    <row r="95" spans="2:18" hidden="1">
      <c r="B95" s="511">
        <f t="shared" si="15"/>
        <v>91</v>
      </c>
      <c r="C95" s="523"/>
      <c r="D95" s="511"/>
      <c r="E95" s="523"/>
      <c r="F95" s="523"/>
      <c r="G95" s="511"/>
      <c r="H95" s="514"/>
      <c r="I95" s="515"/>
      <c r="J95" s="516" t="str">
        <f t="shared" si="11"/>
        <v/>
      </c>
      <c r="K95" s="516" t="str">
        <f t="shared" si="9"/>
        <v>No Aplica</v>
      </c>
      <c r="L95" s="516" t="str">
        <f t="shared" si="12"/>
        <v/>
      </c>
      <c r="M95" s="516" t="str">
        <f t="shared" si="10"/>
        <v>No Aplica</v>
      </c>
      <c r="N95" s="516" t="str">
        <f t="shared" si="13"/>
        <v/>
      </c>
      <c r="O95" s="517"/>
      <c r="P95" s="511"/>
      <c r="Q95" s="511"/>
      <c r="R95" s="534"/>
    </row>
    <row r="96" spans="2:18" hidden="1">
      <c r="B96" s="511">
        <f t="shared" si="15"/>
        <v>92</v>
      </c>
      <c r="C96" s="523"/>
      <c r="D96" s="511"/>
      <c r="E96" s="523"/>
      <c r="F96" s="523"/>
      <c r="G96" s="511"/>
      <c r="H96" s="514"/>
      <c r="I96" s="515"/>
      <c r="J96" s="516" t="str">
        <f t="shared" si="11"/>
        <v/>
      </c>
      <c r="K96" s="516" t="str">
        <f t="shared" si="9"/>
        <v>No Aplica</v>
      </c>
      <c r="L96" s="516" t="str">
        <f t="shared" si="12"/>
        <v/>
      </c>
      <c r="M96" s="516" t="str">
        <f t="shared" si="10"/>
        <v>No Aplica</v>
      </c>
      <c r="N96" s="516" t="str">
        <f t="shared" si="13"/>
        <v/>
      </c>
      <c r="O96" s="517"/>
      <c r="P96" s="511"/>
      <c r="Q96" s="511"/>
      <c r="R96" s="534"/>
    </row>
    <row r="97" spans="2:18" hidden="1">
      <c r="B97" s="511">
        <f t="shared" si="15"/>
        <v>93</v>
      </c>
      <c r="C97" s="523"/>
      <c r="D97" s="511"/>
      <c r="E97" s="523"/>
      <c r="F97" s="523"/>
      <c r="G97" s="511"/>
      <c r="H97" s="514"/>
      <c r="I97" s="515"/>
      <c r="J97" s="516" t="str">
        <f t="shared" si="11"/>
        <v/>
      </c>
      <c r="K97" s="516" t="str">
        <f t="shared" si="9"/>
        <v>No Aplica</v>
      </c>
      <c r="L97" s="516" t="str">
        <f t="shared" si="12"/>
        <v/>
      </c>
      <c r="M97" s="516" t="str">
        <f t="shared" si="10"/>
        <v>No Aplica</v>
      </c>
      <c r="N97" s="516" t="str">
        <f t="shared" si="13"/>
        <v/>
      </c>
      <c r="O97" s="517"/>
      <c r="P97" s="511"/>
      <c r="Q97" s="511"/>
      <c r="R97" s="534"/>
    </row>
    <row r="98" spans="2:18" hidden="1">
      <c r="B98" s="511">
        <f t="shared" si="15"/>
        <v>94</v>
      </c>
      <c r="C98" s="523"/>
      <c r="D98" s="511"/>
      <c r="E98" s="523"/>
      <c r="F98" s="523"/>
      <c r="G98" s="511"/>
      <c r="H98" s="514"/>
      <c r="I98" s="515"/>
      <c r="J98" s="516" t="str">
        <f t="shared" si="11"/>
        <v/>
      </c>
      <c r="K98" s="516" t="str">
        <f t="shared" si="9"/>
        <v>No Aplica</v>
      </c>
      <c r="L98" s="516" t="str">
        <f t="shared" si="12"/>
        <v/>
      </c>
      <c r="M98" s="516" t="str">
        <f t="shared" si="10"/>
        <v>No Aplica</v>
      </c>
      <c r="N98" s="516" t="str">
        <f t="shared" si="13"/>
        <v/>
      </c>
      <c r="O98" s="517"/>
      <c r="P98" s="511"/>
      <c r="Q98" s="511"/>
      <c r="R98" s="534"/>
    </row>
    <row r="99" spans="2:18" hidden="1">
      <c r="B99" s="511">
        <f t="shared" si="15"/>
        <v>95</v>
      </c>
      <c r="C99" s="523"/>
      <c r="D99" s="511"/>
      <c r="E99" s="523"/>
      <c r="F99" s="523"/>
      <c r="G99" s="511"/>
      <c r="H99" s="514"/>
      <c r="I99" s="515"/>
      <c r="J99" s="516" t="str">
        <f t="shared" si="11"/>
        <v/>
      </c>
      <c r="K99" s="516" t="str">
        <f t="shared" si="9"/>
        <v>No Aplica</v>
      </c>
      <c r="L99" s="516" t="str">
        <f t="shared" si="12"/>
        <v/>
      </c>
      <c r="M99" s="516" t="str">
        <f t="shared" si="10"/>
        <v>No Aplica</v>
      </c>
      <c r="N99" s="516" t="str">
        <f t="shared" si="13"/>
        <v/>
      </c>
      <c r="O99" s="517"/>
      <c r="P99" s="511"/>
      <c r="Q99" s="511"/>
      <c r="R99" s="534"/>
    </row>
    <row r="100" spans="2:18" hidden="1">
      <c r="B100" s="511">
        <f t="shared" si="15"/>
        <v>96</v>
      </c>
      <c r="C100" s="523"/>
      <c r="D100" s="511"/>
      <c r="E100" s="523"/>
      <c r="F100" s="523"/>
      <c r="G100" s="511"/>
      <c r="H100" s="514"/>
      <c r="I100" s="515"/>
      <c r="J100" s="516" t="str">
        <f t="shared" si="11"/>
        <v/>
      </c>
      <c r="K100" s="516" t="str">
        <f t="shared" si="9"/>
        <v>No Aplica</v>
      </c>
      <c r="L100" s="516" t="str">
        <f t="shared" si="12"/>
        <v/>
      </c>
      <c r="M100" s="516" t="str">
        <f t="shared" si="10"/>
        <v>No Aplica</v>
      </c>
      <c r="N100" s="516" t="str">
        <f t="shared" si="13"/>
        <v/>
      </c>
      <c r="O100" s="517"/>
      <c r="P100" s="511"/>
      <c r="Q100" s="511"/>
      <c r="R100" s="534"/>
    </row>
    <row r="101" spans="2:18" hidden="1">
      <c r="B101" s="511">
        <f t="shared" si="15"/>
        <v>97</v>
      </c>
      <c r="C101" s="523"/>
      <c r="D101" s="511"/>
      <c r="E101" s="523"/>
      <c r="F101" s="523"/>
      <c r="G101" s="511"/>
      <c r="H101" s="514"/>
      <c r="I101" s="515"/>
      <c r="J101" s="516" t="str">
        <f t="shared" si="11"/>
        <v/>
      </c>
      <c r="K101" s="516" t="str">
        <f t="shared" si="9"/>
        <v>No Aplica</v>
      </c>
      <c r="L101" s="516" t="str">
        <f t="shared" si="12"/>
        <v/>
      </c>
      <c r="M101" s="516" t="str">
        <f t="shared" si="10"/>
        <v>No Aplica</v>
      </c>
      <c r="N101" s="516" t="str">
        <f t="shared" si="13"/>
        <v/>
      </c>
      <c r="O101" s="517"/>
      <c r="P101" s="511"/>
      <c r="Q101" s="511"/>
      <c r="R101" s="534"/>
    </row>
    <row r="102" spans="2:18" hidden="1">
      <c r="B102" s="511">
        <f t="shared" si="15"/>
        <v>98</v>
      </c>
      <c r="C102" s="523"/>
      <c r="D102" s="511"/>
      <c r="E102" s="523"/>
      <c r="F102" s="523"/>
      <c r="G102" s="511"/>
      <c r="H102" s="514"/>
      <c r="I102" s="515"/>
      <c r="J102" s="516" t="str">
        <f t="shared" si="11"/>
        <v/>
      </c>
      <c r="K102" s="516" t="str">
        <f t="shared" si="9"/>
        <v>No Aplica</v>
      </c>
      <c r="L102" s="516" t="str">
        <f t="shared" si="12"/>
        <v/>
      </c>
      <c r="M102" s="516" t="str">
        <f t="shared" si="10"/>
        <v>No Aplica</v>
      </c>
      <c r="N102" s="516" t="str">
        <f t="shared" si="13"/>
        <v/>
      </c>
      <c r="O102" s="517"/>
      <c r="P102" s="511"/>
      <c r="Q102" s="511"/>
      <c r="R102" s="534"/>
    </row>
    <row r="103" spans="2:18" hidden="1">
      <c r="B103" s="511">
        <f t="shared" si="15"/>
        <v>99</v>
      </c>
      <c r="C103" s="523"/>
      <c r="D103" s="511"/>
      <c r="E103" s="513"/>
      <c r="F103" s="513"/>
      <c r="G103" s="511"/>
      <c r="H103" s="514"/>
      <c r="I103" s="515"/>
      <c r="J103" s="516" t="str">
        <f t="shared" si="11"/>
        <v/>
      </c>
      <c r="K103" s="516" t="str">
        <f t="shared" si="9"/>
        <v>No Aplica</v>
      </c>
      <c r="L103" s="516" t="str">
        <f t="shared" si="12"/>
        <v/>
      </c>
      <c r="M103" s="516" t="str">
        <f t="shared" si="10"/>
        <v>No Aplica</v>
      </c>
      <c r="N103" s="516" t="str">
        <f t="shared" si="13"/>
        <v/>
      </c>
      <c r="O103" s="517"/>
      <c r="P103" s="511"/>
      <c r="Q103" s="511"/>
      <c r="R103" s="534"/>
    </row>
    <row r="106" spans="2:18" ht="15.6">
      <c r="C106" s="874" t="s">
        <v>815</v>
      </c>
      <c r="D106" s="875" t="s">
        <v>929</v>
      </c>
      <c r="E106" s="878" t="s">
        <v>970</v>
      </c>
      <c r="F106" s="878"/>
      <c r="G106" s="878"/>
    </row>
    <row r="107" spans="2:18" ht="15.6">
      <c r="C107" s="874"/>
      <c r="D107" s="875"/>
      <c r="E107" s="641" t="s">
        <v>824</v>
      </c>
      <c r="F107" s="641" t="s">
        <v>828</v>
      </c>
      <c r="G107" s="641" t="s">
        <v>832</v>
      </c>
    </row>
    <row r="108" spans="2:18" ht="13.8">
      <c r="C108" s="656" t="s">
        <v>789</v>
      </c>
      <c r="D108" s="659">
        <f>COUNT(B5:B8)</f>
        <v>4</v>
      </c>
      <c r="E108" s="660">
        <f>COUNTIF($G5:$G8,"Eficacia")</f>
        <v>4</v>
      </c>
      <c r="F108" s="660">
        <f>COUNTIF($G5:$G8,"Eficiencia")</f>
        <v>0</v>
      </c>
      <c r="G108" s="660">
        <f>COUNTIF($G5:$G8,"Efectividad")</f>
        <v>0</v>
      </c>
    </row>
    <row r="109" spans="2:18" ht="13.8">
      <c r="C109" s="656" t="s">
        <v>791</v>
      </c>
      <c r="D109" s="659">
        <f>COUNT(B9:B11)</f>
        <v>3</v>
      </c>
      <c r="E109" s="660">
        <f>COUNTIF($G9:$G11,"Eficacia")</f>
        <v>3</v>
      </c>
      <c r="F109" s="660">
        <f>COUNTIF($G9:$G11,"Eficiencia")</f>
        <v>0</v>
      </c>
      <c r="G109" s="660">
        <f>COUNTIF($G9:$G11,"Efectividad")</f>
        <v>0</v>
      </c>
    </row>
    <row r="110" spans="2:18" ht="13.8">
      <c r="C110" s="656" t="s">
        <v>792</v>
      </c>
      <c r="D110" s="659">
        <f>COUNT(B12:B18)</f>
        <v>7</v>
      </c>
      <c r="E110" s="660">
        <f>COUNTIF($G12:$G18,"Eficacia")</f>
        <v>7</v>
      </c>
      <c r="F110" s="660">
        <f>COUNTIF($G12:$G18,"Eficiencia")</f>
        <v>0</v>
      </c>
      <c r="G110" s="660">
        <f>COUNTIF($G12:$G18,"Efectividad")</f>
        <v>0</v>
      </c>
    </row>
    <row r="111" spans="2:18" ht="13.8">
      <c r="C111" s="656" t="s">
        <v>793</v>
      </c>
      <c r="D111" s="659">
        <f>COUNT(B19:B20)</f>
        <v>2</v>
      </c>
      <c r="E111" s="660">
        <f>COUNTIF($G19:$G20,"Eficacia")</f>
        <v>2</v>
      </c>
      <c r="F111" s="660">
        <f>COUNTIF($G19:$G20,"Eficiencia")</f>
        <v>0</v>
      </c>
      <c r="G111" s="660">
        <f>COUNTIF($G19:$G20,"Efectividad")</f>
        <v>0</v>
      </c>
    </row>
    <row r="112" spans="2:18" ht="13.8">
      <c r="C112" s="656" t="s">
        <v>794</v>
      </c>
      <c r="D112" s="659">
        <f>COUNT(B21:B41)</f>
        <v>21</v>
      </c>
      <c r="E112" s="660">
        <f>COUNTIF($G17:$G37,"Eficacia")</f>
        <v>21</v>
      </c>
      <c r="F112" s="660">
        <f>COUNTIF($G17:$G37,"Eficiencia")</f>
        <v>0</v>
      </c>
      <c r="G112" s="660">
        <f>COUNTIF($G17:$G37,"Efectividad")</f>
        <v>0</v>
      </c>
    </row>
    <row r="113" spans="3:9" ht="13.8">
      <c r="C113" s="656" t="s">
        <v>931</v>
      </c>
      <c r="D113" s="659">
        <f>COUNT(B42:B48)</f>
        <v>7</v>
      </c>
      <c r="E113" s="660">
        <f>COUNTIF($G42:$G48,"Eficacia")</f>
        <v>7</v>
      </c>
      <c r="F113" s="660">
        <f>COUNTIF($G42:$G48,"Eficiencia")</f>
        <v>0</v>
      </c>
      <c r="G113" s="660">
        <f>COUNTIF($G42:$G48,"Efectividad")</f>
        <v>0</v>
      </c>
    </row>
    <row r="114" spans="3:9" ht="13.8">
      <c r="C114" s="656" t="s">
        <v>797</v>
      </c>
      <c r="D114" s="659">
        <f>COUNT(B49:B56)</f>
        <v>8</v>
      </c>
      <c r="E114" s="660">
        <f>COUNTIF($G49:$G56,"Eficacia")</f>
        <v>8</v>
      </c>
      <c r="F114" s="660">
        <f>COUNTIF($G49:$G56,"Eficiencia")</f>
        <v>0</v>
      </c>
      <c r="G114" s="660">
        <f>COUNTIF($G49:$G56,"Efectividad")</f>
        <v>0</v>
      </c>
    </row>
    <row r="115" spans="3:9" ht="13.8">
      <c r="C115" s="656" t="s">
        <v>798</v>
      </c>
      <c r="D115" s="659">
        <f>COUNT(B57:B64)</f>
        <v>8</v>
      </c>
      <c r="E115" s="660">
        <f>COUNTIF($G57:$G64,"Eficacia")</f>
        <v>7</v>
      </c>
      <c r="F115" s="660">
        <f>COUNTIF($G57:$G64,"Eficiencia")</f>
        <v>0</v>
      </c>
      <c r="G115" s="660">
        <f>COUNTIF($G57:$G64,"Efectividad")</f>
        <v>1</v>
      </c>
    </row>
    <row r="116" spans="3:9" ht="13.8">
      <c r="C116" s="656" t="s">
        <v>799</v>
      </c>
      <c r="D116" s="659">
        <f>COUNT(B65:B66)</f>
        <v>2</v>
      </c>
      <c r="E116" s="660">
        <f>COUNTIF($G65:$G66,"Eficacia")</f>
        <v>2</v>
      </c>
      <c r="F116" s="660">
        <f>COUNTIF($G65:$G66,"Eficiencia")</f>
        <v>0</v>
      </c>
      <c r="G116" s="660">
        <f>COUNTIF($G65:$G66,"Efectividad")</f>
        <v>0</v>
      </c>
    </row>
    <row r="117" spans="3:9" ht="13.8">
      <c r="C117" s="656" t="s">
        <v>800</v>
      </c>
      <c r="D117" s="659">
        <f>COUNT(B67:B69)</f>
        <v>3</v>
      </c>
      <c r="E117" s="660">
        <f>COUNTIF($G67:$G69,"Eficacia")</f>
        <v>3</v>
      </c>
      <c r="F117" s="660">
        <f>COUNTIF($G67:$G69,"Eficiencia")</f>
        <v>0</v>
      </c>
      <c r="G117" s="660">
        <f>COUNTIF($G67:$G69,"Efectividad")</f>
        <v>0</v>
      </c>
    </row>
    <row r="118" spans="3:9" ht="13.8">
      <c r="C118" s="656" t="s">
        <v>801</v>
      </c>
      <c r="D118" s="659">
        <f>COUNT(B70)</f>
        <v>1</v>
      </c>
      <c r="E118" s="660">
        <f>COUNTIF($G70,"Eficacia")</f>
        <v>1</v>
      </c>
      <c r="F118" s="660">
        <f>COUNTIF($G70,"Eficiencia")</f>
        <v>0</v>
      </c>
      <c r="G118" s="660">
        <f>COUNTIF($G70,"Efectividad")</f>
        <v>0</v>
      </c>
    </row>
    <row r="119" spans="3:9" ht="13.8">
      <c r="C119" s="656" t="s">
        <v>802</v>
      </c>
      <c r="D119" s="659">
        <f>COUNT(B71:B74)</f>
        <v>4</v>
      </c>
      <c r="E119" s="660">
        <f>COUNTIF($G71:$G74,"Eficacia")</f>
        <v>3</v>
      </c>
      <c r="F119" s="660">
        <f>COUNTIF($G71:$G74,"Eficiencia")</f>
        <v>1</v>
      </c>
      <c r="G119" s="660">
        <f>COUNTIF($G71:$G74,"Efectividad")</f>
        <v>0</v>
      </c>
    </row>
    <row r="120" spans="3:9" ht="13.8">
      <c r="C120" s="656" t="s">
        <v>803</v>
      </c>
      <c r="D120" s="659">
        <f>COUNT(B75:B79)</f>
        <v>5</v>
      </c>
      <c r="E120" s="660">
        <f>COUNTIF($G75:$G79,"Eficacia")</f>
        <v>5</v>
      </c>
      <c r="F120" s="660">
        <f>COUNTIF($G75:$G79,"Eficiencia")</f>
        <v>0</v>
      </c>
      <c r="G120" s="660">
        <f>COUNTIF($G75:$G79,"Efectividad")</f>
        <v>0</v>
      </c>
    </row>
    <row r="121" spans="3:9" ht="13.8">
      <c r="C121" s="656" t="s">
        <v>804</v>
      </c>
      <c r="D121" s="659">
        <f>COUNT(B80:B82)</f>
        <v>3</v>
      </c>
      <c r="E121" s="660">
        <f>COUNTIF($G80:$G82,"Eficacia")</f>
        <v>3</v>
      </c>
      <c r="F121" s="660">
        <f>COUNTIF($G80:$G82,"Eficiencia")</f>
        <v>0</v>
      </c>
      <c r="G121" s="660">
        <f>COUNTIF($G80:$G82,"Efectividad")</f>
        <v>0</v>
      </c>
    </row>
    <row r="122" spans="3:9" ht="13.8">
      <c r="C122" s="656" t="s">
        <v>805</v>
      </c>
      <c r="D122" s="659">
        <f>COUNT(B83:B85)</f>
        <v>3</v>
      </c>
      <c r="E122" s="660">
        <f>COUNTIF($G83:$G85,"Eficacia")</f>
        <v>3</v>
      </c>
      <c r="F122" s="660">
        <f>COUNTIF($G83:$G85,"Eficiencia")</f>
        <v>0</v>
      </c>
      <c r="G122" s="660">
        <f>COUNTIF($G83:$G85,"Efectividad")</f>
        <v>0</v>
      </c>
    </row>
    <row r="123" spans="3:9" ht="13.8">
      <c r="C123" s="656" t="s">
        <v>806</v>
      </c>
      <c r="D123" s="659">
        <f>COUNT(B86:B88)</f>
        <v>3</v>
      </c>
      <c r="E123" s="660">
        <f>COUNTIF($G86:$G88,"Eficacia")</f>
        <v>3</v>
      </c>
      <c r="F123" s="660">
        <f>COUNTIF($G86:$G88,"Eficiencia")</f>
        <v>0</v>
      </c>
      <c r="G123" s="660">
        <f>COUNTIF($G86:$G88,"Efectividad")</f>
        <v>0</v>
      </c>
    </row>
    <row r="124" spans="3:9" ht="15.6">
      <c r="C124" s="657" t="s">
        <v>977</v>
      </c>
      <c r="D124" s="658">
        <f>SUM(D108:D123)</f>
        <v>84</v>
      </c>
      <c r="E124" s="658">
        <f t="shared" ref="E124:G124" si="16">SUM(E108:E123)</f>
        <v>82</v>
      </c>
      <c r="F124" s="658">
        <f t="shared" si="16"/>
        <v>1</v>
      </c>
      <c r="G124" s="658">
        <f t="shared" si="16"/>
        <v>1</v>
      </c>
      <c r="H124" s="661"/>
      <c r="I124" s="662"/>
    </row>
  </sheetData>
  <sheetProtection algorithmName="SHA-512" hashValue="JoDm4sgXBJpU1QytQ5eMOapTU22OhvXJpRMmDzxySXV0TOI4hGjlwx1/MWr9YV04a04ek+AUmSKHWuInDxCJbQ==" saltValue="UHwps+4sEsZ6SLhNf9EJ+g==" spinCount="100000" sheet="1" objects="1" scenarios="1" formatRows="0"/>
  <mergeCells count="8">
    <mergeCell ref="C106:C107"/>
    <mergeCell ref="D106:D107"/>
    <mergeCell ref="B2:O2"/>
    <mergeCell ref="H3:O3"/>
    <mergeCell ref="H4:I4"/>
    <mergeCell ref="J4:M4"/>
    <mergeCell ref="N4:O4"/>
    <mergeCell ref="E106:G106"/>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G5:G103</xm:sqref>
        </x14:dataValidation>
        <x14:dataValidation type="list" allowBlank="1" showInputMessage="1" showErrorMessage="1" xr:uid="{A9D6115B-0421-40B7-A5F0-DD966BD3D0BC}">
          <x14:formula1>
            <xm:f>Listas1!$G$2:$G$6</xm:f>
          </x14:formula1>
          <xm:sqref>H5:H103</xm:sqref>
        </x14:dataValidation>
        <x14:dataValidation type="list" allowBlank="1" showInputMessage="1" showErrorMessage="1" xr:uid="{9CC7EAA0-D1B5-4E2A-84DE-6AD188ABC013}">
          <x14:formula1>
            <xm:f>Listas1!$A$2:$A$17</xm:f>
          </x14:formula1>
          <xm:sqref>C5:C103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92D050"/>
  </sheetPr>
  <dimension ref="B1:BH31"/>
  <sheetViews>
    <sheetView showGridLines="0" zoomScale="55" zoomScaleNormal="55" workbookViewId="0">
      <selection activeCell="D38" sqref="D38"/>
    </sheetView>
  </sheetViews>
  <sheetFormatPr baseColWidth="10" defaultColWidth="17.33203125" defaultRowHeight="15" customHeight="1"/>
  <cols>
    <col min="1" max="1" width="4.33203125" style="135" customWidth="1"/>
    <col min="2" max="2" width="58.6640625" style="133" customWidth="1"/>
    <col min="3" max="3" width="56.109375" style="133" customWidth="1"/>
    <col min="4" max="4" width="49.6640625" style="133" customWidth="1"/>
    <col min="5" max="5" width="27.5546875" style="133" customWidth="1"/>
    <col min="6" max="7" width="29.33203125" style="134" customWidth="1"/>
    <col min="8" max="8" width="36.33203125" style="133" customWidth="1"/>
    <col min="9" max="9" width="39.6640625" style="133" customWidth="1"/>
    <col min="10" max="10" width="58.44140625" style="133" customWidth="1"/>
    <col min="11" max="11" width="48.44140625" style="133" customWidth="1"/>
    <col min="12" max="13" width="28.5546875" style="133" customWidth="1"/>
    <col min="14" max="14" width="37.44140625" style="133" customWidth="1"/>
    <col min="15" max="15" width="39.33203125" style="135" customWidth="1"/>
    <col min="16" max="46" width="15.88671875" style="135" customWidth="1"/>
    <col min="47"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 customHeight="1" thickBot="1"/>
    <row r="2" spans="2:60" ht="16.5"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10" t="s">
        <v>31</v>
      </c>
      <c r="BH2" s="211"/>
    </row>
    <row r="3" spans="2:60" ht="16.5"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6.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6.5"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6.5"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ht="19.5" customHeight="1">
      <c r="B7" s="136"/>
      <c r="C7" s="136"/>
      <c r="D7" s="136"/>
      <c r="E7" s="136"/>
      <c r="F7" s="137"/>
      <c r="G7" s="137"/>
      <c r="H7" s="136"/>
      <c r="I7" s="136"/>
      <c r="J7" s="136"/>
      <c r="K7" s="136"/>
      <c r="L7" s="136"/>
      <c r="M7" s="136"/>
      <c r="N7" s="136"/>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890"/>
      <c r="AY7" s="890"/>
      <c r="AZ7" s="890"/>
      <c r="BA7" s="891"/>
      <c r="BB7" s="703"/>
      <c r="BC7" s="703"/>
      <c r="BD7" s="703"/>
      <c r="BE7" s="138"/>
      <c r="BF7" s="138"/>
    </row>
    <row r="8" spans="2:60" ht="28.5" customHeight="1">
      <c r="B8" s="216" t="s">
        <v>45</v>
      </c>
      <c r="C8" s="913" t="s">
        <v>79</v>
      </c>
      <c r="D8" s="913"/>
      <c r="E8" s="217"/>
      <c r="F8" s="217"/>
      <c r="G8" s="217"/>
      <c r="H8" s="217"/>
      <c r="I8" s="217"/>
      <c r="J8" s="217"/>
      <c r="K8" s="217"/>
      <c r="L8" s="217"/>
      <c r="M8" s="217"/>
      <c r="N8" s="217"/>
      <c r="AW8" s="703"/>
      <c r="AX8" s="703"/>
      <c r="AY8" s="703"/>
      <c r="AZ8" s="703"/>
      <c r="BA8" s="703"/>
      <c r="BB8" s="703"/>
      <c r="BC8" s="703"/>
      <c r="BD8" s="703"/>
    </row>
    <row r="9" spans="2:60" ht="98.25" customHeight="1">
      <c r="B9" s="216" t="s">
        <v>34</v>
      </c>
      <c r="C9" s="914" t="s">
        <v>417</v>
      </c>
      <c r="D9" s="915"/>
      <c r="E9" s="217"/>
      <c r="F9" s="217"/>
      <c r="G9" s="217"/>
      <c r="H9" s="217"/>
      <c r="I9" s="217"/>
      <c r="J9" s="217"/>
      <c r="K9" s="217"/>
      <c r="L9" s="217"/>
      <c r="M9" s="217"/>
      <c r="N9" s="217"/>
      <c r="AW9" s="703"/>
      <c r="AX9" s="703"/>
      <c r="AY9" s="703"/>
      <c r="AZ9" s="703"/>
      <c r="BA9" s="703"/>
      <c r="BB9" s="703"/>
      <c r="BC9" s="703"/>
      <c r="BD9" s="703"/>
    </row>
    <row r="10" spans="2:60" ht="30" customHeight="1">
      <c r="B10" s="216" t="s">
        <v>101</v>
      </c>
      <c r="C10" s="916">
        <v>2021</v>
      </c>
      <c r="D10" s="917"/>
      <c r="E10" s="217"/>
      <c r="F10" s="217"/>
      <c r="G10" s="217"/>
      <c r="H10" s="217"/>
      <c r="I10" s="217"/>
      <c r="J10" s="217"/>
      <c r="K10" s="217"/>
      <c r="L10" s="217"/>
      <c r="M10" s="217"/>
      <c r="N10" s="217"/>
      <c r="AW10" s="703"/>
      <c r="AX10" s="703"/>
      <c r="AY10" s="703"/>
      <c r="AZ10" s="703"/>
      <c r="BA10" s="703"/>
      <c r="BB10" s="703"/>
      <c r="BC10" s="703"/>
      <c r="BD10" s="703"/>
    </row>
    <row r="11" spans="2:60" ht="14.25" customHeight="1">
      <c r="B11" s="136"/>
      <c r="C11" s="136"/>
      <c r="D11" s="136"/>
      <c r="E11" s="136"/>
      <c r="F11" s="137"/>
      <c r="G11" s="137"/>
      <c r="H11" s="136"/>
      <c r="I11" s="136"/>
      <c r="J11" s="136"/>
      <c r="K11" s="136"/>
      <c r="L11" s="136"/>
      <c r="M11" s="136"/>
      <c r="N11" s="136"/>
      <c r="AV11" s="377"/>
      <c r="AW11" s="703"/>
      <c r="AX11" s="703"/>
      <c r="AY11" s="703"/>
      <c r="AZ11" s="703"/>
      <c r="BA11" s="703"/>
      <c r="BB11" s="703"/>
      <c r="BC11" s="703"/>
      <c r="BD11" s="703"/>
    </row>
    <row r="12" spans="2:60" ht="33"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21.75" customHeight="1">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21.75" customHeight="1">
      <c r="B14" s="758"/>
      <c r="C14" s="758"/>
      <c r="D14" s="920"/>
      <c r="E14" s="758"/>
      <c r="F14" s="920"/>
      <c r="G14" s="758"/>
      <c r="H14" s="758"/>
      <c r="I14" s="758"/>
      <c r="J14" s="758"/>
      <c r="K14" s="758"/>
      <c r="L14" s="758"/>
      <c r="M14" s="758"/>
      <c r="N14" s="758"/>
      <c r="O14" s="758"/>
      <c r="P14" s="879" t="s">
        <v>5</v>
      </c>
      <c r="Q14" s="879"/>
      <c r="R14" s="879" t="s">
        <v>6</v>
      </c>
      <c r="S14" s="879"/>
      <c r="T14" s="879" t="s">
        <v>7</v>
      </c>
      <c r="U14" s="879"/>
      <c r="V14" s="801" t="s">
        <v>8</v>
      </c>
      <c r="W14" s="801"/>
      <c r="X14" s="879" t="s">
        <v>27</v>
      </c>
      <c r="Y14" s="879"/>
      <c r="Z14" s="879" t="s">
        <v>9</v>
      </c>
      <c r="AA14" s="879"/>
      <c r="AB14" s="879" t="s">
        <v>10</v>
      </c>
      <c r="AC14" s="879"/>
      <c r="AD14" s="801" t="s">
        <v>8</v>
      </c>
      <c r="AE14" s="801"/>
      <c r="AF14" s="879" t="s">
        <v>11</v>
      </c>
      <c r="AG14" s="879"/>
      <c r="AH14" s="879" t="s">
        <v>12</v>
      </c>
      <c r="AI14" s="879"/>
      <c r="AJ14" s="879" t="s">
        <v>13</v>
      </c>
      <c r="AK14" s="879"/>
      <c r="AL14" s="801" t="s">
        <v>8</v>
      </c>
      <c r="AM14" s="801"/>
      <c r="AN14" s="879" t="s">
        <v>14</v>
      </c>
      <c r="AO14" s="879"/>
      <c r="AP14" s="879" t="s">
        <v>15</v>
      </c>
      <c r="AQ14" s="879"/>
      <c r="AR14" s="879" t="s">
        <v>16</v>
      </c>
      <c r="AS14" s="879"/>
      <c r="AT14" s="801" t="s">
        <v>8</v>
      </c>
      <c r="AU14" s="801"/>
      <c r="AV14" s="892"/>
      <c r="AW14" s="898"/>
      <c r="AX14" s="898"/>
      <c r="AY14" s="898"/>
      <c r="AZ14" s="898"/>
      <c r="BA14" s="887"/>
      <c r="BB14" s="887"/>
      <c r="BC14" s="887"/>
      <c r="BD14" s="887"/>
      <c r="BE14" s="881"/>
      <c r="BF14" s="881"/>
      <c r="BG14" s="881"/>
      <c r="BH14" s="881"/>
    </row>
    <row r="15" spans="2:60" ht="21.75" customHeight="1">
      <c r="B15" s="758"/>
      <c r="C15" s="758"/>
      <c r="D15" s="920"/>
      <c r="E15" s="758"/>
      <c r="F15" s="920"/>
      <c r="G15" s="758"/>
      <c r="H15" s="758"/>
      <c r="I15" s="758"/>
      <c r="J15" s="758"/>
      <c r="K15" s="758"/>
      <c r="L15" s="758"/>
      <c r="M15" s="758"/>
      <c r="N15" s="758"/>
      <c r="O15" s="758"/>
      <c r="P15" s="73" t="s">
        <v>17</v>
      </c>
      <c r="Q15" s="74" t="s">
        <v>18</v>
      </c>
      <c r="R15" s="73" t="s">
        <v>17</v>
      </c>
      <c r="S15" s="74" t="s">
        <v>18</v>
      </c>
      <c r="T15" s="73" t="s">
        <v>17</v>
      </c>
      <c r="U15" s="74" t="s">
        <v>18</v>
      </c>
      <c r="V15" s="75" t="s">
        <v>17</v>
      </c>
      <c r="W15" s="76" t="s">
        <v>18</v>
      </c>
      <c r="X15" s="73" t="s">
        <v>17</v>
      </c>
      <c r="Y15" s="74" t="s">
        <v>18</v>
      </c>
      <c r="Z15" s="73" t="s">
        <v>17</v>
      </c>
      <c r="AA15" s="74" t="s">
        <v>18</v>
      </c>
      <c r="AB15" s="73" t="s">
        <v>17</v>
      </c>
      <c r="AC15" s="74" t="s">
        <v>18</v>
      </c>
      <c r="AD15" s="75" t="s">
        <v>17</v>
      </c>
      <c r="AE15" s="76" t="s">
        <v>18</v>
      </c>
      <c r="AF15" s="73" t="s">
        <v>17</v>
      </c>
      <c r="AG15" s="74" t="s">
        <v>18</v>
      </c>
      <c r="AH15" s="73" t="s">
        <v>17</v>
      </c>
      <c r="AI15" s="74" t="s">
        <v>18</v>
      </c>
      <c r="AJ15" s="73" t="s">
        <v>17</v>
      </c>
      <c r="AK15" s="74" t="s">
        <v>18</v>
      </c>
      <c r="AL15" s="75" t="s">
        <v>17</v>
      </c>
      <c r="AM15" s="76" t="s">
        <v>18</v>
      </c>
      <c r="AN15" s="73" t="s">
        <v>17</v>
      </c>
      <c r="AO15" s="74" t="s">
        <v>18</v>
      </c>
      <c r="AP15" s="73" t="s">
        <v>17</v>
      </c>
      <c r="AQ15" s="74" t="s">
        <v>18</v>
      </c>
      <c r="AR15" s="73" t="s">
        <v>17</v>
      </c>
      <c r="AS15" s="74" t="s">
        <v>18</v>
      </c>
      <c r="AT15" s="75" t="s">
        <v>17</v>
      </c>
      <c r="AU15" s="76" t="s">
        <v>18</v>
      </c>
      <c r="AV15" s="892"/>
      <c r="AW15" s="899"/>
      <c r="AX15" s="899"/>
      <c r="AY15" s="899"/>
      <c r="AZ15" s="899"/>
      <c r="BA15" s="888"/>
      <c r="BB15" s="888"/>
      <c r="BC15" s="888"/>
      <c r="BD15" s="888"/>
      <c r="BE15" s="882"/>
      <c r="BF15" s="882"/>
      <c r="BG15" s="882"/>
      <c r="BH15" s="882"/>
    </row>
    <row r="16" spans="2:60" ht="149.25" customHeight="1">
      <c r="B16" s="92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1" t="str">
        <f>+'01-FR-03 POA INSTITUCIONAL'!C56</f>
        <v>4.2. Consolidar el 90% del Modelo Integrado de Planeación y Gestión –MIPG- y sus sistemas de gestión articulados, como compromiso con la Calidad, la Excelencia, la Responsabilidad Ambiental y la Mejora en la prestación del Servicio.</v>
      </c>
      <c r="D16" s="31" t="str">
        <f>+'01-FR-03 POA INSTITUCIONAL'!D56</f>
        <v>4.2.1 Formular e implementar el 100% de las acciones para la Sostenibilidad y mejora del Sistema de Gestión de la Calidad 
-SGC- (Meta Transversal)</v>
      </c>
      <c r="E16" s="32">
        <f>+'01-FR-03 POA INSTITUCIONAL'!E56</f>
        <v>0.2</v>
      </c>
      <c r="F16" s="344">
        <f>+'01-FR-03 POA INSTITUCIONAL'!F56</f>
        <v>1</v>
      </c>
      <c r="G16" s="161">
        <f>+'01-FR-03 POA INSTITUCIONAL'!K56</f>
        <v>1</v>
      </c>
      <c r="H16" s="33">
        <f>+'01-FR-03 POA INSTITUCIONAL'!G56</f>
        <v>1</v>
      </c>
      <c r="I16" s="33" t="str">
        <f>+'01-FR-03 POA INSTITUCIONAL'!H56</f>
        <v xml:space="preserve">Porcentaje de acciones implementadas para la sostenibilidad y mejora del SGC </v>
      </c>
      <c r="J16" s="218" t="s">
        <v>733</v>
      </c>
      <c r="K16" s="219" t="s">
        <v>408</v>
      </c>
      <c r="L16" s="220" t="s">
        <v>167</v>
      </c>
      <c r="M16" s="221" t="s">
        <v>410</v>
      </c>
      <c r="N16" s="220" t="s">
        <v>412</v>
      </c>
      <c r="O16" s="34" t="str">
        <f>+'01-FR-03 POA INSTITUCIONAL'!J56</f>
        <v>Dirección de Planeación
Aportan: Dependencias lideradas por  Responsables de procesos y operativos de todos los procesos institucionales</v>
      </c>
      <c r="P16" s="222">
        <v>0</v>
      </c>
      <c r="Q16" s="222">
        <v>0</v>
      </c>
      <c r="R16" s="222">
        <v>0.13</v>
      </c>
      <c r="S16" s="222">
        <v>0.13</v>
      </c>
      <c r="T16" s="222">
        <v>7.0000000000000007E-2</v>
      </c>
      <c r="U16" s="222">
        <v>7.0000000000000007E-2</v>
      </c>
      <c r="V16" s="65">
        <f>P16+R16+T16</f>
        <v>0.2</v>
      </c>
      <c r="W16" s="65">
        <f>Q16+S16+U16</f>
        <v>0.2</v>
      </c>
      <c r="X16" s="222">
        <v>0.06</v>
      </c>
      <c r="Y16" s="222"/>
      <c r="Z16" s="222">
        <v>0.08</v>
      </c>
      <c r="AA16" s="222"/>
      <c r="AB16" s="222">
        <v>0.08</v>
      </c>
      <c r="AC16" s="222"/>
      <c r="AD16" s="65">
        <f>X16+Z16+AB16</f>
        <v>0.22000000000000003</v>
      </c>
      <c r="AE16" s="65">
        <f>Y16+AA16+AC16</f>
        <v>0</v>
      </c>
      <c r="AF16" s="222">
        <v>0.11</v>
      </c>
      <c r="AG16" s="222"/>
      <c r="AH16" s="222">
        <v>0.09</v>
      </c>
      <c r="AI16" s="222"/>
      <c r="AJ16" s="223">
        <v>0.09</v>
      </c>
      <c r="AK16" s="223"/>
      <c r="AL16" s="65">
        <f>AF16+AH16+AJ16</f>
        <v>0.29000000000000004</v>
      </c>
      <c r="AM16" s="65">
        <f>AG16+AI16+AK16</f>
        <v>0</v>
      </c>
      <c r="AN16" s="222">
        <v>0.11</v>
      </c>
      <c r="AO16" s="222"/>
      <c r="AP16" s="222">
        <v>0.09</v>
      </c>
      <c r="AQ16" s="222"/>
      <c r="AR16" s="222">
        <v>0.09</v>
      </c>
      <c r="AS16" s="222"/>
      <c r="AT16" s="65">
        <f>AN16+AP16+AR16</f>
        <v>0.29000000000000004</v>
      </c>
      <c r="AU16" s="65">
        <f>AO16+AQ16+AS16</f>
        <v>0</v>
      </c>
      <c r="AV16" s="65">
        <f>V16+AD16+AL16+AT16</f>
        <v>1</v>
      </c>
      <c r="AW16" s="337">
        <f>+W16</f>
        <v>0.2</v>
      </c>
      <c r="AX16" s="381">
        <f>+W16+AE16</f>
        <v>0.2</v>
      </c>
      <c r="AY16" s="381">
        <f>+W16+AE16+AM16</f>
        <v>0.2</v>
      </c>
      <c r="AZ16" s="381">
        <f>+W16+AE16+AM16+AU16</f>
        <v>0.2</v>
      </c>
      <c r="BA16" s="387">
        <f>IF(AND(AW16&gt;0,$AV16&gt;0),AW16/$AV16,0)</f>
        <v>0.2</v>
      </c>
      <c r="BB16" s="388">
        <f t="shared" ref="BB16:BD16" si="0">IF(AND(AX16&gt;0,$AV16&gt;0),AX16/$AV16,0)</f>
        <v>0.2</v>
      </c>
      <c r="BC16" s="388">
        <f t="shared" si="0"/>
        <v>0.2</v>
      </c>
      <c r="BD16" s="388">
        <f t="shared" si="0"/>
        <v>0.2</v>
      </c>
      <c r="BE16" s="342">
        <f>(((IF(AND(AW16&gt;0,$F16&gt;0),AW16/$F16,0)))/4)</f>
        <v>0.05</v>
      </c>
      <c r="BF16" s="391">
        <f t="shared" ref="BF16:BH16" si="1">(((IF(AND(AX16&gt;0,$F16&gt;0),AX16/$F16,0)))/4)</f>
        <v>0.05</v>
      </c>
      <c r="BG16" s="391">
        <f t="shared" si="1"/>
        <v>0.05</v>
      </c>
      <c r="BH16" s="391">
        <f t="shared" si="1"/>
        <v>0.05</v>
      </c>
    </row>
    <row r="17" spans="2:60" ht="275.25" customHeight="1">
      <c r="B17" s="922"/>
      <c r="C17" s="922"/>
      <c r="D17" s="31" t="str">
        <f>+'01-FR-03 POA INSTITUCIONAL'!D57</f>
        <v>4.2.2 Implementar el 40% de las actividades requeridas para la sostenibilidad y mejora del MIPG, de acuerdo con la metodología establecida por la Función Pública. (Meta Transversal)</v>
      </c>
      <c r="E17" s="32">
        <f>+'01-FR-03 POA INSTITUCIONAL'!E57</f>
        <v>0.2</v>
      </c>
      <c r="F17" s="344">
        <f>+'01-FR-03 POA INSTITUCIONAL'!F57</f>
        <v>0.4</v>
      </c>
      <c r="G17" s="161">
        <f>+'01-FR-03 POA INSTITUCIONAL'!K57</f>
        <v>0.22</v>
      </c>
      <c r="H17" s="33">
        <f>+'01-FR-03 POA INSTITUCIONAL'!G57</f>
        <v>0.6</v>
      </c>
      <c r="I17" s="33" t="str">
        <f>+'01-FR-03 POA INSTITUCIONAL'!H57</f>
        <v>Porcentaje de actividades implementadas para la sostenibilidad  y mejora del MIPG</v>
      </c>
      <c r="J17" s="218" t="s">
        <v>734</v>
      </c>
      <c r="K17" s="224" t="s">
        <v>721</v>
      </c>
      <c r="L17" s="220" t="s">
        <v>409</v>
      </c>
      <c r="M17" s="221" t="s">
        <v>410</v>
      </c>
      <c r="N17" s="220" t="s">
        <v>411</v>
      </c>
      <c r="O17" s="34" t="str">
        <f>+'01-FR-03 POA INSTITUCIONAL'!J57</f>
        <v>Dirección de Planeación
Aportan: Dependencias lideradas por  Responsables de procesos y operativos de todos los procesos institucionales</v>
      </c>
      <c r="P17" s="225">
        <v>0</v>
      </c>
      <c r="Q17" s="225">
        <v>0</v>
      </c>
      <c r="R17" s="225">
        <v>0.01</v>
      </c>
      <c r="S17" s="225">
        <v>0.01</v>
      </c>
      <c r="T17" s="225">
        <v>0.02</v>
      </c>
      <c r="U17" s="225">
        <v>0.02</v>
      </c>
      <c r="V17" s="83">
        <f>P17+R17+T17</f>
        <v>0.03</v>
      </c>
      <c r="W17" s="83">
        <f>Q17+S17+U17</f>
        <v>0.03</v>
      </c>
      <c r="X17" s="225">
        <v>0.01</v>
      </c>
      <c r="Y17" s="225"/>
      <c r="Z17" s="225">
        <v>0.01</v>
      </c>
      <c r="AA17" s="225"/>
      <c r="AB17" s="225">
        <v>0.02</v>
      </c>
      <c r="AC17" s="225"/>
      <c r="AD17" s="83">
        <f>X17+Z17+AB17</f>
        <v>0.04</v>
      </c>
      <c r="AE17" s="83">
        <f>Y17+AA17+AC17</f>
        <v>0</v>
      </c>
      <c r="AF17" s="225">
        <v>0.03</v>
      </c>
      <c r="AG17" s="225"/>
      <c r="AH17" s="225">
        <v>0.01</v>
      </c>
      <c r="AI17" s="225"/>
      <c r="AJ17" s="226">
        <v>0.03</v>
      </c>
      <c r="AK17" s="226"/>
      <c r="AL17" s="83">
        <f>AF17+AH17+AJ17</f>
        <v>7.0000000000000007E-2</v>
      </c>
      <c r="AM17" s="83">
        <f>AG17+AI17+AK17</f>
        <v>0</v>
      </c>
      <c r="AN17" s="225">
        <v>0.03</v>
      </c>
      <c r="AO17" s="225"/>
      <c r="AP17" s="225">
        <v>0.04</v>
      </c>
      <c r="AQ17" s="225"/>
      <c r="AR17" s="225">
        <v>0.01</v>
      </c>
      <c r="AS17" s="225"/>
      <c r="AT17" s="83">
        <f>AN17+AP17+AR17</f>
        <v>0.08</v>
      </c>
      <c r="AU17" s="83">
        <f>AO17+AQ17+AS17</f>
        <v>0</v>
      </c>
      <c r="AV17" s="65">
        <f t="shared" ref="AV17:AV19" si="2">V17+AD17+AL17+AT17</f>
        <v>0.22000000000000003</v>
      </c>
      <c r="AW17" s="337">
        <f>+W17</f>
        <v>0.03</v>
      </c>
      <c r="AX17" s="381">
        <f>+W17+AE17</f>
        <v>0.03</v>
      </c>
      <c r="AY17" s="381">
        <f>+W17+AE17+AM17</f>
        <v>0.03</v>
      </c>
      <c r="AZ17" s="381">
        <f>+W17+AE17+AM17+AU17</f>
        <v>0.03</v>
      </c>
      <c r="BA17" s="387">
        <f t="shared" ref="BA17:BA19" si="3">IF(AND(AW17&gt;0,$AV17&gt;0),AW17/$AV17,0)</f>
        <v>0.13636363636363635</v>
      </c>
      <c r="BB17" s="388">
        <f t="shared" ref="BB17:BB19" si="4">IF(AND(AX17&gt;0,$AV17&gt;0),AX17/$AV17,0)</f>
        <v>0.13636363636363635</v>
      </c>
      <c r="BC17" s="388">
        <f t="shared" ref="BC17:BC19" si="5">IF(AND(AY17&gt;0,$AV17&gt;0),AY17/$AV17,0)</f>
        <v>0.13636363636363635</v>
      </c>
      <c r="BD17" s="388">
        <f t="shared" ref="BD17:BD19" si="6">IF(AND(AZ17&gt;0,$AV17&gt;0),AZ17/$AV17,0)</f>
        <v>0.13636363636363635</v>
      </c>
      <c r="BE17" s="342">
        <f>((IF(AND(AW17&gt;0,$F17&gt;0),AW17/$F17,0)))</f>
        <v>7.4999999999999997E-2</v>
      </c>
      <c r="BF17" s="391">
        <f t="shared" ref="BF17:BH19" si="7">((IF(AND(AX17&gt;0,$F17&gt;0),AX17/$F17,0)))</f>
        <v>7.4999999999999997E-2</v>
      </c>
      <c r="BG17" s="391">
        <f t="shared" si="7"/>
        <v>7.4999999999999997E-2</v>
      </c>
      <c r="BH17" s="391">
        <f t="shared" si="7"/>
        <v>7.4999999999999997E-2</v>
      </c>
    </row>
    <row r="18" spans="2:60" ht="75.75" customHeight="1">
      <c r="B18" s="922"/>
      <c r="C18" s="922"/>
      <c r="D18" s="31" t="str">
        <f>+'01-FR-03 POA INSTITUCIONAL'!D58</f>
        <v>4.2.3 Implementar el 100% de los requisitos del Sistema de Gestión Ambiental –SGA-, bajo los estándares de la norma ISO 14001</v>
      </c>
      <c r="E18" s="32">
        <f>+'01-FR-03 POA INSTITUCIONAL'!E58</f>
        <v>0.15</v>
      </c>
      <c r="F18" s="344">
        <f>+'01-FR-03 POA INSTITUCIONAL'!F58</f>
        <v>1</v>
      </c>
      <c r="G18" s="161">
        <f>+'01-FR-03 POA INSTITUCIONAL'!K58</f>
        <v>0.38</v>
      </c>
      <c r="H18" s="33" t="str">
        <f>+'01-FR-03 POA INSTITUCIONAL'!G58</f>
        <v>S.I.</v>
      </c>
      <c r="I18" s="33" t="str">
        <f>+'01-FR-03 POA INSTITUCIONAL'!H58</f>
        <v xml:space="preserve">Porcentaje de requisitos del  SGA implementados bajo los estándares de la norma ISO 14001 </v>
      </c>
      <c r="J18" s="218" t="s">
        <v>165</v>
      </c>
      <c r="K18" s="219" t="s">
        <v>413</v>
      </c>
      <c r="L18" s="220" t="s">
        <v>414</v>
      </c>
      <c r="M18" s="220" t="s">
        <v>410</v>
      </c>
      <c r="N18" s="220" t="s">
        <v>411</v>
      </c>
      <c r="O18" s="34" t="str">
        <f>+'01-FR-03 POA INSTITUCIONAL'!J58</f>
        <v>Dirección de Planeación</v>
      </c>
      <c r="P18" s="222">
        <v>0</v>
      </c>
      <c r="Q18" s="222">
        <v>0</v>
      </c>
      <c r="R18" s="222">
        <v>0</v>
      </c>
      <c r="S18" s="222">
        <v>0</v>
      </c>
      <c r="T18" s="222">
        <v>0.09</v>
      </c>
      <c r="U18" s="222">
        <v>0.09</v>
      </c>
      <c r="V18" s="65">
        <f t="shared" ref="V18" si="8">P18+R18+T18</f>
        <v>0.09</v>
      </c>
      <c r="W18" s="65">
        <f t="shared" ref="W18" si="9">Q18+S18+U18</f>
        <v>0.09</v>
      </c>
      <c r="X18" s="222">
        <v>0</v>
      </c>
      <c r="Y18" s="222"/>
      <c r="Z18" s="222">
        <v>0</v>
      </c>
      <c r="AA18" s="222"/>
      <c r="AB18" s="222">
        <v>0.09</v>
      </c>
      <c r="AC18" s="222"/>
      <c r="AD18" s="65">
        <f t="shared" ref="AD18" si="10">X18+Z18+AB18</f>
        <v>0.09</v>
      </c>
      <c r="AE18" s="65">
        <f t="shared" ref="AE18" si="11">Y18+AA18+AC18</f>
        <v>0</v>
      </c>
      <c r="AF18" s="222">
        <v>0</v>
      </c>
      <c r="AG18" s="222"/>
      <c r="AH18" s="222">
        <v>0</v>
      </c>
      <c r="AI18" s="222"/>
      <c r="AJ18" s="223">
        <v>0.11</v>
      </c>
      <c r="AK18" s="223"/>
      <c r="AL18" s="65">
        <f t="shared" ref="AL18" si="12">AF18+AH18+AJ18</f>
        <v>0.11</v>
      </c>
      <c r="AM18" s="65">
        <f t="shared" ref="AM18" si="13">AG18+AI18+AK18</f>
        <v>0</v>
      </c>
      <c r="AN18" s="222">
        <v>0</v>
      </c>
      <c r="AO18" s="222"/>
      <c r="AP18" s="222">
        <v>0</v>
      </c>
      <c r="AQ18" s="222"/>
      <c r="AR18" s="222">
        <v>0.09</v>
      </c>
      <c r="AS18" s="222"/>
      <c r="AT18" s="65">
        <f t="shared" ref="AT18" si="14">AN18+AP18+AR18</f>
        <v>0.09</v>
      </c>
      <c r="AU18" s="65">
        <f t="shared" ref="AU18" si="15">AO18+AQ18+AS18</f>
        <v>0</v>
      </c>
      <c r="AV18" s="65">
        <f t="shared" si="2"/>
        <v>0.38</v>
      </c>
      <c r="AW18" s="337">
        <f>+W18</f>
        <v>0.09</v>
      </c>
      <c r="AX18" s="381">
        <f>+W18+AE18</f>
        <v>0.09</v>
      </c>
      <c r="AY18" s="381">
        <f>+W18+AE18+AM18</f>
        <v>0.09</v>
      </c>
      <c r="AZ18" s="381">
        <f>+W18+AE18+AM18+AU18</f>
        <v>0.09</v>
      </c>
      <c r="BA18" s="387">
        <f t="shared" si="3"/>
        <v>0.23684210526315788</v>
      </c>
      <c r="BB18" s="388">
        <f t="shared" si="4"/>
        <v>0.23684210526315788</v>
      </c>
      <c r="BC18" s="388">
        <f t="shared" si="5"/>
        <v>0.23684210526315788</v>
      </c>
      <c r="BD18" s="388">
        <f t="shared" si="6"/>
        <v>0.23684210526315788</v>
      </c>
      <c r="BE18" s="342">
        <f>((IF(AND(AW18&gt;0,$F18&gt;0),AW18/$F18,0)))</f>
        <v>0.09</v>
      </c>
      <c r="BF18" s="391">
        <f t="shared" si="7"/>
        <v>0.09</v>
      </c>
      <c r="BG18" s="391">
        <f t="shared" si="7"/>
        <v>0.09</v>
      </c>
      <c r="BH18" s="391">
        <f t="shared" si="7"/>
        <v>0.09</v>
      </c>
    </row>
    <row r="19" spans="2:60" ht="75.75" customHeight="1">
      <c r="B19" s="922"/>
      <c r="C19" s="922"/>
      <c r="D19" s="31" t="str">
        <f>+'01-FR-03 POA INSTITUCIONAL'!D59</f>
        <v>4.2.4 Realizar 12 acciones de monitoreo y revisión  al Plan Anticorrupción y de Atención al Ciudadano -PAAC- de la vigencia.</v>
      </c>
      <c r="E19" s="32">
        <f>+'01-FR-03 POA INSTITUCIONAL'!E59</f>
        <v>0.1</v>
      </c>
      <c r="F19" s="20">
        <f>+'01-FR-03 POA INSTITUCIONAL'!F59</f>
        <v>12</v>
      </c>
      <c r="G19" s="174">
        <f>+'01-FR-03 POA INSTITUCIONAL'!K59</f>
        <v>3</v>
      </c>
      <c r="H19" s="33" t="str">
        <f>+'01-FR-03 POA INSTITUCIONAL'!G59</f>
        <v>3 
(En el último año)</v>
      </c>
      <c r="I19" s="33" t="str">
        <f>+'01-FR-03 POA INSTITUCIONAL'!H59</f>
        <v>Acciones de monitoreo y revisión realizadas al PAAC</v>
      </c>
      <c r="J19" s="218" t="s">
        <v>735</v>
      </c>
      <c r="K19" s="219" t="s">
        <v>415</v>
      </c>
      <c r="L19" s="220" t="s">
        <v>416</v>
      </c>
      <c r="M19" s="220" t="s">
        <v>410</v>
      </c>
      <c r="N19" s="220" t="s">
        <v>411</v>
      </c>
      <c r="O19" s="34" t="str">
        <f>+'01-FR-03 POA INSTITUCIONAL'!J59</f>
        <v>Dirección de Planeación</v>
      </c>
      <c r="P19" s="227">
        <v>0</v>
      </c>
      <c r="Q19" s="227">
        <v>0</v>
      </c>
      <c r="R19" s="227">
        <v>0</v>
      </c>
      <c r="S19" s="227">
        <v>0</v>
      </c>
      <c r="T19" s="227">
        <v>1</v>
      </c>
      <c r="U19" s="227">
        <v>1</v>
      </c>
      <c r="V19" s="20">
        <f>+P19+R19+T19</f>
        <v>1</v>
      </c>
      <c r="W19" s="20">
        <f>+Q19+S19+U19</f>
        <v>1</v>
      </c>
      <c r="X19" s="227">
        <v>0</v>
      </c>
      <c r="Y19" s="227"/>
      <c r="Z19" s="227">
        <v>0</v>
      </c>
      <c r="AA19" s="227"/>
      <c r="AB19" s="227">
        <v>0</v>
      </c>
      <c r="AC19" s="227"/>
      <c r="AD19" s="20">
        <f>+X19+Z19+AB19</f>
        <v>0</v>
      </c>
      <c r="AE19" s="20">
        <f>+Y19+AA19+AC19</f>
        <v>0</v>
      </c>
      <c r="AF19" s="227">
        <v>1</v>
      </c>
      <c r="AG19" s="227"/>
      <c r="AH19" s="227">
        <v>0</v>
      </c>
      <c r="AI19" s="227"/>
      <c r="AJ19" s="228">
        <v>0</v>
      </c>
      <c r="AK19" s="228"/>
      <c r="AL19" s="20">
        <f>+AF19+AH19+AJ19</f>
        <v>1</v>
      </c>
      <c r="AM19" s="20">
        <f>+AG19+AI19+AK19</f>
        <v>0</v>
      </c>
      <c r="AN19" s="227">
        <v>0</v>
      </c>
      <c r="AO19" s="227"/>
      <c r="AP19" s="227">
        <v>1</v>
      </c>
      <c r="AQ19" s="227"/>
      <c r="AR19" s="227">
        <v>0</v>
      </c>
      <c r="AS19" s="227"/>
      <c r="AT19" s="20">
        <f>+AN19+AP19+AR19</f>
        <v>1</v>
      </c>
      <c r="AU19" s="20">
        <f>+AO19+AQ19+AS19</f>
        <v>0</v>
      </c>
      <c r="AV19" s="20">
        <f t="shared" si="2"/>
        <v>3</v>
      </c>
      <c r="AW19" s="26">
        <f>+W19</f>
        <v>1</v>
      </c>
      <c r="AX19" s="382">
        <f>+W19+AE19</f>
        <v>1</v>
      </c>
      <c r="AY19" s="382">
        <f>+W19+AE19+AM19</f>
        <v>1</v>
      </c>
      <c r="AZ19" s="382">
        <f>+W19+AE19+AM19+AU19</f>
        <v>1</v>
      </c>
      <c r="BA19" s="389">
        <f t="shared" si="3"/>
        <v>0.33333333333333331</v>
      </c>
      <c r="BB19" s="388">
        <f t="shared" si="4"/>
        <v>0.33333333333333331</v>
      </c>
      <c r="BC19" s="388">
        <f t="shared" si="5"/>
        <v>0.33333333333333331</v>
      </c>
      <c r="BD19" s="388">
        <f t="shared" si="6"/>
        <v>0.33333333333333331</v>
      </c>
      <c r="BE19" s="342">
        <f>((IF(AND(AW19&gt;0,$F19&gt;0),AW19/$F19,0)))</f>
        <v>8.3333333333333329E-2</v>
      </c>
      <c r="BF19" s="391">
        <f t="shared" si="7"/>
        <v>8.3333333333333329E-2</v>
      </c>
      <c r="BG19" s="391">
        <f t="shared" si="7"/>
        <v>8.3333333333333329E-2</v>
      </c>
      <c r="BH19" s="391">
        <f t="shared" si="7"/>
        <v>8.3333333333333329E-2</v>
      </c>
    </row>
    <row r="20" spans="2:60" ht="22.8">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6"/>
      <c r="AX20" s="918" t="s">
        <v>19</v>
      </c>
      <c r="AY20" s="919"/>
      <c r="AZ20" s="919"/>
      <c r="BA20" s="704">
        <f t="shared" ref="BA20:BD20" si="16">AVERAGE(BA16:BA19)</f>
        <v>0.22663476874003191</v>
      </c>
      <c r="BB20" s="704">
        <f t="shared" si="16"/>
        <v>0.22663476874003191</v>
      </c>
      <c r="BC20" s="704">
        <f t="shared" si="16"/>
        <v>0.22663476874003191</v>
      </c>
      <c r="BD20" s="704">
        <f t="shared" si="16"/>
        <v>0.22663476874003191</v>
      </c>
      <c r="BE20" s="934"/>
      <c r="BF20" s="935"/>
      <c r="BG20" s="935"/>
      <c r="BH20" s="936"/>
    </row>
    <row r="21" spans="2:60">
      <c r="B21" s="900" t="s">
        <v>291</v>
      </c>
      <c r="C21" s="900"/>
      <c r="D21" s="900"/>
      <c r="E21" s="900"/>
      <c r="F21" s="900"/>
      <c r="G21" s="207"/>
      <c r="H21" s="208"/>
      <c r="I21" s="208"/>
      <c r="J21" s="208"/>
      <c r="K21" s="208"/>
      <c r="L21" s="208"/>
      <c r="M21" s="208"/>
      <c r="N21" s="208"/>
    </row>
    <row r="22" spans="2:60">
      <c r="B22" s="208"/>
      <c r="C22" s="208"/>
      <c r="D22" s="929"/>
      <c r="E22" s="929"/>
      <c r="F22" s="929"/>
      <c r="G22" s="929"/>
      <c r="H22" s="929"/>
      <c r="I22" s="929"/>
      <c r="J22" s="929"/>
      <c r="K22" s="929"/>
      <c r="L22" s="929"/>
      <c r="M22" s="929"/>
      <c r="N22" s="929"/>
    </row>
    <row r="23" spans="2:60" ht="30" customHeight="1">
      <c r="B23" s="77" t="s">
        <v>26</v>
      </c>
      <c r="C23" s="80">
        <v>44224</v>
      </c>
      <c r="D23" s="232"/>
      <c r="E23" s="932" t="s">
        <v>50</v>
      </c>
      <c r="F23" s="933" t="s">
        <v>765</v>
      </c>
      <c r="G23" s="933"/>
      <c r="H23" s="933"/>
      <c r="I23" s="933"/>
      <c r="J23" s="233"/>
      <c r="K23" s="927"/>
      <c r="L23" s="927"/>
      <c r="M23" s="927"/>
      <c r="N23" s="928"/>
    </row>
    <row r="24" spans="2:60" ht="13.5" customHeight="1">
      <c r="B24" s="208"/>
      <c r="C24" s="208"/>
      <c r="D24" s="233"/>
      <c r="E24" s="932"/>
      <c r="F24" s="933"/>
      <c r="G24" s="933"/>
      <c r="H24" s="933"/>
      <c r="I24" s="933"/>
      <c r="J24" s="234"/>
      <c r="K24" s="234"/>
      <c r="L24" s="234"/>
      <c r="M24" s="234"/>
      <c r="N24" s="234"/>
    </row>
    <row r="25" spans="2:60" ht="31.5" customHeight="1">
      <c r="B25" s="77" t="s">
        <v>49</v>
      </c>
      <c r="C25" s="80"/>
      <c r="D25" s="208"/>
      <c r="E25" s="208"/>
      <c r="J25" s="234"/>
      <c r="K25" s="234"/>
      <c r="L25" s="234"/>
      <c r="M25" s="234"/>
      <c r="N25" s="234"/>
    </row>
    <row r="26" spans="2:60">
      <c r="B26" s="208"/>
      <c r="C26" s="208"/>
      <c r="D26" s="208"/>
      <c r="E26" s="208"/>
      <c r="J26" s="234"/>
      <c r="K26" s="234"/>
      <c r="L26" s="234"/>
      <c r="M26" s="234"/>
      <c r="N26" s="234"/>
    </row>
    <row r="27" spans="2:60" ht="15" customHeight="1">
      <c r="B27" s="208"/>
      <c r="C27" s="208"/>
      <c r="D27" s="208"/>
      <c r="E27" s="208"/>
      <c r="F27" s="207"/>
      <c r="G27" s="207"/>
      <c r="H27" s="926"/>
      <c r="I27" s="926"/>
      <c r="J27" s="926"/>
      <c r="K27" s="926"/>
      <c r="L27" s="702"/>
      <c r="M27" s="702"/>
      <c r="N27" s="702"/>
    </row>
    <row r="28" spans="2:60" ht="15" customHeight="1">
      <c r="B28" s="208"/>
      <c r="C28" s="208"/>
      <c r="D28" s="208"/>
      <c r="E28" s="208"/>
      <c r="F28" s="207"/>
      <c r="G28" s="207"/>
      <c r="H28" s="208"/>
      <c r="I28" s="208"/>
      <c r="J28" s="235"/>
      <c r="K28" s="208"/>
      <c r="L28" s="208"/>
      <c r="M28" s="208"/>
      <c r="N28" s="208"/>
    </row>
    <row r="29" spans="2:60" ht="15" customHeight="1">
      <c r="B29" s="208"/>
      <c r="C29" s="208"/>
      <c r="D29" s="208"/>
      <c r="E29" s="208"/>
      <c r="F29" s="207"/>
      <c r="G29" s="207"/>
      <c r="H29" s="926"/>
      <c r="I29" s="926"/>
      <c r="J29" s="926"/>
      <c r="K29" s="926"/>
      <c r="L29" s="702"/>
      <c r="M29" s="702"/>
      <c r="N29" s="702"/>
    </row>
    <row r="30" spans="2:60" ht="15" customHeight="1">
      <c r="B30" s="208"/>
      <c r="C30" s="208"/>
      <c r="D30" s="208"/>
      <c r="E30" s="208"/>
      <c r="F30" s="207"/>
      <c r="G30" s="207"/>
      <c r="H30" s="208"/>
      <c r="I30" s="208"/>
      <c r="J30" s="235"/>
      <c r="K30" s="208"/>
      <c r="L30" s="208"/>
      <c r="M30" s="208"/>
      <c r="N30" s="208"/>
    </row>
    <row r="31" spans="2:60" ht="15" customHeight="1">
      <c r="B31" s="208"/>
      <c r="C31" s="208"/>
      <c r="D31" s="208"/>
      <c r="E31" s="208"/>
      <c r="F31" s="207"/>
      <c r="G31" s="207"/>
      <c r="H31" s="926"/>
      <c r="I31" s="926"/>
      <c r="J31" s="926"/>
      <c r="K31" s="926"/>
      <c r="L31" s="702"/>
      <c r="M31" s="702"/>
      <c r="N31" s="702"/>
    </row>
  </sheetData>
  <sheetProtection algorithmName="SHA-512" hashValue="zs0TVURe2d6777fIGqZXfW/LCKRtETARNtXe9jsZEa6H89mp7BGCcdLrZX7MS7LlSWI1WABXL0ole3yg3sURZw==" saltValue="0mKphIpxzeYHmo5lvDPxxw==" spinCount="100000" sheet="1" objects="1" scenarios="1"/>
  <mergeCells count="70">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 ref="H27:K27"/>
    <mergeCell ref="H29:K29"/>
    <mergeCell ref="H31:K31"/>
    <mergeCell ref="K23:N23"/>
    <mergeCell ref="M12:M15"/>
    <mergeCell ref="D22:N22"/>
    <mergeCell ref="F12:F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BA12:BD12"/>
    <mergeCell ref="BA13:BA15"/>
    <mergeCell ref="BB13:BB15"/>
    <mergeCell ref="BC13:BC15"/>
    <mergeCell ref="BD13:BD15"/>
    <mergeCell ref="Z14:AA14"/>
    <mergeCell ref="BE13:BE15"/>
    <mergeCell ref="BF13:BF15"/>
    <mergeCell ref="BG13:BG15"/>
    <mergeCell ref="BH13:BH15"/>
    <mergeCell ref="AP14:AQ14"/>
    <mergeCell ref="AH14:AI14"/>
    <mergeCell ref="AJ14:AK14"/>
    <mergeCell ref="AL14:AM14"/>
    <mergeCell ref="AN14:AO14"/>
  </mergeCells>
  <conditionalFormatting sqref="BA16:BD19">
    <cfRule type="cellIs" dxfId="62" priority="1" operator="greaterThan">
      <formula>1</formula>
    </cfRule>
    <cfRule type="cellIs" dxfId="61" priority="14" operator="between">
      <formula>0.8</formula>
      <formula>1</formula>
    </cfRule>
    <cfRule type="cellIs" dxfId="60" priority="15" operator="between">
      <formula>0.61</formula>
      <formula>0.79</formula>
    </cfRule>
    <cfRule type="cellIs" dxfId="59"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92D050"/>
  </sheetPr>
  <dimension ref="B1:BH30"/>
  <sheetViews>
    <sheetView showGridLines="0" zoomScale="55" zoomScaleNormal="55" workbookViewId="0">
      <selection activeCell="O16" sqref="O16:O18"/>
    </sheetView>
  </sheetViews>
  <sheetFormatPr baseColWidth="10" defaultColWidth="17.33203125" defaultRowHeight="15" customHeight="1"/>
  <cols>
    <col min="1" max="1" width="4.33203125" style="135" customWidth="1"/>
    <col min="2" max="2" width="50.44140625" style="133" customWidth="1"/>
    <col min="3" max="3" width="47.44140625" style="133" customWidth="1"/>
    <col min="4" max="4" width="49.6640625" style="133" customWidth="1"/>
    <col min="5" max="6" width="27.5546875" style="133" customWidth="1"/>
    <col min="7" max="8" width="29.33203125" style="134" customWidth="1"/>
    <col min="9" max="9" width="30.66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5.6"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1">
      <c r="B8" s="216" t="s">
        <v>45</v>
      </c>
      <c r="C8" s="957" t="s">
        <v>80</v>
      </c>
      <c r="D8" s="957"/>
      <c r="E8" s="217"/>
      <c r="F8" s="217"/>
      <c r="G8" s="217"/>
      <c r="H8" s="217"/>
      <c r="I8" s="217"/>
      <c r="J8" s="217"/>
      <c r="K8" s="217"/>
      <c r="L8" s="217"/>
      <c r="M8" s="217"/>
      <c r="N8" s="217"/>
      <c r="O8" s="217"/>
      <c r="AW8" s="238"/>
      <c r="AX8" s="238"/>
      <c r="AY8" s="238"/>
      <c r="AZ8" s="238"/>
      <c r="BA8" s="238"/>
      <c r="BB8" s="238"/>
      <c r="BC8" s="238"/>
      <c r="BD8" s="238"/>
    </row>
    <row r="9" spans="2:60" ht="56.25" customHeight="1">
      <c r="B9" s="216" t="s">
        <v>34</v>
      </c>
      <c r="C9" s="952" t="s">
        <v>656</v>
      </c>
      <c r="D9" s="953"/>
      <c r="E9" s="217"/>
      <c r="F9" s="217"/>
      <c r="G9" s="217"/>
      <c r="H9" s="217"/>
      <c r="I9" s="217"/>
      <c r="J9" s="217"/>
      <c r="K9" s="217"/>
      <c r="L9" s="217"/>
      <c r="M9" s="217"/>
      <c r="N9" s="217"/>
      <c r="O9" s="217"/>
      <c r="AW9" s="238"/>
      <c r="AX9" s="238"/>
      <c r="AY9" s="238"/>
      <c r="AZ9" s="238"/>
      <c r="BA9" s="238"/>
      <c r="BB9" s="238"/>
      <c r="BC9" s="238"/>
      <c r="BD9" s="238"/>
    </row>
    <row r="10" spans="2: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22.2"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0" ht="106.5" customHeight="1">
      <c r="B16" s="921" t="str">
        <f>+'01-FR-03 POA INSTITUCIONAL'!B94</f>
        <v xml:space="preserve">5. Incorporar una cultura del conocimiento y la innovación a través de actividades que permitan el desarrollo de ideas, lecciones aprendidas e investigaciones para mejorar los resultados de la gestión institucional. </v>
      </c>
      <c r="C16" s="31" t="str">
        <f>+'01-FR-03 POA INSTITUCIONAL'!C94</f>
        <v>5.1 Generar el 100% de productos de nuevo conocimiento o transformar los existentes, alineados con proyectos resultados de la investigación, desarrollo e innovación (I+D+I) en la Entidad.</v>
      </c>
      <c r="D16" s="31" t="str">
        <f>+'01-FR-03 POA INSTITUCIONAL'!D94</f>
        <v xml:space="preserve">5.1.1 Elaborar cuatro (4) proyectos de investigación, desarrollo e innovación I+D+I para la Entidad </v>
      </c>
      <c r="E16" s="52">
        <f>+'01-FR-03 POA INSTITUCIONAL'!E94</f>
        <v>1</v>
      </c>
      <c r="F16" s="245">
        <f>+'01-FR-03 POA INSTITUCIONAL'!F94</f>
        <v>4</v>
      </c>
      <c r="G16" s="68">
        <f>+'01-FR-03 POA INSTITUCIONAL'!K94</f>
        <v>1</v>
      </c>
      <c r="H16" s="140" t="str">
        <f>+'01-FR-03 POA INSTITUCIONAL'!G94</f>
        <v>S.I.</v>
      </c>
      <c r="I16" s="140" t="str">
        <f>+'01-FR-03 POA INSTITUCIONAL'!H94</f>
        <v>Proyectos de Investigación, Desarrollo e Innovación (I+D+I) elaborados</v>
      </c>
      <c r="J16" s="218" t="s">
        <v>730</v>
      </c>
      <c r="K16" s="241" t="s">
        <v>657</v>
      </c>
      <c r="L16" s="221" t="s">
        <v>658</v>
      </c>
      <c r="M16" s="242" t="s">
        <v>659</v>
      </c>
      <c r="N16" s="242" t="s">
        <v>660</v>
      </c>
      <c r="O16" s="79" t="str">
        <f>+'01-FR-03 POA INSTITUCIONAL'!J94</f>
        <v xml:space="preserve">Dirección de Gestión del Conocimiento e Innovación </v>
      </c>
      <c r="P16" s="243">
        <v>0</v>
      </c>
      <c r="Q16" s="243">
        <v>0</v>
      </c>
      <c r="R16" s="243">
        <v>0</v>
      </c>
      <c r="S16" s="243">
        <v>0</v>
      </c>
      <c r="T16" s="243">
        <v>0</v>
      </c>
      <c r="U16" s="243">
        <v>0</v>
      </c>
      <c r="V16" s="91">
        <f>P16+R16+T16</f>
        <v>0</v>
      </c>
      <c r="W16" s="91">
        <f>Q16+S16+U16</f>
        <v>0</v>
      </c>
      <c r="X16" s="243">
        <v>0</v>
      </c>
      <c r="Y16" s="243"/>
      <c r="Z16" s="243">
        <v>0</v>
      </c>
      <c r="AA16" s="243"/>
      <c r="AB16" s="243">
        <v>0</v>
      </c>
      <c r="AC16" s="243"/>
      <c r="AD16" s="91">
        <f>X16+Z16+AB16</f>
        <v>0</v>
      </c>
      <c r="AE16" s="91">
        <f>Y16+AA16+AC16</f>
        <v>0</v>
      </c>
      <c r="AF16" s="243">
        <v>0</v>
      </c>
      <c r="AG16" s="243"/>
      <c r="AH16" s="243">
        <v>0</v>
      </c>
      <c r="AI16" s="243"/>
      <c r="AJ16" s="243">
        <v>0</v>
      </c>
      <c r="AK16" s="243"/>
      <c r="AL16" s="91">
        <f>AF16+AH16+AJ16</f>
        <v>0</v>
      </c>
      <c r="AM16" s="91">
        <f>AG16+AI16+AK16</f>
        <v>0</v>
      </c>
      <c r="AN16" s="243">
        <v>0</v>
      </c>
      <c r="AO16" s="243"/>
      <c r="AP16" s="243">
        <v>1</v>
      </c>
      <c r="AQ16" s="243"/>
      <c r="AR16" s="243">
        <v>0</v>
      </c>
      <c r="AS16" s="243"/>
      <c r="AT16" s="91">
        <f>AN16+AP16+AR16</f>
        <v>1</v>
      </c>
      <c r="AU16" s="91">
        <f>AO16+AQ16+AS16</f>
        <v>0</v>
      </c>
      <c r="AV16" s="245">
        <f>V16+AD16+AL16+AT16</f>
        <v>1</v>
      </c>
      <c r="AW16" s="81">
        <f>+W16</f>
        <v>0</v>
      </c>
      <c r="AX16" s="390">
        <f>+W16+AE16</f>
        <v>0</v>
      </c>
      <c r="AY16" s="390">
        <f>+W16+AE16+AM16</f>
        <v>0</v>
      </c>
      <c r="AZ16" s="390">
        <f>+W16+AE16+AM16+AU16</f>
        <v>0</v>
      </c>
      <c r="BA16" s="42">
        <f>IF(AND(AW16&gt;0,$AV16&gt;0),AW16/$AV16,0)</f>
        <v>0</v>
      </c>
      <c r="BB16" s="42">
        <f t="shared" ref="BB16:BD18" si="0">IF(AND(AX16&gt;0,$AV16&gt;0),AX16/$AV16,0)</f>
        <v>0</v>
      </c>
      <c r="BC16" s="42">
        <f t="shared" si="0"/>
        <v>0</v>
      </c>
      <c r="BD16" s="42">
        <f t="shared" si="0"/>
        <v>0</v>
      </c>
      <c r="BE16" s="342">
        <f>(IF(AND(AW16&gt;0,$F16&gt;0),AW16/$F16,0))</f>
        <v>0</v>
      </c>
      <c r="BF16" s="391">
        <f t="shared" ref="BF16:BH18" si="1">(IF(AND(AX16&gt;0,$F16&gt;0),AX16/$F16,0))</f>
        <v>0</v>
      </c>
      <c r="BG16" s="391">
        <f t="shared" si="1"/>
        <v>0</v>
      </c>
      <c r="BH16" s="391">
        <f t="shared" si="1"/>
        <v>0</v>
      </c>
    </row>
    <row r="17" spans="2:60" ht="90">
      <c r="B17" s="922"/>
      <c r="C17" s="31" t="str">
        <f>+'01-FR-03 POA INSTITUCIONAL'!C95</f>
        <v>5.2 Formular el 100% de herramientas y acciones que permitan categorizar, preservar y utilizar el conocimiento para la toma de decisiones y compartir fácilmente los datos y la información de la Entidad.</v>
      </c>
      <c r="D17" s="31" t="str">
        <f>+'01-FR-03 POA INSTITUCIONAL'!D95</f>
        <v xml:space="preserve">5.2.1 Construir ocho (8) informes de investigación e innovación que reflejen la analítica institucional </v>
      </c>
      <c r="E17" s="52">
        <f>+'01-FR-03 POA INSTITUCIONAL'!E95</f>
        <v>1</v>
      </c>
      <c r="F17" s="245">
        <f>+'01-FR-03 POA INSTITUCIONAL'!F95</f>
        <v>8</v>
      </c>
      <c r="G17" s="68">
        <f>+'01-FR-03 POA INSTITUCIONAL'!K95</f>
        <v>2</v>
      </c>
      <c r="H17" s="140" t="str">
        <f>+'01-FR-03 POA INSTITUCIONAL'!G95</f>
        <v>S.I.</v>
      </c>
      <c r="I17" s="140" t="str">
        <f>+'01-FR-03 POA INSTITUCIONAL'!H95</f>
        <v>Informes de investigación e innovación construidos</v>
      </c>
      <c r="J17" s="246" t="s">
        <v>661</v>
      </c>
      <c r="K17" s="241" t="s">
        <v>662</v>
      </c>
      <c r="L17" s="221" t="s">
        <v>663</v>
      </c>
      <c r="M17" s="242" t="s">
        <v>659</v>
      </c>
      <c r="N17" s="242" t="s">
        <v>660</v>
      </c>
      <c r="O17" s="79" t="str">
        <f>+'01-FR-03 POA INSTITUCIONAL'!J95</f>
        <v xml:space="preserve">Dirección de Gestión del Conocimiento e Innovación </v>
      </c>
      <c r="P17" s="243">
        <v>0</v>
      </c>
      <c r="Q17" s="243">
        <v>0</v>
      </c>
      <c r="R17" s="243">
        <v>0</v>
      </c>
      <c r="S17" s="243">
        <v>0</v>
      </c>
      <c r="T17" s="243">
        <v>0</v>
      </c>
      <c r="U17" s="243">
        <v>0</v>
      </c>
      <c r="V17" s="91">
        <f t="shared" ref="V17:W18" si="2">P17+R17+T17</f>
        <v>0</v>
      </c>
      <c r="W17" s="91">
        <f t="shared" si="2"/>
        <v>0</v>
      </c>
      <c r="X17" s="243">
        <v>0</v>
      </c>
      <c r="Y17" s="243"/>
      <c r="Z17" s="243">
        <v>0</v>
      </c>
      <c r="AA17" s="243"/>
      <c r="AB17" s="243">
        <v>1</v>
      </c>
      <c r="AC17" s="243"/>
      <c r="AD17" s="91">
        <f t="shared" ref="AD17:AE18" si="3">X17+Z17+AB17</f>
        <v>1</v>
      </c>
      <c r="AE17" s="91">
        <f t="shared" si="3"/>
        <v>0</v>
      </c>
      <c r="AF17" s="243">
        <v>0</v>
      </c>
      <c r="AG17" s="243"/>
      <c r="AH17" s="243">
        <v>0</v>
      </c>
      <c r="AI17" s="243"/>
      <c r="AJ17" s="243">
        <v>0</v>
      </c>
      <c r="AK17" s="243"/>
      <c r="AL17" s="91">
        <f t="shared" ref="AL17:AM18" si="4">AF17+AH17+AJ17</f>
        <v>0</v>
      </c>
      <c r="AM17" s="91">
        <f t="shared" si="4"/>
        <v>0</v>
      </c>
      <c r="AN17" s="243">
        <v>0</v>
      </c>
      <c r="AO17" s="243"/>
      <c r="AP17" s="243">
        <v>1</v>
      </c>
      <c r="AQ17" s="243"/>
      <c r="AR17" s="243">
        <v>0</v>
      </c>
      <c r="AS17" s="243"/>
      <c r="AT17" s="91">
        <f t="shared" ref="AT17:AU18" si="5">AN17+AP17+AR17</f>
        <v>1</v>
      </c>
      <c r="AU17" s="91">
        <f t="shared" si="5"/>
        <v>0</v>
      </c>
      <c r="AV17" s="245">
        <f t="shared" ref="AV17:AV18" si="6">V17+AD17+AL17+AT17</f>
        <v>2</v>
      </c>
      <c r="AW17" s="81">
        <f>+W17</f>
        <v>0</v>
      </c>
      <c r="AX17" s="390">
        <f>+W17+AE17</f>
        <v>0</v>
      </c>
      <c r="AY17" s="390">
        <f>+W17+AE17+AM17</f>
        <v>0</v>
      </c>
      <c r="AZ17" s="390">
        <f>+W17+AE17+AM17+AU17</f>
        <v>0</v>
      </c>
      <c r="BA17" s="42">
        <f>IF(AND(AW17&gt;0,AV17&gt;0),AW17/AV17,0)</f>
        <v>0</v>
      </c>
      <c r="BB17" s="42">
        <f t="shared" si="0"/>
        <v>0</v>
      </c>
      <c r="BC17" s="42">
        <f t="shared" si="0"/>
        <v>0</v>
      </c>
      <c r="BD17" s="42">
        <f t="shared" si="0"/>
        <v>0</v>
      </c>
      <c r="BE17" s="342">
        <f>(IF(AND(AW17&gt;0,$F17&gt;0),AW17/$F17,0))</f>
        <v>0</v>
      </c>
      <c r="BF17" s="391">
        <f t="shared" si="1"/>
        <v>0</v>
      </c>
      <c r="BG17" s="391">
        <f t="shared" si="1"/>
        <v>0</v>
      </c>
      <c r="BH17" s="391">
        <f t="shared" si="1"/>
        <v>0</v>
      </c>
    </row>
    <row r="18" spans="2:60" ht="105" customHeight="1">
      <c r="B18" s="948"/>
      <c r="C18" s="31" t="str">
        <f>+'01-FR-03 POA INSTITUCIONAL'!C96</f>
        <v xml:space="preserve">5.3 Desarrollar el 100% de espacios y mecanismos para la difusión del conocimiento, mediante la creación de alianzas efectivas y apropiación de la memoria institucional a través del proceso de enseñanza-aprendizaje organizacional. </v>
      </c>
      <c r="D18" s="31" t="str">
        <f>+'01-FR-03 POA INSTITUCIONAL'!D96</f>
        <v>5.3.1 Desarrollar diez (10) actividades de apropiación social del conocimiento para la creación de la cultura de la investigación e innovación.</v>
      </c>
      <c r="E18" s="52">
        <f>+'01-FR-03 POA INSTITUCIONAL'!E96</f>
        <v>1</v>
      </c>
      <c r="F18" s="245">
        <f>+'01-FR-03 POA INSTITUCIONAL'!F96</f>
        <v>10</v>
      </c>
      <c r="G18" s="68">
        <f>+'01-FR-03 POA INSTITUCIONAL'!K96</f>
        <v>3</v>
      </c>
      <c r="H18" s="140" t="str">
        <f>+'01-FR-03 POA INSTITUCIONAL'!G96</f>
        <v>S.I.</v>
      </c>
      <c r="I18" s="140" t="str">
        <f>+'01-FR-03 POA INSTITUCIONAL'!H96</f>
        <v>Actividades de apropiación social del conocimiento desarrolladas</v>
      </c>
      <c r="J18" s="218" t="s">
        <v>664</v>
      </c>
      <c r="K18" s="241" t="s">
        <v>665</v>
      </c>
      <c r="L18" s="221" t="s">
        <v>666</v>
      </c>
      <c r="M18" s="242" t="s">
        <v>659</v>
      </c>
      <c r="N18" s="242" t="s">
        <v>660</v>
      </c>
      <c r="O18" s="79" t="str">
        <f>+'01-FR-03 POA INSTITUCIONAL'!J96</f>
        <v xml:space="preserve">Dirección de Gestión del Conocimiento e Innovación </v>
      </c>
      <c r="P18" s="243">
        <v>0</v>
      </c>
      <c r="Q18" s="243">
        <v>0</v>
      </c>
      <c r="R18" s="243">
        <v>0</v>
      </c>
      <c r="S18" s="243">
        <v>0</v>
      </c>
      <c r="T18" s="243">
        <v>0</v>
      </c>
      <c r="U18" s="243">
        <v>1</v>
      </c>
      <c r="V18" s="91">
        <f t="shared" si="2"/>
        <v>0</v>
      </c>
      <c r="W18" s="91">
        <f t="shared" si="2"/>
        <v>1</v>
      </c>
      <c r="X18" s="243">
        <v>0</v>
      </c>
      <c r="Y18" s="243"/>
      <c r="Z18" s="243">
        <v>1</v>
      </c>
      <c r="AA18" s="243"/>
      <c r="AB18" s="243">
        <v>0</v>
      </c>
      <c r="AC18" s="243"/>
      <c r="AD18" s="91">
        <f t="shared" si="3"/>
        <v>1</v>
      </c>
      <c r="AE18" s="91">
        <f t="shared" si="3"/>
        <v>0</v>
      </c>
      <c r="AF18" s="243">
        <v>0</v>
      </c>
      <c r="AG18" s="243"/>
      <c r="AH18" s="243">
        <v>1</v>
      </c>
      <c r="AI18" s="243"/>
      <c r="AJ18" s="243">
        <v>0</v>
      </c>
      <c r="AK18" s="243"/>
      <c r="AL18" s="91">
        <f t="shared" si="4"/>
        <v>1</v>
      </c>
      <c r="AM18" s="91">
        <f t="shared" si="4"/>
        <v>0</v>
      </c>
      <c r="AN18" s="243">
        <v>1</v>
      </c>
      <c r="AO18" s="243"/>
      <c r="AP18" s="243">
        <v>0</v>
      </c>
      <c r="AQ18" s="243"/>
      <c r="AR18" s="243">
        <v>0</v>
      </c>
      <c r="AS18" s="243"/>
      <c r="AT18" s="91">
        <f t="shared" si="5"/>
        <v>1</v>
      </c>
      <c r="AU18" s="91">
        <f t="shared" si="5"/>
        <v>0</v>
      </c>
      <c r="AV18" s="245">
        <f t="shared" si="6"/>
        <v>3</v>
      </c>
      <c r="AW18" s="81">
        <f>+W18</f>
        <v>1</v>
      </c>
      <c r="AX18" s="390">
        <f>+W18+AE18</f>
        <v>1</v>
      </c>
      <c r="AY18" s="390">
        <f>+W18+AE18+AM18</f>
        <v>1</v>
      </c>
      <c r="AZ18" s="390">
        <f>+W18+AE18+AM18+AU18</f>
        <v>1</v>
      </c>
      <c r="BA18" s="42">
        <f>IF(AND(AW18&gt;0,AV18&gt;0),AW18/AV18,0)</f>
        <v>0.33333333333333331</v>
      </c>
      <c r="BB18" s="42">
        <f t="shared" si="0"/>
        <v>0.33333333333333331</v>
      </c>
      <c r="BC18" s="42">
        <f t="shared" si="0"/>
        <v>0.33333333333333331</v>
      </c>
      <c r="BD18" s="42">
        <f t="shared" si="0"/>
        <v>0.33333333333333331</v>
      </c>
      <c r="BE18" s="342">
        <f>(IF(AND(AW18&gt;0,$F18&gt;0),AW18/$F18,0))</f>
        <v>0.1</v>
      </c>
      <c r="BF18" s="391">
        <f t="shared" si="1"/>
        <v>0.1</v>
      </c>
      <c r="BG18" s="391">
        <f t="shared" si="1"/>
        <v>0.1</v>
      </c>
      <c r="BH18" s="391">
        <f t="shared" si="1"/>
        <v>0.1</v>
      </c>
    </row>
    <row r="19" spans="2:60" ht="22.8">
      <c r="B19" s="949"/>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1"/>
      <c r="AX19" s="918" t="s">
        <v>19</v>
      </c>
      <c r="AY19" s="947"/>
      <c r="AZ19" s="947"/>
      <c r="BA19" s="70">
        <f t="shared" ref="BA19:BD19" si="7">AVERAGE(BA16:BA18)</f>
        <v>0.1111111111111111</v>
      </c>
      <c r="BB19" s="70">
        <f t="shared" si="7"/>
        <v>0.1111111111111111</v>
      </c>
      <c r="BC19" s="70">
        <f t="shared" si="7"/>
        <v>0.1111111111111111</v>
      </c>
      <c r="BD19" s="339">
        <f t="shared" si="7"/>
        <v>0.1111111111111111</v>
      </c>
      <c r="BE19" s="954"/>
      <c r="BF19" s="955"/>
      <c r="BG19" s="955"/>
      <c r="BH19" s="956"/>
    </row>
    <row r="20" spans="2:60">
      <c r="B20" s="900" t="s">
        <v>291</v>
      </c>
      <c r="C20" s="900"/>
      <c r="D20" s="900"/>
      <c r="E20" s="900"/>
      <c r="F20" s="900"/>
      <c r="G20" s="900"/>
      <c r="H20" s="247"/>
      <c r="I20" s="248"/>
      <c r="J20" s="248"/>
      <c r="K20" s="248"/>
      <c r="L20" s="248"/>
      <c r="M20" s="248"/>
      <c r="N20" s="248"/>
      <c r="O20" s="248"/>
    </row>
    <row r="21" spans="2:60">
      <c r="B21" s="248"/>
      <c r="C21" s="248"/>
      <c r="D21" s="929"/>
      <c r="E21" s="929"/>
      <c r="F21" s="929"/>
      <c r="G21" s="929"/>
      <c r="H21" s="929"/>
      <c r="I21" s="929"/>
      <c r="J21" s="929"/>
      <c r="K21" s="929"/>
      <c r="L21" s="929"/>
      <c r="M21" s="929"/>
      <c r="N21" s="929"/>
      <c r="O21" s="929"/>
    </row>
    <row r="22" spans="2:60" ht="15.6" customHeight="1">
      <c r="B22" s="77" t="s">
        <v>26</v>
      </c>
      <c r="C22" s="249">
        <v>44224</v>
      </c>
      <c r="D22" s="250"/>
      <c r="E22" s="932" t="s">
        <v>50</v>
      </c>
      <c r="F22" s="940" t="s">
        <v>667</v>
      </c>
      <c r="G22" s="941"/>
      <c r="H22" s="941"/>
      <c r="I22" s="941"/>
      <c r="J22" s="942"/>
      <c r="K22" s="251"/>
      <c r="L22" s="938"/>
      <c r="M22" s="938"/>
      <c r="N22" s="938"/>
      <c r="O22" s="939"/>
    </row>
    <row r="23" spans="2:60" ht="15.6">
      <c r="B23" s="248"/>
      <c r="C23" s="248"/>
      <c r="D23" s="251"/>
      <c r="E23" s="932"/>
      <c r="F23" s="943"/>
      <c r="G23" s="944"/>
      <c r="H23" s="944"/>
      <c r="I23" s="944"/>
      <c r="J23" s="945"/>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248"/>
      <c r="C26" s="248"/>
      <c r="D26" s="248"/>
      <c r="E26" s="248"/>
      <c r="F26" s="248"/>
      <c r="G26" s="247"/>
      <c r="H26" s="247"/>
      <c r="I26" s="937"/>
      <c r="J26" s="937"/>
      <c r="K26" s="937"/>
      <c r="L26" s="937"/>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937"/>
      <c r="J28" s="937"/>
      <c r="K28" s="937"/>
      <c r="L28" s="937"/>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937"/>
      <c r="J30" s="937"/>
      <c r="K30" s="937"/>
      <c r="L30" s="937"/>
      <c r="M30" s="252"/>
      <c r="N30" s="252"/>
      <c r="O30" s="252"/>
    </row>
  </sheetData>
  <sheetProtection algorithmName="SHA-512" hashValue="pd30LHLopBIr2d2PaSQlC/nDhMTugRHPw63ceOyS5ySoXhVhsQgM/giD2wwkGVtvUCBgsMoNRGHG0jTv9Fiibw==" saltValue="MV3segO1hsgarNcB4K9RjA==" spinCount="100000" sheet="1" objects="1" scenarios="1"/>
  <mergeCells count="70">
    <mergeCell ref="BE19:BH19"/>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AW12:AZ12"/>
    <mergeCell ref="BA12:BD12"/>
    <mergeCell ref="B12:B15"/>
    <mergeCell ref="C12:C15"/>
    <mergeCell ref="AX19:AZ19"/>
    <mergeCell ref="AD14:AE14"/>
    <mergeCell ref="AF14:AG14"/>
    <mergeCell ref="AH14:AI14"/>
    <mergeCell ref="AJ14:AK14"/>
    <mergeCell ref="AL14:AM14"/>
    <mergeCell ref="AN14:AO14"/>
    <mergeCell ref="AP14:AQ14"/>
    <mergeCell ref="AR14:AS14"/>
    <mergeCell ref="AT14:AU14"/>
    <mergeCell ref="B16:B18"/>
    <mergeCell ref="B19:AW19"/>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I30:L30"/>
    <mergeCell ref="B20:G20"/>
    <mergeCell ref="D21:O21"/>
    <mergeCell ref="E22:E23"/>
    <mergeCell ref="L22:O22"/>
    <mergeCell ref="I26:L26"/>
    <mergeCell ref="I28:L28"/>
    <mergeCell ref="F22:J23"/>
  </mergeCells>
  <conditionalFormatting sqref="BA16:BD18">
    <cfRule type="cellIs" dxfId="58" priority="1" operator="greaterThan">
      <formula>1</formula>
    </cfRule>
    <cfRule type="cellIs" dxfId="57" priority="2" operator="between">
      <formula>0.8</formula>
      <formula>1</formula>
    </cfRule>
    <cfRule type="cellIs" dxfId="56" priority="3" operator="between">
      <formula>0.61</formula>
      <formula>0.79</formula>
    </cfRule>
    <cfRule type="cellIs" dxfId="55"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92D050"/>
  </sheetPr>
  <dimension ref="B1:BI34"/>
  <sheetViews>
    <sheetView showGridLines="0" zoomScale="55" zoomScaleNormal="55" workbookViewId="0">
      <selection activeCell="O22" sqref="O22"/>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6.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1" ht="15.6" thickBot="1"/>
    <row r="2" spans="2:61" ht="15.6"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1" ht="15.6"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1"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1" ht="15.6"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1"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1" ht="21">
      <c r="B8" s="216" t="s">
        <v>45</v>
      </c>
      <c r="C8" s="958" t="s">
        <v>81</v>
      </c>
      <c r="D8" s="958"/>
      <c r="E8" s="217"/>
      <c r="F8" s="217"/>
      <c r="G8" s="217"/>
      <c r="H8" s="217"/>
      <c r="I8" s="217"/>
      <c r="J8" s="217"/>
      <c r="K8" s="217"/>
      <c r="L8" s="217"/>
      <c r="M8" s="217"/>
      <c r="N8" s="217"/>
      <c r="O8" s="217"/>
      <c r="AW8" s="238"/>
      <c r="AX8" s="238"/>
      <c r="AY8" s="238"/>
      <c r="AZ8" s="238"/>
      <c r="BA8" s="238"/>
      <c r="BB8" s="238"/>
      <c r="BC8" s="238"/>
      <c r="BD8" s="238"/>
    </row>
    <row r="9" spans="2:61" ht="96.75" customHeight="1">
      <c r="B9" s="216" t="s">
        <v>34</v>
      </c>
      <c r="C9" s="914" t="s">
        <v>403</v>
      </c>
      <c r="D9" s="915"/>
      <c r="E9" s="217"/>
      <c r="F9" s="217"/>
      <c r="G9" s="217"/>
      <c r="H9" s="217"/>
      <c r="I9" s="217"/>
      <c r="J9" s="217"/>
      <c r="K9" s="217"/>
      <c r="L9" s="217"/>
      <c r="M9" s="217"/>
      <c r="N9" s="217"/>
      <c r="O9" s="217"/>
      <c r="AW9" s="238"/>
      <c r="AX9" s="238"/>
      <c r="AY9" s="238"/>
      <c r="AZ9" s="238"/>
      <c r="BA9" s="238"/>
      <c r="BB9" s="238"/>
      <c r="BC9" s="238"/>
      <c r="BD9" s="238"/>
    </row>
    <row r="10" spans="2:61"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1">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1" ht="28.8"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1"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1"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1" ht="18"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1" ht="76.5" customHeight="1">
      <c r="B16" s="92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1" t="str">
        <f>+'01-FR-03 POA INSTITUCIONAL'!C49</f>
        <v>4.1. Implementar el 100% de las acciones que impulsen el crecimiento del Modelo de Madurez de Transformación Digital de la Entidad, aplicando los principios , lineamientos y normas que lo enmarcan.</v>
      </c>
      <c r="D16" s="31" t="str">
        <f>+'01-FR-03 POA INSTITUCIONAL'!D49</f>
        <v>4.1.1 Implementar el 100 % de los proyectos de hoja de ruta del Plan Estratégico de Tecnología de la Información de tal forma que se optimicen los procesos de la Entidad</v>
      </c>
      <c r="E16" s="52">
        <f>+'01-FR-03 POA INSTITUCIONAL'!E49</f>
        <v>0.14000000000000001</v>
      </c>
      <c r="F16" s="341">
        <f>+'01-FR-03 POA INSTITUCIONAL'!F49</f>
        <v>1</v>
      </c>
      <c r="G16" s="161">
        <f>+'01-FR-03 POA INSTITUCIONAL'!K49</f>
        <v>0.3</v>
      </c>
      <c r="H16" s="140" t="str">
        <f>+'01-FR-03 POA INSTITUCIONAL'!G49</f>
        <v>S.I.</v>
      </c>
      <c r="I16" s="254" t="str">
        <f>+'01-FR-03 POA INSTITUCIONAL'!H49</f>
        <v>Porcentaje de proyectos implementados de acuerdo al plan de tecnologías de la Información</v>
      </c>
      <c r="J16" s="241" t="s">
        <v>379</v>
      </c>
      <c r="K16" s="241" t="s">
        <v>380</v>
      </c>
      <c r="L16" s="221" t="s">
        <v>381</v>
      </c>
      <c r="M16" s="255" t="s">
        <v>382</v>
      </c>
      <c r="N16" s="241" t="s">
        <v>383</v>
      </c>
      <c r="O16" s="82" t="str">
        <f>+'01-FR-03 POA INSTITUCIONAL'!J49</f>
        <v>Dirección de Tecnologías de la  Información y las Comunicaciones</v>
      </c>
      <c r="P16" s="352">
        <v>0.01</v>
      </c>
      <c r="Q16" s="352">
        <v>0.01</v>
      </c>
      <c r="R16" s="352">
        <v>0.02</v>
      </c>
      <c r="S16" s="352">
        <v>0.02</v>
      </c>
      <c r="T16" s="352">
        <v>0.03</v>
      </c>
      <c r="U16" s="352">
        <v>0.03</v>
      </c>
      <c r="V16" s="353">
        <f t="shared" ref="V16:W22" si="0">P16+R16+T16</f>
        <v>0.06</v>
      </c>
      <c r="W16" s="353">
        <f t="shared" si="0"/>
        <v>0.06</v>
      </c>
      <c r="X16" s="352">
        <v>0.03</v>
      </c>
      <c r="Y16" s="352"/>
      <c r="Z16" s="352">
        <v>0.03</v>
      </c>
      <c r="AA16" s="352"/>
      <c r="AB16" s="352">
        <v>0.03</v>
      </c>
      <c r="AC16" s="352"/>
      <c r="AD16" s="353">
        <f t="shared" ref="AD16:AE22" si="1">X16+Z16+AB16</f>
        <v>0.09</v>
      </c>
      <c r="AE16" s="353">
        <f t="shared" si="1"/>
        <v>0</v>
      </c>
      <c r="AF16" s="352">
        <v>0.03</v>
      </c>
      <c r="AG16" s="352"/>
      <c r="AH16" s="352">
        <v>0.03</v>
      </c>
      <c r="AI16" s="352"/>
      <c r="AJ16" s="352">
        <v>0.03</v>
      </c>
      <c r="AK16" s="352"/>
      <c r="AL16" s="353">
        <f t="shared" ref="AL16:AM22" si="2">AF16+AH16+AJ16</f>
        <v>0.09</v>
      </c>
      <c r="AM16" s="353">
        <f t="shared" si="2"/>
        <v>0</v>
      </c>
      <c r="AN16" s="352">
        <v>0.03</v>
      </c>
      <c r="AO16" s="352"/>
      <c r="AP16" s="352">
        <v>0.02</v>
      </c>
      <c r="AQ16" s="352"/>
      <c r="AR16" s="352">
        <v>0.01</v>
      </c>
      <c r="AS16" s="352"/>
      <c r="AT16" s="353">
        <f>AN16+AP16+AR16</f>
        <v>6.0000000000000005E-2</v>
      </c>
      <c r="AU16" s="353">
        <f>AO16+AQ16+AS16</f>
        <v>0</v>
      </c>
      <c r="AV16" s="353">
        <f>V16+AD16+AL16+AT16</f>
        <v>0.3</v>
      </c>
      <c r="AW16" s="65">
        <f t="shared" ref="AW16:AW22" si="3">+W16</f>
        <v>0.06</v>
      </c>
      <c r="AX16" s="381">
        <f t="shared" ref="AX16:AX22" si="4">+W16+AE16</f>
        <v>0.06</v>
      </c>
      <c r="AY16" s="381">
        <f t="shared" ref="AY16:AY22" si="5">+W16+AE16+AM16</f>
        <v>0.06</v>
      </c>
      <c r="AZ16" s="381">
        <f t="shared" ref="AZ16:AZ22" si="6">+W16+AE16+AM16+AU16</f>
        <v>0.06</v>
      </c>
      <c r="BA16" s="443">
        <f>IF(AND(AW16&gt;0,$AV16&gt;0),AW16/$AV16,0)</f>
        <v>0.2</v>
      </c>
      <c r="BB16" s="444">
        <f t="shared" ref="BB16:BD22" si="7">IF(AND(AX16&gt;0,$AV16&gt;0),AX16/$AV16,0)</f>
        <v>0.2</v>
      </c>
      <c r="BC16" s="444">
        <f t="shared" si="7"/>
        <v>0.2</v>
      </c>
      <c r="BD16" s="444">
        <f t="shared" si="7"/>
        <v>0.2</v>
      </c>
      <c r="BE16" s="342">
        <f>(IF(AND(AW16&gt;0,$F16&gt;0),AW16/$F16,0))</f>
        <v>0.06</v>
      </c>
      <c r="BF16" s="391">
        <f t="shared" ref="BF16:BH22" si="8">(IF(AND(AX16&gt;0,$F16&gt;0),AX16/$F16,0))</f>
        <v>0.06</v>
      </c>
      <c r="BG16" s="391">
        <f t="shared" si="8"/>
        <v>0.06</v>
      </c>
      <c r="BH16" s="391">
        <f t="shared" si="8"/>
        <v>0.06</v>
      </c>
      <c r="BI16" s="343"/>
    </row>
    <row r="17" spans="2:60" ht="84.75" customHeight="1">
      <c r="B17" s="922"/>
      <c r="C17" s="922"/>
      <c r="D17" s="31" t="str">
        <f>+'01-FR-03 POA INSTITUCIONAL'!D50</f>
        <v>4.1.2 Ejecutar en un 100 % las actividades programadas en el plan de Seguridad de la Información, garantizando la disponibilidad, confiabilidad e integridad de los activos de información</v>
      </c>
      <c r="E17" s="52">
        <f>+'01-FR-03 POA INSTITUCIONAL'!E50</f>
        <v>0.14000000000000001</v>
      </c>
      <c r="F17" s="341">
        <f>+'01-FR-03 POA INSTITUCIONAL'!F50</f>
        <v>1</v>
      </c>
      <c r="G17" s="161">
        <f>+'01-FR-03 POA INSTITUCIONAL'!K50</f>
        <v>0.3</v>
      </c>
      <c r="H17" s="140" t="str">
        <f>+'01-FR-03 POA INSTITUCIONAL'!G50</f>
        <v>S.I.</v>
      </c>
      <c r="I17" s="254" t="str">
        <f>+'01-FR-03 POA INSTITUCIONAL'!H50</f>
        <v>Porcentaje de actividades ejecutadas de acuerdo al plan de Seguridad de información</v>
      </c>
      <c r="J17" s="241" t="s">
        <v>384</v>
      </c>
      <c r="K17" s="241" t="s">
        <v>385</v>
      </c>
      <c r="L17" s="221" t="s">
        <v>386</v>
      </c>
      <c r="M17" s="255" t="s">
        <v>382</v>
      </c>
      <c r="N17" s="241" t="s">
        <v>387</v>
      </c>
      <c r="O17" s="542" t="str">
        <f>+'01-FR-03 POA INSTITUCIONAL'!J50</f>
        <v>Dirección de Tecnologías de la  Información y las Comunicaciones</v>
      </c>
      <c r="P17" s="352">
        <v>0.01</v>
      </c>
      <c r="Q17" s="352">
        <v>0.01</v>
      </c>
      <c r="R17" s="352">
        <v>0.02</v>
      </c>
      <c r="S17" s="352">
        <v>0.02</v>
      </c>
      <c r="T17" s="352">
        <v>0.03</v>
      </c>
      <c r="U17" s="352">
        <v>0.03</v>
      </c>
      <c r="V17" s="353">
        <f t="shared" si="0"/>
        <v>0.06</v>
      </c>
      <c r="W17" s="353">
        <f t="shared" si="0"/>
        <v>0.06</v>
      </c>
      <c r="X17" s="352">
        <v>0.03</v>
      </c>
      <c r="Y17" s="352"/>
      <c r="Z17" s="352">
        <v>0.03</v>
      </c>
      <c r="AA17" s="352"/>
      <c r="AB17" s="352">
        <v>0.03</v>
      </c>
      <c r="AC17" s="352"/>
      <c r="AD17" s="353">
        <f t="shared" si="1"/>
        <v>0.09</v>
      </c>
      <c r="AE17" s="353">
        <f t="shared" si="1"/>
        <v>0</v>
      </c>
      <c r="AF17" s="352">
        <v>0.03</v>
      </c>
      <c r="AG17" s="352"/>
      <c r="AH17" s="352">
        <v>0.03</v>
      </c>
      <c r="AI17" s="352"/>
      <c r="AJ17" s="352">
        <v>0.03</v>
      </c>
      <c r="AK17" s="352"/>
      <c r="AL17" s="353">
        <f t="shared" si="2"/>
        <v>0.09</v>
      </c>
      <c r="AM17" s="353">
        <f t="shared" si="2"/>
        <v>0</v>
      </c>
      <c r="AN17" s="352">
        <v>0.02</v>
      </c>
      <c r="AO17" s="352"/>
      <c r="AP17" s="352">
        <v>0.02</v>
      </c>
      <c r="AQ17" s="352"/>
      <c r="AR17" s="352">
        <v>0.02</v>
      </c>
      <c r="AS17" s="352"/>
      <c r="AT17" s="353">
        <f t="shared" ref="AT17:AU22" si="9">AN17+AP17+AR17</f>
        <v>0.06</v>
      </c>
      <c r="AU17" s="353">
        <f t="shared" si="9"/>
        <v>0</v>
      </c>
      <c r="AV17" s="353">
        <f t="shared" ref="AV17:AV22" si="10">V17+AD17+AL17+AT17</f>
        <v>0.3</v>
      </c>
      <c r="AW17" s="65">
        <f t="shared" si="3"/>
        <v>0.06</v>
      </c>
      <c r="AX17" s="381">
        <f t="shared" si="4"/>
        <v>0.06</v>
      </c>
      <c r="AY17" s="381">
        <f t="shared" si="5"/>
        <v>0.06</v>
      </c>
      <c r="AZ17" s="381">
        <f t="shared" si="6"/>
        <v>0.06</v>
      </c>
      <c r="BA17" s="350">
        <f t="shared" ref="BA17:BA22" si="11">IF(AND(AW17&gt;0,AV17&gt;0),AW17/AV17,0)</f>
        <v>0.2</v>
      </c>
      <c r="BB17" s="444">
        <f t="shared" si="7"/>
        <v>0.2</v>
      </c>
      <c r="BC17" s="444">
        <f t="shared" si="7"/>
        <v>0.2</v>
      </c>
      <c r="BD17" s="444">
        <f t="shared" si="7"/>
        <v>0.2</v>
      </c>
      <c r="BE17" s="342">
        <f t="shared" ref="BE17:BE22" si="12">(IF(AND(AW17&gt;0,$F17&gt;0),AW17/$F17,0))</f>
        <v>0.06</v>
      </c>
      <c r="BF17" s="391">
        <f t="shared" si="8"/>
        <v>0.06</v>
      </c>
      <c r="BG17" s="391">
        <f t="shared" si="8"/>
        <v>0.06</v>
      </c>
      <c r="BH17" s="391">
        <f t="shared" si="8"/>
        <v>0.06</v>
      </c>
    </row>
    <row r="18" spans="2:60" ht="107.25" customHeight="1">
      <c r="B18" s="922"/>
      <c r="C18" s="922"/>
      <c r="D18" s="31" t="str">
        <f>+'01-FR-03 POA INSTITUCIONAL'!D51</f>
        <v>4.1.3 Realizar el 100% de las actividades definidas en la estrategia de servicios ciudadanos digitales, que permitan acceder a los tramites y servicios de la Entidad a través de canales digitales rápidos, fiables y seguros</v>
      </c>
      <c r="E18" s="52">
        <f>+'01-FR-03 POA INSTITUCIONAL'!E51</f>
        <v>0.14000000000000001</v>
      </c>
      <c r="F18" s="341">
        <f>+'01-FR-03 POA INSTITUCIONAL'!F51</f>
        <v>1</v>
      </c>
      <c r="G18" s="161">
        <f>+'01-FR-03 POA INSTITUCIONAL'!K51</f>
        <v>0.3</v>
      </c>
      <c r="H18" s="140" t="str">
        <f>+'01-FR-03 POA INSTITUCIONAL'!G51</f>
        <v>S.I.</v>
      </c>
      <c r="I18" s="254" t="str">
        <f>+'01-FR-03 POA INSTITUCIONAL'!H51</f>
        <v xml:space="preserve">Porcentaje de actividades ejecutadas  en la estrategia de servicios ciudadanos digitales </v>
      </c>
      <c r="J18" s="241" t="s">
        <v>384</v>
      </c>
      <c r="K18" s="241" t="s">
        <v>388</v>
      </c>
      <c r="L18" s="221" t="s">
        <v>389</v>
      </c>
      <c r="M18" s="255" t="s">
        <v>382</v>
      </c>
      <c r="N18" s="241" t="s">
        <v>387</v>
      </c>
      <c r="O18" s="542" t="str">
        <f>+'01-FR-03 POA INSTITUCIONAL'!J51</f>
        <v>Dirección de Tecnologías de la  Información y las Comunicaciones</v>
      </c>
      <c r="P18" s="352">
        <v>0.01</v>
      </c>
      <c r="Q18" s="352">
        <v>0.01</v>
      </c>
      <c r="R18" s="352">
        <v>0.02</v>
      </c>
      <c r="S18" s="352">
        <v>0.02</v>
      </c>
      <c r="T18" s="352">
        <v>0.02</v>
      </c>
      <c r="U18" s="352">
        <v>0.02</v>
      </c>
      <c r="V18" s="353">
        <f t="shared" si="0"/>
        <v>0.05</v>
      </c>
      <c r="W18" s="353">
        <f t="shared" si="0"/>
        <v>0.05</v>
      </c>
      <c r="X18" s="352">
        <v>0.03</v>
      </c>
      <c r="Y18" s="352"/>
      <c r="Z18" s="352">
        <v>0.03</v>
      </c>
      <c r="AA18" s="352"/>
      <c r="AB18" s="352">
        <v>0.03</v>
      </c>
      <c r="AC18" s="352"/>
      <c r="AD18" s="353">
        <f t="shared" si="1"/>
        <v>0.09</v>
      </c>
      <c r="AE18" s="353">
        <f t="shared" si="1"/>
        <v>0</v>
      </c>
      <c r="AF18" s="352">
        <v>0.03</v>
      </c>
      <c r="AG18" s="352"/>
      <c r="AH18" s="352">
        <v>0.03</v>
      </c>
      <c r="AI18" s="352"/>
      <c r="AJ18" s="352">
        <v>0.03</v>
      </c>
      <c r="AK18" s="352"/>
      <c r="AL18" s="353">
        <f t="shared" si="2"/>
        <v>0.09</v>
      </c>
      <c r="AM18" s="353">
        <f t="shared" si="2"/>
        <v>0</v>
      </c>
      <c r="AN18" s="352">
        <v>0.03</v>
      </c>
      <c r="AO18" s="352"/>
      <c r="AP18" s="352">
        <v>0.02</v>
      </c>
      <c r="AQ18" s="352"/>
      <c r="AR18" s="352">
        <v>0.02</v>
      </c>
      <c r="AS18" s="352"/>
      <c r="AT18" s="353">
        <f t="shared" si="9"/>
        <v>7.0000000000000007E-2</v>
      </c>
      <c r="AU18" s="353">
        <f t="shared" si="9"/>
        <v>0</v>
      </c>
      <c r="AV18" s="353">
        <f t="shared" si="10"/>
        <v>0.30000000000000004</v>
      </c>
      <c r="AW18" s="65">
        <f t="shared" si="3"/>
        <v>0.05</v>
      </c>
      <c r="AX18" s="381">
        <f t="shared" si="4"/>
        <v>0.05</v>
      </c>
      <c r="AY18" s="381">
        <f t="shared" si="5"/>
        <v>0.05</v>
      </c>
      <c r="AZ18" s="381">
        <f t="shared" si="6"/>
        <v>0.05</v>
      </c>
      <c r="BA18" s="350">
        <f t="shared" si="11"/>
        <v>0.16666666666666666</v>
      </c>
      <c r="BB18" s="444">
        <f t="shared" si="7"/>
        <v>0.16666666666666666</v>
      </c>
      <c r="BC18" s="444">
        <f t="shared" si="7"/>
        <v>0.16666666666666666</v>
      </c>
      <c r="BD18" s="444">
        <f t="shared" si="7"/>
        <v>0.16666666666666666</v>
      </c>
      <c r="BE18" s="342">
        <f t="shared" si="12"/>
        <v>0.05</v>
      </c>
      <c r="BF18" s="391">
        <f t="shared" si="8"/>
        <v>0.05</v>
      </c>
      <c r="BG18" s="391">
        <f t="shared" si="8"/>
        <v>0.05</v>
      </c>
      <c r="BH18" s="391">
        <f t="shared" si="8"/>
        <v>0.05</v>
      </c>
    </row>
    <row r="19" spans="2:60" ht="80.25" customHeight="1">
      <c r="B19" s="922"/>
      <c r="C19" s="922"/>
      <c r="D19" s="31" t="str">
        <f>+'01-FR-03 POA INSTITUCIONAL'!D52</f>
        <v>4.1.4 Implementar en un 100% los lineamientos que adopte la Entidad para mejorar la gestión de datos que facilite la toma de decisiones</v>
      </c>
      <c r="E19" s="52">
        <f>+'01-FR-03 POA INSTITUCIONAL'!E52</f>
        <v>0.14000000000000001</v>
      </c>
      <c r="F19" s="341">
        <f>+'01-FR-03 POA INSTITUCIONAL'!F52</f>
        <v>1</v>
      </c>
      <c r="G19" s="161">
        <f>+'01-FR-03 POA INSTITUCIONAL'!K52</f>
        <v>0.3</v>
      </c>
      <c r="H19" s="140" t="str">
        <f>+'01-FR-03 POA INSTITUCIONAL'!G52</f>
        <v>S.I.</v>
      </c>
      <c r="I19" s="254" t="str">
        <f>+'01-FR-03 POA INSTITUCIONAL'!H52</f>
        <v>Porcentaje de lineamientos adoptados  en la estrategia de gestión de datos</v>
      </c>
      <c r="J19" s="241" t="s">
        <v>390</v>
      </c>
      <c r="K19" s="241" t="s">
        <v>388</v>
      </c>
      <c r="L19" s="221" t="s">
        <v>391</v>
      </c>
      <c r="M19" s="255" t="s">
        <v>382</v>
      </c>
      <c r="N19" s="241" t="s">
        <v>387</v>
      </c>
      <c r="O19" s="542" t="str">
        <f>+'01-FR-03 POA INSTITUCIONAL'!J52</f>
        <v>Dirección de Tecnologías de la  Información y las Comunicaciones</v>
      </c>
      <c r="P19" s="352">
        <v>0.01</v>
      </c>
      <c r="Q19" s="352">
        <v>0.01</v>
      </c>
      <c r="R19" s="352">
        <v>0.02</v>
      </c>
      <c r="S19" s="352">
        <v>0.02</v>
      </c>
      <c r="T19" s="352">
        <v>0.02</v>
      </c>
      <c r="U19" s="352">
        <v>0.02</v>
      </c>
      <c r="V19" s="353">
        <f t="shared" si="0"/>
        <v>0.05</v>
      </c>
      <c r="W19" s="353">
        <f t="shared" si="0"/>
        <v>0.05</v>
      </c>
      <c r="X19" s="352">
        <v>0.03</v>
      </c>
      <c r="Y19" s="352"/>
      <c r="Z19" s="352">
        <v>0.03</v>
      </c>
      <c r="AA19" s="352"/>
      <c r="AB19" s="352">
        <v>0.03</v>
      </c>
      <c r="AC19" s="352"/>
      <c r="AD19" s="353">
        <f t="shared" si="1"/>
        <v>0.09</v>
      </c>
      <c r="AE19" s="353">
        <f t="shared" si="1"/>
        <v>0</v>
      </c>
      <c r="AF19" s="352">
        <v>0.03</v>
      </c>
      <c r="AG19" s="352"/>
      <c r="AH19" s="352">
        <v>0.03</v>
      </c>
      <c r="AI19" s="352"/>
      <c r="AJ19" s="352">
        <v>0.03</v>
      </c>
      <c r="AK19" s="352"/>
      <c r="AL19" s="353">
        <f t="shared" si="2"/>
        <v>0.09</v>
      </c>
      <c r="AM19" s="353">
        <f t="shared" si="2"/>
        <v>0</v>
      </c>
      <c r="AN19" s="352">
        <v>0.03</v>
      </c>
      <c r="AO19" s="352"/>
      <c r="AP19" s="352">
        <v>0.02</v>
      </c>
      <c r="AQ19" s="352"/>
      <c r="AR19" s="352">
        <v>0.02</v>
      </c>
      <c r="AS19" s="352"/>
      <c r="AT19" s="353">
        <f t="shared" si="9"/>
        <v>7.0000000000000007E-2</v>
      </c>
      <c r="AU19" s="353">
        <f t="shared" si="9"/>
        <v>0</v>
      </c>
      <c r="AV19" s="353">
        <f t="shared" si="10"/>
        <v>0.30000000000000004</v>
      </c>
      <c r="AW19" s="65">
        <f t="shared" si="3"/>
        <v>0.05</v>
      </c>
      <c r="AX19" s="381">
        <f t="shared" si="4"/>
        <v>0.05</v>
      </c>
      <c r="AY19" s="381">
        <f t="shared" si="5"/>
        <v>0.05</v>
      </c>
      <c r="AZ19" s="381">
        <f t="shared" si="6"/>
        <v>0.05</v>
      </c>
      <c r="BA19" s="350">
        <f t="shared" si="11"/>
        <v>0.16666666666666666</v>
      </c>
      <c r="BB19" s="444">
        <f t="shared" si="7"/>
        <v>0.16666666666666666</v>
      </c>
      <c r="BC19" s="444">
        <f t="shared" si="7"/>
        <v>0.16666666666666666</v>
      </c>
      <c r="BD19" s="444">
        <f t="shared" si="7"/>
        <v>0.16666666666666666</v>
      </c>
      <c r="BE19" s="342">
        <f t="shared" si="12"/>
        <v>0.05</v>
      </c>
      <c r="BF19" s="391">
        <f t="shared" si="8"/>
        <v>0.05</v>
      </c>
      <c r="BG19" s="391">
        <f t="shared" si="8"/>
        <v>0.05</v>
      </c>
      <c r="BH19" s="391">
        <f t="shared" si="8"/>
        <v>0.05</v>
      </c>
    </row>
    <row r="20" spans="2:60" ht="88.5" customHeight="1">
      <c r="B20" s="922"/>
      <c r="C20" s="922"/>
      <c r="D20" s="31" t="str">
        <f>+'01-FR-03 POA INSTITUCIONAL'!D53</f>
        <v>4.1.5 Desarrollar el 100% de los requerimientos prioritarios a Sistemas de Información y de apoyo que garanticen el óptimo desempeño de la gestión de los procesos en la Entidad</v>
      </c>
      <c r="E20" s="52">
        <f>+'01-FR-03 POA INSTITUCIONAL'!E53</f>
        <v>0.14000000000000001</v>
      </c>
      <c r="F20" s="341">
        <f>+'01-FR-03 POA INSTITUCIONAL'!F53</f>
        <v>1</v>
      </c>
      <c r="G20" s="161">
        <f>+'01-FR-03 POA INSTITUCIONAL'!K53</f>
        <v>0.3</v>
      </c>
      <c r="H20" s="140" t="str">
        <f>+'01-FR-03 POA INSTITUCIONAL'!G53</f>
        <v>S.I.</v>
      </c>
      <c r="I20" s="254" t="str">
        <f>+'01-FR-03 POA INSTITUCIONAL'!H53</f>
        <v>Cantidad de requerimientos prioritarios desarrollados para los sistemas información</v>
      </c>
      <c r="J20" s="241" t="s">
        <v>404</v>
      </c>
      <c r="K20" s="241" t="s">
        <v>392</v>
      </c>
      <c r="L20" s="221" t="s">
        <v>393</v>
      </c>
      <c r="M20" s="255" t="s">
        <v>382</v>
      </c>
      <c r="N20" s="241" t="s">
        <v>387</v>
      </c>
      <c r="O20" s="542" t="str">
        <f>+'01-FR-03 POA INSTITUCIONAL'!J53</f>
        <v>Dirección de Tecnologías de la  Información y las Comunicaciones</v>
      </c>
      <c r="P20" s="352">
        <v>0.01</v>
      </c>
      <c r="Q20" s="352">
        <v>0.01</v>
      </c>
      <c r="R20" s="352">
        <v>0.02</v>
      </c>
      <c r="S20" s="352">
        <v>0.02</v>
      </c>
      <c r="T20" s="352">
        <v>0.02</v>
      </c>
      <c r="U20" s="352">
        <v>0.02</v>
      </c>
      <c r="V20" s="353">
        <f t="shared" si="0"/>
        <v>0.05</v>
      </c>
      <c r="W20" s="353">
        <f t="shared" si="0"/>
        <v>0.05</v>
      </c>
      <c r="X20" s="352">
        <v>0.03</v>
      </c>
      <c r="Y20" s="352"/>
      <c r="Z20" s="352">
        <v>0.03</v>
      </c>
      <c r="AA20" s="352"/>
      <c r="AB20" s="352">
        <v>0.03</v>
      </c>
      <c r="AC20" s="352"/>
      <c r="AD20" s="353">
        <f t="shared" si="1"/>
        <v>0.09</v>
      </c>
      <c r="AE20" s="353">
        <f t="shared" si="1"/>
        <v>0</v>
      </c>
      <c r="AF20" s="352">
        <v>0.03</v>
      </c>
      <c r="AG20" s="352"/>
      <c r="AH20" s="352">
        <v>0.03</v>
      </c>
      <c r="AI20" s="352"/>
      <c r="AJ20" s="352">
        <v>0.03</v>
      </c>
      <c r="AK20" s="352"/>
      <c r="AL20" s="353">
        <f t="shared" si="2"/>
        <v>0.09</v>
      </c>
      <c r="AM20" s="353">
        <f t="shared" si="2"/>
        <v>0</v>
      </c>
      <c r="AN20" s="352">
        <v>0.03</v>
      </c>
      <c r="AO20" s="352"/>
      <c r="AP20" s="352">
        <v>0.03</v>
      </c>
      <c r="AQ20" s="352"/>
      <c r="AR20" s="352">
        <v>0.01</v>
      </c>
      <c r="AS20" s="352"/>
      <c r="AT20" s="353">
        <f t="shared" si="9"/>
        <v>6.9999999999999993E-2</v>
      </c>
      <c r="AU20" s="353">
        <f t="shared" si="9"/>
        <v>0</v>
      </c>
      <c r="AV20" s="353">
        <f t="shared" si="10"/>
        <v>0.3</v>
      </c>
      <c r="AW20" s="65">
        <f t="shared" si="3"/>
        <v>0.05</v>
      </c>
      <c r="AX20" s="381">
        <f t="shared" si="4"/>
        <v>0.05</v>
      </c>
      <c r="AY20" s="381">
        <f t="shared" si="5"/>
        <v>0.05</v>
      </c>
      <c r="AZ20" s="381">
        <f t="shared" si="6"/>
        <v>0.05</v>
      </c>
      <c r="BA20" s="350">
        <f t="shared" si="11"/>
        <v>0.16666666666666669</v>
      </c>
      <c r="BB20" s="444">
        <f t="shared" si="7"/>
        <v>0.16666666666666669</v>
      </c>
      <c r="BC20" s="444">
        <f t="shared" si="7"/>
        <v>0.16666666666666669</v>
      </c>
      <c r="BD20" s="444">
        <f t="shared" si="7"/>
        <v>0.16666666666666669</v>
      </c>
      <c r="BE20" s="342">
        <f t="shared" si="12"/>
        <v>0.05</v>
      </c>
      <c r="BF20" s="391">
        <f t="shared" si="8"/>
        <v>0.05</v>
      </c>
      <c r="BG20" s="391">
        <f t="shared" si="8"/>
        <v>0.05</v>
      </c>
      <c r="BH20" s="391">
        <f t="shared" si="8"/>
        <v>0.05</v>
      </c>
    </row>
    <row r="21" spans="2:60" ht="91.5" customHeight="1">
      <c r="B21" s="922"/>
      <c r="C21" s="922"/>
      <c r="D21" s="31" t="str">
        <f>+'01-FR-03 POA INSTITUCIONAL'!D54</f>
        <v>4.1.6 Implementar en un 100% las actividades programadas en el plan de uso y apropiación de las TIC, para una óptima gestión institucional</v>
      </c>
      <c r="E21" s="52">
        <f>+'01-FR-03 POA INSTITUCIONAL'!E54</f>
        <v>0.15</v>
      </c>
      <c r="F21" s="341">
        <f>+'01-FR-03 POA INSTITUCIONAL'!F54</f>
        <v>1</v>
      </c>
      <c r="G21" s="161">
        <f>+'01-FR-03 POA INSTITUCIONAL'!K54</f>
        <v>0.3</v>
      </c>
      <c r="H21" s="140" t="str">
        <f>+'01-FR-03 POA INSTITUCIONAL'!G54</f>
        <v>S.I.</v>
      </c>
      <c r="I21" s="254" t="str">
        <f>+'01-FR-03 POA INSTITUCIONAL'!H54</f>
        <v>Porcentaje de actividades ejecutadas del plan de uso y apropiación</v>
      </c>
      <c r="J21" s="241" t="s">
        <v>394</v>
      </c>
      <c r="K21" s="241" t="s">
        <v>395</v>
      </c>
      <c r="L21" s="221" t="s">
        <v>396</v>
      </c>
      <c r="M21" s="255" t="s">
        <v>382</v>
      </c>
      <c r="N21" s="241" t="s">
        <v>397</v>
      </c>
      <c r="O21" s="542" t="str">
        <f>+'01-FR-03 POA INSTITUCIONAL'!J54</f>
        <v>Dirección de Tecnologías de la  Información y las Comunicaciones</v>
      </c>
      <c r="P21" s="352">
        <v>0.01</v>
      </c>
      <c r="Q21" s="352">
        <v>0.01</v>
      </c>
      <c r="R21" s="352">
        <v>0.02</v>
      </c>
      <c r="S21" s="352">
        <v>0.02</v>
      </c>
      <c r="T21" s="352">
        <v>0.02</v>
      </c>
      <c r="U21" s="352">
        <v>0.02</v>
      </c>
      <c r="V21" s="353">
        <f t="shared" si="0"/>
        <v>0.05</v>
      </c>
      <c r="W21" s="353">
        <f t="shared" si="0"/>
        <v>0.05</v>
      </c>
      <c r="X21" s="352">
        <v>0.03</v>
      </c>
      <c r="Y21" s="352"/>
      <c r="Z21" s="352">
        <v>0.03</v>
      </c>
      <c r="AA21" s="352"/>
      <c r="AB21" s="352">
        <v>0.03</v>
      </c>
      <c r="AC21" s="352"/>
      <c r="AD21" s="353">
        <f t="shared" si="1"/>
        <v>0.09</v>
      </c>
      <c r="AE21" s="353">
        <f t="shared" si="1"/>
        <v>0</v>
      </c>
      <c r="AF21" s="352">
        <v>0.03</v>
      </c>
      <c r="AG21" s="352"/>
      <c r="AH21" s="352">
        <v>0.03</v>
      </c>
      <c r="AI21" s="352"/>
      <c r="AJ21" s="352">
        <v>0.03</v>
      </c>
      <c r="AK21" s="352"/>
      <c r="AL21" s="353">
        <f t="shared" si="2"/>
        <v>0.09</v>
      </c>
      <c r="AM21" s="353">
        <f t="shared" si="2"/>
        <v>0</v>
      </c>
      <c r="AN21" s="352">
        <v>0.03</v>
      </c>
      <c r="AO21" s="352"/>
      <c r="AP21" s="352">
        <v>0.02</v>
      </c>
      <c r="AQ21" s="352"/>
      <c r="AR21" s="352">
        <v>0.02</v>
      </c>
      <c r="AS21" s="352"/>
      <c r="AT21" s="353">
        <f t="shared" si="9"/>
        <v>7.0000000000000007E-2</v>
      </c>
      <c r="AU21" s="353">
        <f t="shared" si="9"/>
        <v>0</v>
      </c>
      <c r="AV21" s="353">
        <f t="shared" si="10"/>
        <v>0.30000000000000004</v>
      </c>
      <c r="AW21" s="65">
        <f t="shared" si="3"/>
        <v>0.05</v>
      </c>
      <c r="AX21" s="381">
        <f t="shared" si="4"/>
        <v>0.05</v>
      </c>
      <c r="AY21" s="381">
        <f t="shared" si="5"/>
        <v>0.05</v>
      </c>
      <c r="AZ21" s="381">
        <f t="shared" si="6"/>
        <v>0.05</v>
      </c>
      <c r="BA21" s="350">
        <f t="shared" si="11"/>
        <v>0.16666666666666666</v>
      </c>
      <c r="BB21" s="444">
        <f t="shared" si="7"/>
        <v>0.16666666666666666</v>
      </c>
      <c r="BC21" s="444">
        <f t="shared" si="7"/>
        <v>0.16666666666666666</v>
      </c>
      <c r="BD21" s="444">
        <f t="shared" si="7"/>
        <v>0.16666666666666666</v>
      </c>
      <c r="BE21" s="342">
        <f t="shared" si="12"/>
        <v>0.05</v>
      </c>
      <c r="BF21" s="391">
        <f t="shared" si="8"/>
        <v>0.05</v>
      </c>
      <c r="BG21" s="391">
        <f t="shared" si="8"/>
        <v>0.05</v>
      </c>
      <c r="BH21" s="391">
        <f t="shared" si="8"/>
        <v>0.05</v>
      </c>
    </row>
    <row r="22" spans="2:60" ht="81.75" customHeight="1">
      <c r="B22" s="948"/>
      <c r="C22" s="948"/>
      <c r="D22" s="31" t="str">
        <f>+'01-FR-03 POA INSTITUCIONAL'!D55</f>
        <v>4.1.7 Optimizar la infraestructura tecnológica cumpliendo el 100% de las actividades de la hoja de ruta proyectada para garantizar la prestación continua de los servicios en la Entidad</v>
      </c>
      <c r="E22" s="52">
        <f>+'01-FR-03 POA INSTITUCIONAL'!E55</f>
        <v>0.15</v>
      </c>
      <c r="F22" s="341">
        <f>+'01-FR-03 POA INSTITUCIONAL'!F55</f>
        <v>1</v>
      </c>
      <c r="G22" s="161">
        <f>+'01-FR-03 POA INSTITUCIONAL'!K55</f>
        <v>0.3</v>
      </c>
      <c r="H22" s="140" t="str">
        <f>+'01-FR-03 POA INSTITUCIONAL'!G55</f>
        <v>S.I</v>
      </c>
      <c r="I22" s="254" t="str">
        <f>+'01-FR-03 POA INSTITUCIONAL'!H55</f>
        <v>Porcentaje de actividades ejecutadas de la hoja de ruta de optimización tecnológica</v>
      </c>
      <c r="J22" s="241" t="s">
        <v>399</v>
      </c>
      <c r="K22" s="241" t="s">
        <v>400</v>
      </c>
      <c r="L22" s="221" t="s">
        <v>401</v>
      </c>
      <c r="M22" s="255" t="s">
        <v>382</v>
      </c>
      <c r="N22" s="241" t="s">
        <v>387</v>
      </c>
      <c r="O22" s="542" t="str">
        <f>+'01-FR-03 POA INSTITUCIONAL'!J55</f>
        <v>Dirección de Tecnologías de la  Información y las Comunicaciones</v>
      </c>
      <c r="P22" s="352">
        <v>0.01</v>
      </c>
      <c r="Q22" s="352">
        <v>0.01</v>
      </c>
      <c r="R22" s="352">
        <v>0.02</v>
      </c>
      <c r="S22" s="352">
        <v>0.02</v>
      </c>
      <c r="T22" s="352">
        <v>0.03</v>
      </c>
      <c r="U22" s="352">
        <v>0.03</v>
      </c>
      <c r="V22" s="353">
        <f t="shared" si="0"/>
        <v>0.06</v>
      </c>
      <c r="W22" s="353">
        <f t="shared" si="0"/>
        <v>0.06</v>
      </c>
      <c r="X22" s="352">
        <v>0.03</v>
      </c>
      <c r="Y22" s="352"/>
      <c r="Z22" s="352">
        <v>0.03</v>
      </c>
      <c r="AA22" s="352"/>
      <c r="AB22" s="352">
        <v>0.03</v>
      </c>
      <c r="AC22" s="352"/>
      <c r="AD22" s="353">
        <f t="shared" si="1"/>
        <v>0.09</v>
      </c>
      <c r="AE22" s="353">
        <f t="shared" si="1"/>
        <v>0</v>
      </c>
      <c r="AF22" s="352">
        <v>0.03</v>
      </c>
      <c r="AG22" s="352"/>
      <c r="AH22" s="352">
        <v>0.03</v>
      </c>
      <c r="AI22" s="352"/>
      <c r="AJ22" s="352">
        <v>0.03</v>
      </c>
      <c r="AK22" s="352"/>
      <c r="AL22" s="353">
        <f t="shared" si="2"/>
        <v>0.09</v>
      </c>
      <c r="AM22" s="353">
        <f t="shared" si="2"/>
        <v>0</v>
      </c>
      <c r="AN22" s="352">
        <v>0.03</v>
      </c>
      <c r="AO22" s="352"/>
      <c r="AP22" s="352">
        <v>0.03</v>
      </c>
      <c r="AQ22" s="352"/>
      <c r="AR22" s="352">
        <v>0</v>
      </c>
      <c r="AS22" s="352"/>
      <c r="AT22" s="353">
        <f t="shared" si="9"/>
        <v>0.06</v>
      </c>
      <c r="AU22" s="353">
        <f t="shared" si="9"/>
        <v>0</v>
      </c>
      <c r="AV22" s="353">
        <f t="shared" si="10"/>
        <v>0.3</v>
      </c>
      <c r="AW22" s="65">
        <f t="shared" si="3"/>
        <v>0.06</v>
      </c>
      <c r="AX22" s="381">
        <f t="shared" si="4"/>
        <v>0.06</v>
      </c>
      <c r="AY22" s="381">
        <f t="shared" si="5"/>
        <v>0.06</v>
      </c>
      <c r="AZ22" s="381">
        <f t="shared" si="6"/>
        <v>0.06</v>
      </c>
      <c r="BA22" s="350">
        <f t="shared" si="11"/>
        <v>0.2</v>
      </c>
      <c r="BB22" s="444">
        <f t="shared" si="7"/>
        <v>0.2</v>
      </c>
      <c r="BC22" s="444">
        <f t="shared" si="7"/>
        <v>0.2</v>
      </c>
      <c r="BD22" s="444">
        <f t="shared" si="7"/>
        <v>0.2</v>
      </c>
      <c r="BE22" s="342">
        <f t="shared" si="12"/>
        <v>0.06</v>
      </c>
      <c r="BF22" s="391">
        <f t="shared" si="8"/>
        <v>0.06</v>
      </c>
      <c r="BG22" s="391">
        <f t="shared" si="8"/>
        <v>0.06</v>
      </c>
      <c r="BH22" s="391">
        <f t="shared" si="8"/>
        <v>0.06</v>
      </c>
    </row>
    <row r="23" spans="2:60" ht="22.8">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1"/>
      <c r="AX23" s="918" t="s">
        <v>19</v>
      </c>
      <c r="AY23" s="947"/>
      <c r="AZ23" s="947"/>
      <c r="BA23" s="70">
        <f t="shared" ref="BA23:BD23" si="13">AVERAGE(BA16:BA22)</f>
        <v>0.18095238095238095</v>
      </c>
      <c r="BB23" s="70">
        <f t="shared" si="13"/>
        <v>0.18095238095238095</v>
      </c>
      <c r="BC23" s="70">
        <f t="shared" si="13"/>
        <v>0.18095238095238095</v>
      </c>
      <c r="BD23" s="70">
        <f t="shared" si="13"/>
        <v>0.18095238095238095</v>
      </c>
      <c r="BE23" s="934"/>
      <c r="BF23" s="935"/>
      <c r="BG23" s="935"/>
      <c r="BH23" s="936"/>
    </row>
    <row r="24" spans="2:60">
      <c r="B24" s="900" t="s">
        <v>291</v>
      </c>
      <c r="C24" s="900"/>
      <c r="D24" s="900"/>
      <c r="E24" s="900"/>
      <c r="F24" s="900"/>
      <c r="G24" s="900"/>
      <c r="H24" s="247"/>
      <c r="I24" s="248"/>
      <c r="J24" s="248"/>
      <c r="K24" s="248"/>
      <c r="L24" s="248"/>
      <c r="M24" s="248"/>
      <c r="N24" s="248"/>
      <c r="O24" s="248"/>
    </row>
    <row r="25" spans="2:60">
      <c r="B25" s="248"/>
      <c r="C25" s="248"/>
      <c r="D25" s="929"/>
      <c r="E25" s="929"/>
      <c r="F25" s="929"/>
      <c r="G25" s="929"/>
      <c r="H25" s="929"/>
      <c r="I25" s="929"/>
      <c r="J25" s="929"/>
      <c r="K25" s="929"/>
      <c r="L25" s="929"/>
      <c r="M25" s="929"/>
      <c r="N25" s="929"/>
      <c r="O25" s="929"/>
    </row>
    <row r="26" spans="2:60" ht="15.6">
      <c r="B26" s="77" t="s">
        <v>26</v>
      </c>
      <c r="C26" s="249">
        <v>44224</v>
      </c>
      <c r="D26" s="250"/>
      <c r="E26" s="932" t="s">
        <v>50</v>
      </c>
      <c r="F26" s="368"/>
      <c r="G26" s="933" t="s">
        <v>405</v>
      </c>
      <c r="H26" s="933"/>
      <c r="I26" s="933"/>
      <c r="J26" s="933"/>
      <c r="K26" s="251"/>
      <c r="L26" s="938"/>
      <c r="M26" s="938"/>
      <c r="N26" s="938"/>
      <c r="O26" s="939"/>
    </row>
    <row r="27" spans="2:60" ht="15.6">
      <c r="B27" s="248"/>
      <c r="C27" s="248"/>
      <c r="D27" s="251"/>
      <c r="E27" s="932"/>
      <c r="F27" s="368"/>
      <c r="G27" s="933"/>
      <c r="H27" s="933"/>
      <c r="I27" s="933"/>
      <c r="J27" s="933"/>
      <c r="K27" s="248"/>
      <c r="L27" s="248"/>
      <c r="M27" s="248"/>
      <c r="N27" s="248"/>
      <c r="O27" s="248"/>
    </row>
    <row r="28" spans="2:60" ht="15.6">
      <c r="B28" s="77" t="s">
        <v>49</v>
      </c>
      <c r="C28" s="249"/>
      <c r="D28" s="248"/>
      <c r="E28" s="248"/>
      <c r="F28" s="248"/>
      <c r="K28" s="248"/>
      <c r="L28" s="248"/>
      <c r="M28" s="248"/>
      <c r="N28" s="248"/>
      <c r="O28" s="248"/>
    </row>
    <row r="29" spans="2:60">
      <c r="B29" s="248"/>
      <c r="C29" s="248"/>
      <c r="D29" s="248"/>
      <c r="E29" s="248"/>
      <c r="F29" s="248"/>
      <c r="K29" s="248"/>
      <c r="L29" s="248"/>
      <c r="M29" s="248"/>
      <c r="N29" s="248"/>
      <c r="O29" s="248"/>
    </row>
    <row r="30" spans="2:60">
      <c r="B30" s="248"/>
      <c r="C30" s="248"/>
      <c r="D30" s="248"/>
      <c r="E30" s="248"/>
      <c r="F30" s="248"/>
      <c r="G30" s="247"/>
      <c r="H30" s="247"/>
      <c r="I30" s="937"/>
      <c r="J30" s="937"/>
      <c r="K30" s="937"/>
      <c r="L30" s="937"/>
      <c r="M30" s="252"/>
      <c r="N30" s="252"/>
      <c r="O30" s="252"/>
    </row>
    <row r="31" spans="2:60">
      <c r="B31" s="248"/>
      <c r="C31" s="248"/>
      <c r="D31" s="248"/>
      <c r="E31" s="248"/>
      <c r="F31" s="248"/>
      <c r="G31" s="247"/>
      <c r="H31" s="247"/>
      <c r="I31" s="248"/>
      <c r="J31" s="248"/>
      <c r="K31" s="253"/>
      <c r="L31" s="248"/>
      <c r="M31" s="248"/>
      <c r="N31" s="248"/>
      <c r="O31" s="248"/>
    </row>
    <row r="32" spans="2:60">
      <c r="B32" s="248"/>
      <c r="C32" s="248"/>
      <c r="D32" s="248"/>
      <c r="E32" s="248"/>
      <c r="F32" s="248"/>
      <c r="G32" s="247"/>
      <c r="H32" s="247"/>
      <c r="I32" s="937"/>
      <c r="J32" s="937"/>
      <c r="K32" s="937"/>
      <c r="L32" s="937"/>
      <c r="M32" s="252"/>
      <c r="N32" s="252"/>
      <c r="O32" s="252"/>
    </row>
    <row r="33" spans="2:15">
      <c r="B33" s="248"/>
      <c r="C33" s="248"/>
      <c r="D33" s="248"/>
      <c r="E33" s="248"/>
      <c r="F33" s="248"/>
      <c r="G33" s="247"/>
      <c r="H33" s="247"/>
      <c r="I33" s="248"/>
      <c r="J33" s="248"/>
      <c r="K33" s="253"/>
      <c r="L33" s="248"/>
      <c r="M33" s="248"/>
      <c r="N33" s="248"/>
      <c r="O33" s="248"/>
    </row>
    <row r="34" spans="2:15">
      <c r="B34" s="248"/>
      <c r="C34" s="248"/>
      <c r="D34" s="248"/>
      <c r="E34" s="248"/>
      <c r="F34" s="248"/>
      <c r="G34" s="247"/>
      <c r="H34" s="247"/>
      <c r="I34" s="937"/>
      <c r="J34" s="937"/>
      <c r="K34" s="937"/>
      <c r="L34" s="937"/>
      <c r="M34" s="252"/>
      <c r="N34" s="252"/>
      <c r="O34" s="252"/>
    </row>
  </sheetData>
  <sheetProtection algorithmName="SHA-512" hashValue="C2DzzKEvhbl9PPvLO9/dFuxQpatSmVC7/KKy32G/kDTKYOpxS1Jx3YqU2HKOpGdUMgG094yeoRXLjUX9WnDjsA==" saltValue="IJEcQ9NDw0Nad/PeE6vhzQ==" spinCount="100000" sheet="1" objects="1" scenarios="1"/>
  <mergeCells count="71">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G12:G15"/>
    <mergeCell ref="F12:F15"/>
    <mergeCell ref="N12:N15"/>
    <mergeCell ref="O12:O15"/>
    <mergeCell ref="H12:H15"/>
    <mergeCell ref="K12:K15"/>
    <mergeCell ref="L12:L15"/>
    <mergeCell ref="M12:M15"/>
    <mergeCell ref="I12:I15"/>
    <mergeCell ref="J12:J15"/>
    <mergeCell ref="I32:L32"/>
    <mergeCell ref="I34:L34"/>
    <mergeCell ref="B24:G24"/>
    <mergeCell ref="AX23:AZ23"/>
    <mergeCell ref="D25:O25"/>
    <mergeCell ref="E26:E27"/>
    <mergeCell ref="G26:J27"/>
    <mergeCell ref="L26:O26"/>
    <mergeCell ref="I30:L30"/>
    <mergeCell ref="B23:AW23"/>
  </mergeCells>
  <conditionalFormatting sqref="BA16:BD22">
    <cfRule type="cellIs" dxfId="54" priority="1" operator="greaterThan">
      <formula>1</formula>
    </cfRule>
    <cfRule type="cellIs" dxfId="53" priority="8" operator="between">
      <formula>0.8</formula>
      <formula>1</formula>
    </cfRule>
    <cfRule type="cellIs" dxfId="52" priority="9" operator="between">
      <formula>0.61</formula>
      <formula>0.79</formula>
    </cfRule>
    <cfRule type="cellIs" dxfId="51"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92D050"/>
  </sheetPr>
  <dimension ref="B1:BH29"/>
  <sheetViews>
    <sheetView showGridLines="0" topLeftCell="A4" zoomScale="70" zoomScaleNormal="70" workbookViewId="0">
      <selection activeCell="O16" sqref="O16:O17"/>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6" width="27.4414062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44140625" style="3" customWidth="1"/>
    <col min="15" max="15" width="50" style="3" customWidth="1"/>
    <col min="16" max="47" width="15.88671875" style="1" customWidth="1"/>
    <col min="48" max="48" width="24.4414062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44140625" style="1" customWidth="1"/>
    <col min="59" max="59" width="26.33203125" style="1" customWidth="1"/>
    <col min="60" max="60" width="27.33203125" style="1" customWidth="1"/>
    <col min="61" max="16384" width="17.33203125" style="1"/>
  </cols>
  <sheetData>
    <row r="1" spans="2:60" ht="15.6" thickBot="1"/>
    <row r="2" spans="2:60" ht="15.6" customHeight="1">
      <c r="B2" s="901" t="s">
        <v>748</v>
      </c>
      <c r="C2" s="999" t="s">
        <v>118</v>
      </c>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1000"/>
      <c r="BE2" s="1000"/>
      <c r="BF2" s="1001"/>
      <c r="BG2" s="37" t="s">
        <v>31</v>
      </c>
      <c r="BH2" s="38"/>
    </row>
    <row r="3" spans="2:60" ht="15.6" customHeight="1">
      <c r="B3" s="902"/>
      <c r="C3" s="1002"/>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4"/>
      <c r="BG3" s="13" t="s">
        <v>28</v>
      </c>
      <c r="BH3" s="6" t="s">
        <v>29</v>
      </c>
    </row>
    <row r="4" spans="2:60" ht="15" customHeight="1">
      <c r="B4" s="902"/>
      <c r="C4" s="1002"/>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4"/>
      <c r="BG4" s="213">
        <v>5</v>
      </c>
      <c r="BH4" s="30" t="s">
        <v>714</v>
      </c>
    </row>
    <row r="5" spans="2:60" ht="15.6" customHeight="1">
      <c r="B5" s="902"/>
      <c r="C5" s="1002"/>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4"/>
      <c r="BG5" s="214" t="s">
        <v>30</v>
      </c>
      <c r="BH5" s="215"/>
    </row>
    <row r="6" spans="2:60" ht="15.6" customHeight="1" thickBot="1">
      <c r="B6" s="903"/>
      <c r="C6" s="1005"/>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7"/>
      <c r="BG6" s="930">
        <v>44306</v>
      </c>
      <c r="BH6" s="931"/>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992"/>
      <c r="AX7" s="993"/>
      <c r="AY7" s="993"/>
      <c r="AZ7" s="993"/>
      <c r="BA7" s="994"/>
      <c r="BB7" s="39"/>
      <c r="BC7" s="39"/>
      <c r="BD7" s="39"/>
      <c r="BE7" s="12"/>
      <c r="BF7" s="12"/>
    </row>
    <row r="8" spans="2:60" ht="24.6">
      <c r="B8" s="19" t="s">
        <v>45</v>
      </c>
      <c r="C8" s="995" t="s">
        <v>86</v>
      </c>
      <c r="D8" s="995"/>
      <c r="E8" s="17"/>
      <c r="F8" s="17"/>
      <c r="G8" s="17"/>
      <c r="H8" s="17"/>
      <c r="I8" s="17"/>
      <c r="J8" s="17"/>
      <c r="K8" s="17"/>
      <c r="L8" s="17"/>
      <c r="M8" s="17"/>
      <c r="N8" s="17"/>
      <c r="O8" s="17"/>
      <c r="AW8" s="39"/>
      <c r="AX8" s="39"/>
      <c r="AY8" s="39"/>
      <c r="AZ8" s="39"/>
      <c r="BA8" s="39"/>
      <c r="BB8" s="39"/>
      <c r="BC8" s="39"/>
      <c r="BD8" s="39"/>
    </row>
    <row r="9" spans="2:60" ht="50.25" customHeight="1">
      <c r="B9" s="19" t="s">
        <v>34</v>
      </c>
      <c r="C9" s="996" t="s">
        <v>292</v>
      </c>
      <c r="D9" s="997"/>
      <c r="E9" s="17"/>
      <c r="F9" s="17"/>
      <c r="G9" s="17"/>
      <c r="H9" s="17"/>
      <c r="I9" s="17"/>
      <c r="J9" s="17"/>
      <c r="K9" s="17"/>
      <c r="L9" s="17"/>
      <c r="M9" s="17"/>
      <c r="N9" s="17"/>
      <c r="O9" s="17"/>
      <c r="AW9" s="39"/>
      <c r="AX9" s="39"/>
      <c r="AY9" s="39"/>
      <c r="AZ9" s="39"/>
      <c r="BA9" s="39"/>
      <c r="BB9" s="39"/>
      <c r="BC9" s="39"/>
      <c r="BD9" s="39"/>
    </row>
    <row r="10" spans="2:60" ht="24.6">
      <c r="B10" s="19" t="s">
        <v>101</v>
      </c>
      <c r="C10" s="1009">
        <v>2021</v>
      </c>
      <c r="D10" s="1010"/>
      <c r="E10" s="17"/>
      <c r="F10" s="17"/>
      <c r="G10" s="17"/>
      <c r="H10" s="17"/>
      <c r="I10" s="17"/>
      <c r="J10" s="17"/>
      <c r="K10" s="17"/>
      <c r="L10" s="17"/>
      <c r="M10" s="17"/>
      <c r="N10" s="17"/>
      <c r="O10" s="17"/>
      <c r="AW10" s="39"/>
      <c r="AX10" s="39"/>
      <c r="AY10" s="39"/>
      <c r="AZ10" s="39"/>
      <c r="BA10" s="39"/>
      <c r="BB10" s="39"/>
      <c r="BC10" s="39"/>
      <c r="BD10" s="39"/>
    </row>
    <row r="11" spans="2:60">
      <c r="B11" s="2"/>
      <c r="C11" s="2"/>
      <c r="D11" s="2"/>
      <c r="E11" s="2"/>
      <c r="F11" s="2"/>
      <c r="G11" s="4"/>
      <c r="H11" s="4"/>
      <c r="I11" s="2"/>
      <c r="J11" s="2"/>
      <c r="K11" s="2"/>
      <c r="L11" s="2"/>
      <c r="M11" s="2"/>
      <c r="N11" s="2"/>
      <c r="O11" s="2"/>
      <c r="AW11" s="39"/>
      <c r="AX11" s="39"/>
      <c r="AY11" s="39"/>
      <c r="AZ11" s="39"/>
      <c r="BA11" s="39"/>
      <c r="BB11" s="39"/>
      <c r="BC11" s="39"/>
      <c r="BD11" s="39"/>
    </row>
    <row r="12" spans="2:60" ht="15.6" customHeight="1">
      <c r="B12" s="920" t="s">
        <v>0</v>
      </c>
      <c r="C12" s="920" t="s">
        <v>52</v>
      </c>
      <c r="D12" s="920" t="s">
        <v>774</v>
      </c>
      <c r="E12" s="920" t="s">
        <v>61</v>
      </c>
      <c r="F12" s="920" t="s">
        <v>744</v>
      </c>
      <c r="G12" s="920" t="s">
        <v>58</v>
      </c>
      <c r="H12" s="920" t="s">
        <v>25</v>
      </c>
      <c r="I12" s="920" t="s">
        <v>60</v>
      </c>
      <c r="J12" s="920" t="s">
        <v>39</v>
      </c>
      <c r="K12" s="920" t="s">
        <v>36</v>
      </c>
      <c r="L12" s="920" t="s">
        <v>20</v>
      </c>
      <c r="M12" s="920" t="s">
        <v>51</v>
      </c>
      <c r="N12" s="920" t="s">
        <v>40</v>
      </c>
      <c r="O12" s="920" t="s">
        <v>42</v>
      </c>
      <c r="P12" s="982" t="s">
        <v>112</v>
      </c>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c r="AU12" s="982"/>
      <c r="AV12" s="1008" t="s">
        <v>62</v>
      </c>
      <c r="AW12" s="894" t="s">
        <v>745</v>
      </c>
      <c r="AX12" s="895"/>
      <c r="AY12" s="895"/>
      <c r="AZ12" s="896"/>
      <c r="BA12" s="883" t="s">
        <v>746</v>
      </c>
      <c r="BB12" s="884"/>
      <c r="BC12" s="884"/>
      <c r="BD12" s="885"/>
      <c r="BE12" s="923" t="s">
        <v>747</v>
      </c>
      <c r="BF12" s="924"/>
      <c r="BG12" s="924"/>
      <c r="BH12" s="925"/>
    </row>
    <row r="13" spans="2:60" ht="15.6">
      <c r="B13" s="920"/>
      <c r="C13" s="920"/>
      <c r="D13" s="920"/>
      <c r="E13" s="920"/>
      <c r="F13" s="920"/>
      <c r="G13" s="920"/>
      <c r="H13" s="920"/>
      <c r="I13" s="920"/>
      <c r="J13" s="920"/>
      <c r="K13" s="920"/>
      <c r="L13" s="920"/>
      <c r="M13" s="920"/>
      <c r="N13" s="920"/>
      <c r="O13" s="920"/>
      <c r="P13" s="998" t="s">
        <v>21</v>
      </c>
      <c r="Q13" s="998"/>
      <c r="R13" s="998"/>
      <c r="S13" s="998"/>
      <c r="T13" s="998"/>
      <c r="U13" s="998"/>
      <c r="V13" s="998"/>
      <c r="W13" s="998"/>
      <c r="X13" s="998" t="s">
        <v>22</v>
      </c>
      <c r="Y13" s="998"/>
      <c r="Z13" s="998"/>
      <c r="AA13" s="998"/>
      <c r="AB13" s="998"/>
      <c r="AC13" s="998"/>
      <c r="AD13" s="998"/>
      <c r="AE13" s="998"/>
      <c r="AF13" s="998" t="s">
        <v>23</v>
      </c>
      <c r="AG13" s="998"/>
      <c r="AH13" s="998"/>
      <c r="AI13" s="998"/>
      <c r="AJ13" s="998"/>
      <c r="AK13" s="998"/>
      <c r="AL13" s="998"/>
      <c r="AM13" s="998"/>
      <c r="AN13" s="998" t="s">
        <v>24</v>
      </c>
      <c r="AO13" s="998"/>
      <c r="AP13" s="998"/>
      <c r="AQ13" s="998"/>
      <c r="AR13" s="998"/>
      <c r="AS13" s="998"/>
      <c r="AT13" s="998"/>
      <c r="AU13" s="998"/>
      <c r="AV13" s="1008"/>
      <c r="AW13" s="986" t="s">
        <v>119</v>
      </c>
      <c r="AX13" s="986" t="s">
        <v>22</v>
      </c>
      <c r="AY13" s="986" t="s">
        <v>120</v>
      </c>
      <c r="AZ13" s="986" t="s">
        <v>121</v>
      </c>
      <c r="BA13" s="989" t="s">
        <v>119</v>
      </c>
      <c r="BB13" s="989" t="s">
        <v>122</v>
      </c>
      <c r="BC13" s="989" t="s">
        <v>123</v>
      </c>
      <c r="BD13" s="989" t="s">
        <v>124</v>
      </c>
      <c r="BE13" s="983" t="s">
        <v>21</v>
      </c>
      <c r="BF13" s="983" t="s">
        <v>22</v>
      </c>
      <c r="BG13" s="983" t="s">
        <v>23</v>
      </c>
      <c r="BH13" s="983" t="s">
        <v>24</v>
      </c>
    </row>
    <row r="14" spans="2:60" ht="15.6">
      <c r="B14" s="920"/>
      <c r="C14" s="920"/>
      <c r="D14" s="920"/>
      <c r="E14" s="920"/>
      <c r="F14" s="920"/>
      <c r="G14" s="920"/>
      <c r="H14" s="920"/>
      <c r="I14" s="920"/>
      <c r="J14" s="920"/>
      <c r="K14" s="920"/>
      <c r="L14" s="920"/>
      <c r="M14" s="920"/>
      <c r="N14" s="920"/>
      <c r="O14" s="920"/>
      <c r="P14" s="981" t="s">
        <v>5</v>
      </c>
      <c r="Q14" s="981"/>
      <c r="R14" s="981" t="s">
        <v>6</v>
      </c>
      <c r="S14" s="981"/>
      <c r="T14" s="981" t="s">
        <v>7</v>
      </c>
      <c r="U14" s="981"/>
      <c r="V14" s="982" t="s">
        <v>8</v>
      </c>
      <c r="W14" s="982"/>
      <c r="X14" s="981" t="s">
        <v>27</v>
      </c>
      <c r="Y14" s="981"/>
      <c r="Z14" s="981" t="s">
        <v>9</v>
      </c>
      <c r="AA14" s="981"/>
      <c r="AB14" s="981" t="s">
        <v>10</v>
      </c>
      <c r="AC14" s="981"/>
      <c r="AD14" s="982" t="s">
        <v>8</v>
      </c>
      <c r="AE14" s="982"/>
      <c r="AF14" s="981" t="s">
        <v>11</v>
      </c>
      <c r="AG14" s="981"/>
      <c r="AH14" s="981" t="s">
        <v>12</v>
      </c>
      <c r="AI14" s="981"/>
      <c r="AJ14" s="981" t="s">
        <v>13</v>
      </c>
      <c r="AK14" s="981"/>
      <c r="AL14" s="982" t="s">
        <v>8</v>
      </c>
      <c r="AM14" s="982"/>
      <c r="AN14" s="981" t="s">
        <v>14</v>
      </c>
      <c r="AO14" s="981"/>
      <c r="AP14" s="981" t="s">
        <v>15</v>
      </c>
      <c r="AQ14" s="981"/>
      <c r="AR14" s="981" t="s">
        <v>16</v>
      </c>
      <c r="AS14" s="981"/>
      <c r="AT14" s="982" t="s">
        <v>8</v>
      </c>
      <c r="AU14" s="982"/>
      <c r="AV14" s="1008"/>
      <c r="AW14" s="987"/>
      <c r="AX14" s="987"/>
      <c r="AY14" s="987"/>
      <c r="AZ14" s="987"/>
      <c r="BA14" s="990"/>
      <c r="BB14" s="990"/>
      <c r="BC14" s="990"/>
      <c r="BD14" s="990"/>
      <c r="BE14" s="984"/>
      <c r="BF14" s="984"/>
      <c r="BG14" s="984"/>
      <c r="BH14" s="984"/>
    </row>
    <row r="15" spans="2:60" ht="13.2" customHeight="1">
      <c r="B15" s="920"/>
      <c r="C15" s="920"/>
      <c r="D15" s="920"/>
      <c r="E15" s="920"/>
      <c r="F15" s="920"/>
      <c r="G15" s="920"/>
      <c r="H15" s="920"/>
      <c r="I15" s="920"/>
      <c r="J15" s="920"/>
      <c r="K15" s="920"/>
      <c r="L15" s="920"/>
      <c r="M15" s="920"/>
      <c r="N15" s="920"/>
      <c r="O15" s="920"/>
      <c r="P15" s="54" t="s">
        <v>17</v>
      </c>
      <c r="Q15" s="55" t="s">
        <v>18</v>
      </c>
      <c r="R15" s="54" t="s">
        <v>17</v>
      </c>
      <c r="S15" s="55" t="s">
        <v>18</v>
      </c>
      <c r="T15" s="54" t="s">
        <v>17</v>
      </c>
      <c r="U15" s="55" t="s">
        <v>18</v>
      </c>
      <c r="V15" s="56" t="s">
        <v>17</v>
      </c>
      <c r="W15" s="57" t="s">
        <v>18</v>
      </c>
      <c r="X15" s="54" t="s">
        <v>17</v>
      </c>
      <c r="Y15" s="55" t="s">
        <v>18</v>
      </c>
      <c r="Z15" s="54" t="s">
        <v>17</v>
      </c>
      <c r="AA15" s="55" t="s">
        <v>18</v>
      </c>
      <c r="AB15" s="54" t="s">
        <v>17</v>
      </c>
      <c r="AC15" s="55" t="s">
        <v>18</v>
      </c>
      <c r="AD15" s="56" t="s">
        <v>17</v>
      </c>
      <c r="AE15" s="57" t="s">
        <v>18</v>
      </c>
      <c r="AF15" s="54" t="s">
        <v>17</v>
      </c>
      <c r="AG15" s="55" t="s">
        <v>18</v>
      </c>
      <c r="AH15" s="54" t="s">
        <v>17</v>
      </c>
      <c r="AI15" s="55" t="s">
        <v>18</v>
      </c>
      <c r="AJ15" s="54" t="s">
        <v>17</v>
      </c>
      <c r="AK15" s="55" t="s">
        <v>18</v>
      </c>
      <c r="AL15" s="56" t="s">
        <v>17</v>
      </c>
      <c r="AM15" s="57" t="s">
        <v>18</v>
      </c>
      <c r="AN15" s="54" t="s">
        <v>17</v>
      </c>
      <c r="AO15" s="55" t="s">
        <v>18</v>
      </c>
      <c r="AP15" s="54" t="s">
        <v>17</v>
      </c>
      <c r="AQ15" s="55" t="s">
        <v>18</v>
      </c>
      <c r="AR15" s="54" t="s">
        <v>17</v>
      </c>
      <c r="AS15" s="55" t="s">
        <v>18</v>
      </c>
      <c r="AT15" s="56" t="s">
        <v>17</v>
      </c>
      <c r="AU15" s="57" t="s">
        <v>18</v>
      </c>
      <c r="AV15" s="1008"/>
      <c r="AW15" s="988"/>
      <c r="AX15" s="988"/>
      <c r="AY15" s="988"/>
      <c r="AZ15" s="988"/>
      <c r="BA15" s="991"/>
      <c r="BB15" s="991"/>
      <c r="BC15" s="991"/>
      <c r="BD15" s="991"/>
      <c r="BE15" s="985"/>
      <c r="BF15" s="985"/>
      <c r="BG15" s="985"/>
      <c r="BH15" s="985"/>
    </row>
    <row r="16" spans="2:60" ht="81.599999999999994" customHeight="1">
      <c r="B16" s="97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79" t="str">
        <f>+'01-FR-03 POA INSTITUCIONAL'!C91</f>
        <v>4.6. Desarrollar el 100% de las estrategias de comunicación organizacional y de medios que contribuyan al logro de los objetivos institucionales y al posicionamiento de la Entidad.</v>
      </c>
      <c r="D16" s="51" t="str">
        <f>+'01-FR-03 POA INSTITUCIONAL'!D91</f>
        <v>4.6.1  Desarrollar el 100% de los productos para comunicación y divulgación externa que promuevan y difundan la gestión institucional</v>
      </c>
      <c r="E16" s="52">
        <f>+'01-FR-03 POA INSTITUCIONAL'!E91</f>
        <v>0.5</v>
      </c>
      <c r="F16" s="52">
        <f>+'01-FR-03 POA INSTITUCIONAL'!F91</f>
        <v>1</v>
      </c>
      <c r="G16" s="52">
        <f>+'01-FR-03 POA INSTITUCIONAL'!K91</f>
        <v>1</v>
      </c>
      <c r="H16" s="52">
        <f>+'01-FR-03 POA INSTITUCIONAL'!G91</f>
        <v>1</v>
      </c>
      <c r="I16" s="40" t="str">
        <f>+'01-FR-03 POA INSTITUCIONAL'!H91</f>
        <v>Productos de comunicación externa desarrollados</v>
      </c>
      <c r="J16" s="72" t="s">
        <v>640</v>
      </c>
      <c r="K16" s="61" t="s">
        <v>646</v>
      </c>
      <c r="L16" s="71" t="s">
        <v>641</v>
      </c>
      <c r="M16" s="71" t="s">
        <v>642</v>
      </c>
      <c r="N16" s="71" t="s">
        <v>643</v>
      </c>
      <c r="O16" s="62" t="str">
        <f>+'01-FR-03 POA INSTITUCIONAL'!J91</f>
        <v>Oficina Asesora de Comunicaciones</v>
      </c>
      <c r="P16" s="92">
        <v>1</v>
      </c>
      <c r="Q16" s="340">
        <v>1</v>
      </c>
      <c r="R16" s="92">
        <v>1</v>
      </c>
      <c r="S16" s="340">
        <v>1</v>
      </c>
      <c r="T16" s="92">
        <v>1</v>
      </c>
      <c r="U16" s="340">
        <v>1</v>
      </c>
      <c r="V16" s="89">
        <f>AVERAGE(P16,R16,T16)</f>
        <v>1</v>
      </c>
      <c r="W16" s="89">
        <f>IFERROR(AVERAGE(Q16,S16,U16),0)</f>
        <v>1</v>
      </c>
      <c r="X16" s="92">
        <v>1</v>
      </c>
      <c r="Y16" s="397">
        <v>0</v>
      </c>
      <c r="Z16" s="92">
        <v>1</v>
      </c>
      <c r="AA16" s="397">
        <v>0</v>
      </c>
      <c r="AB16" s="92">
        <v>1</v>
      </c>
      <c r="AC16" s="397">
        <v>0</v>
      </c>
      <c r="AD16" s="89">
        <f>AVERAGE(X16,Z16,AB16)</f>
        <v>1</v>
      </c>
      <c r="AE16" s="89">
        <f>IFERROR(AVERAGE(Y16,AA16,AC16),0)</f>
        <v>0</v>
      </c>
      <c r="AF16" s="92">
        <v>1</v>
      </c>
      <c r="AG16" s="397">
        <v>0</v>
      </c>
      <c r="AH16" s="92">
        <v>1</v>
      </c>
      <c r="AI16" s="397">
        <v>0</v>
      </c>
      <c r="AJ16" s="92">
        <v>1</v>
      </c>
      <c r="AK16" s="398">
        <v>0</v>
      </c>
      <c r="AL16" s="89">
        <f>AVERAGE(AF16,AH16,AJ16)</f>
        <v>1</v>
      </c>
      <c r="AM16" s="89">
        <f>IFERROR(AVERAGE(AG16,AI16,AK16),0)</f>
        <v>0</v>
      </c>
      <c r="AN16" s="92">
        <v>1</v>
      </c>
      <c r="AO16" s="397">
        <v>0</v>
      </c>
      <c r="AP16" s="92">
        <v>1</v>
      </c>
      <c r="AQ16" s="397">
        <v>0</v>
      </c>
      <c r="AR16" s="92">
        <v>1</v>
      </c>
      <c r="AS16" s="397">
        <v>0</v>
      </c>
      <c r="AT16" s="89">
        <f>AVERAGE(AN16,AP16,AR16)</f>
        <v>1</v>
      </c>
      <c r="AU16" s="89">
        <f>IFERROR(AVERAGE(AO16,AQ16,AS16),0)</f>
        <v>0</v>
      </c>
      <c r="AV16" s="89">
        <f>AVERAGE(P16,R16,T16,X16,Z16,AB16,AF16,AH16,AJ16,AN16,AP16,AR16)</f>
        <v>1</v>
      </c>
      <c r="AW16" s="65">
        <f>IFERROR(IF(OR($AV$16="",$AV$16=0),0,ROUNDDOWN(AVERAGE($Q16,$S16,$U16),3)),0)</f>
        <v>1</v>
      </c>
      <c r="AX16" s="381">
        <f>IFERROR(IF(OR($AV$17="",$AV$17=0),0,ROUNDDOWN(AVERAGE($Q16,$S16,$U16,$Y16,$AA16,$AC16),3)),0)</f>
        <v>0.5</v>
      </c>
      <c r="AY16" s="381">
        <f>IFERROR(IF(OR($AV$16="",$AV$16=0),0,ROUNDDOWN(AVERAGE($Q16,$S16,$U16,$Y16,$AA16,$AC16,$AG16,$AI16,$AK16),3)),0)</f>
        <v>0.33300000000000002</v>
      </c>
      <c r="AZ16" s="381">
        <f t="shared" ref="AZ16" si="0">IFERROR(IF(OR($AV$16="",$AV$16=0),0,ROUNDDOWN(AVERAGE($Q16,$S16,$U16,$Y16,$AA16,$AC16,$AG16,$AI16,$AK16,$AO16,$AQ16,$AS16),3)),0)</f>
        <v>0.25</v>
      </c>
      <c r="BA16" s="386">
        <f>(IF(AND(AW16&gt;0,$AV16&gt;0),AW16/$AV16,0))*0.25</f>
        <v>0.25</v>
      </c>
      <c r="BB16" s="386">
        <f>(IF(AND(AX16&gt;0,$AV16&gt;0),AX16/$AV16,0))*0.5</f>
        <v>0.25</v>
      </c>
      <c r="BC16" s="386">
        <f>(IF(AND(AY16&gt;0,$AV16&gt;0),AY16/$AV16,0))*0.75</f>
        <v>0.24975000000000003</v>
      </c>
      <c r="BD16" s="386">
        <f t="shared" ref="BD16" si="1">(IF(AND(AZ16&gt;0,$AV16&gt;0),AZ16/$AV16,0))</f>
        <v>0.25</v>
      </c>
      <c r="BE16" s="399">
        <f>((IF(AND(AW16&gt;0,$F16&gt;0),AW16/$F16,0))/4)*0.25</f>
        <v>6.25E-2</v>
      </c>
      <c r="BF16" s="400">
        <f>((IF(AND(AX16&gt;0,$F16&gt;0),AX16/$F16,0))/4)*0.5</f>
        <v>6.25E-2</v>
      </c>
      <c r="BG16" s="400">
        <f>((IF(AND(AY16&gt;0,$F16&gt;0),AY16/$F16,0))/4)*0.75</f>
        <v>6.2437500000000007E-2</v>
      </c>
      <c r="BH16" s="400">
        <f>((IF(AND(AZ16&gt;0,$F16&gt;0),AZ16/$F16,0))/4)</f>
        <v>6.25E-2</v>
      </c>
    </row>
    <row r="17" spans="2:60" ht="78.599999999999994" customHeight="1">
      <c r="B17" s="980"/>
      <c r="C17" s="980"/>
      <c r="D17" s="51" t="str">
        <f>+'01-FR-03 POA INSTITUCIONAL'!D92</f>
        <v>4.6.2 Desarrollar el 100% de los productos para comunicación y divulgación interna que contribuyan a la consecución de objetivos institucionales</v>
      </c>
      <c r="E17" s="52">
        <f>+'01-FR-03 POA INSTITUCIONAL'!E92</f>
        <v>0.5</v>
      </c>
      <c r="F17" s="52">
        <f>+'01-FR-03 POA INSTITUCIONAL'!F92</f>
        <v>1</v>
      </c>
      <c r="G17" s="52">
        <f>+'01-FR-03 POA INSTITUCIONAL'!K92</f>
        <v>1</v>
      </c>
      <c r="H17" s="52">
        <f>+'01-FR-03 POA INSTITUCIONAL'!G92</f>
        <v>1</v>
      </c>
      <c r="I17" s="40" t="str">
        <f>+'01-FR-03 POA INSTITUCIONAL'!H92</f>
        <v>Productos  de comunicación interna
desarrollados</v>
      </c>
      <c r="J17" s="72" t="s">
        <v>644</v>
      </c>
      <c r="K17" s="61" t="s">
        <v>647</v>
      </c>
      <c r="L17" s="71" t="s">
        <v>645</v>
      </c>
      <c r="M17" s="71" t="s">
        <v>642</v>
      </c>
      <c r="N17" s="71" t="s">
        <v>643</v>
      </c>
      <c r="O17" s="62" t="str">
        <f>+'01-FR-03 POA INSTITUCIONAL'!J92</f>
        <v>Oficina Asesora de Comunicaciones</v>
      </c>
      <c r="P17" s="92">
        <v>1</v>
      </c>
      <c r="Q17" s="340">
        <v>1</v>
      </c>
      <c r="R17" s="92">
        <v>1</v>
      </c>
      <c r="S17" s="340">
        <v>1</v>
      </c>
      <c r="T17" s="92">
        <v>1</v>
      </c>
      <c r="U17" s="340">
        <v>1</v>
      </c>
      <c r="V17" s="89">
        <f t="shared" ref="V17" si="2">AVERAGE(P17,R17,T17)</f>
        <v>1</v>
      </c>
      <c r="W17" s="89">
        <f t="shared" ref="W17" si="3">IFERROR(AVERAGE(Q17,S17,U17),0)</f>
        <v>1</v>
      </c>
      <c r="X17" s="92">
        <v>1</v>
      </c>
      <c r="Y17" s="397">
        <v>0</v>
      </c>
      <c r="Z17" s="92">
        <v>1</v>
      </c>
      <c r="AA17" s="397">
        <v>0</v>
      </c>
      <c r="AB17" s="92">
        <v>1</v>
      </c>
      <c r="AC17" s="397">
        <v>0</v>
      </c>
      <c r="AD17" s="89">
        <f t="shared" ref="AD17" si="4">AVERAGE(X17,Z17,AB17)</f>
        <v>1</v>
      </c>
      <c r="AE17" s="89">
        <f t="shared" ref="AE17" si="5">IFERROR(AVERAGE(Y17,AA17,AC17),0)</f>
        <v>0</v>
      </c>
      <c r="AF17" s="92">
        <v>1</v>
      </c>
      <c r="AG17" s="397">
        <v>0</v>
      </c>
      <c r="AH17" s="92">
        <v>1</v>
      </c>
      <c r="AI17" s="397">
        <v>0</v>
      </c>
      <c r="AJ17" s="92">
        <v>1</v>
      </c>
      <c r="AK17" s="398">
        <v>0</v>
      </c>
      <c r="AL17" s="89">
        <f t="shared" ref="AL17" si="6">AVERAGE(AF17,AH17,AJ17)</f>
        <v>1</v>
      </c>
      <c r="AM17" s="89">
        <f t="shared" ref="AM17" si="7">IFERROR(AVERAGE(AG17,AI17,AK17),0)</f>
        <v>0</v>
      </c>
      <c r="AN17" s="92">
        <v>1</v>
      </c>
      <c r="AO17" s="397">
        <v>0</v>
      </c>
      <c r="AP17" s="92">
        <v>1</v>
      </c>
      <c r="AQ17" s="397">
        <v>0</v>
      </c>
      <c r="AR17" s="92">
        <v>1</v>
      </c>
      <c r="AS17" s="397">
        <v>0</v>
      </c>
      <c r="AT17" s="89">
        <f t="shared" ref="AT17" si="8">AVERAGE(AN17,AP17,AR17)</f>
        <v>1</v>
      </c>
      <c r="AU17" s="89">
        <f t="shared" ref="AU17" si="9">IFERROR(AVERAGE(AO17,AQ17,AS17),0)</f>
        <v>0</v>
      </c>
      <c r="AV17" s="89">
        <f t="shared" ref="AV17" si="10">AVERAGE(P17,R17,T17,X17,Z17,AB17,AF17,AH17,AJ17,AN17,AP17,AR17)</f>
        <v>1</v>
      </c>
      <c r="AW17" s="65">
        <f>IFERROR(IF(OR($AV$17="",$AV$17=0),0,ROUNDDOWN(AVERAGE($Q17,$S17,$U17),3)),0)</f>
        <v>1</v>
      </c>
      <c r="AX17" s="381">
        <f>IFERROR(IF(OR($AV$17="",$AV$17=0),0,ROUNDDOWN(AVERAGE($Q17,$S17,$U17,$Y17,$AA17,$AC17),3)),0)</f>
        <v>0.5</v>
      </c>
      <c r="AY17" s="381">
        <f>IFERROR(IF(OR($AV$17="",$AV$17=0),0,ROUNDDOWN(AVERAGE($Q17,$S17,$U17,$Y17,$AA17,$AC17,$AG17,$AI17,$AK17),3)),0)</f>
        <v>0.33300000000000002</v>
      </c>
      <c r="AZ17" s="381">
        <f>IFERROR(IF(OR($AV$17="",$AV$17=0),0,ROUNDDOWN(AVERAGE($Q17,$S17,$U17,$Y17,$AA17,$AC17,$AG17,$AI17,$AK17,$AO17,$AQ17,$AS17),3)),0)</f>
        <v>0.25</v>
      </c>
      <c r="BA17" s="386">
        <f>(IF(AND(AW17&gt;0,$AV17&gt;0),AW17/$AV17,0))*0.25</f>
        <v>0.25</v>
      </c>
      <c r="BB17" s="386">
        <f>(IF(AND(AX17&gt;0,$AV17&gt;0),AX17/$AV17,0))*0.5</f>
        <v>0.25</v>
      </c>
      <c r="BC17" s="386">
        <f>(IF(AND(AY17&gt;0,$AV17&gt;0),AY17/$AV17,0))*0.75</f>
        <v>0.24975000000000003</v>
      </c>
      <c r="BD17" s="386">
        <f t="shared" ref="BD17" si="11">(IF(AND(AZ17&gt;0,$AV17&gt;0),AZ17/$AV17,0))</f>
        <v>0.25</v>
      </c>
      <c r="BE17" s="399">
        <f>((IF(AND(AW17&gt;0,$F17&gt;0),AW17/$F17,0))*0.25)*0.25</f>
        <v>6.25E-2</v>
      </c>
      <c r="BF17" s="400">
        <f>((IF(AND(AX17&gt;0,$F17&gt;0),AX17/$F17,0))/4)*0.5</f>
        <v>6.25E-2</v>
      </c>
      <c r="BG17" s="400">
        <f>((IF(AND(AY17&gt;0,$F17&gt;0),AY17/$F17,0))/4)*0.75</f>
        <v>6.2437500000000007E-2</v>
      </c>
      <c r="BH17" s="400">
        <f>((IF(AND(AZ17&gt;0,$F17&gt;0),AZ17/$F17,0))/4)</f>
        <v>6.25E-2</v>
      </c>
    </row>
    <row r="18" spans="2:60" ht="22.8">
      <c r="B18" s="964"/>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6"/>
      <c r="AX18" s="967" t="s">
        <v>19</v>
      </c>
      <c r="AY18" s="968"/>
      <c r="AZ18" s="968"/>
      <c r="BA18" s="70">
        <f t="shared" ref="BA18:BD18" si="12">AVERAGE(BA16:BA17)</f>
        <v>0.25</v>
      </c>
      <c r="BB18" s="70">
        <f t="shared" si="12"/>
        <v>0.25</v>
      </c>
      <c r="BC18" s="70">
        <f t="shared" si="12"/>
        <v>0.24975000000000003</v>
      </c>
      <c r="BD18" s="70">
        <f t="shared" si="12"/>
        <v>0.25</v>
      </c>
      <c r="BE18" s="959"/>
      <c r="BF18" s="960"/>
      <c r="BG18" s="960"/>
      <c r="BH18" s="961"/>
    </row>
    <row r="19" spans="2:60">
      <c r="B19" s="963" t="s">
        <v>291</v>
      </c>
      <c r="C19" s="963"/>
      <c r="D19" s="963"/>
      <c r="E19" s="963"/>
      <c r="F19" s="963"/>
      <c r="G19" s="963"/>
      <c r="H19" s="44"/>
      <c r="I19" s="43"/>
      <c r="J19" s="43"/>
      <c r="K19" s="43"/>
      <c r="L19" s="43"/>
      <c r="M19" s="43"/>
      <c r="N19" s="43"/>
      <c r="O19" s="43"/>
    </row>
    <row r="20" spans="2:60">
      <c r="B20" s="43"/>
      <c r="C20" s="43"/>
      <c r="D20" s="969"/>
      <c r="E20" s="969"/>
      <c r="F20" s="969"/>
      <c r="G20" s="969"/>
      <c r="H20" s="969"/>
      <c r="I20" s="969"/>
      <c r="J20" s="969"/>
      <c r="K20" s="969"/>
      <c r="L20" s="969"/>
      <c r="M20" s="969"/>
      <c r="N20" s="969"/>
      <c r="O20" s="969"/>
    </row>
    <row r="21" spans="2:60" ht="15.6" customHeight="1">
      <c r="B21" s="45" t="s">
        <v>26</v>
      </c>
      <c r="C21" s="46">
        <v>44224</v>
      </c>
      <c r="D21" s="47"/>
      <c r="E21" s="970" t="s">
        <v>50</v>
      </c>
      <c r="F21" s="973" t="s">
        <v>736</v>
      </c>
      <c r="G21" s="974"/>
      <c r="H21" s="974"/>
      <c r="I21" s="974"/>
      <c r="J21" s="975"/>
      <c r="K21" s="48"/>
      <c r="L21" s="971"/>
      <c r="M21" s="971"/>
      <c r="N21" s="971"/>
      <c r="O21" s="972"/>
      <c r="T21" s="396">
        <f>AVERAGE(Q16,S16,U16,Y16,AA16,AC16)</f>
        <v>0.5</v>
      </c>
    </row>
    <row r="22" spans="2:60" ht="15.6">
      <c r="B22" s="43"/>
      <c r="C22" s="43"/>
      <c r="D22" s="48"/>
      <c r="E22" s="970"/>
      <c r="F22" s="976"/>
      <c r="G22" s="977"/>
      <c r="H22" s="977"/>
      <c r="I22" s="977"/>
      <c r="J22" s="978"/>
      <c r="K22" s="43"/>
      <c r="L22" s="43"/>
      <c r="M22" s="43"/>
      <c r="N22" s="43"/>
      <c r="O22" s="43"/>
    </row>
    <row r="23" spans="2:60" ht="15.6">
      <c r="B23" s="45" t="s">
        <v>49</v>
      </c>
      <c r="C23" s="46"/>
      <c r="D23" s="43"/>
      <c r="E23" s="43"/>
      <c r="F23" s="43"/>
      <c r="K23" s="43"/>
      <c r="L23" s="43"/>
      <c r="M23" s="43"/>
      <c r="N23" s="43"/>
      <c r="O23" s="43"/>
      <c r="T23" s="1" t="e" cm="1">
        <f t="array" ref="T23">PROMEDIO</f>
        <v>#NAME?</v>
      </c>
    </row>
    <row r="24" spans="2:60">
      <c r="B24" s="43"/>
      <c r="C24" s="43"/>
      <c r="D24" s="43"/>
      <c r="E24" s="43"/>
      <c r="F24" s="43"/>
      <c r="K24" s="43"/>
      <c r="L24" s="43"/>
      <c r="M24" s="43"/>
      <c r="N24" s="43"/>
      <c r="O24" s="43"/>
    </row>
    <row r="25" spans="2:60">
      <c r="B25" s="43"/>
      <c r="C25" s="43"/>
      <c r="D25" s="43"/>
      <c r="E25" s="43"/>
      <c r="F25" s="43"/>
      <c r="G25" s="44"/>
      <c r="H25" s="44"/>
      <c r="I25" s="962"/>
      <c r="J25" s="962"/>
      <c r="K25" s="962"/>
      <c r="L25" s="962"/>
      <c r="M25" s="49"/>
      <c r="N25" s="49"/>
      <c r="O25" s="49"/>
    </row>
    <row r="26" spans="2:60">
      <c r="B26" s="43"/>
      <c r="C26" s="43"/>
      <c r="D26" s="43"/>
      <c r="E26" s="43"/>
      <c r="F26" s="43"/>
      <c r="G26" s="44"/>
      <c r="H26" s="44"/>
      <c r="I26" s="43"/>
      <c r="J26" s="43"/>
      <c r="K26" s="50"/>
      <c r="L26" s="43"/>
      <c r="M26" s="43"/>
      <c r="N26" s="43"/>
      <c r="O26" s="43"/>
    </row>
    <row r="27" spans="2:60">
      <c r="B27" s="43"/>
      <c r="C27" s="43"/>
      <c r="D27" s="43"/>
      <c r="E27" s="43"/>
      <c r="F27" s="43"/>
      <c r="G27" s="44"/>
      <c r="H27" s="44"/>
      <c r="I27" s="962"/>
      <c r="J27" s="962"/>
      <c r="K27" s="962"/>
      <c r="L27" s="962"/>
      <c r="M27" s="49"/>
      <c r="N27" s="49"/>
      <c r="O27" s="49"/>
    </row>
    <row r="28" spans="2:60">
      <c r="B28" s="43"/>
      <c r="C28" s="43"/>
      <c r="D28" s="43"/>
      <c r="E28" s="43"/>
      <c r="F28" s="43"/>
      <c r="G28" s="44"/>
      <c r="H28" s="44"/>
      <c r="I28" s="43"/>
      <c r="J28" s="43"/>
      <c r="K28" s="50"/>
      <c r="L28" s="43"/>
      <c r="M28" s="43"/>
      <c r="N28" s="43"/>
      <c r="O28" s="43"/>
    </row>
    <row r="29" spans="2:60">
      <c r="B29" s="43"/>
      <c r="C29" s="43"/>
      <c r="D29" s="43"/>
      <c r="E29" s="43"/>
      <c r="F29" s="43"/>
      <c r="G29" s="44"/>
      <c r="H29" s="44"/>
      <c r="I29" s="962"/>
      <c r="J29" s="962"/>
      <c r="K29" s="962"/>
      <c r="L29" s="962"/>
      <c r="M29" s="49"/>
      <c r="N29" s="49"/>
      <c r="O29" s="49"/>
    </row>
  </sheetData>
  <sheetProtection algorithmName="SHA-512" hashValue="k1RyNhx3NpmFvGY0KUhfbbRpzjFvuxOJefwABYp/iDm3EMBIPW5onI99NVTjvqR7z/77sLvBGp/Wfeyz+OISoA==" saltValue="Bz5W92Xp2dxeK8GjMGAS0A==" spinCount="100000" sheet="1" objects="1" scenarios="1"/>
  <mergeCells count="71">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E18:BH18"/>
    <mergeCell ref="I25:L25"/>
    <mergeCell ref="I27:L27"/>
    <mergeCell ref="I29:L29"/>
    <mergeCell ref="B19:G19"/>
    <mergeCell ref="B18:AW18"/>
    <mergeCell ref="AX18:AZ18"/>
    <mergeCell ref="D20:O20"/>
    <mergeCell ref="E21:E22"/>
    <mergeCell ref="L21:O21"/>
    <mergeCell ref="F21:J22"/>
  </mergeCells>
  <conditionalFormatting sqref="BA16:BD17">
    <cfRule type="cellIs" dxfId="50" priority="1" operator="greaterThan">
      <formula>1</formula>
    </cfRule>
    <cfRule type="cellIs" dxfId="49" priority="2" operator="between">
      <formula>0.8</formula>
      <formula>1</formula>
    </cfRule>
    <cfRule type="cellIs" dxfId="48" priority="3" operator="between">
      <formula>0.61</formula>
      <formula>0.79</formula>
    </cfRule>
    <cfRule type="cellIs" dxfId="4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92D050"/>
  </sheetPr>
  <dimension ref="B1:BH48"/>
  <sheetViews>
    <sheetView showGridLines="0" zoomScale="55" zoomScaleNormal="55" workbookViewId="0">
      <selection activeCell="R16" sqref="R16"/>
    </sheetView>
  </sheetViews>
  <sheetFormatPr baseColWidth="10" defaultColWidth="17.33203125" defaultRowHeight="15" customHeight="1"/>
  <cols>
    <col min="1" max="1" width="4.33203125" style="135" customWidth="1"/>
    <col min="2" max="2" width="50.44140625" style="133" customWidth="1"/>
    <col min="3" max="3" width="39.6640625" style="133" customWidth="1"/>
    <col min="4" max="4" width="66.109375" style="133" customWidth="1"/>
    <col min="5" max="6" width="27.88671875" style="133" customWidth="1"/>
    <col min="7" max="7" width="23.5546875" style="134" customWidth="1"/>
    <col min="8" max="8" width="13.33203125" style="134" customWidth="1"/>
    <col min="9" max="9" width="46.88671875" style="133" customWidth="1"/>
    <col min="10" max="10" width="63" style="133" customWidth="1"/>
    <col min="11" max="11" width="69.33203125" style="133" customWidth="1"/>
    <col min="12" max="12" width="48.44140625" style="133" customWidth="1"/>
    <col min="13" max="13" width="28.5546875" style="133" customWidth="1"/>
    <col min="14" max="14" width="30.6640625" style="133" customWidth="1"/>
    <col min="15" max="15" width="60.44140625" style="133" customWidth="1"/>
    <col min="16" max="47" width="15.88671875" style="135" customWidth="1"/>
    <col min="48" max="48" width="24.5546875" style="135" customWidth="1"/>
    <col min="49" max="52" width="17.88671875" style="135" customWidth="1"/>
    <col min="53" max="56" width="18.88671875" style="135" customWidth="1"/>
    <col min="57" max="60" width="18.44140625" style="135" customWidth="1"/>
    <col min="61" max="16384" width="17.33203125" style="135"/>
  </cols>
  <sheetData>
    <row r="1" spans="2:60" ht="15" customHeight="1" thickBot="1"/>
    <row r="2" spans="2:60" ht="16.5"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6.5"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6.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6.5"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6.5"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8.5" customHeight="1">
      <c r="B8" s="216" t="s">
        <v>45</v>
      </c>
      <c r="C8" s="913" t="s">
        <v>88</v>
      </c>
      <c r="D8" s="913"/>
      <c r="E8" s="217"/>
      <c r="F8" s="217"/>
      <c r="G8" s="217"/>
      <c r="H8" s="217"/>
      <c r="I8" s="217"/>
      <c r="J8" s="217"/>
      <c r="K8" s="217"/>
      <c r="L8" s="217"/>
      <c r="M8" s="217"/>
      <c r="N8" s="217"/>
      <c r="O8" s="217"/>
      <c r="AW8" s="238"/>
      <c r="AX8" s="238"/>
      <c r="AY8" s="238"/>
      <c r="AZ8" s="238"/>
      <c r="BA8" s="238"/>
      <c r="BB8" s="238"/>
      <c r="BC8" s="238"/>
      <c r="BD8" s="238"/>
    </row>
    <row r="9" spans="2:60" ht="98.25" customHeight="1">
      <c r="B9" s="216" t="s">
        <v>34</v>
      </c>
      <c r="C9" s="952" t="s">
        <v>217</v>
      </c>
      <c r="D9" s="953"/>
      <c r="E9" s="217"/>
      <c r="F9" s="217"/>
      <c r="G9" s="217"/>
      <c r="H9" s="217"/>
      <c r="I9" s="217"/>
      <c r="J9" s="217"/>
      <c r="K9" s="217"/>
      <c r="L9" s="217"/>
      <c r="M9" s="217"/>
      <c r="N9" s="217"/>
      <c r="O9" s="217"/>
      <c r="AW9" s="238"/>
      <c r="AX9" s="238"/>
      <c r="AY9" s="238"/>
      <c r="AZ9" s="238"/>
      <c r="BA9" s="238"/>
      <c r="BB9" s="238"/>
      <c r="BC9" s="238"/>
      <c r="BD9" s="238"/>
    </row>
    <row r="10" spans="2:60" ht="30" customHeight="1">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ht="14.25" customHeight="1">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33"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21.75" customHeight="1">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21.75" customHeight="1">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21.75" customHeight="1">
      <c r="B15" s="758"/>
      <c r="C15" s="758"/>
      <c r="D15" s="920"/>
      <c r="E15" s="758"/>
      <c r="F15" s="920"/>
      <c r="G15" s="758"/>
      <c r="H15" s="758"/>
      <c r="I15" s="758"/>
      <c r="J15" s="758"/>
      <c r="K15" s="758"/>
      <c r="L15" s="758"/>
      <c r="M15" s="758"/>
      <c r="N15" s="758"/>
      <c r="O15" s="758"/>
      <c r="P15" s="256" t="s">
        <v>17</v>
      </c>
      <c r="Q15" s="257" t="s">
        <v>18</v>
      </c>
      <c r="R15" s="256" t="s">
        <v>17</v>
      </c>
      <c r="S15" s="257" t="s">
        <v>18</v>
      </c>
      <c r="T15" s="256" t="s">
        <v>17</v>
      </c>
      <c r="U15" s="257" t="s">
        <v>18</v>
      </c>
      <c r="V15" s="258" t="s">
        <v>17</v>
      </c>
      <c r="W15" s="259" t="s">
        <v>18</v>
      </c>
      <c r="X15" s="256" t="s">
        <v>17</v>
      </c>
      <c r="Y15" s="257" t="s">
        <v>18</v>
      </c>
      <c r="Z15" s="256" t="s">
        <v>17</v>
      </c>
      <c r="AA15" s="257" t="s">
        <v>18</v>
      </c>
      <c r="AB15" s="256" t="s">
        <v>17</v>
      </c>
      <c r="AC15" s="257" t="s">
        <v>18</v>
      </c>
      <c r="AD15" s="258" t="s">
        <v>17</v>
      </c>
      <c r="AE15" s="259" t="s">
        <v>18</v>
      </c>
      <c r="AF15" s="256" t="s">
        <v>17</v>
      </c>
      <c r="AG15" s="257" t="s">
        <v>18</v>
      </c>
      <c r="AH15" s="256" t="s">
        <v>17</v>
      </c>
      <c r="AI15" s="257" t="s">
        <v>18</v>
      </c>
      <c r="AJ15" s="256" t="s">
        <v>17</v>
      </c>
      <c r="AK15" s="257" t="s">
        <v>18</v>
      </c>
      <c r="AL15" s="258" t="s">
        <v>17</v>
      </c>
      <c r="AM15" s="259" t="s">
        <v>18</v>
      </c>
      <c r="AN15" s="256" t="s">
        <v>17</v>
      </c>
      <c r="AO15" s="257" t="s">
        <v>18</v>
      </c>
      <c r="AP15" s="256" t="s">
        <v>17</v>
      </c>
      <c r="AQ15" s="257" t="s">
        <v>18</v>
      </c>
      <c r="AR15" s="256" t="s">
        <v>17</v>
      </c>
      <c r="AS15" s="257" t="s">
        <v>18</v>
      </c>
      <c r="AT15" s="258" t="s">
        <v>17</v>
      </c>
      <c r="AU15" s="259" t="s">
        <v>18</v>
      </c>
      <c r="AV15" s="892"/>
      <c r="AW15" s="899"/>
      <c r="AX15" s="899"/>
      <c r="AY15" s="899"/>
      <c r="AZ15" s="899"/>
      <c r="BA15" s="888"/>
      <c r="BB15" s="888"/>
      <c r="BC15" s="888"/>
      <c r="BD15" s="888"/>
      <c r="BE15" s="882"/>
      <c r="BF15" s="882"/>
      <c r="BG15" s="882"/>
      <c r="BH15" s="882"/>
    </row>
    <row r="16" spans="2:60" ht="92.25" customHeight="1">
      <c r="B16" s="1017" t="str" cm="1">
        <f t="array" ref="B16">'[4]POA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773" t="str" cm="1">
        <f t="array" ref="C16">'[4]POA Anualizado (Pág 1 de 3)'!C13:C13</f>
        <v>1.1. Realizar 884.816 acciones que promuevan la defensa, garantía y restablecimiento de los derechos de las personas en el Distrito Capital.</v>
      </c>
      <c r="D16" s="336" t="str">
        <f>+'01-FR-03 POA INSTITUCIONAL'!D13</f>
        <v>1.1.1 Realizar 344.000 intervenciones dentro del ejercicio del Ministerio Público para prevenir la vulneración de derechos y/o lograr el  restablecimiento de los mismos.</v>
      </c>
      <c r="E16" s="52">
        <f>+'01-FR-03 POA INSTITUCIONAL'!E13</f>
        <v>0.38</v>
      </c>
      <c r="F16" s="139">
        <f>+'01-FR-03 POA INSTITUCIONAL'!F13</f>
        <v>344000</v>
      </c>
      <c r="G16" s="139">
        <f>+'01-FR-03 POA INSTITUCIONAL'!K13</f>
        <v>98250</v>
      </c>
      <c r="H16" s="140" t="str">
        <f>+'01-FR-03 POA INSTITUCIONAL'!G13</f>
        <v>S.I.</v>
      </c>
      <c r="I16" s="140" t="str">
        <f>+'01-FR-03 POA INSTITUCIONAL'!H13</f>
        <v>Intervenciones realizadas en defensa de los derechos</v>
      </c>
      <c r="J16" s="140" t="s">
        <v>258</v>
      </c>
      <c r="K16" s="148" t="s">
        <v>218</v>
      </c>
      <c r="L16" s="260" t="s">
        <v>219</v>
      </c>
      <c r="M16" s="220" t="s">
        <v>220</v>
      </c>
      <c r="N16" s="220" t="s">
        <v>221</v>
      </c>
      <c r="O16" s="34" t="str">
        <f>+'01-FR-03 POA INSTITUCIONAL'!J13</f>
        <v>P.D. para Asuntos Penales I, Penales II, Derechos Humanos y Policivos y Civiles
P.D. para los Sectores Planeación y Movilidad y la P.D. para los Sectores Educación y Cultura, Recreación y Deporte</v>
      </c>
      <c r="P16" s="261">
        <f>4000+0</f>
        <v>4000</v>
      </c>
      <c r="Q16" s="261">
        <v>9087</v>
      </c>
      <c r="R16" s="261">
        <f>9000+25</f>
        <v>9025</v>
      </c>
      <c r="S16" s="261">
        <v>9923</v>
      </c>
      <c r="T16" s="261">
        <f>9000+25</f>
        <v>9025</v>
      </c>
      <c r="U16" s="261">
        <v>10978</v>
      </c>
      <c r="V16" s="53">
        <f>P16+R16+T16</f>
        <v>22050</v>
      </c>
      <c r="W16" s="53">
        <f>Q16+S16+U16</f>
        <v>29988</v>
      </c>
      <c r="X16" s="261">
        <f>9000+25</f>
        <v>9025</v>
      </c>
      <c r="Y16" s="261"/>
      <c r="Z16" s="261">
        <f>9000+25</f>
        <v>9025</v>
      </c>
      <c r="AA16" s="261"/>
      <c r="AB16" s="261">
        <f>9000+25</f>
        <v>9025</v>
      </c>
      <c r="AC16" s="261"/>
      <c r="AD16" s="53">
        <f>X16+Z16+AB16</f>
        <v>27075</v>
      </c>
      <c r="AE16" s="53">
        <f>Y16+AA16+AC16</f>
        <v>0</v>
      </c>
      <c r="AF16" s="261">
        <f>9000+25</f>
        <v>9025</v>
      </c>
      <c r="AG16" s="261"/>
      <c r="AH16" s="261">
        <f>9000+25</f>
        <v>9025</v>
      </c>
      <c r="AI16" s="261"/>
      <c r="AJ16" s="261">
        <f>9000+25</f>
        <v>9025</v>
      </c>
      <c r="AK16" s="262"/>
      <c r="AL16" s="53">
        <f>AF16+AH16+AJ16</f>
        <v>27075</v>
      </c>
      <c r="AM16" s="53">
        <f>AG16+AI16+AK16</f>
        <v>0</v>
      </c>
      <c r="AN16" s="261">
        <f>9000+25</f>
        <v>9025</v>
      </c>
      <c r="AO16" s="261"/>
      <c r="AP16" s="261">
        <f>9000+25</f>
        <v>9025</v>
      </c>
      <c r="AQ16" s="261"/>
      <c r="AR16" s="261">
        <f>4000+0</f>
        <v>4000</v>
      </c>
      <c r="AS16" s="261"/>
      <c r="AT16" s="53">
        <f>AN16+AP16+AR16</f>
        <v>22050</v>
      </c>
      <c r="AU16" s="53">
        <f>AO16+AQ16+AS16</f>
        <v>0</v>
      </c>
      <c r="AV16" s="263">
        <f>V16+AD16+AL16+AT16</f>
        <v>98250</v>
      </c>
      <c r="AW16" s="81">
        <f>+W16</f>
        <v>29988</v>
      </c>
      <c r="AX16" s="390">
        <f>+W16+AE16</f>
        <v>29988</v>
      </c>
      <c r="AY16" s="390">
        <f>+W16+AE16+AM16</f>
        <v>29988</v>
      </c>
      <c r="AZ16" s="390">
        <f>+W16+AE16+AM16+AU16</f>
        <v>29988</v>
      </c>
      <c r="BA16" s="350">
        <f>IF(AND(AW16&gt;0,$AV16&gt;0),AW16/$AV16,0)</f>
        <v>0.30522137404580152</v>
      </c>
      <c r="BB16" s="350">
        <f t="shared" ref="BB16:BD16" si="0">IF(AND(AX16&gt;0,$AV16&gt;0),AX16/$AV16,0)</f>
        <v>0.30522137404580152</v>
      </c>
      <c r="BC16" s="350">
        <f t="shared" si="0"/>
        <v>0.30522137404580152</v>
      </c>
      <c r="BD16" s="350">
        <f t="shared" si="0"/>
        <v>0.30522137404580152</v>
      </c>
      <c r="BE16" s="394">
        <f>(IF(AND(AW16&gt;0,$F16&gt;0),AW16/$F16,0))</f>
        <v>8.7174418604651166E-2</v>
      </c>
      <c r="BF16" s="395">
        <f t="shared" ref="BF16:BH20" si="1">(IF(AND(AX16&gt;0,$F16&gt;0),AX16/$F16,0))</f>
        <v>8.7174418604651166E-2</v>
      </c>
      <c r="BG16" s="395">
        <f t="shared" si="1"/>
        <v>8.7174418604651166E-2</v>
      </c>
      <c r="BH16" s="395">
        <f t="shared" si="1"/>
        <v>8.7174418604651166E-2</v>
      </c>
    </row>
    <row r="17" spans="2:60" ht="111.75" customHeight="1">
      <c r="B17" s="1018"/>
      <c r="C17" s="1020"/>
      <c r="D17" s="336" t="str">
        <f>+'01-FR-03 POA INSTITUCIONAL'!D14</f>
        <v>1.1.2 Orientar 267.100 personas en garantía de derechos.</v>
      </c>
      <c r="E17" s="52">
        <f>+'01-FR-03 POA INSTITUCIONAL'!E14</f>
        <v>0.3</v>
      </c>
      <c r="F17" s="139">
        <f>+'01-FR-03 POA INSTITUCIONAL'!F14</f>
        <v>267100</v>
      </c>
      <c r="G17" s="139">
        <f>+'01-FR-03 POA INSTITUCIONAL'!K14</f>
        <v>73600</v>
      </c>
      <c r="H17" s="140" t="str">
        <f>+'01-FR-03 POA INSTITUCIONAL'!G14</f>
        <v>S.I.</v>
      </c>
      <c r="I17" s="140" t="str">
        <f>+'01-FR-03 POA INSTITUCIONAL'!H14</f>
        <v>Personas orientadas en garantía de derechos</v>
      </c>
      <c r="J17" s="140" t="s">
        <v>259</v>
      </c>
      <c r="K17" s="148" t="s">
        <v>222</v>
      </c>
      <c r="L17" s="260" t="s">
        <v>223</v>
      </c>
      <c r="M17" s="220" t="s">
        <v>220</v>
      </c>
      <c r="N17" s="220" t="s">
        <v>221</v>
      </c>
      <c r="O17" s="34"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261">
        <f>4000+500+0</f>
        <v>4500</v>
      </c>
      <c r="Q17" s="261">
        <v>4806</v>
      </c>
      <c r="R17" s="261">
        <f>4660+800+1000</f>
        <v>6460</v>
      </c>
      <c r="S17" s="261">
        <v>6540</v>
      </c>
      <c r="T17" s="261">
        <f>4660+800+1000</f>
        <v>6460</v>
      </c>
      <c r="U17" s="261">
        <v>5962</v>
      </c>
      <c r="V17" s="53">
        <f t="shared" ref="V17:W36" si="2">P17+R17+T17</f>
        <v>17420</v>
      </c>
      <c r="W17" s="53">
        <f t="shared" si="2"/>
        <v>17308</v>
      </c>
      <c r="X17" s="261">
        <f>4660+800+1000</f>
        <v>6460</v>
      </c>
      <c r="Y17" s="261"/>
      <c r="Z17" s="261">
        <f>4660+800+1000</f>
        <v>6460</v>
      </c>
      <c r="AA17" s="261"/>
      <c r="AB17" s="261">
        <f>4660+800+1000</f>
        <v>6460</v>
      </c>
      <c r="AC17" s="262"/>
      <c r="AD17" s="53">
        <f t="shared" ref="AD17:AE36" si="3">X17+Z17+AB17</f>
        <v>19380</v>
      </c>
      <c r="AE17" s="53">
        <f t="shared" si="3"/>
        <v>0</v>
      </c>
      <c r="AF17" s="261">
        <f>4660+800+1000</f>
        <v>6460</v>
      </c>
      <c r="AG17" s="261"/>
      <c r="AH17" s="261">
        <f>4660+800+1000</f>
        <v>6460</v>
      </c>
      <c r="AI17" s="261"/>
      <c r="AJ17" s="261">
        <f>4660+800+1000</f>
        <v>6460</v>
      </c>
      <c r="AK17" s="262"/>
      <c r="AL17" s="53">
        <f t="shared" ref="AL17:AM36" si="4">AF17+AH17+AJ17</f>
        <v>19380</v>
      </c>
      <c r="AM17" s="53">
        <f t="shared" si="4"/>
        <v>0</v>
      </c>
      <c r="AN17" s="261">
        <f>4660+800+1000</f>
        <v>6460</v>
      </c>
      <c r="AO17" s="261"/>
      <c r="AP17" s="261">
        <f>4660+800+1000</f>
        <v>6460</v>
      </c>
      <c r="AQ17" s="261"/>
      <c r="AR17" s="261">
        <f>4000+500+0</f>
        <v>4500</v>
      </c>
      <c r="AS17" s="261"/>
      <c r="AT17" s="53">
        <f t="shared" ref="AT17:AU36" si="5">AN17+AP17+AR17</f>
        <v>17420</v>
      </c>
      <c r="AU17" s="53">
        <f t="shared" si="5"/>
        <v>0</v>
      </c>
      <c r="AV17" s="263">
        <f t="shared" ref="AV17:AV36" si="6">V17+AD17+AL17+AT17</f>
        <v>73600</v>
      </c>
      <c r="AW17" s="81">
        <f t="shared" ref="AW17:AW36" si="7">+W17</f>
        <v>17308</v>
      </c>
      <c r="AX17" s="390">
        <f t="shared" ref="AX17:AX36" si="8">+W17+AE17</f>
        <v>17308</v>
      </c>
      <c r="AY17" s="390">
        <f t="shared" ref="AY17:AY36" si="9">+W17+AE17+AM17</f>
        <v>17308</v>
      </c>
      <c r="AZ17" s="390">
        <f t="shared" ref="AZ17:AZ36" si="10">+W17+AE17+AM17+AU17</f>
        <v>17308</v>
      </c>
      <c r="BA17" s="350">
        <f t="shared" ref="BA17:BA18" si="11">IF(AND(AW17&gt;0,$AV17&gt;0),AW17/$AV17,0)</f>
        <v>0.23516304347826086</v>
      </c>
      <c r="BB17" s="350">
        <f t="shared" ref="BB17:BB19" si="12">IF(AND(AX17&gt;0,$AV17&gt;0),AX17/$AV17,0)</f>
        <v>0.23516304347826086</v>
      </c>
      <c r="BC17" s="350">
        <f t="shared" ref="BC17:BC19" si="13">IF(AND(AY17&gt;0,$AV17&gt;0),AY17/$AV17,0)</f>
        <v>0.23516304347826086</v>
      </c>
      <c r="BD17" s="350">
        <f t="shared" ref="BD17:BD19" si="14">IF(AND(AZ17&gt;0,$AV17&gt;0),AZ17/$AV17,0)</f>
        <v>0.23516304347826086</v>
      </c>
      <c r="BE17" s="394">
        <f t="shared" ref="BE17:BE20" si="15">(IF(AND(AW17&gt;0,$F17&gt;0),AW17/$F17,0))</f>
        <v>6.4799700486709091E-2</v>
      </c>
      <c r="BF17" s="395">
        <f t="shared" si="1"/>
        <v>6.4799700486709091E-2</v>
      </c>
      <c r="BG17" s="395">
        <f t="shared" si="1"/>
        <v>6.4799700486709091E-2</v>
      </c>
      <c r="BH17" s="395">
        <f t="shared" si="1"/>
        <v>6.4799700486709091E-2</v>
      </c>
    </row>
    <row r="18" spans="2:60" ht="138.75" customHeight="1">
      <c r="B18" s="1018"/>
      <c r="C18" s="1020"/>
      <c r="D18" s="336" t="str">
        <f>+'01-FR-03 POA INSTITUCIONAL'!D15</f>
        <v>1.1.3 Asistir 140.200 personas en garantía de derechos.</v>
      </c>
      <c r="E18" s="52">
        <f>+'01-FR-03 POA INSTITUCIONAL'!E15</f>
        <v>0.15</v>
      </c>
      <c r="F18" s="139">
        <f>+'01-FR-03 POA INSTITUCIONAL'!F15</f>
        <v>140200</v>
      </c>
      <c r="G18" s="139">
        <f>+'01-FR-03 POA INSTITUCIONAL'!K15</f>
        <v>38200</v>
      </c>
      <c r="H18" s="140" t="str">
        <f>+'01-FR-03 POA INSTITUCIONAL'!G15</f>
        <v>S.I.</v>
      </c>
      <c r="I18" s="140" t="str">
        <f>+'01-FR-03 POA INSTITUCIONAL'!H15</f>
        <v>Personas asistidas en garantía de derechos</v>
      </c>
      <c r="J18" s="140" t="s">
        <v>260</v>
      </c>
      <c r="K18" s="148" t="s">
        <v>224</v>
      </c>
      <c r="L18" s="260" t="s">
        <v>225</v>
      </c>
      <c r="M18" s="220" t="s">
        <v>220</v>
      </c>
      <c r="N18" s="220" t="s">
        <v>221</v>
      </c>
      <c r="O18" s="34"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261">
        <f>1600+250+0</f>
        <v>1850</v>
      </c>
      <c r="Q18" s="261">
        <v>1453</v>
      </c>
      <c r="R18" s="261">
        <f>2180+270+1000</f>
        <v>3450</v>
      </c>
      <c r="S18" s="261">
        <v>1540</v>
      </c>
      <c r="T18" s="261">
        <f>2180+270+1000</f>
        <v>3450</v>
      </c>
      <c r="U18" s="261">
        <v>1421</v>
      </c>
      <c r="V18" s="53">
        <f t="shared" si="2"/>
        <v>8750</v>
      </c>
      <c r="W18" s="53">
        <f t="shared" si="2"/>
        <v>4414</v>
      </c>
      <c r="X18" s="261">
        <f>2180+270+1000</f>
        <v>3450</v>
      </c>
      <c r="Y18" s="261"/>
      <c r="Z18" s="261">
        <f>2180+270+1000</f>
        <v>3450</v>
      </c>
      <c r="AA18" s="261"/>
      <c r="AB18" s="261">
        <f>2180+270+1000</f>
        <v>3450</v>
      </c>
      <c r="AC18" s="261"/>
      <c r="AD18" s="53">
        <f t="shared" si="3"/>
        <v>10350</v>
      </c>
      <c r="AE18" s="53">
        <f t="shared" si="3"/>
        <v>0</v>
      </c>
      <c r="AF18" s="261">
        <f>2180+270+1000</f>
        <v>3450</v>
      </c>
      <c r="AG18" s="261"/>
      <c r="AH18" s="261">
        <f>2180+270+1000</f>
        <v>3450</v>
      </c>
      <c r="AI18" s="261"/>
      <c r="AJ18" s="261">
        <f>2180+270+1000</f>
        <v>3450</v>
      </c>
      <c r="AK18" s="261"/>
      <c r="AL18" s="53">
        <f t="shared" si="4"/>
        <v>10350</v>
      </c>
      <c r="AM18" s="53">
        <f t="shared" si="4"/>
        <v>0</v>
      </c>
      <c r="AN18" s="261">
        <f>2180+270+1000</f>
        <v>3450</v>
      </c>
      <c r="AO18" s="261"/>
      <c r="AP18" s="261">
        <f>2180+270+1000</f>
        <v>3450</v>
      </c>
      <c r="AQ18" s="261"/>
      <c r="AR18" s="261">
        <f>1600+250+0</f>
        <v>1850</v>
      </c>
      <c r="AS18" s="261"/>
      <c r="AT18" s="53">
        <f t="shared" si="5"/>
        <v>8750</v>
      </c>
      <c r="AU18" s="53">
        <f t="shared" si="5"/>
        <v>0</v>
      </c>
      <c r="AV18" s="263">
        <f t="shared" si="6"/>
        <v>38200</v>
      </c>
      <c r="AW18" s="81">
        <f t="shared" si="7"/>
        <v>4414</v>
      </c>
      <c r="AX18" s="390">
        <f t="shared" si="8"/>
        <v>4414</v>
      </c>
      <c r="AY18" s="390">
        <f t="shared" si="9"/>
        <v>4414</v>
      </c>
      <c r="AZ18" s="390">
        <f t="shared" si="10"/>
        <v>4414</v>
      </c>
      <c r="BA18" s="350">
        <f t="shared" si="11"/>
        <v>0.11554973821989528</v>
      </c>
      <c r="BB18" s="350">
        <f t="shared" si="12"/>
        <v>0.11554973821989528</v>
      </c>
      <c r="BC18" s="350">
        <f t="shared" si="13"/>
        <v>0.11554973821989528</v>
      </c>
      <c r="BD18" s="350">
        <f t="shared" si="14"/>
        <v>0.11554973821989528</v>
      </c>
      <c r="BE18" s="394">
        <f t="shared" si="15"/>
        <v>3.1483594864479318E-2</v>
      </c>
      <c r="BF18" s="395">
        <f t="shared" si="1"/>
        <v>3.1483594864479318E-2</v>
      </c>
      <c r="BG18" s="395">
        <f t="shared" si="1"/>
        <v>3.1483594864479318E-2</v>
      </c>
      <c r="BH18" s="395">
        <f t="shared" si="1"/>
        <v>3.1483594864479318E-2</v>
      </c>
    </row>
    <row r="19" spans="2:60" ht="84" customHeight="1">
      <c r="B19" s="1018"/>
      <c r="C19" s="1020"/>
      <c r="D19" s="336" t="str">
        <f>+'01-FR-03 POA INSTITUCIONAL'!D16</f>
        <v>1.1.4 Asistir a 35.876 personas en mecanismos alternativos de solución de conflictos.</v>
      </c>
      <c r="E19" s="52">
        <f>+'01-FR-03 POA INSTITUCIONAL'!E16</f>
        <v>0.04</v>
      </c>
      <c r="F19" s="139">
        <f>+'01-FR-03 POA INSTITUCIONAL'!F16</f>
        <v>35876</v>
      </c>
      <c r="G19" s="139">
        <f>+'01-FR-03 POA INSTITUCIONAL'!K16</f>
        <v>10500</v>
      </c>
      <c r="H19" s="140" t="str">
        <f>+'01-FR-03 POA INSTITUCIONAL'!G16</f>
        <v>S.I.</v>
      </c>
      <c r="I19" s="140" t="str">
        <f>+'01-FR-03 POA INSTITUCIONAL'!H16</f>
        <v>Personas asistidas en Mecanismos Alternativos de Solución de Conflictos</v>
      </c>
      <c r="J19" s="140" t="s">
        <v>261</v>
      </c>
      <c r="K19" s="148" t="s">
        <v>226</v>
      </c>
      <c r="L19" s="264" t="s">
        <v>227</v>
      </c>
      <c r="M19" s="220" t="s">
        <v>220</v>
      </c>
      <c r="N19" s="220" t="s">
        <v>221</v>
      </c>
      <c r="O19" s="34" t="str">
        <f>+'01-FR-03 POA INSTITUCIONAL'!J16</f>
        <v>Dirección de Conciliación y M.A.S.C.</v>
      </c>
      <c r="P19" s="261">
        <v>600</v>
      </c>
      <c r="Q19" s="261">
        <v>323</v>
      </c>
      <c r="R19" s="261">
        <v>910</v>
      </c>
      <c r="S19" s="261">
        <v>452</v>
      </c>
      <c r="T19" s="261">
        <v>910</v>
      </c>
      <c r="U19" s="261">
        <v>563</v>
      </c>
      <c r="V19" s="53">
        <f t="shared" si="2"/>
        <v>2420</v>
      </c>
      <c r="W19" s="53">
        <f t="shared" si="2"/>
        <v>1338</v>
      </c>
      <c r="X19" s="261">
        <v>910</v>
      </c>
      <c r="Y19" s="261"/>
      <c r="Z19" s="261">
        <v>910</v>
      </c>
      <c r="AA19" s="261"/>
      <c r="AB19" s="261">
        <v>910</v>
      </c>
      <c r="AC19" s="261"/>
      <c r="AD19" s="53">
        <f t="shared" si="3"/>
        <v>2730</v>
      </c>
      <c r="AE19" s="53">
        <f t="shared" si="3"/>
        <v>0</v>
      </c>
      <c r="AF19" s="261">
        <v>910</v>
      </c>
      <c r="AG19" s="261"/>
      <c r="AH19" s="261">
        <v>910</v>
      </c>
      <c r="AI19" s="261"/>
      <c r="AJ19" s="261">
        <v>910</v>
      </c>
      <c r="AK19" s="261"/>
      <c r="AL19" s="53">
        <f t="shared" si="4"/>
        <v>2730</v>
      </c>
      <c r="AM19" s="53">
        <f t="shared" si="4"/>
        <v>0</v>
      </c>
      <c r="AN19" s="261">
        <v>910</v>
      </c>
      <c r="AO19" s="261"/>
      <c r="AP19" s="261">
        <v>910</v>
      </c>
      <c r="AQ19" s="261"/>
      <c r="AR19" s="261">
        <v>800</v>
      </c>
      <c r="AS19" s="261"/>
      <c r="AT19" s="53">
        <f t="shared" si="5"/>
        <v>2620</v>
      </c>
      <c r="AU19" s="53">
        <f t="shared" si="5"/>
        <v>0</v>
      </c>
      <c r="AV19" s="263">
        <f t="shared" si="6"/>
        <v>10500</v>
      </c>
      <c r="AW19" s="81">
        <f t="shared" si="7"/>
        <v>1338</v>
      </c>
      <c r="AX19" s="390">
        <f t="shared" si="8"/>
        <v>1338</v>
      </c>
      <c r="AY19" s="390">
        <f t="shared" si="9"/>
        <v>1338</v>
      </c>
      <c r="AZ19" s="390">
        <f t="shared" si="10"/>
        <v>1338</v>
      </c>
      <c r="BA19" s="350">
        <f>IF(AND(AW19&gt;0,$AV19&gt;0),AW19/$AV19,0)</f>
        <v>0.12742857142857142</v>
      </c>
      <c r="BB19" s="350">
        <f t="shared" si="12"/>
        <v>0.12742857142857142</v>
      </c>
      <c r="BC19" s="350">
        <f t="shared" si="13"/>
        <v>0.12742857142857142</v>
      </c>
      <c r="BD19" s="350">
        <f t="shared" si="14"/>
        <v>0.12742857142857142</v>
      </c>
      <c r="BE19" s="394">
        <f t="shared" si="15"/>
        <v>3.7295127661946703E-2</v>
      </c>
      <c r="BF19" s="395">
        <f t="shared" si="1"/>
        <v>3.7295127661946703E-2</v>
      </c>
      <c r="BG19" s="395">
        <f t="shared" si="1"/>
        <v>3.7295127661946703E-2</v>
      </c>
      <c r="BH19" s="395">
        <f t="shared" si="1"/>
        <v>3.7295127661946703E-2</v>
      </c>
    </row>
    <row r="20" spans="2:60" ht="144.75" customHeight="1">
      <c r="B20" s="1018"/>
      <c r="C20" s="1020"/>
      <c r="D20" s="336" t="str">
        <f>+'01-FR-03 POA INSTITUCIONAL'!D17</f>
        <v>1.1.5 Atender y gestionar 62.700 peticiones y/o requerimientos presentados por la comunidad en garantía de derechos.</v>
      </c>
      <c r="E20" s="52">
        <f>+'01-FR-03 POA INSTITUCIONAL'!E17</f>
        <v>0.06</v>
      </c>
      <c r="F20" s="139">
        <f>+'01-FR-03 POA INSTITUCIONAL'!F17</f>
        <v>62700</v>
      </c>
      <c r="G20" s="139">
        <f>+'01-FR-03 POA INSTITUCIONAL'!K17</f>
        <v>16200</v>
      </c>
      <c r="H20" s="140" t="str">
        <f>+'01-FR-03 POA INSTITUCIONAL'!G17</f>
        <v>S.I.</v>
      </c>
      <c r="I20" s="140" t="str">
        <f>+'01-FR-03 POA INSTITUCIONAL'!H17</f>
        <v>Peticiones o requerimientos ciudadanos atendidos en garantía de derechos</v>
      </c>
      <c r="J20" s="140" t="s">
        <v>271</v>
      </c>
      <c r="K20" s="148" t="s">
        <v>224</v>
      </c>
      <c r="L20" s="260" t="s">
        <v>228</v>
      </c>
      <c r="M20" s="220" t="s">
        <v>220</v>
      </c>
      <c r="N20" s="220" t="s">
        <v>221</v>
      </c>
      <c r="O20" s="34" t="str">
        <f>+'01-FR-03 POA INSTITUCIONAL'!J17</f>
        <v>P.D. para la Coordinación del MP y DDHH, P.D. para Asuntos Penales I, Penales II, Policivos y Civiles, Derechos Humanos, Familia y Orientación y Asistencia.
P.D. para la Coordinación de la Gestión de Personerías Locales y sus Personerías Locales adscritas</v>
      </c>
      <c r="P20" s="261">
        <f>250+250</f>
        <v>500</v>
      </c>
      <c r="Q20" s="261">
        <v>692</v>
      </c>
      <c r="R20" s="261">
        <f>360+1150</f>
        <v>1510</v>
      </c>
      <c r="S20" s="261">
        <v>901</v>
      </c>
      <c r="T20" s="261">
        <f>360+1150</f>
        <v>1510</v>
      </c>
      <c r="U20" s="261">
        <v>1009</v>
      </c>
      <c r="V20" s="53">
        <f t="shared" si="2"/>
        <v>3520</v>
      </c>
      <c r="W20" s="53">
        <f t="shared" si="2"/>
        <v>2602</v>
      </c>
      <c r="X20" s="261">
        <f>360+1150</f>
        <v>1510</v>
      </c>
      <c r="Y20" s="261"/>
      <c r="Z20" s="261">
        <f>360+1150</f>
        <v>1510</v>
      </c>
      <c r="AA20" s="261"/>
      <c r="AB20" s="261">
        <f>360+1150</f>
        <v>1510</v>
      </c>
      <c r="AC20" s="261"/>
      <c r="AD20" s="53">
        <f t="shared" si="3"/>
        <v>4530</v>
      </c>
      <c r="AE20" s="53">
        <f t="shared" si="3"/>
        <v>0</v>
      </c>
      <c r="AF20" s="261">
        <f>370+1150</f>
        <v>1520</v>
      </c>
      <c r="AG20" s="261"/>
      <c r="AH20" s="261">
        <f>370+1150</f>
        <v>1520</v>
      </c>
      <c r="AI20" s="261"/>
      <c r="AJ20" s="261">
        <f>370+1150</f>
        <v>1520</v>
      </c>
      <c r="AK20" s="261"/>
      <c r="AL20" s="53">
        <f t="shared" si="4"/>
        <v>4560</v>
      </c>
      <c r="AM20" s="53">
        <f t="shared" si="4"/>
        <v>0</v>
      </c>
      <c r="AN20" s="261">
        <f>370+1150</f>
        <v>1520</v>
      </c>
      <c r="AO20" s="261"/>
      <c r="AP20" s="261">
        <f>370+1150</f>
        <v>1520</v>
      </c>
      <c r="AQ20" s="261"/>
      <c r="AR20" s="261">
        <f>300+250</f>
        <v>550</v>
      </c>
      <c r="AS20" s="261"/>
      <c r="AT20" s="53">
        <f t="shared" si="5"/>
        <v>3590</v>
      </c>
      <c r="AU20" s="53">
        <f t="shared" si="5"/>
        <v>0</v>
      </c>
      <c r="AV20" s="263">
        <f t="shared" si="6"/>
        <v>16200</v>
      </c>
      <c r="AW20" s="81">
        <f t="shared" si="7"/>
        <v>2602</v>
      </c>
      <c r="AX20" s="390">
        <f t="shared" si="8"/>
        <v>2602</v>
      </c>
      <c r="AY20" s="390">
        <f t="shared" si="9"/>
        <v>2602</v>
      </c>
      <c r="AZ20" s="390">
        <f t="shared" si="10"/>
        <v>2602</v>
      </c>
      <c r="BA20" s="350">
        <f t="shared" ref="BA20:BA21" si="16">IF(AND(AW20&gt;0,$AV20&gt;0),AW20/$AV20,0)</f>
        <v>0.16061728395061728</v>
      </c>
      <c r="BB20" s="350">
        <f t="shared" ref="BB20:BB21" si="17">IF(AND(AX20&gt;0,$AV20&gt;0),AX20/$AV20,0)</f>
        <v>0.16061728395061728</v>
      </c>
      <c r="BC20" s="350">
        <f t="shared" ref="BC20:BC21" si="18">IF(AND(AY20&gt;0,$AV20&gt;0),AY20/$AV20,0)</f>
        <v>0.16061728395061728</v>
      </c>
      <c r="BD20" s="350">
        <f t="shared" ref="BD20:BD21" si="19">IF(AND(AZ20&gt;0,$AV20&gt;0),AZ20/$AV20,0)</f>
        <v>0.16061728395061728</v>
      </c>
      <c r="BE20" s="394">
        <f t="shared" si="15"/>
        <v>4.1499202551834133E-2</v>
      </c>
      <c r="BF20" s="395">
        <f t="shared" si="1"/>
        <v>4.1499202551834133E-2</v>
      </c>
      <c r="BG20" s="395">
        <f t="shared" si="1"/>
        <v>4.1499202551834133E-2</v>
      </c>
      <c r="BH20" s="395">
        <f t="shared" si="1"/>
        <v>4.1499202551834133E-2</v>
      </c>
    </row>
    <row r="21" spans="2:60" ht="189.75" customHeight="1">
      <c r="B21" s="1018"/>
      <c r="C21" s="1020"/>
      <c r="D21" s="336" t="str">
        <f>+'01-FR-03 POA INSTITUCIONAL'!D18</f>
        <v>1.1.6 Generar 80 espacios de mejora, de transferencia de conocimientos y buenas prácticas que permitan brindar una atención idónea a las personas que acuden a la Personería de Bogotá, D. C</v>
      </c>
      <c r="E21" s="52">
        <f>+'01-FR-03 POA INSTITUCIONAL'!E18</f>
        <v>0.01</v>
      </c>
      <c r="F21" s="139">
        <f>+'01-FR-03 POA INSTITUCIONAL'!F18</f>
        <v>80</v>
      </c>
      <c r="G21" s="139">
        <f>+'01-FR-03 POA INSTITUCIONAL'!K18</f>
        <v>20</v>
      </c>
      <c r="H21" s="140" t="str">
        <f>+'01-FR-03 POA INSTITUCIONAL'!G18</f>
        <v>S.I.</v>
      </c>
      <c r="I21" s="140" t="str">
        <f>+'01-FR-03 POA INSTITUCIONAL'!H18</f>
        <v>Espacios de mejora y transferencia de conocimiento realizados</v>
      </c>
      <c r="J21" s="140" t="s">
        <v>262</v>
      </c>
      <c r="K21" s="148" t="s">
        <v>229</v>
      </c>
      <c r="L21" s="260" t="s">
        <v>230</v>
      </c>
      <c r="M21" s="220" t="s">
        <v>220</v>
      </c>
      <c r="N21" s="220" t="s">
        <v>221</v>
      </c>
      <c r="O21" s="34" t="str">
        <f>+'01-FR-03 POA INSTITUCIONAL'!J18</f>
        <v>P.D. para la Coordinación del MP y DDHH y sus dependencias adscritas.</v>
      </c>
      <c r="P21" s="261">
        <v>0</v>
      </c>
      <c r="Q21" s="261">
        <v>0</v>
      </c>
      <c r="R21" s="261">
        <v>0</v>
      </c>
      <c r="S21" s="261">
        <v>0</v>
      </c>
      <c r="T21" s="261">
        <v>5</v>
      </c>
      <c r="U21" s="261">
        <v>1</v>
      </c>
      <c r="V21" s="53">
        <f t="shared" si="2"/>
        <v>5</v>
      </c>
      <c r="W21" s="53">
        <f t="shared" si="2"/>
        <v>1</v>
      </c>
      <c r="X21" s="261">
        <v>5</v>
      </c>
      <c r="Y21" s="261"/>
      <c r="Z21" s="261">
        <v>5</v>
      </c>
      <c r="AA21" s="261"/>
      <c r="AB21" s="261">
        <v>5</v>
      </c>
      <c r="AC21" s="261"/>
      <c r="AD21" s="53">
        <f t="shared" si="3"/>
        <v>15</v>
      </c>
      <c r="AE21" s="53">
        <f t="shared" si="3"/>
        <v>0</v>
      </c>
      <c r="AF21" s="261">
        <v>0</v>
      </c>
      <c r="AG21" s="261"/>
      <c r="AH21" s="261">
        <v>0</v>
      </c>
      <c r="AI21" s="261"/>
      <c r="AJ21" s="262">
        <v>0</v>
      </c>
      <c r="AK21" s="262"/>
      <c r="AL21" s="53">
        <f t="shared" si="4"/>
        <v>0</v>
      </c>
      <c r="AM21" s="53">
        <f t="shared" si="4"/>
        <v>0</v>
      </c>
      <c r="AN21" s="261">
        <v>0</v>
      </c>
      <c r="AO21" s="261"/>
      <c r="AP21" s="261">
        <v>0</v>
      </c>
      <c r="AQ21" s="261"/>
      <c r="AR21" s="261">
        <v>0</v>
      </c>
      <c r="AS21" s="261"/>
      <c r="AT21" s="53">
        <f t="shared" si="5"/>
        <v>0</v>
      </c>
      <c r="AU21" s="53">
        <f t="shared" si="5"/>
        <v>0</v>
      </c>
      <c r="AV21" s="263">
        <f t="shared" si="6"/>
        <v>20</v>
      </c>
      <c r="AW21" s="81">
        <f t="shared" si="7"/>
        <v>1</v>
      </c>
      <c r="AX21" s="390">
        <f t="shared" si="8"/>
        <v>1</v>
      </c>
      <c r="AY21" s="390">
        <f t="shared" si="9"/>
        <v>1</v>
      </c>
      <c r="AZ21" s="390">
        <f t="shared" si="10"/>
        <v>1</v>
      </c>
      <c r="BA21" s="350">
        <f t="shared" si="16"/>
        <v>0.05</v>
      </c>
      <c r="BB21" s="350">
        <f t="shared" si="17"/>
        <v>0.05</v>
      </c>
      <c r="BC21" s="350">
        <f t="shared" si="18"/>
        <v>0.05</v>
      </c>
      <c r="BD21" s="350">
        <f t="shared" si="19"/>
        <v>0.05</v>
      </c>
      <c r="BE21" s="394">
        <f t="shared" ref="BE21" si="20">(IF(AND(AW21&gt;0,$F21&gt;0),AW21/$F21,0))</f>
        <v>1.2500000000000001E-2</v>
      </c>
      <c r="BF21" s="395">
        <f t="shared" ref="BF21" si="21">(IF(AND(AX21&gt;0,$F21&gt;0),AX21/$F21,0))</f>
        <v>1.2500000000000001E-2</v>
      </c>
      <c r="BG21" s="395">
        <f t="shared" ref="BG21" si="22">(IF(AND(AY21&gt;0,$F21&gt;0),AY21/$F21,0))</f>
        <v>1.2500000000000001E-2</v>
      </c>
      <c r="BH21" s="395">
        <f t="shared" ref="BH21" si="23">(IF(AND(AZ21&gt;0,$F21&gt;0),AZ21/$F21,0))</f>
        <v>1.2500000000000001E-2</v>
      </c>
    </row>
    <row r="22" spans="2:60" ht="160.5" customHeight="1">
      <c r="B22" s="1018"/>
      <c r="C22" s="1020"/>
      <c r="D22" s="336" t="str">
        <f>+'01-FR-03 POA INSTITUCIONAL'!D19</f>
        <v>1.1.7 Entregar en un termino menor a los cinco (5) días hábiles, mas del 95% de las solicitudes de elaboración de tutelas, desacatos e impugnaciones que realicen las personas en el Distrito Capital.</v>
      </c>
      <c r="E22" s="52">
        <f>+'01-FR-03 POA INSTITUCIONAL'!E19</f>
        <v>0.01</v>
      </c>
      <c r="F22" s="139" t="str">
        <f>+'01-FR-03 POA INSTITUCIONAL'!F19</f>
        <v>&gt;=95%</v>
      </c>
      <c r="G22" s="139" t="str">
        <f>+'01-FR-03 POA INSTITUCIONAL'!K19</f>
        <v>&gt;=95%</v>
      </c>
      <c r="H22" s="140" t="str">
        <f>+'01-FR-03 POA INSTITUCIONAL'!G19</f>
        <v>S.I.</v>
      </c>
      <c r="I22" s="140" t="str">
        <f>+'01-FR-03 POA INSTITUCIONAL'!H19</f>
        <v>Porcentaje de Acciones de Tutela, Desacatos e Impugnaciones Entregadas en un Termino Menor a Cinco (5) Días Hábiles</v>
      </c>
      <c r="J22" s="140" t="s">
        <v>263</v>
      </c>
      <c r="K22" s="148" t="s">
        <v>231</v>
      </c>
      <c r="L22" s="140" t="s">
        <v>232</v>
      </c>
      <c r="M22" s="220" t="s">
        <v>220</v>
      </c>
      <c r="N22" s="220" t="s">
        <v>221</v>
      </c>
      <c r="O22" s="34" t="str">
        <f>+'01-FR-03 POA INSTITUCIONAL'!J19</f>
        <v>P.D. para Asuntos Jurisdiccionales, Víctimas y Penal II.
P.D. para la Coordinación de la Gestión de Personerías Locales y sus Personerías Locales adscritas</v>
      </c>
      <c r="P22" s="265">
        <v>0.95</v>
      </c>
      <c r="Q22" s="365">
        <v>1</v>
      </c>
      <c r="R22" s="365">
        <v>0.95</v>
      </c>
      <c r="S22" s="365">
        <v>0.97899999999999998</v>
      </c>
      <c r="T22" s="365">
        <v>0.95</v>
      </c>
      <c r="U22" s="365">
        <v>0.997</v>
      </c>
      <c r="V22" s="366">
        <f>AVERAGE(P22,R22,T22)</f>
        <v>0.94999999999999984</v>
      </c>
      <c r="W22" s="366">
        <f>IFERROR(AVERAGE(Q22,S22,U22),0)</f>
        <v>0.99199999999999999</v>
      </c>
      <c r="X22" s="365">
        <v>0.95</v>
      </c>
      <c r="Y22" s="402">
        <v>0</v>
      </c>
      <c r="Z22" s="365">
        <v>0.95</v>
      </c>
      <c r="AA22" s="402">
        <v>0</v>
      </c>
      <c r="AB22" s="365">
        <v>0.95</v>
      </c>
      <c r="AC22" s="402">
        <v>0</v>
      </c>
      <c r="AD22" s="366">
        <f>AVERAGE(X22,Z22,AB22)</f>
        <v>0.94999999999999984</v>
      </c>
      <c r="AE22" s="366">
        <f>IFERROR(AVERAGE(Y22,AA22,AC22),0)</f>
        <v>0</v>
      </c>
      <c r="AF22" s="365">
        <v>0.95</v>
      </c>
      <c r="AG22" s="402">
        <v>0</v>
      </c>
      <c r="AH22" s="365">
        <v>0.95</v>
      </c>
      <c r="AI22" s="402">
        <v>0</v>
      </c>
      <c r="AJ22" s="365">
        <v>0.95</v>
      </c>
      <c r="AK22" s="402">
        <v>0</v>
      </c>
      <c r="AL22" s="366">
        <f>AVERAGE(AF22,AH22,AJ22)</f>
        <v>0.94999999999999984</v>
      </c>
      <c r="AM22" s="366">
        <f>IFERROR(AVERAGE(AG22,AI22,AK22),0)</f>
        <v>0</v>
      </c>
      <c r="AN22" s="365">
        <v>0.95</v>
      </c>
      <c r="AO22" s="402">
        <v>0</v>
      </c>
      <c r="AP22" s="365">
        <v>0.95</v>
      </c>
      <c r="AQ22" s="402">
        <v>0</v>
      </c>
      <c r="AR22" s="365">
        <v>0.95</v>
      </c>
      <c r="AS22" s="402">
        <v>0</v>
      </c>
      <c r="AT22" s="366">
        <f>AVERAGE(AN22,AP22,AR22)</f>
        <v>0.94999999999999984</v>
      </c>
      <c r="AU22" s="366">
        <f>IFERROR(AVERAGE(AO22,AQ22,AS22),0)</f>
        <v>0</v>
      </c>
      <c r="AV22" s="366">
        <f>AVERAGE(P22,R22,T22,X22,Z22,AB22,AF22,AH22,AJ22,AN22,AP22,AR22)</f>
        <v>0.94999999999999984</v>
      </c>
      <c r="AW22" s="337">
        <f>IFERROR(IF(OR($AV$22="",$AV$22=0),0,ROUNDDOWN(AVERAGE($Q22,$S22,$U22),3)),0)</f>
        <v>0.99199999999999999</v>
      </c>
      <c r="AX22" s="381">
        <f>IFERROR(IF(OR($AV$22="",$AV$22=0),0,ROUNDDOWN(AVERAGE($Q22,$S22,$U22,$Y22,$AA22,$AC22),3)),0)</f>
        <v>0.496</v>
      </c>
      <c r="AY22" s="381">
        <f>IFERROR(IF(OR($AV$22="",$AV$22=0),0,ROUNDDOWN(AVERAGE($Q22,$S22,$U22,$Y22,$AA22,$AC22,$AG22,$AI22,$AK22),3)),0)</f>
        <v>0.33</v>
      </c>
      <c r="AZ22" s="381">
        <f>IFERROR(IF(OR($AV$22="",$AV$22=0),0,ROUNDDOWN(AVERAGE($Q22,$S22,$U22,$Y22,$AA22,$AC22,$AG22,$AI22,$AK22,$AO22,$AQ22,$AS22),3)),0)</f>
        <v>0.248</v>
      </c>
      <c r="BA22" s="350">
        <f>IF(AND(AW22&gt;0,$AV22&gt;0),AW22/$AV22,0)*0.25</f>
        <v>0.26105263157894742</v>
      </c>
      <c r="BB22" s="350">
        <f>IF(AND(AX22&gt;0,$AV22&gt;0),AX22/$AV22,0)*0.5</f>
        <v>0.26105263157894742</v>
      </c>
      <c r="BC22" s="350">
        <f>IF(AND(AY22&gt;0,$AV22&gt;0),AY22/$AV22,0)*0.75</f>
        <v>0.26052631578947372</v>
      </c>
      <c r="BD22" s="350">
        <f>IF(AND(AZ22&gt;0,$AV22&gt;0),AZ22/$AV22,0)</f>
        <v>0.26105263157894742</v>
      </c>
      <c r="BE22" s="394">
        <f>((IF(AND(AW22&gt;0,95%&gt;0),AW22/95%,0))/4)*0.25</f>
        <v>6.5263157894736842E-2</v>
      </c>
      <c r="BF22" s="395">
        <f>(IF(AND(AX22&gt;0,95%&gt;0),AX22/95%,0))*0.5</f>
        <v>0.26105263157894737</v>
      </c>
      <c r="BG22" s="395">
        <f>(IF(AND(AY22&gt;0,95%&gt;0),AY22/95%,0))*0.75</f>
        <v>0.26052631578947372</v>
      </c>
      <c r="BH22" s="395">
        <f>(IF(AND(AZ22&gt;0,95%&gt;0),AZ22/95%,0))</f>
        <v>0.26105263157894737</v>
      </c>
    </row>
    <row r="23" spans="2:60" ht="138.75" customHeight="1">
      <c r="B23" s="1018"/>
      <c r="C23" s="1020"/>
      <c r="D23" s="336" t="str">
        <f>+'01-FR-03 POA INSTITUCIONAL'!D20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E23" s="52">
        <f>+'01-FR-03 POA INSTITUCIONAL'!E20</f>
        <v>0.02</v>
      </c>
      <c r="F23" s="139">
        <f>+'01-FR-03 POA INSTITUCIONAL'!F20</f>
        <v>20000</v>
      </c>
      <c r="G23" s="139">
        <f>+'01-FR-03 POA INSTITUCIONAL'!K20</f>
        <v>5000</v>
      </c>
      <c r="H23" s="140" t="str">
        <f>+'01-FR-03 POA INSTITUCIONAL'!G20</f>
        <v>S.I.</v>
      </c>
      <c r="I23" s="140" t="str">
        <f>+'01-FR-03 POA INSTITUCIONAL'!H20</f>
        <v>Audiencias Publicas Realizadas con Asistencia del Ministerio Público</v>
      </c>
      <c r="J23" s="140" t="s">
        <v>264</v>
      </c>
      <c r="K23" s="148" t="s">
        <v>233</v>
      </c>
      <c r="L23" s="260" t="s">
        <v>234</v>
      </c>
      <c r="M23" s="220" t="s">
        <v>220</v>
      </c>
      <c r="N23" s="220" t="s">
        <v>221</v>
      </c>
      <c r="O23" s="34" t="str">
        <f>+'01-FR-03 POA INSTITUCIONAL'!J20</f>
        <v>P.D. para la Coordinación de la Gestión de Personerías Locales y sus Personerías Locales adscritas</v>
      </c>
      <c r="P23" s="262">
        <v>100</v>
      </c>
      <c r="Q23" s="261">
        <v>300</v>
      </c>
      <c r="R23" s="262">
        <v>460</v>
      </c>
      <c r="S23" s="261">
        <v>322</v>
      </c>
      <c r="T23" s="262">
        <v>460</v>
      </c>
      <c r="U23" s="261">
        <v>355</v>
      </c>
      <c r="V23" s="53">
        <f t="shared" si="2"/>
        <v>1020</v>
      </c>
      <c r="W23" s="53">
        <f t="shared" si="2"/>
        <v>977</v>
      </c>
      <c r="X23" s="262">
        <v>460</v>
      </c>
      <c r="Y23" s="261"/>
      <c r="Z23" s="262">
        <v>460</v>
      </c>
      <c r="AA23" s="261"/>
      <c r="AB23" s="262">
        <v>460</v>
      </c>
      <c r="AC23" s="261"/>
      <c r="AD23" s="53">
        <f t="shared" si="3"/>
        <v>1380</v>
      </c>
      <c r="AE23" s="53">
        <f t="shared" si="3"/>
        <v>0</v>
      </c>
      <c r="AF23" s="262">
        <v>460</v>
      </c>
      <c r="AG23" s="261"/>
      <c r="AH23" s="262">
        <v>460</v>
      </c>
      <c r="AI23" s="261"/>
      <c r="AJ23" s="262">
        <v>460</v>
      </c>
      <c r="AK23" s="261"/>
      <c r="AL23" s="53">
        <f t="shared" si="4"/>
        <v>1380</v>
      </c>
      <c r="AM23" s="53">
        <f t="shared" si="4"/>
        <v>0</v>
      </c>
      <c r="AN23" s="262">
        <v>460</v>
      </c>
      <c r="AO23" s="261"/>
      <c r="AP23" s="262">
        <v>460</v>
      </c>
      <c r="AQ23" s="261"/>
      <c r="AR23" s="261">
        <v>300</v>
      </c>
      <c r="AS23" s="261"/>
      <c r="AT23" s="53">
        <f t="shared" si="5"/>
        <v>1220</v>
      </c>
      <c r="AU23" s="53">
        <f t="shared" si="5"/>
        <v>0</v>
      </c>
      <c r="AV23" s="263">
        <f t="shared" si="6"/>
        <v>5000</v>
      </c>
      <c r="AW23" s="81">
        <f t="shared" si="7"/>
        <v>977</v>
      </c>
      <c r="AX23" s="390">
        <f t="shared" si="8"/>
        <v>977</v>
      </c>
      <c r="AY23" s="390">
        <f t="shared" si="9"/>
        <v>977</v>
      </c>
      <c r="AZ23" s="390">
        <f t="shared" si="10"/>
        <v>977</v>
      </c>
      <c r="BA23" s="350">
        <f t="shared" ref="BA23:BA24" si="24">IF(AND(AW23&gt;0,$AV23&gt;0),AW23/$AV23,0)</f>
        <v>0.19539999999999999</v>
      </c>
      <c r="BB23" s="350">
        <f t="shared" ref="BB23:BB24" si="25">IF(AND(AX23&gt;0,$AV23&gt;0),AX23/$AV23,0)</f>
        <v>0.19539999999999999</v>
      </c>
      <c r="BC23" s="350">
        <f t="shared" ref="BC23:BC24" si="26">IF(AND(AY23&gt;0,$AV23&gt;0),AY23/$AV23,0)</f>
        <v>0.19539999999999999</v>
      </c>
      <c r="BD23" s="350">
        <f t="shared" ref="BD23:BD24" si="27">IF(AND(AZ23&gt;0,$AV23&gt;0),AZ23/$AV23,0)</f>
        <v>0.19539999999999999</v>
      </c>
      <c r="BE23" s="394">
        <f t="shared" ref="BE23:BE36" si="28">(IF(AND(AW23&gt;0,$F23&gt;0),AW23/$F23,0))</f>
        <v>4.8849999999999998E-2</v>
      </c>
      <c r="BF23" s="395">
        <f t="shared" ref="BF23" si="29">(IF(AND(AX23&gt;0,$F23&gt;0),AX23/$F23,0))</f>
        <v>4.8849999999999998E-2</v>
      </c>
      <c r="BG23" s="395">
        <f t="shared" ref="BG23" si="30">(IF(AND(AY23&gt;0,$F23&gt;0),AY23/$F23,0))</f>
        <v>4.8849999999999998E-2</v>
      </c>
      <c r="BH23" s="395">
        <f t="shared" ref="BH23" si="31">(IF(AND(AZ23&gt;0,$F23&gt;0),AZ23/$F23,0))</f>
        <v>4.8849999999999998E-2</v>
      </c>
    </row>
    <row r="24" spans="2:60" ht="236.25" customHeight="1">
      <c r="B24" s="1018"/>
      <c r="C24" s="1020"/>
      <c r="D24" s="336" t="str">
        <f>+'01-FR-03 POA INSTITUCIONAL'!D21</f>
        <v>1.1.9 Realizar 12.000 intervenciones de manera oportuna para evitar situaciones de caducidad y perdida de fuerza ejecutoria en las actuaciones administrativas y policivas</v>
      </c>
      <c r="E24" s="52">
        <f>+'01-FR-03 POA INSTITUCIONAL'!E21</f>
        <v>0.01</v>
      </c>
      <c r="F24" s="139">
        <f>+'01-FR-03 POA INSTITUCIONAL'!F21</f>
        <v>12000</v>
      </c>
      <c r="G24" s="139">
        <f>+'01-FR-03 POA INSTITUCIONAL'!K21</f>
        <v>3000</v>
      </c>
      <c r="H24" s="140" t="str">
        <f>+'01-FR-03 POA INSTITUCIONAL'!G21</f>
        <v>S.I.</v>
      </c>
      <c r="I24" s="140" t="str">
        <f>+'01-FR-03 POA INSTITUCIONAL'!H21</f>
        <v>Intervenciones realizadas oportunamente para evitar la caducidad y perdida de fuerza ejecutoria (Impulsos procesales)</v>
      </c>
      <c r="J24" s="140" t="s">
        <v>273</v>
      </c>
      <c r="K24" s="148" t="s">
        <v>235</v>
      </c>
      <c r="L24" s="260" t="s">
        <v>279</v>
      </c>
      <c r="M24" s="220" t="s">
        <v>220</v>
      </c>
      <c r="N24" s="220" t="s">
        <v>221</v>
      </c>
      <c r="O24" s="34" t="str">
        <f>+'01-FR-03 POA INSTITUCIONAL'!J21</f>
        <v>P.D. para la Coordinación de la Gestión de Personerías Locales y sus Personerías Locales adscritas</v>
      </c>
      <c r="P24" s="262">
        <v>100</v>
      </c>
      <c r="Q24" s="261">
        <v>58</v>
      </c>
      <c r="R24" s="262">
        <v>270</v>
      </c>
      <c r="S24" s="261">
        <v>140</v>
      </c>
      <c r="T24" s="262">
        <v>270</v>
      </c>
      <c r="U24" s="261">
        <v>290</v>
      </c>
      <c r="V24" s="53">
        <f t="shared" si="2"/>
        <v>640</v>
      </c>
      <c r="W24" s="53">
        <f t="shared" si="2"/>
        <v>488</v>
      </c>
      <c r="X24" s="262">
        <v>270</v>
      </c>
      <c r="Y24" s="261"/>
      <c r="Z24" s="262">
        <v>270</v>
      </c>
      <c r="AA24" s="261"/>
      <c r="AB24" s="262">
        <v>270</v>
      </c>
      <c r="AC24" s="262"/>
      <c r="AD24" s="53">
        <f t="shared" si="3"/>
        <v>810</v>
      </c>
      <c r="AE24" s="53">
        <f t="shared" si="3"/>
        <v>0</v>
      </c>
      <c r="AF24" s="262">
        <v>270</v>
      </c>
      <c r="AG24" s="261"/>
      <c r="AH24" s="262">
        <v>270</v>
      </c>
      <c r="AI24" s="261"/>
      <c r="AJ24" s="262">
        <v>270</v>
      </c>
      <c r="AK24" s="262"/>
      <c r="AL24" s="53">
        <f t="shared" si="4"/>
        <v>810</v>
      </c>
      <c r="AM24" s="53">
        <f t="shared" si="4"/>
        <v>0</v>
      </c>
      <c r="AN24" s="262">
        <v>270</v>
      </c>
      <c r="AO24" s="261"/>
      <c r="AP24" s="262">
        <v>270</v>
      </c>
      <c r="AQ24" s="261"/>
      <c r="AR24" s="261">
        <v>200</v>
      </c>
      <c r="AS24" s="261"/>
      <c r="AT24" s="53">
        <f t="shared" si="5"/>
        <v>740</v>
      </c>
      <c r="AU24" s="53">
        <f t="shared" si="5"/>
        <v>0</v>
      </c>
      <c r="AV24" s="263">
        <f t="shared" si="6"/>
        <v>3000</v>
      </c>
      <c r="AW24" s="81">
        <f t="shared" si="7"/>
        <v>488</v>
      </c>
      <c r="AX24" s="390">
        <f t="shared" si="8"/>
        <v>488</v>
      </c>
      <c r="AY24" s="390">
        <f t="shared" si="9"/>
        <v>488</v>
      </c>
      <c r="AZ24" s="390">
        <f t="shared" si="10"/>
        <v>488</v>
      </c>
      <c r="BA24" s="350">
        <f t="shared" si="24"/>
        <v>0.16266666666666665</v>
      </c>
      <c r="BB24" s="350">
        <f t="shared" si="25"/>
        <v>0.16266666666666665</v>
      </c>
      <c r="BC24" s="350">
        <f t="shared" si="26"/>
        <v>0.16266666666666665</v>
      </c>
      <c r="BD24" s="350">
        <f t="shared" si="27"/>
        <v>0.16266666666666665</v>
      </c>
      <c r="BE24" s="394">
        <f t="shared" si="28"/>
        <v>4.0666666666666663E-2</v>
      </c>
      <c r="BF24" s="401">
        <f t="shared" ref="BF24:BF36" si="32">(IF(AND(AX24&gt;0,$AV24&gt;0),AX24/$AV24,0))*$E24</f>
        <v>1.6266666666666667E-3</v>
      </c>
      <c r="BG24" s="401">
        <f t="shared" ref="BG24:BG36" si="33">(IF(AND(AY24&gt;0,$AV24&gt;0),AY24/$AV24,0))*$E24</f>
        <v>1.6266666666666667E-3</v>
      </c>
      <c r="BH24" s="401">
        <f t="shared" ref="BH24:BH36" si="34">(IF(AND(AZ24&gt;0,$AV24&gt;0),AZ24/$AV24,0))*$E24</f>
        <v>1.6266666666666667E-3</v>
      </c>
    </row>
    <row r="25" spans="2:60" ht="136.5" customHeight="1">
      <c r="B25" s="1018"/>
      <c r="C25" s="1020"/>
      <c r="D25" s="336" t="str">
        <f>+'01-FR-03 POA INSTITUCIONAL'!D22</f>
        <v>1.1.10 Impulsar 2.800 expedientes que contengan orden de policía (MULTA) en firme y ejecutoriada, para que se efectúen cobros persuasivos y/o se de traslado para el cobro coactivo.</v>
      </c>
      <c r="E25" s="52">
        <f>+'01-FR-03 POA INSTITUCIONAL'!E22</f>
        <v>0.01</v>
      </c>
      <c r="F25" s="139">
        <f>+'01-FR-03 POA INSTITUCIONAL'!F22</f>
        <v>2800</v>
      </c>
      <c r="G25" s="139">
        <f>+'01-FR-03 POA INSTITUCIONAL'!K22</f>
        <v>700</v>
      </c>
      <c r="H25" s="140" t="str">
        <f>+'01-FR-03 POA INSTITUCIONAL'!G22</f>
        <v>S.I.</v>
      </c>
      <c r="I25" s="140" t="str">
        <f>+'01-FR-03 POA INSTITUCIONAL'!H22</f>
        <v>Expedientes con impulso procesal para la gestión de multas</v>
      </c>
      <c r="J25" s="140" t="s">
        <v>732</v>
      </c>
      <c r="K25" s="148" t="s">
        <v>236</v>
      </c>
      <c r="L25" s="260" t="s">
        <v>237</v>
      </c>
      <c r="M25" s="220" t="s">
        <v>220</v>
      </c>
      <c r="N25" s="220" t="s">
        <v>221</v>
      </c>
      <c r="O25" s="34" t="str">
        <f>+'01-FR-03 POA INSTITUCIONAL'!J22</f>
        <v>P.D. para la Coordinación de la Gestión de Personerías Locales y sus Personerías Locales adscritas</v>
      </c>
      <c r="P25" s="262">
        <v>25</v>
      </c>
      <c r="Q25" s="262">
        <v>0</v>
      </c>
      <c r="R25" s="262">
        <v>60</v>
      </c>
      <c r="S25" s="262">
        <v>9</v>
      </c>
      <c r="T25" s="262">
        <v>60</v>
      </c>
      <c r="U25" s="262">
        <v>65</v>
      </c>
      <c r="V25" s="53">
        <f t="shared" si="2"/>
        <v>145</v>
      </c>
      <c r="W25" s="53">
        <f t="shared" si="2"/>
        <v>74</v>
      </c>
      <c r="X25" s="262">
        <v>60</v>
      </c>
      <c r="Y25" s="262"/>
      <c r="Z25" s="262">
        <v>65</v>
      </c>
      <c r="AA25" s="262"/>
      <c r="AB25" s="262">
        <v>65</v>
      </c>
      <c r="AC25" s="262"/>
      <c r="AD25" s="53">
        <f t="shared" si="3"/>
        <v>190</v>
      </c>
      <c r="AE25" s="53">
        <f t="shared" si="3"/>
        <v>0</v>
      </c>
      <c r="AF25" s="262">
        <v>65</v>
      </c>
      <c r="AG25" s="261"/>
      <c r="AH25" s="262">
        <v>65</v>
      </c>
      <c r="AI25" s="261"/>
      <c r="AJ25" s="262">
        <v>65</v>
      </c>
      <c r="AK25" s="262"/>
      <c r="AL25" s="53">
        <f t="shared" si="4"/>
        <v>195</v>
      </c>
      <c r="AM25" s="53">
        <f t="shared" si="4"/>
        <v>0</v>
      </c>
      <c r="AN25" s="261">
        <v>60</v>
      </c>
      <c r="AO25" s="261"/>
      <c r="AP25" s="261">
        <v>60</v>
      </c>
      <c r="AQ25" s="261"/>
      <c r="AR25" s="261">
        <v>50</v>
      </c>
      <c r="AS25" s="261"/>
      <c r="AT25" s="53">
        <f t="shared" si="5"/>
        <v>170</v>
      </c>
      <c r="AU25" s="53">
        <f t="shared" si="5"/>
        <v>0</v>
      </c>
      <c r="AV25" s="263">
        <f t="shared" si="6"/>
        <v>700</v>
      </c>
      <c r="AW25" s="81">
        <f t="shared" si="7"/>
        <v>74</v>
      </c>
      <c r="AX25" s="390">
        <f t="shared" si="8"/>
        <v>74</v>
      </c>
      <c r="AY25" s="390">
        <f t="shared" si="9"/>
        <v>74</v>
      </c>
      <c r="AZ25" s="390">
        <f t="shared" si="10"/>
        <v>74</v>
      </c>
      <c r="BA25" s="350">
        <f t="shared" ref="BA25:BA36" si="35">IF(AND(AW25&gt;0,$AV25&gt;0),AW25/$AV25,0)</f>
        <v>0.10571428571428572</v>
      </c>
      <c r="BB25" s="350">
        <f t="shared" ref="BB25:BB36" si="36">IF(AND(AX25&gt;0,$AV25&gt;0),AX25/$AV25,0)</f>
        <v>0.10571428571428572</v>
      </c>
      <c r="BC25" s="350">
        <f t="shared" ref="BC25:BC36" si="37">IF(AND(AY25&gt;0,$AV25&gt;0),AY25/$AV25,0)</f>
        <v>0.10571428571428572</v>
      </c>
      <c r="BD25" s="350">
        <f t="shared" ref="BD25:BD36" si="38">IF(AND(AZ25&gt;0,$AV25&gt;0),AZ25/$AV25,0)</f>
        <v>0.10571428571428572</v>
      </c>
      <c r="BE25" s="394">
        <f t="shared" si="28"/>
        <v>2.642857142857143E-2</v>
      </c>
      <c r="BF25" s="401">
        <f t="shared" si="32"/>
        <v>1.0571428571428572E-3</v>
      </c>
      <c r="BG25" s="401">
        <f t="shared" si="33"/>
        <v>1.0571428571428572E-3</v>
      </c>
      <c r="BH25" s="401">
        <f t="shared" si="34"/>
        <v>1.0571428571428572E-3</v>
      </c>
    </row>
    <row r="26" spans="2:60" ht="196.5" customHeight="1">
      <c r="B26" s="1018"/>
      <c r="C26" s="774"/>
      <c r="D26" s="336" t="str">
        <f>+'01-FR-03 POA INSTITUCIONAL'!D23</f>
        <v>1.1.11 Establecer de forma periódica, 60 estados de la vulneración de  los derechos humanos en las localidades, dando a conocer a las Entidades correspondientes los hechos observados que requieren su intervención.</v>
      </c>
      <c r="E26" s="52">
        <f>+'01-FR-03 POA INSTITUCIONAL'!E23</f>
        <v>0.01</v>
      </c>
      <c r="F26" s="139">
        <f>+'01-FR-03 POA INSTITUCIONAL'!F23</f>
        <v>60</v>
      </c>
      <c r="G26" s="139">
        <f>+'01-FR-03 POA INSTITUCIONAL'!K23</f>
        <v>0</v>
      </c>
      <c r="H26" s="140" t="str">
        <f>+'01-FR-03 POA INSTITUCIONAL'!G23</f>
        <v>S.I.</v>
      </c>
      <c r="I26" s="140" t="str">
        <f>+'01-FR-03 POA INSTITUCIONAL'!H23</f>
        <v>Estados de vulneración establecidos</v>
      </c>
      <c r="J26" s="140" t="s">
        <v>280</v>
      </c>
      <c r="K26" s="148" t="s">
        <v>238</v>
      </c>
      <c r="L26" s="260" t="s">
        <v>281</v>
      </c>
      <c r="M26" s="220" t="s">
        <v>220</v>
      </c>
      <c r="N26" s="220" t="s">
        <v>221</v>
      </c>
      <c r="O26" s="34" t="str">
        <f>+'01-FR-03 POA INSTITUCIONAL'!J23</f>
        <v>P.D. para la Coordinación de la Gestión de Personerías Locales y sus Personerías Locales adscritas</v>
      </c>
      <c r="P26" s="261">
        <v>0</v>
      </c>
      <c r="Q26" s="261">
        <v>0</v>
      </c>
      <c r="R26" s="261">
        <v>0</v>
      </c>
      <c r="S26" s="261">
        <v>0</v>
      </c>
      <c r="T26" s="261">
        <v>0</v>
      </c>
      <c r="U26" s="261">
        <v>0</v>
      </c>
      <c r="V26" s="53">
        <f t="shared" si="2"/>
        <v>0</v>
      </c>
      <c r="W26" s="53">
        <f t="shared" si="2"/>
        <v>0</v>
      </c>
      <c r="X26" s="261">
        <v>0</v>
      </c>
      <c r="Y26" s="261"/>
      <c r="Z26" s="261">
        <v>0</v>
      </c>
      <c r="AA26" s="261"/>
      <c r="AB26" s="261">
        <v>0</v>
      </c>
      <c r="AC26" s="261"/>
      <c r="AD26" s="53">
        <f t="shared" si="3"/>
        <v>0</v>
      </c>
      <c r="AE26" s="53">
        <f t="shared" si="3"/>
        <v>0</v>
      </c>
      <c r="AF26" s="261">
        <v>0</v>
      </c>
      <c r="AG26" s="261"/>
      <c r="AH26" s="261">
        <v>0</v>
      </c>
      <c r="AI26" s="261"/>
      <c r="AJ26" s="262">
        <v>0</v>
      </c>
      <c r="AK26" s="262"/>
      <c r="AL26" s="53">
        <f t="shared" si="4"/>
        <v>0</v>
      </c>
      <c r="AM26" s="53">
        <f t="shared" si="4"/>
        <v>0</v>
      </c>
      <c r="AN26" s="261">
        <v>0</v>
      </c>
      <c r="AO26" s="261"/>
      <c r="AP26" s="261">
        <v>0</v>
      </c>
      <c r="AQ26" s="261"/>
      <c r="AR26" s="261">
        <v>0</v>
      </c>
      <c r="AS26" s="261"/>
      <c r="AT26" s="53">
        <f t="shared" si="5"/>
        <v>0</v>
      </c>
      <c r="AU26" s="53">
        <f t="shared" si="5"/>
        <v>0</v>
      </c>
      <c r="AV26" s="263">
        <f t="shared" si="6"/>
        <v>0</v>
      </c>
      <c r="AW26" s="81">
        <f t="shared" si="7"/>
        <v>0</v>
      </c>
      <c r="AX26" s="390">
        <f t="shared" si="8"/>
        <v>0</v>
      </c>
      <c r="AY26" s="390">
        <f t="shared" si="9"/>
        <v>0</v>
      </c>
      <c r="AZ26" s="390">
        <f t="shared" si="10"/>
        <v>0</v>
      </c>
      <c r="BA26" s="350">
        <f t="shared" si="35"/>
        <v>0</v>
      </c>
      <c r="BB26" s="350">
        <f t="shared" si="36"/>
        <v>0</v>
      </c>
      <c r="BC26" s="350">
        <f t="shared" si="37"/>
        <v>0</v>
      </c>
      <c r="BD26" s="350">
        <f t="shared" si="38"/>
        <v>0</v>
      </c>
      <c r="BE26" s="394">
        <f t="shared" si="28"/>
        <v>0</v>
      </c>
      <c r="BF26" s="401">
        <f t="shared" si="32"/>
        <v>0</v>
      </c>
      <c r="BG26" s="401">
        <f t="shared" si="33"/>
        <v>0</v>
      </c>
      <c r="BH26" s="401">
        <f t="shared" si="34"/>
        <v>0</v>
      </c>
    </row>
    <row r="27" spans="2:60" ht="123" customHeight="1">
      <c r="B27" s="1018"/>
      <c r="C27" s="773" t="str" cm="1">
        <f t="array" ref="C27">'[4]POA Anualizado (Pág 1 de 3)'!C24:C24</f>
        <v>1.2. Realizar 232.288 acciones que propendan por la efectiva defensa y garantía de los derechos de los sujetos de especial protección constitucional, con énfasis en las personas mayores, mujeres y la población migrante en el Distrito Capital.</v>
      </c>
      <c r="D27" s="336" t="str">
        <f>+'01-FR-03 POA INSTITUCIONAL'!D24</f>
        <v>1.2.1 Sensibilizar a 173.000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52">
        <f>+'01-FR-03 POA INSTITUCIONAL'!E24</f>
        <v>0.75</v>
      </c>
      <c r="F27" s="139">
        <f>+'01-FR-03 POA INSTITUCIONAL'!F24</f>
        <v>173000</v>
      </c>
      <c r="G27" s="139">
        <f>+'01-FR-03 POA INSTITUCIONAL'!K24</f>
        <v>48000</v>
      </c>
      <c r="H27" s="140" t="str">
        <f>+'01-FR-03 POA INSTITUCIONAL'!G24</f>
        <v>S.I.</v>
      </c>
      <c r="I27" s="140" t="str">
        <f>+'01-FR-03 POA INSTITUCIONAL'!H24</f>
        <v>Personas sensibilizadas en el Distrito Capital</v>
      </c>
      <c r="J27" s="140" t="s">
        <v>265</v>
      </c>
      <c r="K27" s="148" t="s">
        <v>239</v>
      </c>
      <c r="L27" s="260" t="s">
        <v>240</v>
      </c>
      <c r="M27" s="220" t="s">
        <v>220</v>
      </c>
      <c r="N27" s="220" t="s">
        <v>221</v>
      </c>
      <c r="O27" s="34" t="str">
        <f>+'01-FR-03 POA INSTITUCIONAL'!J24</f>
        <v>P.D. para la Coordinación del MP y DDHH y sus dependencias adscritas
P.D. para la Coordinación de la Gestión de Personerías Locales y sus Personerías Locales adscritas</v>
      </c>
      <c r="P27" s="261">
        <v>0</v>
      </c>
      <c r="Q27" s="261">
        <v>1978</v>
      </c>
      <c r="R27" s="261">
        <v>0</v>
      </c>
      <c r="S27" s="261">
        <v>5685</v>
      </c>
      <c r="T27" s="261">
        <f>1100+4200</f>
        <v>5300</v>
      </c>
      <c r="U27" s="261">
        <v>17684</v>
      </c>
      <c r="V27" s="53">
        <f t="shared" si="2"/>
        <v>5300</v>
      </c>
      <c r="W27" s="53">
        <f t="shared" si="2"/>
        <v>25347</v>
      </c>
      <c r="X27" s="261">
        <f>1110+4200</f>
        <v>5310</v>
      </c>
      <c r="Y27" s="261"/>
      <c r="Z27" s="261">
        <f>1110+4200</f>
        <v>5310</v>
      </c>
      <c r="AA27" s="261"/>
      <c r="AB27" s="261">
        <f>1110+4200</f>
        <v>5310</v>
      </c>
      <c r="AC27" s="261"/>
      <c r="AD27" s="53">
        <f t="shared" si="3"/>
        <v>15930</v>
      </c>
      <c r="AE27" s="53">
        <f t="shared" si="3"/>
        <v>0</v>
      </c>
      <c r="AF27" s="261">
        <f>1110+4200</f>
        <v>5310</v>
      </c>
      <c r="AG27" s="261"/>
      <c r="AH27" s="261">
        <f>1110+4200</f>
        <v>5310</v>
      </c>
      <c r="AI27" s="261"/>
      <c r="AJ27" s="261">
        <f>1120+4200</f>
        <v>5320</v>
      </c>
      <c r="AK27" s="261"/>
      <c r="AL27" s="53">
        <f t="shared" si="4"/>
        <v>15940</v>
      </c>
      <c r="AM27" s="53">
        <f t="shared" si="4"/>
        <v>0</v>
      </c>
      <c r="AN27" s="261">
        <f>1120+4300</f>
        <v>5420</v>
      </c>
      <c r="AO27" s="261"/>
      <c r="AP27" s="261">
        <f>1110+4300</f>
        <v>5410</v>
      </c>
      <c r="AQ27" s="261"/>
      <c r="AR27" s="261">
        <v>0</v>
      </c>
      <c r="AS27" s="261"/>
      <c r="AT27" s="53">
        <f t="shared" si="5"/>
        <v>10830</v>
      </c>
      <c r="AU27" s="53">
        <f t="shared" si="5"/>
        <v>0</v>
      </c>
      <c r="AV27" s="263">
        <f t="shared" si="6"/>
        <v>48000</v>
      </c>
      <c r="AW27" s="81">
        <f t="shared" si="7"/>
        <v>25347</v>
      </c>
      <c r="AX27" s="390">
        <f t="shared" si="8"/>
        <v>25347</v>
      </c>
      <c r="AY27" s="390">
        <f t="shared" si="9"/>
        <v>25347</v>
      </c>
      <c r="AZ27" s="390">
        <f t="shared" si="10"/>
        <v>25347</v>
      </c>
      <c r="BA27" s="350">
        <f t="shared" si="35"/>
        <v>0.52806249999999999</v>
      </c>
      <c r="BB27" s="350">
        <f t="shared" si="36"/>
        <v>0.52806249999999999</v>
      </c>
      <c r="BC27" s="350">
        <f t="shared" si="37"/>
        <v>0.52806249999999999</v>
      </c>
      <c r="BD27" s="350">
        <f t="shared" si="38"/>
        <v>0.52806249999999999</v>
      </c>
      <c r="BE27" s="394">
        <f t="shared" si="28"/>
        <v>0.14651445086705203</v>
      </c>
      <c r="BF27" s="401">
        <f t="shared" si="32"/>
        <v>0.39604687500000002</v>
      </c>
      <c r="BG27" s="401">
        <f t="shared" si="33"/>
        <v>0.39604687500000002</v>
      </c>
      <c r="BH27" s="401">
        <f t="shared" si="34"/>
        <v>0.39604687500000002</v>
      </c>
    </row>
    <row r="28" spans="2:60" ht="144.75" customHeight="1">
      <c r="B28" s="1018"/>
      <c r="C28" s="1020"/>
      <c r="D28" s="336" t="str">
        <f>+'01-FR-03 POA INSTITUCIONAL'!D25</f>
        <v>1.2.2 Adelantar 28.400 acciones necesarias en favor de la población víctima del conflicto armado interno mediante el apoyo jurídico, la atención psicosocial, la gestión para acceso a derechos, la toma de declaraciones y la elaboración de derechos de petición.</v>
      </c>
      <c r="E28" s="52">
        <f>+'01-FR-03 POA INSTITUCIONAL'!E25</f>
        <v>0.12</v>
      </c>
      <c r="F28" s="139">
        <f>+'01-FR-03 POA INSTITUCIONAL'!F25</f>
        <v>28400</v>
      </c>
      <c r="G28" s="139">
        <f>+'01-FR-03 POA INSTITUCIONAL'!K25</f>
        <v>6800</v>
      </c>
      <c r="H28" s="140" t="str">
        <f>+'01-FR-03 POA INSTITUCIONAL'!G25</f>
        <v>S.I.</v>
      </c>
      <c r="I28" s="140" t="str">
        <f>+'01-FR-03 POA INSTITUCIONAL'!H25</f>
        <v>Acciones en favor de las víctimas del conflicto armado interno adelantadas</v>
      </c>
      <c r="J28" s="140" t="s">
        <v>266</v>
      </c>
      <c r="K28" s="148" t="s">
        <v>241</v>
      </c>
      <c r="L28" s="260" t="s">
        <v>242</v>
      </c>
      <c r="M28" s="220" t="s">
        <v>220</v>
      </c>
      <c r="N28" s="220" t="s">
        <v>221</v>
      </c>
      <c r="O28" s="34" t="str">
        <f>+'01-FR-03 POA INSTITUCIONAL'!J25</f>
        <v>P.D. para la Protección de las Víctimas del Conflicto Armado Interno
P.D. para la Coordinación de la Gestión de Personerías Locales y sus Personerías Locales adscritas</v>
      </c>
      <c r="P28" s="261">
        <f>8+100</f>
        <v>108</v>
      </c>
      <c r="Q28" s="261">
        <v>361</v>
      </c>
      <c r="R28" s="261">
        <f>18+630</f>
        <v>648</v>
      </c>
      <c r="S28" s="261">
        <v>422</v>
      </c>
      <c r="T28" s="261">
        <f>18+630</f>
        <v>648</v>
      </c>
      <c r="U28" s="261">
        <v>525</v>
      </c>
      <c r="V28" s="53">
        <f t="shared" si="2"/>
        <v>1404</v>
      </c>
      <c r="W28" s="53">
        <f t="shared" si="2"/>
        <v>1308</v>
      </c>
      <c r="X28" s="261">
        <f>18+630</f>
        <v>648</v>
      </c>
      <c r="Y28" s="261"/>
      <c r="Z28" s="261">
        <f>18+630</f>
        <v>648</v>
      </c>
      <c r="AA28" s="261"/>
      <c r="AB28" s="261">
        <f>18+630</f>
        <v>648</v>
      </c>
      <c r="AC28" s="261"/>
      <c r="AD28" s="53">
        <f t="shared" si="3"/>
        <v>1944</v>
      </c>
      <c r="AE28" s="53">
        <f t="shared" si="3"/>
        <v>0</v>
      </c>
      <c r="AF28" s="261">
        <f>18+630</f>
        <v>648</v>
      </c>
      <c r="AG28" s="261"/>
      <c r="AH28" s="261">
        <f>18+630</f>
        <v>648</v>
      </c>
      <c r="AI28" s="261"/>
      <c r="AJ28" s="261">
        <f>18+630</f>
        <v>648</v>
      </c>
      <c r="AK28" s="261"/>
      <c r="AL28" s="53">
        <f t="shared" si="4"/>
        <v>1944</v>
      </c>
      <c r="AM28" s="53">
        <f t="shared" si="4"/>
        <v>0</v>
      </c>
      <c r="AN28" s="261">
        <f>18+630</f>
        <v>648</v>
      </c>
      <c r="AO28" s="261"/>
      <c r="AP28" s="261">
        <f>18+630</f>
        <v>648</v>
      </c>
      <c r="AQ28" s="261"/>
      <c r="AR28" s="261">
        <f>12+200</f>
        <v>212</v>
      </c>
      <c r="AS28" s="261"/>
      <c r="AT28" s="53">
        <f t="shared" si="5"/>
        <v>1508</v>
      </c>
      <c r="AU28" s="53">
        <f t="shared" si="5"/>
        <v>0</v>
      </c>
      <c r="AV28" s="263">
        <f t="shared" si="6"/>
        <v>6800</v>
      </c>
      <c r="AW28" s="81">
        <f t="shared" si="7"/>
        <v>1308</v>
      </c>
      <c r="AX28" s="390">
        <f t="shared" si="8"/>
        <v>1308</v>
      </c>
      <c r="AY28" s="390">
        <f t="shared" si="9"/>
        <v>1308</v>
      </c>
      <c r="AZ28" s="390">
        <f t="shared" si="10"/>
        <v>1308</v>
      </c>
      <c r="BA28" s="350">
        <f t="shared" si="35"/>
        <v>0.19235294117647059</v>
      </c>
      <c r="BB28" s="350">
        <f t="shared" si="36"/>
        <v>0.19235294117647059</v>
      </c>
      <c r="BC28" s="350">
        <f t="shared" si="37"/>
        <v>0.19235294117647059</v>
      </c>
      <c r="BD28" s="350">
        <f t="shared" si="38"/>
        <v>0.19235294117647059</v>
      </c>
      <c r="BE28" s="394">
        <f t="shared" si="28"/>
        <v>4.6056338028169011E-2</v>
      </c>
      <c r="BF28" s="401">
        <f t="shared" si="32"/>
        <v>2.3082352941176471E-2</v>
      </c>
      <c r="BG28" s="401">
        <f t="shared" si="33"/>
        <v>2.3082352941176471E-2</v>
      </c>
      <c r="BH28" s="401">
        <f t="shared" si="34"/>
        <v>2.3082352941176471E-2</v>
      </c>
    </row>
    <row r="29" spans="2:60" ht="136.5" customHeight="1">
      <c r="B29" s="1018"/>
      <c r="C29" s="1020"/>
      <c r="D29" s="336" t="str">
        <f>+'01-FR-03 POA INSTITUCIONAL'!D26</f>
        <v>1.2.3 Prevenir mediante la elaboración de 21.700 acciones constitucionales, la vulneración de derechos  con énfasis en sujetos de especial protección constitucional.</v>
      </c>
      <c r="E29" s="52">
        <f>+'01-FR-03 POA INSTITUCIONAL'!E26</f>
        <v>0.09</v>
      </c>
      <c r="F29" s="139">
        <f>+'01-FR-03 POA INSTITUCIONAL'!F26</f>
        <v>21700</v>
      </c>
      <c r="G29" s="139">
        <f>+'01-FR-03 POA INSTITUCIONAL'!K26</f>
        <v>6100</v>
      </c>
      <c r="H29" s="140" t="str">
        <f>+'01-FR-03 POA INSTITUCIONAL'!G26</f>
        <v>S.I.</v>
      </c>
      <c r="I29" s="140" t="str">
        <f>+'01-FR-03 POA INSTITUCIONAL'!H26</f>
        <v>Acciones constitucionales elaboradas para prevenir vulneración de derechos</v>
      </c>
      <c r="J29" s="140" t="s">
        <v>267</v>
      </c>
      <c r="K29" s="148" t="s">
        <v>243</v>
      </c>
      <c r="L29" s="260" t="s">
        <v>244</v>
      </c>
      <c r="M29" s="220" t="s">
        <v>220</v>
      </c>
      <c r="N29" s="220" t="s">
        <v>221</v>
      </c>
      <c r="O29" s="34" t="str">
        <f>+'01-FR-03 POA INSTITUCIONAL'!J26</f>
        <v>P.D. para Asuntos Jurisdiccionales, Víctimas, Penal II y Consumidor.
P.D. para la Coordinación de la Gestión de Personerías Locales y sus Personerías Locales adscritas</v>
      </c>
      <c r="P29" s="261">
        <f>50+200</f>
        <v>250</v>
      </c>
      <c r="Q29" s="261">
        <v>402</v>
      </c>
      <c r="R29" s="261">
        <f>60+490</f>
        <v>550</v>
      </c>
      <c r="S29" s="261">
        <v>444</v>
      </c>
      <c r="T29" s="261">
        <f>60+490</f>
        <v>550</v>
      </c>
      <c r="U29" s="261">
        <v>343</v>
      </c>
      <c r="V29" s="53">
        <f t="shared" si="2"/>
        <v>1350</v>
      </c>
      <c r="W29" s="53">
        <f t="shared" si="2"/>
        <v>1189</v>
      </c>
      <c r="X29" s="261">
        <f>60+490</f>
        <v>550</v>
      </c>
      <c r="Y29" s="261"/>
      <c r="Z29" s="261">
        <f>60+490</f>
        <v>550</v>
      </c>
      <c r="AA29" s="261"/>
      <c r="AB29" s="261">
        <f>60+490</f>
        <v>550</v>
      </c>
      <c r="AC29" s="261"/>
      <c r="AD29" s="53">
        <f t="shared" si="3"/>
        <v>1650</v>
      </c>
      <c r="AE29" s="53">
        <f t="shared" si="3"/>
        <v>0</v>
      </c>
      <c r="AF29" s="261">
        <f>60+490</f>
        <v>550</v>
      </c>
      <c r="AG29" s="261"/>
      <c r="AH29" s="261">
        <f>60+490</f>
        <v>550</v>
      </c>
      <c r="AI29" s="261"/>
      <c r="AJ29" s="261">
        <f>60+490</f>
        <v>550</v>
      </c>
      <c r="AK29" s="261"/>
      <c r="AL29" s="53">
        <f t="shared" si="4"/>
        <v>1650</v>
      </c>
      <c r="AM29" s="53">
        <f t="shared" si="4"/>
        <v>0</v>
      </c>
      <c r="AN29" s="261">
        <f>60+490</f>
        <v>550</v>
      </c>
      <c r="AO29" s="261"/>
      <c r="AP29" s="261">
        <f>60+490</f>
        <v>550</v>
      </c>
      <c r="AQ29" s="261"/>
      <c r="AR29" s="261">
        <f>50+300</f>
        <v>350</v>
      </c>
      <c r="AS29" s="261"/>
      <c r="AT29" s="53">
        <f t="shared" si="5"/>
        <v>1450</v>
      </c>
      <c r="AU29" s="53">
        <f t="shared" si="5"/>
        <v>0</v>
      </c>
      <c r="AV29" s="263">
        <f t="shared" si="6"/>
        <v>6100</v>
      </c>
      <c r="AW29" s="81">
        <f t="shared" si="7"/>
        <v>1189</v>
      </c>
      <c r="AX29" s="390">
        <f t="shared" si="8"/>
        <v>1189</v>
      </c>
      <c r="AY29" s="390">
        <f t="shared" si="9"/>
        <v>1189</v>
      </c>
      <c r="AZ29" s="390">
        <f t="shared" si="10"/>
        <v>1189</v>
      </c>
      <c r="BA29" s="350">
        <f t="shared" si="35"/>
        <v>0.19491803278688524</v>
      </c>
      <c r="BB29" s="350">
        <f t="shared" si="36"/>
        <v>0.19491803278688524</v>
      </c>
      <c r="BC29" s="350">
        <f t="shared" si="37"/>
        <v>0.19491803278688524</v>
      </c>
      <c r="BD29" s="350">
        <f t="shared" si="38"/>
        <v>0.19491803278688524</v>
      </c>
      <c r="BE29" s="394">
        <f t="shared" si="28"/>
        <v>5.4792626728110597E-2</v>
      </c>
      <c r="BF29" s="401">
        <f t="shared" si="32"/>
        <v>1.754262295081967E-2</v>
      </c>
      <c r="BG29" s="401">
        <f t="shared" si="33"/>
        <v>1.754262295081967E-2</v>
      </c>
      <c r="BH29" s="401">
        <f t="shared" si="34"/>
        <v>1.754262295081967E-2</v>
      </c>
    </row>
    <row r="30" spans="2:60" ht="91.5" customHeight="1">
      <c r="B30" s="1018"/>
      <c r="C30" s="1020"/>
      <c r="D30" s="336" t="str">
        <f>+'01-FR-03 POA INSTITUCIONAL'!D27</f>
        <v>1.2.4 Fortalecer el ejercicio del ministerio público ante las comisarias de familia, mediante el seguimiento a 4.200 medidas de protección que estas imponen.</v>
      </c>
      <c r="E30" s="52">
        <f>+'01-FR-03 POA INSTITUCIONAL'!E27</f>
        <v>0.02</v>
      </c>
      <c r="F30" s="139">
        <f>+'01-FR-03 POA INSTITUCIONAL'!F27</f>
        <v>4200</v>
      </c>
      <c r="G30" s="139">
        <f>+'01-FR-03 POA INSTITUCIONAL'!K27</f>
        <v>1200</v>
      </c>
      <c r="H30" s="140" t="str">
        <f>+'01-FR-03 POA INSTITUCIONAL'!G27</f>
        <v>S.I.</v>
      </c>
      <c r="I30" s="140" t="str">
        <f>+'01-FR-03 POA INSTITUCIONAL'!H27</f>
        <v>Seguimientos realizados por el Ministerio Público a las medidas de protección impuestas por las Comisarias de Familia</v>
      </c>
      <c r="J30" s="140" t="s">
        <v>275</v>
      </c>
      <c r="K30" s="148" t="s">
        <v>245</v>
      </c>
      <c r="L30" s="260" t="s">
        <v>246</v>
      </c>
      <c r="M30" s="220" t="s">
        <v>220</v>
      </c>
      <c r="N30" s="220" t="s">
        <v>221</v>
      </c>
      <c r="O30" s="34" t="str">
        <f>+'01-FR-03 POA INSTITUCIONAL'!J27</f>
        <v>P.D. para la Familia y Sujetos de Especial Protección Constitucional</v>
      </c>
      <c r="P30" s="261">
        <v>0</v>
      </c>
      <c r="Q30" s="261">
        <v>74</v>
      </c>
      <c r="R30" s="261">
        <v>0</v>
      </c>
      <c r="S30" s="261">
        <v>93</v>
      </c>
      <c r="T30" s="261">
        <v>100</v>
      </c>
      <c r="U30" s="261">
        <v>97</v>
      </c>
      <c r="V30" s="53">
        <f t="shared" si="2"/>
        <v>100</v>
      </c>
      <c r="W30" s="53">
        <f t="shared" si="2"/>
        <v>264</v>
      </c>
      <c r="X30" s="261">
        <v>130</v>
      </c>
      <c r="Y30" s="261"/>
      <c r="Z30" s="261">
        <v>130</v>
      </c>
      <c r="AA30" s="261"/>
      <c r="AB30" s="261">
        <v>130</v>
      </c>
      <c r="AC30" s="261"/>
      <c r="AD30" s="53">
        <f t="shared" si="3"/>
        <v>390</v>
      </c>
      <c r="AE30" s="53">
        <f t="shared" si="3"/>
        <v>0</v>
      </c>
      <c r="AF30" s="261">
        <v>130</v>
      </c>
      <c r="AG30" s="261"/>
      <c r="AH30" s="261">
        <v>130</v>
      </c>
      <c r="AI30" s="261"/>
      <c r="AJ30" s="261">
        <v>130</v>
      </c>
      <c r="AK30" s="262"/>
      <c r="AL30" s="53">
        <f t="shared" si="4"/>
        <v>390</v>
      </c>
      <c r="AM30" s="53">
        <f t="shared" si="4"/>
        <v>0</v>
      </c>
      <c r="AN30" s="261">
        <v>130</v>
      </c>
      <c r="AO30" s="261"/>
      <c r="AP30" s="261">
        <v>130</v>
      </c>
      <c r="AQ30" s="261"/>
      <c r="AR30" s="261">
        <v>60</v>
      </c>
      <c r="AS30" s="261"/>
      <c r="AT30" s="53">
        <f t="shared" si="5"/>
        <v>320</v>
      </c>
      <c r="AU30" s="53">
        <f t="shared" si="5"/>
        <v>0</v>
      </c>
      <c r="AV30" s="263">
        <f t="shared" si="6"/>
        <v>1200</v>
      </c>
      <c r="AW30" s="81">
        <f t="shared" si="7"/>
        <v>264</v>
      </c>
      <c r="AX30" s="390">
        <f t="shared" si="8"/>
        <v>264</v>
      </c>
      <c r="AY30" s="390">
        <f t="shared" si="9"/>
        <v>264</v>
      </c>
      <c r="AZ30" s="390">
        <f t="shared" si="10"/>
        <v>264</v>
      </c>
      <c r="BA30" s="350">
        <f t="shared" si="35"/>
        <v>0.22</v>
      </c>
      <c r="BB30" s="350">
        <f t="shared" si="36"/>
        <v>0.22</v>
      </c>
      <c r="BC30" s="350">
        <f t="shared" si="37"/>
        <v>0.22</v>
      </c>
      <c r="BD30" s="350">
        <f t="shared" si="38"/>
        <v>0.22</v>
      </c>
      <c r="BE30" s="394">
        <f t="shared" si="28"/>
        <v>6.2857142857142861E-2</v>
      </c>
      <c r="BF30" s="401">
        <f t="shared" si="32"/>
        <v>4.4000000000000003E-3</v>
      </c>
      <c r="BG30" s="401">
        <f t="shared" si="33"/>
        <v>4.4000000000000003E-3</v>
      </c>
      <c r="BH30" s="401">
        <f t="shared" si="34"/>
        <v>4.4000000000000003E-3</v>
      </c>
    </row>
    <row r="31" spans="2:60" ht="145.5" customHeight="1">
      <c r="B31" s="1018"/>
      <c r="C31" s="1020"/>
      <c r="D31" s="336" t="str">
        <f>+'01-FR-03 POA INSTITUCIONAL'!D28</f>
        <v>1.2.5 Participar en 4.322 comités, mesas y consejos interinstitucionales en garantía de derechos, con énfasis en temas relacionados con sujetos de especial protección constitucional, en particular, persona mayor, mujer y población migrante.</v>
      </c>
      <c r="E31" s="52">
        <f>+'01-FR-03 POA INSTITUCIONAL'!E28</f>
        <v>0.01</v>
      </c>
      <c r="F31" s="139">
        <f>+'01-FR-03 POA INSTITUCIONAL'!F28</f>
        <v>4322</v>
      </c>
      <c r="G31" s="139">
        <f>+'01-FR-03 POA INSTITUCIONAL'!K28</f>
        <v>1092</v>
      </c>
      <c r="H31" s="140" t="str">
        <f>+'01-FR-03 POA INSTITUCIONAL'!G28</f>
        <v>S.I.</v>
      </c>
      <c r="I31" s="140" t="str">
        <f>+'01-FR-03 POA INSTITUCIONAL'!H28</f>
        <v>Espacios Interinstitucionales con participación</v>
      </c>
      <c r="J31" s="140" t="s">
        <v>274</v>
      </c>
      <c r="K31" s="148" t="s">
        <v>247</v>
      </c>
      <c r="L31" s="260" t="s">
        <v>248</v>
      </c>
      <c r="M31" s="220" t="s">
        <v>220</v>
      </c>
      <c r="N31" s="220" t="s">
        <v>221</v>
      </c>
      <c r="O31" s="34"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261">
        <v>0</v>
      </c>
      <c r="Q31" s="261">
        <v>209</v>
      </c>
      <c r="R31" s="261">
        <f>7+80</f>
        <v>87</v>
      </c>
      <c r="S31" s="261">
        <v>207</v>
      </c>
      <c r="T31" s="261">
        <f>9+100</f>
        <v>109</v>
      </c>
      <c r="U31" s="261">
        <v>226</v>
      </c>
      <c r="V31" s="53">
        <f t="shared" si="2"/>
        <v>196</v>
      </c>
      <c r="W31" s="53">
        <f t="shared" si="2"/>
        <v>642</v>
      </c>
      <c r="X31" s="261">
        <f>9+100</f>
        <v>109</v>
      </c>
      <c r="Y31" s="261"/>
      <c r="Z31" s="261">
        <f>9+100</f>
        <v>109</v>
      </c>
      <c r="AA31" s="261"/>
      <c r="AB31" s="261">
        <f>9+100</f>
        <v>109</v>
      </c>
      <c r="AC31" s="262"/>
      <c r="AD31" s="53">
        <f t="shared" si="3"/>
        <v>327</v>
      </c>
      <c r="AE31" s="53">
        <f t="shared" si="3"/>
        <v>0</v>
      </c>
      <c r="AF31" s="261">
        <f>9+100</f>
        <v>109</v>
      </c>
      <c r="AG31" s="261"/>
      <c r="AH31" s="261">
        <f>9+100</f>
        <v>109</v>
      </c>
      <c r="AI31" s="261"/>
      <c r="AJ31" s="261">
        <f>9+100</f>
        <v>109</v>
      </c>
      <c r="AK31" s="262"/>
      <c r="AL31" s="53">
        <f t="shared" si="4"/>
        <v>327</v>
      </c>
      <c r="AM31" s="53">
        <f t="shared" si="4"/>
        <v>0</v>
      </c>
      <c r="AN31" s="261">
        <f>9+100</f>
        <v>109</v>
      </c>
      <c r="AO31" s="261"/>
      <c r="AP31" s="261">
        <f>9+100</f>
        <v>109</v>
      </c>
      <c r="AQ31" s="261"/>
      <c r="AR31" s="261">
        <f>4+20</f>
        <v>24</v>
      </c>
      <c r="AS31" s="261"/>
      <c r="AT31" s="53">
        <f t="shared" si="5"/>
        <v>242</v>
      </c>
      <c r="AU31" s="53">
        <f t="shared" si="5"/>
        <v>0</v>
      </c>
      <c r="AV31" s="263">
        <f t="shared" si="6"/>
        <v>1092</v>
      </c>
      <c r="AW31" s="81">
        <f t="shared" si="7"/>
        <v>642</v>
      </c>
      <c r="AX31" s="390">
        <f t="shared" si="8"/>
        <v>642</v>
      </c>
      <c r="AY31" s="390">
        <f t="shared" si="9"/>
        <v>642</v>
      </c>
      <c r="AZ31" s="390">
        <f t="shared" si="10"/>
        <v>642</v>
      </c>
      <c r="BA31" s="350">
        <f t="shared" si="35"/>
        <v>0.58791208791208793</v>
      </c>
      <c r="BB31" s="350">
        <f t="shared" si="36"/>
        <v>0.58791208791208793</v>
      </c>
      <c r="BC31" s="350">
        <f t="shared" si="37"/>
        <v>0.58791208791208793</v>
      </c>
      <c r="BD31" s="350">
        <f t="shared" si="38"/>
        <v>0.58791208791208793</v>
      </c>
      <c r="BE31" s="394">
        <f t="shared" si="28"/>
        <v>0.14854234150856085</v>
      </c>
      <c r="BF31" s="401">
        <f t="shared" si="32"/>
        <v>5.8791208791208792E-3</v>
      </c>
      <c r="BG31" s="401">
        <f t="shared" si="33"/>
        <v>5.8791208791208792E-3</v>
      </c>
      <c r="BH31" s="401">
        <f t="shared" si="34"/>
        <v>5.8791208791208792E-3</v>
      </c>
    </row>
    <row r="32" spans="2:60" ht="99.75" customHeight="1">
      <c r="B32" s="1018"/>
      <c r="C32" s="774"/>
      <c r="D32" s="336" t="str">
        <f>+'01-FR-03 POA INSTITUCIONAL'!D29</f>
        <v>1.2.6 Realizar 666 seguimientos a la amenaza y vulneración de los derechos, con énfasis en sujetos de especial protección constitucional, en particular, persona mayor, mujer y población migrante</v>
      </c>
      <c r="E32" s="52">
        <f>+'01-FR-03 POA INSTITUCIONAL'!E29</f>
        <v>0.01</v>
      </c>
      <c r="F32" s="139">
        <f>+'01-FR-03 POA INSTITUCIONAL'!F29</f>
        <v>666</v>
      </c>
      <c r="G32" s="139">
        <f>+'01-FR-03 POA INSTITUCIONAL'!K29</f>
        <v>182</v>
      </c>
      <c r="H32" s="140" t="str">
        <f>+'01-FR-03 POA INSTITUCIONAL'!G29</f>
        <v>S.I.</v>
      </c>
      <c r="I32" s="140" t="str">
        <f>+'01-FR-03 POA INSTITUCIONAL'!H29</f>
        <v>Seguimientos a la Amenaza y Vulneración de los Derechos Realizados</v>
      </c>
      <c r="J32" s="140" t="s">
        <v>268</v>
      </c>
      <c r="K32" s="148" t="s">
        <v>249</v>
      </c>
      <c r="L32" s="260" t="s">
        <v>250</v>
      </c>
      <c r="M32" s="220" t="s">
        <v>220</v>
      </c>
      <c r="N32" s="220" t="s">
        <v>221</v>
      </c>
      <c r="O32" s="34"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261">
        <v>13</v>
      </c>
      <c r="Q32" s="261">
        <v>21</v>
      </c>
      <c r="R32" s="261">
        <f>6+6</f>
        <v>12</v>
      </c>
      <c r="S32" s="261">
        <v>17</v>
      </c>
      <c r="T32" s="261">
        <f>6+10</f>
        <v>16</v>
      </c>
      <c r="U32" s="261">
        <v>26</v>
      </c>
      <c r="V32" s="53">
        <f t="shared" si="2"/>
        <v>41</v>
      </c>
      <c r="W32" s="53">
        <f t="shared" si="2"/>
        <v>64</v>
      </c>
      <c r="X32" s="261">
        <f>6+11</f>
        <v>17</v>
      </c>
      <c r="Y32" s="261"/>
      <c r="Z32" s="261">
        <f>6+11</f>
        <v>17</v>
      </c>
      <c r="AA32" s="261"/>
      <c r="AB32" s="261">
        <f>6+11</f>
        <v>17</v>
      </c>
      <c r="AC32" s="262"/>
      <c r="AD32" s="53">
        <f t="shared" si="3"/>
        <v>51</v>
      </c>
      <c r="AE32" s="53">
        <f t="shared" si="3"/>
        <v>0</v>
      </c>
      <c r="AF32" s="261">
        <f>6+11</f>
        <v>17</v>
      </c>
      <c r="AG32" s="261"/>
      <c r="AH32" s="261">
        <f>6+11</f>
        <v>17</v>
      </c>
      <c r="AI32" s="261"/>
      <c r="AJ32" s="261">
        <f>6+11</f>
        <v>17</v>
      </c>
      <c r="AK32" s="262"/>
      <c r="AL32" s="53">
        <f t="shared" si="4"/>
        <v>51</v>
      </c>
      <c r="AM32" s="53">
        <f t="shared" si="4"/>
        <v>0</v>
      </c>
      <c r="AN32" s="261">
        <f>6+11</f>
        <v>17</v>
      </c>
      <c r="AO32" s="261"/>
      <c r="AP32" s="261">
        <f>6+9</f>
        <v>15</v>
      </c>
      <c r="AQ32" s="261"/>
      <c r="AR32" s="261">
        <f>0+7</f>
        <v>7</v>
      </c>
      <c r="AS32" s="261"/>
      <c r="AT32" s="53">
        <f t="shared" si="5"/>
        <v>39</v>
      </c>
      <c r="AU32" s="53">
        <f t="shared" si="5"/>
        <v>0</v>
      </c>
      <c r="AV32" s="263">
        <f t="shared" si="6"/>
        <v>182</v>
      </c>
      <c r="AW32" s="81">
        <f t="shared" si="7"/>
        <v>64</v>
      </c>
      <c r="AX32" s="390">
        <f t="shared" si="8"/>
        <v>64</v>
      </c>
      <c r="AY32" s="390">
        <f t="shared" si="9"/>
        <v>64</v>
      </c>
      <c r="AZ32" s="390">
        <f t="shared" si="10"/>
        <v>64</v>
      </c>
      <c r="BA32" s="350">
        <f t="shared" si="35"/>
        <v>0.35164835164835168</v>
      </c>
      <c r="BB32" s="350">
        <f t="shared" si="36"/>
        <v>0.35164835164835168</v>
      </c>
      <c r="BC32" s="350">
        <f t="shared" si="37"/>
        <v>0.35164835164835168</v>
      </c>
      <c r="BD32" s="350">
        <f t="shared" si="38"/>
        <v>0.35164835164835168</v>
      </c>
      <c r="BE32" s="394">
        <f t="shared" si="28"/>
        <v>9.6096096096096095E-2</v>
      </c>
      <c r="BF32" s="401">
        <f t="shared" si="32"/>
        <v>3.5164835164835169E-3</v>
      </c>
      <c r="BG32" s="401">
        <f t="shared" si="33"/>
        <v>3.5164835164835169E-3</v>
      </c>
      <c r="BH32" s="401">
        <f t="shared" si="34"/>
        <v>3.5164835164835169E-3</v>
      </c>
    </row>
    <row r="33" spans="2:60" ht="102" customHeight="1">
      <c r="B33" s="1018"/>
      <c r="C33" s="773" t="str" cm="1">
        <f t="array" ref="C33">'[4]POA Anualizado (Pág 1 de 3)'!C30:C30</f>
        <v>1.3. Construir e Implementar 36 estrategias que permitan incrementar la oferta y cobertura de los servicios prestados por la Entidad.</v>
      </c>
      <c r="D33" s="336" t="str">
        <f>+'01-FR-03 POA INSTITUCIONAL'!D30</f>
        <v>1.3.1 Realizar 20 actividades que permitan el acercamiento de la Entidad a la Comunidad.</v>
      </c>
      <c r="E33" s="52">
        <f>+'01-FR-03 POA INSTITUCIONAL'!E30</f>
        <v>0.56000000000000005</v>
      </c>
      <c r="F33" s="139">
        <f>+'01-FR-03 POA INSTITUCIONAL'!F30</f>
        <v>20</v>
      </c>
      <c r="G33" s="139">
        <f>+'01-FR-03 POA INSTITUCIONAL'!K30</f>
        <v>2</v>
      </c>
      <c r="H33" s="140" t="str">
        <f>+'01-FR-03 POA INSTITUCIONAL'!G30</f>
        <v>S.I.</v>
      </c>
      <c r="I33" s="140" t="str">
        <f>+'01-FR-03 POA INSTITUCIONAL'!H30</f>
        <v>Actividades de acercamiento de la Entidad a la comunidad realizadas</v>
      </c>
      <c r="J33" s="140" t="s">
        <v>269</v>
      </c>
      <c r="K33" s="148" t="s">
        <v>251</v>
      </c>
      <c r="L33" s="260" t="s">
        <v>252</v>
      </c>
      <c r="M33" s="220" t="s">
        <v>220</v>
      </c>
      <c r="N33" s="220" t="s">
        <v>221</v>
      </c>
      <c r="O33" s="34" t="str">
        <f>+'01-FR-03 POA INSTITUCIONAL'!J30</f>
        <v>P.D. para la Coordinación del MP y DDHH y sus dependencias adscritas
 P.D. para la Coordinación de la Gestión de Personerías Locales y sus Personerías Locales adscritas</v>
      </c>
      <c r="P33" s="261">
        <v>0</v>
      </c>
      <c r="Q33" s="261">
        <v>0</v>
      </c>
      <c r="R33" s="261">
        <v>0</v>
      </c>
      <c r="S33" s="261">
        <v>0</v>
      </c>
      <c r="T33" s="261">
        <v>0</v>
      </c>
      <c r="U33" s="261">
        <v>0</v>
      </c>
      <c r="V33" s="53">
        <f t="shared" si="2"/>
        <v>0</v>
      </c>
      <c r="W33" s="53">
        <f t="shared" si="2"/>
        <v>0</v>
      </c>
      <c r="X33" s="261">
        <v>0</v>
      </c>
      <c r="Y33" s="261"/>
      <c r="Z33" s="261">
        <v>0</v>
      </c>
      <c r="AA33" s="261"/>
      <c r="AB33" s="261">
        <v>0</v>
      </c>
      <c r="AC33" s="261"/>
      <c r="AD33" s="53">
        <f t="shared" si="3"/>
        <v>0</v>
      </c>
      <c r="AE33" s="53">
        <f t="shared" si="3"/>
        <v>0</v>
      </c>
      <c r="AF33" s="261">
        <v>1</v>
      </c>
      <c r="AG33" s="261"/>
      <c r="AH33" s="261">
        <v>0</v>
      </c>
      <c r="AI33" s="261"/>
      <c r="AJ33" s="262">
        <v>1</v>
      </c>
      <c r="AK33" s="262"/>
      <c r="AL33" s="53">
        <f t="shared" si="4"/>
        <v>2</v>
      </c>
      <c r="AM33" s="53">
        <f t="shared" si="4"/>
        <v>0</v>
      </c>
      <c r="AN33" s="261">
        <v>0</v>
      </c>
      <c r="AO33" s="261"/>
      <c r="AP33" s="261">
        <v>0</v>
      </c>
      <c r="AQ33" s="261"/>
      <c r="AR33" s="261">
        <v>0</v>
      </c>
      <c r="AS33" s="261"/>
      <c r="AT33" s="53">
        <f t="shared" si="5"/>
        <v>0</v>
      </c>
      <c r="AU33" s="53">
        <f t="shared" si="5"/>
        <v>0</v>
      </c>
      <c r="AV33" s="263">
        <f t="shared" si="6"/>
        <v>2</v>
      </c>
      <c r="AW33" s="81">
        <f t="shared" si="7"/>
        <v>0</v>
      </c>
      <c r="AX33" s="390">
        <f t="shared" si="8"/>
        <v>0</v>
      </c>
      <c r="AY33" s="390">
        <f t="shared" si="9"/>
        <v>0</v>
      </c>
      <c r="AZ33" s="390">
        <f t="shared" si="10"/>
        <v>0</v>
      </c>
      <c r="BA33" s="350">
        <f t="shared" si="35"/>
        <v>0</v>
      </c>
      <c r="BB33" s="350">
        <f t="shared" si="36"/>
        <v>0</v>
      </c>
      <c r="BC33" s="350">
        <f t="shared" si="37"/>
        <v>0</v>
      </c>
      <c r="BD33" s="350">
        <f t="shared" si="38"/>
        <v>0</v>
      </c>
      <c r="BE33" s="394">
        <f t="shared" si="28"/>
        <v>0</v>
      </c>
      <c r="BF33" s="401">
        <f t="shared" si="32"/>
        <v>0</v>
      </c>
      <c r="BG33" s="401">
        <f t="shared" si="33"/>
        <v>0</v>
      </c>
      <c r="BH33" s="401">
        <f t="shared" si="34"/>
        <v>0</v>
      </c>
    </row>
    <row r="34" spans="2:60" ht="87.75" customHeight="1">
      <c r="B34" s="1018"/>
      <c r="C34" s="1020"/>
      <c r="D34" s="336" t="str">
        <f>+'01-FR-03 POA INSTITUCIONAL'!D31</f>
        <v>1.3.2 Incrementar la cobertura de los servicios que presta el proceso de Promoción y Defensa de Derechos, mediante la implementación de 11 acciones que propendan por el mejoramiento de los mismos.</v>
      </c>
      <c r="E34" s="52">
        <f>+'01-FR-03 POA INSTITUCIONAL'!E31</f>
        <v>0.31</v>
      </c>
      <c r="F34" s="139">
        <f>+'01-FR-03 POA INSTITUCIONAL'!F31</f>
        <v>11</v>
      </c>
      <c r="G34" s="139">
        <f>+'01-FR-03 POA INSTITUCIONAL'!K31</f>
        <v>3</v>
      </c>
      <c r="H34" s="140" t="str">
        <f>+'01-FR-03 POA INSTITUCIONAL'!G31</f>
        <v>S.I.</v>
      </c>
      <c r="I34" s="140" t="str">
        <f>+'01-FR-03 POA INSTITUCIONAL'!H31</f>
        <v>Acciones realizadas para incrementar la cobertura de los servicios</v>
      </c>
      <c r="J34" s="140" t="s">
        <v>276</v>
      </c>
      <c r="K34" s="148" t="s">
        <v>253</v>
      </c>
      <c r="L34" s="260" t="s">
        <v>254</v>
      </c>
      <c r="M34" s="220" t="s">
        <v>220</v>
      </c>
      <c r="N34" s="220" t="s">
        <v>221</v>
      </c>
      <c r="O34" s="34" t="str">
        <f>+'01-FR-03 POA INSTITUCIONAL'!J31</f>
        <v>P.D. para la Coordinación del MP y DDHH y sus dependencias adscritas
 P.D. para la Coordinación de la Gestión de Personerías Locales y sus Personerías Locales adscritas</v>
      </c>
      <c r="P34" s="261">
        <v>0</v>
      </c>
      <c r="Q34" s="261">
        <v>0</v>
      </c>
      <c r="R34" s="261">
        <v>0</v>
      </c>
      <c r="S34" s="261">
        <v>0</v>
      </c>
      <c r="T34" s="261">
        <v>0</v>
      </c>
      <c r="U34" s="261">
        <v>0</v>
      </c>
      <c r="V34" s="53">
        <f t="shared" si="2"/>
        <v>0</v>
      </c>
      <c r="W34" s="53">
        <f t="shared" si="2"/>
        <v>0</v>
      </c>
      <c r="X34" s="261">
        <v>0</v>
      </c>
      <c r="Y34" s="261"/>
      <c r="Z34" s="261">
        <v>0</v>
      </c>
      <c r="AA34" s="261"/>
      <c r="AB34" s="261">
        <v>1</v>
      </c>
      <c r="AC34" s="261"/>
      <c r="AD34" s="53">
        <f t="shared" si="3"/>
        <v>1</v>
      </c>
      <c r="AE34" s="53">
        <f t="shared" si="3"/>
        <v>0</v>
      </c>
      <c r="AF34" s="261">
        <v>1</v>
      </c>
      <c r="AG34" s="261"/>
      <c r="AH34" s="261">
        <v>1</v>
      </c>
      <c r="AI34" s="261"/>
      <c r="AJ34" s="262">
        <v>0</v>
      </c>
      <c r="AK34" s="262"/>
      <c r="AL34" s="53">
        <f t="shared" si="4"/>
        <v>2</v>
      </c>
      <c r="AM34" s="53">
        <f t="shared" si="4"/>
        <v>0</v>
      </c>
      <c r="AN34" s="261">
        <v>0</v>
      </c>
      <c r="AO34" s="261"/>
      <c r="AP34" s="261">
        <v>0</v>
      </c>
      <c r="AQ34" s="261"/>
      <c r="AR34" s="261">
        <v>0</v>
      </c>
      <c r="AS34" s="261"/>
      <c r="AT34" s="53">
        <f t="shared" si="5"/>
        <v>0</v>
      </c>
      <c r="AU34" s="53">
        <f t="shared" si="5"/>
        <v>0</v>
      </c>
      <c r="AV34" s="263">
        <f t="shared" si="6"/>
        <v>3</v>
      </c>
      <c r="AW34" s="81">
        <f t="shared" si="7"/>
        <v>0</v>
      </c>
      <c r="AX34" s="390">
        <f t="shared" si="8"/>
        <v>0</v>
      </c>
      <c r="AY34" s="390">
        <f t="shared" si="9"/>
        <v>0</v>
      </c>
      <c r="AZ34" s="390">
        <f t="shared" si="10"/>
        <v>0</v>
      </c>
      <c r="BA34" s="350">
        <f t="shared" si="35"/>
        <v>0</v>
      </c>
      <c r="BB34" s="350">
        <f t="shared" si="36"/>
        <v>0</v>
      </c>
      <c r="BC34" s="350">
        <f t="shared" si="37"/>
        <v>0</v>
      </c>
      <c r="BD34" s="350">
        <f t="shared" si="38"/>
        <v>0</v>
      </c>
      <c r="BE34" s="394">
        <f t="shared" si="28"/>
        <v>0</v>
      </c>
      <c r="BF34" s="401">
        <f t="shared" si="32"/>
        <v>0</v>
      </c>
      <c r="BG34" s="401">
        <f t="shared" si="33"/>
        <v>0</v>
      </c>
      <c r="BH34" s="401">
        <f t="shared" si="34"/>
        <v>0</v>
      </c>
    </row>
    <row r="35" spans="2:60" ht="81" customHeight="1">
      <c r="B35" s="1018"/>
      <c r="C35" s="1020"/>
      <c r="D35" s="336" t="str">
        <f>+'01-FR-03 POA INSTITUCIONAL'!D32</f>
        <v>1.3.3 Implementar 4 herramientas para la promoción y prevención a infracciones del Derecho Internacional Humanitario en el Distrito Capital</v>
      </c>
      <c r="E35" s="52">
        <f>+'01-FR-03 POA INSTITUCIONAL'!E32</f>
        <v>0.11</v>
      </c>
      <c r="F35" s="139">
        <f>+'01-FR-03 POA INSTITUCIONAL'!F32</f>
        <v>4</v>
      </c>
      <c r="G35" s="139">
        <f>+'01-FR-03 POA INSTITUCIONAL'!K32</f>
        <v>1</v>
      </c>
      <c r="H35" s="140" t="str">
        <f>+'01-FR-03 POA INSTITUCIONAL'!G32</f>
        <v>S.I.</v>
      </c>
      <c r="I35" s="140" t="str">
        <f>+'01-FR-03 POA INSTITUCIONAL'!H32</f>
        <v>Herramientas de promoción y prevención a infracciones del Derecho Internacional Humanitario implementadas</v>
      </c>
      <c r="J35" s="140" t="s">
        <v>277</v>
      </c>
      <c r="K35" s="148" t="s">
        <v>255</v>
      </c>
      <c r="L35" s="260" t="s">
        <v>256</v>
      </c>
      <c r="M35" s="220" t="s">
        <v>220</v>
      </c>
      <c r="N35" s="220" t="s">
        <v>221</v>
      </c>
      <c r="O35" s="34" t="str">
        <f>+'01-FR-03 POA INSTITUCIONAL'!J32</f>
        <v>P.D. para la Coordinación del MP y DDHH y sus dependencias adscritas
 P.D. para la Coordinación de la Gestión de Personerías Locales y sus Personerías Locales adscritas</v>
      </c>
      <c r="P35" s="261">
        <v>0</v>
      </c>
      <c r="Q35" s="261">
        <v>0</v>
      </c>
      <c r="R35" s="261">
        <v>0</v>
      </c>
      <c r="S35" s="261">
        <v>0</v>
      </c>
      <c r="T35" s="261">
        <v>0</v>
      </c>
      <c r="U35" s="261">
        <v>0</v>
      </c>
      <c r="V35" s="53">
        <f t="shared" si="2"/>
        <v>0</v>
      </c>
      <c r="W35" s="53">
        <f t="shared" si="2"/>
        <v>0</v>
      </c>
      <c r="X35" s="261">
        <v>0</v>
      </c>
      <c r="Y35" s="261"/>
      <c r="Z35" s="261">
        <v>0</v>
      </c>
      <c r="AA35" s="261"/>
      <c r="AB35" s="261">
        <v>0</v>
      </c>
      <c r="AC35" s="261"/>
      <c r="AD35" s="53">
        <f t="shared" si="3"/>
        <v>0</v>
      </c>
      <c r="AE35" s="53">
        <f t="shared" si="3"/>
        <v>0</v>
      </c>
      <c r="AF35" s="261">
        <v>1</v>
      </c>
      <c r="AG35" s="261"/>
      <c r="AH35" s="261">
        <v>0</v>
      </c>
      <c r="AI35" s="261"/>
      <c r="AJ35" s="262">
        <v>0</v>
      </c>
      <c r="AK35" s="262"/>
      <c r="AL35" s="53">
        <f t="shared" si="4"/>
        <v>1</v>
      </c>
      <c r="AM35" s="53">
        <f t="shared" si="4"/>
        <v>0</v>
      </c>
      <c r="AN35" s="261">
        <v>0</v>
      </c>
      <c r="AO35" s="261"/>
      <c r="AP35" s="261">
        <v>0</v>
      </c>
      <c r="AQ35" s="261"/>
      <c r="AR35" s="261">
        <v>0</v>
      </c>
      <c r="AS35" s="261"/>
      <c r="AT35" s="53">
        <f t="shared" si="5"/>
        <v>0</v>
      </c>
      <c r="AU35" s="53">
        <f t="shared" si="5"/>
        <v>0</v>
      </c>
      <c r="AV35" s="263">
        <f t="shared" si="6"/>
        <v>1</v>
      </c>
      <c r="AW35" s="81">
        <f t="shared" si="7"/>
        <v>0</v>
      </c>
      <c r="AX35" s="390">
        <f t="shared" si="8"/>
        <v>0</v>
      </c>
      <c r="AY35" s="390">
        <f t="shared" si="9"/>
        <v>0</v>
      </c>
      <c r="AZ35" s="390">
        <f t="shared" si="10"/>
        <v>0</v>
      </c>
      <c r="BA35" s="350">
        <f t="shared" si="35"/>
        <v>0</v>
      </c>
      <c r="BB35" s="350">
        <f t="shared" si="36"/>
        <v>0</v>
      </c>
      <c r="BC35" s="350">
        <f t="shared" si="37"/>
        <v>0</v>
      </c>
      <c r="BD35" s="350">
        <f t="shared" si="38"/>
        <v>0</v>
      </c>
      <c r="BE35" s="394">
        <f t="shared" si="28"/>
        <v>0</v>
      </c>
      <c r="BF35" s="401">
        <f t="shared" si="32"/>
        <v>0</v>
      </c>
      <c r="BG35" s="401">
        <f t="shared" si="33"/>
        <v>0</v>
      </c>
      <c r="BH35" s="401">
        <f t="shared" si="34"/>
        <v>0</v>
      </c>
    </row>
    <row r="36" spans="2:60" ht="106.5" customHeight="1">
      <c r="B36" s="1019"/>
      <c r="C36" s="774"/>
      <c r="D36" s="31" t="str">
        <f>+'01-FR-03 POA INSTITUCIONAL'!D33</f>
        <v>1.3.4 Realizar 1 coordinación interinstitucional para focalizar los servicios y ayudas efectivas que soliciten las poblaciones vulnerables con énfasis en sujetos de especial protección constitucional, en particular, personas mayores, mujeres y población migrante.</v>
      </c>
      <c r="E36" s="52">
        <f>+'01-FR-03 POA INSTITUCIONAL'!E33</f>
        <v>0.02</v>
      </c>
      <c r="F36" s="139">
        <f>+'01-FR-03 POA INSTITUCIONAL'!F33</f>
        <v>1</v>
      </c>
      <c r="G36" s="139">
        <f>+'01-FR-03 POA INSTITUCIONAL'!K33</f>
        <v>0</v>
      </c>
      <c r="H36" s="140" t="str">
        <f>+'01-FR-03 POA INSTITUCIONAL'!G33</f>
        <v>S.I.</v>
      </c>
      <c r="I36" s="140" t="str">
        <f>+'01-FR-03 POA INSTITUCIONAL'!H33</f>
        <v>Coordinación interinstitucional realizada</v>
      </c>
      <c r="J36" s="140" t="s">
        <v>270</v>
      </c>
      <c r="K36" s="148" t="s">
        <v>257</v>
      </c>
      <c r="L36" s="260" t="s">
        <v>282</v>
      </c>
      <c r="M36" s="220" t="s">
        <v>220</v>
      </c>
      <c r="N36" s="220" t="s">
        <v>221</v>
      </c>
      <c r="O36" s="34" t="str">
        <f>+'01-FR-03 POA INSTITUCIONAL'!J33</f>
        <v>P.D. para la Coordinación del MP y DDHH y sus dependencias adscritas
P.D. para la Coordinación de la Gestión de Personerías Locales y sus Personerías Locales adscritas</v>
      </c>
      <c r="P36" s="261">
        <v>0</v>
      </c>
      <c r="Q36" s="261">
        <v>0</v>
      </c>
      <c r="R36" s="261">
        <v>0</v>
      </c>
      <c r="S36" s="261">
        <v>0</v>
      </c>
      <c r="T36" s="261">
        <v>0</v>
      </c>
      <c r="U36" s="261">
        <v>0</v>
      </c>
      <c r="V36" s="53">
        <f t="shared" si="2"/>
        <v>0</v>
      </c>
      <c r="W36" s="53">
        <f t="shared" si="2"/>
        <v>0</v>
      </c>
      <c r="X36" s="261">
        <v>0</v>
      </c>
      <c r="Y36" s="261"/>
      <c r="Z36" s="261">
        <v>0</v>
      </c>
      <c r="AA36" s="261"/>
      <c r="AB36" s="261">
        <v>0</v>
      </c>
      <c r="AC36" s="261"/>
      <c r="AD36" s="53">
        <f t="shared" si="3"/>
        <v>0</v>
      </c>
      <c r="AE36" s="53">
        <f t="shared" si="3"/>
        <v>0</v>
      </c>
      <c r="AF36" s="261">
        <v>0</v>
      </c>
      <c r="AG36" s="261"/>
      <c r="AH36" s="261">
        <v>0</v>
      </c>
      <c r="AI36" s="261"/>
      <c r="AJ36" s="262">
        <v>0</v>
      </c>
      <c r="AK36" s="262"/>
      <c r="AL36" s="53">
        <f t="shared" si="4"/>
        <v>0</v>
      </c>
      <c r="AM36" s="53">
        <f t="shared" si="4"/>
        <v>0</v>
      </c>
      <c r="AN36" s="261">
        <v>0</v>
      </c>
      <c r="AO36" s="261"/>
      <c r="AP36" s="261">
        <v>0</v>
      </c>
      <c r="AQ36" s="261"/>
      <c r="AR36" s="261">
        <v>0</v>
      </c>
      <c r="AS36" s="261"/>
      <c r="AT36" s="53">
        <f t="shared" si="5"/>
        <v>0</v>
      </c>
      <c r="AU36" s="53">
        <f t="shared" si="5"/>
        <v>0</v>
      </c>
      <c r="AV36" s="263">
        <f t="shared" si="6"/>
        <v>0</v>
      </c>
      <c r="AW36" s="81">
        <f t="shared" si="7"/>
        <v>0</v>
      </c>
      <c r="AX36" s="390">
        <f t="shared" si="8"/>
        <v>0</v>
      </c>
      <c r="AY36" s="390">
        <f t="shared" si="9"/>
        <v>0</v>
      </c>
      <c r="AZ36" s="390">
        <f t="shared" si="10"/>
        <v>0</v>
      </c>
      <c r="BA36" s="350">
        <f t="shared" si="35"/>
        <v>0</v>
      </c>
      <c r="BB36" s="350">
        <f t="shared" si="36"/>
        <v>0</v>
      </c>
      <c r="BC36" s="350">
        <f t="shared" si="37"/>
        <v>0</v>
      </c>
      <c r="BD36" s="350">
        <f t="shared" si="38"/>
        <v>0</v>
      </c>
      <c r="BE36" s="394">
        <f t="shared" si="28"/>
        <v>0</v>
      </c>
      <c r="BF36" s="401">
        <f t="shared" si="32"/>
        <v>0</v>
      </c>
      <c r="BG36" s="401">
        <f t="shared" si="33"/>
        <v>0</v>
      </c>
      <c r="BH36" s="401">
        <f t="shared" si="34"/>
        <v>0</v>
      </c>
    </row>
    <row r="37" spans="2:60" ht="22.8">
      <c r="B37" s="949" t="s">
        <v>743</v>
      </c>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0"/>
      <c r="AR37" s="950"/>
      <c r="AS37" s="950"/>
      <c r="AT37" s="950"/>
      <c r="AU37" s="950"/>
      <c r="AV37" s="950"/>
      <c r="AW37" s="951"/>
      <c r="AX37" s="1021" t="s">
        <v>19</v>
      </c>
      <c r="AY37" s="1021"/>
      <c r="AZ37" s="1021"/>
      <c r="BA37" s="70">
        <f>AVERAGE(BA16:BA36)</f>
        <v>0.1806527385050877</v>
      </c>
      <c r="BB37" s="70">
        <f t="shared" ref="BB37:BD37" si="39">AVERAGE(BB16:BB36)</f>
        <v>0.1806527385050877</v>
      </c>
      <c r="BC37" s="70">
        <f t="shared" si="39"/>
        <v>0.18062767584844611</v>
      </c>
      <c r="BD37" s="70">
        <f t="shared" si="39"/>
        <v>0.1806527385050877</v>
      </c>
      <c r="BE37" s="959"/>
      <c r="BF37" s="960"/>
      <c r="BG37" s="960"/>
      <c r="BH37" s="961"/>
    </row>
    <row r="38" spans="2:60">
      <c r="B38" s="900" t="s">
        <v>291</v>
      </c>
      <c r="C38" s="900"/>
      <c r="D38" s="900"/>
      <c r="E38" s="900"/>
      <c r="F38" s="900"/>
      <c r="G38" s="900"/>
      <c r="H38" s="247"/>
      <c r="I38" s="248"/>
      <c r="J38" s="248"/>
      <c r="K38" s="248"/>
      <c r="L38" s="248"/>
      <c r="M38" s="248"/>
      <c r="N38" s="248"/>
      <c r="O38" s="248"/>
    </row>
    <row r="39" spans="2:60">
      <c r="B39" s="248"/>
      <c r="C39" s="248"/>
      <c r="D39" s="929"/>
      <c r="E39" s="929"/>
      <c r="F39" s="929"/>
      <c r="G39" s="929"/>
      <c r="H39" s="929"/>
      <c r="I39" s="929"/>
      <c r="J39" s="929"/>
      <c r="K39" s="929"/>
      <c r="L39" s="929"/>
      <c r="M39" s="929"/>
      <c r="N39" s="929"/>
      <c r="O39" s="929"/>
    </row>
    <row r="40" spans="2:60" ht="30" customHeight="1">
      <c r="B40" s="77" t="s">
        <v>26</v>
      </c>
      <c r="C40" s="249">
        <v>44224</v>
      </c>
      <c r="D40" s="250"/>
      <c r="E40" s="932" t="s">
        <v>50</v>
      </c>
      <c r="F40" s="1011" t="s">
        <v>737</v>
      </c>
      <c r="G40" s="1012"/>
      <c r="H40" s="1012"/>
      <c r="I40" s="1012"/>
      <c r="J40" s="1013"/>
      <c r="K40" s="251"/>
      <c r="L40" s="938"/>
      <c r="M40" s="938"/>
      <c r="N40" s="938"/>
      <c r="O40" s="939"/>
    </row>
    <row r="41" spans="2:60" ht="40.200000000000003" customHeight="1">
      <c r="B41" s="248"/>
      <c r="C41" s="248"/>
      <c r="D41" s="251"/>
      <c r="E41" s="932"/>
      <c r="F41" s="1014"/>
      <c r="G41" s="1015"/>
      <c r="H41" s="1015"/>
      <c r="I41" s="1015"/>
      <c r="J41" s="1016"/>
      <c r="K41" s="248"/>
      <c r="L41" s="248"/>
      <c r="M41" s="248"/>
      <c r="N41" s="248"/>
      <c r="O41" s="248"/>
    </row>
    <row r="42" spans="2:60" ht="31.5" customHeight="1">
      <c r="B42" s="77" t="s">
        <v>49</v>
      </c>
      <c r="C42" s="249"/>
      <c r="D42" s="248"/>
      <c r="E42" s="248"/>
      <c r="F42" s="248"/>
      <c r="K42" s="248"/>
      <c r="L42" s="248"/>
      <c r="M42" s="248"/>
      <c r="N42" s="248"/>
      <c r="O42" s="248"/>
    </row>
    <row r="43" spans="2:60">
      <c r="B43" s="248"/>
      <c r="C43" s="248"/>
      <c r="D43" s="248"/>
      <c r="E43" s="248"/>
      <c r="F43" s="248"/>
      <c r="K43" s="248"/>
      <c r="L43" s="248"/>
      <c r="M43" s="248"/>
      <c r="N43" s="248"/>
      <c r="O43" s="248"/>
    </row>
    <row r="44" spans="2:60" ht="15" customHeight="1">
      <c r="B44" s="248"/>
      <c r="C44" s="248"/>
      <c r="D44" s="248"/>
      <c r="E44" s="248"/>
      <c r="F44" s="248"/>
      <c r="G44" s="247"/>
      <c r="H44" s="247"/>
      <c r="I44" s="937"/>
      <c r="J44" s="937"/>
      <c r="K44" s="937"/>
      <c r="L44" s="937"/>
      <c r="M44" s="252"/>
      <c r="N44" s="252"/>
      <c r="O44" s="252"/>
    </row>
    <row r="45" spans="2:60" ht="15" customHeight="1">
      <c r="B45" s="248"/>
      <c r="C45" s="248"/>
      <c r="D45" s="248"/>
      <c r="E45" s="248"/>
      <c r="F45" s="248"/>
      <c r="G45" s="247"/>
      <c r="H45" s="247"/>
      <c r="I45" s="248"/>
      <c r="J45" s="248"/>
      <c r="K45" s="253"/>
      <c r="L45" s="248"/>
      <c r="M45" s="248"/>
      <c r="N45" s="248"/>
      <c r="O45" s="248"/>
    </row>
    <row r="46" spans="2:60" ht="15" customHeight="1">
      <c r="B46" s="248"/>
      <c r="C46" s="248"/>
      <c r="D46" s="248"/>
      <c r="E46" s="248"/>
      <c r="F46" s="248"/>
      <c r="G46" s="247"/>
      <c r="H46" s="247"/>
      <c r="I46" s="937"/>
      <c r="J46" s="937"/>
      <c r="K46" s="937"/>
      <c r="L46" s="937"/>
      <c r="M46" s="252"/>
      <c r="N46" s="252"/>
      <c r="O46" s="252"/>
    </row>
    <row r="47" spans="2:60" ht="15" customHeight="1">
      <c r="B47" s="248"/>
      <c r="C47" s="248"/>
      <c r="D47" s="248"/>
      <c r="E47" s="248"/>
      <c r="F47" s="248"/>
      <c r="G47" s="247"/>
      <c r="H47" s="247"/>
      <c r="I47" s="248"/>
      <c r="J47" s="248"/>
      <c r="K47" s="253"/>
      <c r="L47" s="248"/>
      <c r="M47" s="248"/>
      <c r="N47" s="248"/>
      <c r="O47" s="248"/>
    </row>
    <row r="48" spans="2:60" ht="15" customHeight="1">
      <c r="B48" s="248"/>
      <c r="C48" s="248"/>
      <c r="D48" s="248"/>
      <c r="E48" s="248"/>
      <c r="F48" s="248"/>
      <c r="G48" s="247"/>
      <c r="H48" s="247"/>
      <c r="I48" s="937"/>
      <c r="J48" s="937"/>
      <c r="K48" s="937"/>
      <c r="L48" s="937"/>
      <c r="M48" s="252"/>
      <c r="N48" s="252"/>
      <c r="O48" s="252"/>
    </row>
  </sheetData>
  <sheetProtection algorithmName="SHA-512" hashValue="Zv92M44g2oHDUHFONW0w/U8KLvNtkbMyqQ1g17GjnvcnwHf5UA+M0ROnahOA7xBe+VSZ4IyZv1OzNSLW9wdrOQ==" saltValue="2IOSmGBH45WCY41EFcZC1w==" spinCount="100000" sheet="1" objects="1" scenarios="1"/>
  <mergeCells count="73">
    <mergeCell ref="BE37:BH37"/>
    <mergeCell ref="I12:I15"/>
    <mergeCell ref="J12:J15"/>
    <mergeCell ref="K12:K15"/>
    <mergeCell ref="L12:L15"/>
    <mergeCell ref="AV12:AV15"/>
    <mergeCell ref="AW12:AZ12"/>
    <mergeCell ref="BA12:BD12"/>
    <mergeCell ref="BB13:BB15"/>
    <mergeCell ref="AX37:AZ37"/>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36"/>
    <mergeCell ref="C16:C26"/>
    <mergeCell ref="C27:C32"/>
    <mergeCell ref="C33:C36"/>
    <mergeCell ref="AD14:AE14"/>
    <mergeCell ref="N12:N15"/>
    <mergeCell ref="O12:O15"/>
    <mergeCell ref="H12:H15"/>
    <mergeCell ref="Z14:AA14"/>
    <mergeCell ref="P14:Q14"/>
    <mergeCell ref="R14:S14"/>
    <mergeCell ref="T14:U14"/>
    <mergeCell ref="V14:W14"/>
    <mergeCell ref="X14:Y14"/>
    <mergeCell ref="G12:G15"/>
    <mergeCell ref="E12:E15"/>
    <mergeCell ref="I46:L46"/>
    <mergeCell ref="I48:L48"/>
    <mergeCell ref="B38:G38"/>
    <mergeCell ref="B37:AW37"/>
    <mergeCell ref="D39:O39"/>
    <mergeCell ref="E40:E41"/>
    <mergeCell ref="L40:O40"/>
    <mergeCell ref="F40:J41"/>
    <mergeCell ref="I44:L44"/>
  </mergeCells>
  <conditionalFormatting sqref="BA16:BD36">
    <cfRule type="cellIs" dxfId="46" priority="1" operator="greaterThan">
      <formula>1</formula>
    </cfRule>
    <cfRule type="cellIs" dxfId="45" priority="17" operator="between">
      <formula>0.8</formula>
      <formula>1</formula>
    </cfRule>
    <cfRule type="cellIs" dxfId="44" priority="18" operator="between">
      <formula>0.61</formula>
      <formula>0.79</formula>
    </cfRule>
    <cfRule type="cellIs" dxfId="43" priority="19" operator="between">
      <formula>0</formula>
      <formula>0.6</formula>
    </cfRule>
  </conditionalFormatting>
  <dataValidations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92D050"/>
  </sheetPr>
  <dimension ref="B1:BI34"/>
  <sheetViews>
    <sheetView showGridLines="0" zoomScale="55" zoomScaleNormal="55" workbookViewId="0">
      <selection activeCell="O17" sqref="O17"/>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7" width="29.33203125" style="134" customWidth="1"/>
    <col min="8" max="8" width="27.109375" style="134" customWidth="1"/>
    <col min="9" max="9" width="28.8867187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23" width="15.88671875" style="135" customWidth="1"/>
    <col min="24" max="24" width="14" style="135" bestFit="1" customWidth="1"/>
    <col min="25" max="25" width="12" style="135" bestFit="1" customWidth="1"/>
    <col min="26" max="26" width="14" style="135" bestFit="1" customWidth="1"/>
    <col min="27" max="27" width="12" style="135" bestFit="1" customWidth="1"/>
    <col min="28" max="28" width="14" style="135" bestFit="1" customWidth="1"/>
    <col min="29" max="29" width="12" style="135" bestFit="1" customWidth="1"/>
    <col min="30" max="31" width="15.44140625" style="135" customWidth="1"/>
    <col min="32" max="32" width="14" style="135" bestFit="1" customWidth="1"/>
    <col min="33" max="33" width="12" style="135" bestFit="1" customWidth="1"/>
    <col min="34" max="34" width="14" style="135" bestFit="1" customWidth="1"/>
    <col min="35" max="35" width="12" style="135" bestFit="1" customWidth="1"/>
    <col min="36" max="36" width="14" style="135" bestFit="1" customWidth="1"/>
    <col min="37" max="37" width="12" style="135" bestFit="1" customWidth="1"/>
    <col min="38" max="39" width="14.5546875" style="135" customWidth="1"/>
    <col min="40" max="40" width="14" style="135" bestFit="1" customWidth="1"/>
    <col min="41" max="41" width="12" style="135" bestFit="1" customWidth="1"/>
    <col min="42" max="42" width="14" style="135" bestFit="1" customWidth="1"/>
    <col min="43" max="43" width="12" style="135" bestFit="1" customWidth="1"/>
    <col min="44" max="44" width="14" style="135" bestFit="1" customWidth="1"/>
    <col min="45" max="45" width="12" style="135" bestFit="1" customWidth="1"/>
    <col min="46" max="47" width="15.33203125" style="135" customWidth="1"/>
    <col min="48" max="48" width="22.109375" style="135" customWidth="1"/>
    <col min="49" max="51" width="16" style="135" bestFit="1" customWidth="1"/>
    <col min="52" max="52" width="14.33203125" style="135" bestFit="1" customWidth="1"/>
    <col min="53" max="58" width="16" style="135" bestFit="1" customWidth="1"/>
    <col min="59" max="59" width="19.33203125" style="135" bestFit="1" customWidth="1"/>
    <col min="60" max="60" width="16" style="135" bestFit="1" customWidth="1"/>
    <col min="61" max="16384" width="17.33203125" style="135"/>
  </cols>
  <sheetData>
    <row r="1" spans="2:61" ht="15" customHeight="1" thickBot="1"/>
    <row r="2" spans="2:61" ht="16.5"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1" ht="16.5"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1" ht="16.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1" ht="16.5"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1" ht="16.5"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1"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1" ht="28.5" customHeight="1">
      <c r="B8" s="216" t="s">
        <v>45</v>
      </c>
      <c r="C8" s="958" t="s">
        <v>89</v>
      </c>
      <c r="D8" s="958"/>
      <c r="E8" s="217"/>
      <c r="F8" s="217"/>
      <c r="G8" s="217"/>
      <c r="H8" s="217"/>
      <c r="I8" s="217"/>
      <c r="J8" s="217"/>
      <c r="K8" s="217"/>
      <c r="L8" s="217"/>
      <c r="M8" s="217"/>
      <c r="N8" s="217"/>
      <c r="O8" s="217"/>
      <c r="AW8" s="238"/>
      <c r="AX8" s="238"/>
      <c r="AY8" s="238"/>
      <c r="AZ8" s="238"/>
      <c r="BA8" s="238"/>
      <c r="BB8" s="238"/>
      <c r="BC8" s="238"/>
      <c r="BD8" s="238"/>
    </row>
    <row r="9" spans="2:61" ht="98.25" customHeight="1">
      <c r="B9" s="216" t="s">
        <v>34</v>
      </c>
      <c r="C9" s="952" t="s">
        <v>322</v>
      </c>
      <c r="D9" s="953"/>
      <c r="E9" s="217"/>
      <c r="F9" s="217"/>
      <c r="G9" s="217"/>
      <c r="H9" s="217"/>
      <c r="I9" s="217"/>
      <c r="J9" s="217"/>
      <c r="K9" s="217"/>
      <c r="L9" s="217"/>
      <c r="M9" s="217"/>
      <c r="N9" s="217"/>
      <c r="O9" s="217"/>
      <c r="AW9" s="238"/>
      <c r="AX9" s="238"/>
      <c r="AY9" s="238"/>
      <c r="AZ9" s="238"/>
      <c r="BA9" s="238"/>
      <c r="BB9" s="238"/>
      <c r="BC9" s="238"/>
      <c r="BD9" s="238"/>
    </row>
    <row r="10" spans="2:61" ht="30" customHeight="1">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1" ht="14.25" customHeight="1">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1" ht="33"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293</v>
      </c>
      <c r="AW12" s="894" t="s">
        <v>745</v>
      </c>
      <c r="AX12" s="895"/>
      <c r="AY12" s="895"/>
      <c r="AZ12" s="896"/>
      <c r="BA12" s="883" t="s">
        <v>746</v>
      </c>
      <c r="BB12" s="884"/>
      <c r="BC12" s="884"/>
      <c r="BD12" s="885"/>
      <c r="BE12" s="923" t="s">
        <v>747</v>
      </c>
      <c r="BF12" s="924"/>
      <c r="BG12" s="924"/>
      <c r="BH12" s="925"/>
    </row>
    <row r="13" spans="2:61" ht="21.75" customHeight="1">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294</v>
      </c>
      <c r="AX13" s="897" t="s">
        <v>295</v>
      </c>
      <c r="AY13" s="897" t="s">
        <v>296</v>
      </c>
      <c r="AZ13" s="897" t="s">
        <v>297</v>
      </c>
      <c r="BA13" s="886" t="s">
        <v>298</v>
      </c>
      <c r="BB13" s="886" t="s">
        <v>295</v>
      </c>
      <c r="BC13" s="886" t="s">
        <v>299</v>
      </c>
      <c r="BD13" s="886" t="s">
        <v>300</v>
      </c>
      <c r="BE13" s="880" t="s">
        <v>298</v>
      </c>
      <c r="BF13" s="880" t="s">
        <v>295</v>
      </c>
      <c r="BG13" s="880" t="s">
        <v>299</v>
      </c>
      <c r="BH13" s="880" t="s">
        <v>300</v>
      </c>
    </row>
    <row r="14" spans="2:61" ht="21.75" customHeight="1">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1" ht="21.75"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1" ht="186" customHeight="1">
      <c r="B16" s="921" t="str">
        <f>+'01-FR-03 POA INSTITUCIONAL'!B34</f>
        <v>2. Realizar acciones de prevención y control a la Función Pública, en el marco del cumplimiento del Plan de Desarrollo, con énfasis en los Derechos e intereses colectivos.</v>
      </c>
      <c r="C16" s="921" t="str">
        <f>+'01-FR-03 POA INSTITUCIONAL'!C34</f>
        <v>2.1. Realizar 22 acciones de prevención y control a la función pública en medio ambiente, agua, protección y bienestar animal y desarrollo urbano.</v>
      </c>
      <c r="D16" s="31" t="str">
        <f>+'01-FR-03 POA INSTITUCIONAL'!D34</f>
        <v>2.1.1 Realizar 16 informes en los cuales se evalúen las políticas ambientales, el manejo de recursos hídricos, protección y bienestar animal y desarrollo urbano en el Distrito Capital.</v>
      </c>
      <c r="E16" s="52">
        <f>+'01-FR-03 POA INSTITUCIONAL'!E34</f>
        <v>0.72727272727272696</v>
      </c>
      <c r="F16" s="174">
        <f>+'01-FR-03 POA INSTITUCIONAL'!F34</f>
        <v>16</v>
      </c>
      <c r="G16" s="174">
        <f>+'01-FR-03 POA INSTITUCIONAL'!K34</f>
        <v>3</v>
      </c>
      <c r="H16" s="140" t="str">
        <f>+'01-FR-03 POA INSTITUCIONAL'!G34</f>
        <v>S.I.</v>
      </c>
      <c r="I16" s="140" t="str">
        <f>+'01-FR-03 POA INSTITUCIONAL'!H34</f>
        <v>Informes realizados en temas específicos.</v>
      </c>
      <c r="J16" s="140" t="s">
        <v>725</v>
      </c>
      <c r="K16" s="266" t="s">
        <v>301</v>
      </c>
      <c r="L16" s="220" t="s">
        <v>313</v>
      </c>
      <c r="M16" s="220" t="s">
        <v>302</v>
      </c>
      <c r="N16" s="220" t="s">
        <v>303</v>
      </c>
      <c r="O16" s="267"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6" s="229">
        <v>0</v>
      </c>
      <c r="Q16" s="229">
        <v>0</v>
      </c>
      <c r="R16" s="229">
        <v>0</v>
      </c>
      <c r="S16" s="229">
        <v>0</v>
      </c>
      <c r="T16" s="229">
        <v>0</v>
      </c>
      <c r="U16" s="230">
        <v>0</v>
      </c>
      <c r="V16" s="41">
        <f>P16+R16+T16</f>
        <v>0</v>
      </c>
      <c r="W16" s="41">
        <f>Q16+S16+U16</f>
        <v>0</v>
      </c>
      <c r="X16" s="229">
        <v>0</v>
      </c>
      <c r="Y16" s="229"/>
      <c r="Z16" s="229">
        <v>0</v>
      </c>
      <c r="AA16" s="229"/>
      <c r="AB16" s="229">
        <v>0</v>
      </c>
      <c r="AC16" s="229"/>
      <c r="AD16" s="41">
        <f>X16+Z16+AB16</f>
        <v>0</v>
      </c>
      <c r="AE16" s="41">
        <f>Y16+AA16+AC16</f>
        <v>0</v>
      </c>
      <c r="AF16" s="229">
        <v>1</v>
      </c>
      <c r="AG16" s="229"/>
      <c r="AH16" s="229">
        <v>0</v>
      </c>
      <c r="AI16" s="229"/>
      <c r="AJ16" s="230">
        <v>1</v>
      </c>
      <c r="AK16" s="230"/>
      <c r="AL16" s="41">
        <f>AF16+AH16+AJ16</f>
        <v>2</v>
      </c>
      <c r="AM16" s="41">
        <f>AG16+AI16+AK16</f>
        <v>0</v>
      </c>
      <c r="AN16" s="229">
        <v>0</v>
      </c>
      <c r="AO16" s="229"/>
      <c r="AP16" s="229">
        <v>1</v>
      </c>
      <c r="AQ16" s="229"/>
      <c r="AR16" s="229">
        <v>0</v>
      </c>
      <c r="AS16" s="229"/>
      <c r="AT16" s="41">
        <f>AN16+AP16+AR16</f>
        <v>1</v>
      </c>
      <c r="AU16" s="41">
        <f>AO16+AQ16+AS16</f>
        <v>0</v>
      </c>
      <c r="AV16" s="25">
        <f>V16+AD16+AL16+AT16</f>
        <v>3</v>
      </c>
      <c r="AW16" s="81">
        <f>+W16</f>
        <v>0</v>
      </c>
      <c r="AX16" s="390">
        <f>+W16+AE16</f>
        <v>0</v>
      </c>
      <c r="AY16" s="390">
        <f>+W16+AE16+AM16</f>
        <v>0</v>
      </c>
      <c r="AZ16" s="390">
        <f>+W16+AE16+AM16+AU16</f>
        <v>0</v>
      </c>
      <c r="BA16" s="42">
        <f>IF(AND(AW16&gt;0,$AV16&gt;0),AW16/$AV16,0)</f>
        <v>0</v>
      </c>
      <c r="BB16" s="42">
        <f t="shared" ref="BB16:BD22" si="0">IF(AND(AX16&gt;0,$AV16&gt;0),AX16/$AV16,0)</f>
        <v>0</v>
      </c>
      <c r="BC16" s="42">
        <f t="shared" si="0"/>
        <v>0</v>
      </c>
      <c r="BD16" s="42">
        <f t="shared" si="0"/>
        <v>0</v>
      </c>
      <c r="BE16" s="338">
        <f>(IF(AND(AW16&gt;0,$F16&gt;0),AW16/$F16,0))</f>
        <v>0</v>
      </c>
      <c r="BF16" s="401">
        <f t="shared" ref="BF16:BH16" si="1">(IF(AND(AX16&gt;0,$F16&gt;0),AX16/$F16,0))</f>
        <v>0</v>
      </c>
      <c r="BG16" s="401">
        <f t="shared" si="1"/>
        <v>0</v>
      </c>
      <c r="BH16" s="401">
        <f t="shared" si="1"/>
        <v>0</v>
      </c>
      <c r="BI16" s="268"/>
    </row>
    <row r="17" spans="2:61" ht="135" customHeight="1">
      <c r="B17" s="922"/>
      <c r="C17" s="948"/>
      <c r="D17" s="31" t="str">
        <f>+'01-FR-03 POA INSTITUCIONAL'!D35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52">
        <f>+'01-FR-03 POA INSTITUCIONAL'!E35</f>
        <v>0.27272727272727298</v>
      </c>
      <c r="F17" s="174">
        <f>+'01-FR-03 POA INSTITUCIONAL'!F35</f>
        <v>6</v>
      </c>
      <c r="G17" s="174">
        <f>+'01-FR-03 POA INSTITUCIONAL'!K35</f>
        <v>1</v>
      </c>
      <c r="H17" s="140" t="str">
        <f>+'01-FR-03 POA INSTITUCIONAL'!G35</f>
        <v>S.I.</v>
      </c>
      <c r="I17" s="140" t="str">
        <f>+'01-FR-03 POA INSTITUCIONAL'!H35</f>
        <v>Informes de seguimientos realizados en temas específicos.</v>
      </c>
      <c r="J17" s="140" t="s">
        <v>726</v>
      </c>
      <c r="K17" s="266" t="s">
        <v>304</v>
      </c>
      <c r="L17" s="220" t="s">
        <v>314</v>
      </c>
      <c r="M17" s="220" t="s">
        <v>302</v>
      </c>
      <c r="N17" s="220" t="s">
        <v>303</v>
      </c>
      <c r="O17" s="267"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7" s="229">
        <v>0</v>
      </c>
      <c r="Q17" s="229">
        <v>0</v>
      </c>
      <c r="R17" s="229">
        <v>1</v>
      </c>
      <c r="S17" s="229">
        <v>1</v>
      </c>
      <c r="T17" s="229">
        <v>0</v>
      </c>
      <c r="U17" s="230">
        <v>0</v>
      </c>
      <c r="V17" s="41">
        <f t="shared" ref="V17:W22" si="2">P17+R17+T17</f>
        <v>1</v>
      </c>
      <c r="W17" s="41">
        <f t="shared" si="2"/>
        <v>1</v>
      </c>
      <c r="X17" s="229">
        <v>0</v>
      </c>
      <c r="Y17" s="229"/>
      <c r="Z17" s="229">
        <v>0</v>
      </c>
      <c r="AA17" s="229"/>
      <c r="AB17" s="229">
        <v>0</v>
      </c>
      <c r="AC17" s="229"/>
      <c r="AD17" s="41">
        <f t="shared" ref="AD17:AE22" si="3">X17+Z17+AB17</f>
        <v>0</v>
      </c>
      <c r="AE17" s="41">
        <f t="shared" si="3"/>
        <v>0</v>
      </c>
      <c r="AF17" s="229">
        <v>0</v>
      </c>
      <c r="AG17" s="229"/>
      <c r="AH17" s="229">
        <v>0</v>
      </c>
      <c r="AI17" s="229"/>
      <c r="AJ17" s="230">
        <v>0</v>
      </c>
      <c r="AK17" s="230"/>
      <c r="AL17" s="41">
        <f t="shared" ref="AL17:AM22" si="4">AF17+AH17+AJ17</f>
        <v>0</v>
      </c>
      <c r="AM17" s="41">
        <f t="shared" si="4"/>
        <v>0</v>
      </c>
      <c r="AN17" s="229">
        <v>0</v>
      </c>
      <c r="AO17" s="229"/>
      <c r="AP17" s="229">
        <v>0</v>
      </c>
      <c r="AQ17" s="229"/>
      <c r="AR17" s="229">
        <v>0</v>
      </c>
      <c r="AS17" s="229"/>
      <c r="AT17" s="41">
        <f t="shared" ref="AT17:AU22" si="5">AN17+AP17+AR17</f>
        <v>0</v>
      </c>
      <c r="AU17" s="41">
        <f t="shared" si="5"/>
        <v>0</v>
      </c>
      <c r="AV17" s="25">
        <f t="shared" ref="AV17:AV22" si="6">V17+AD17+AL17+AT17</f>
        <v>1</v>
      </c>
      <c r="AW17" s="81">
        <f t="shared" ref="AW17:AW22" si="7">+W17</f>
        <v>1</v>
      </c>
      <c r="AX17" s="390">
        <f t="shared" ref="AX17:AX22" si="8">+W17+AE17</f>
        <v>1</v>
      </c>
      <c r="AY17" s="390">
        <f t="shared" ref="AY17:AY22" si="9">+W17+AE17+AM17</f>
        <v>1</v>
      </c>
      <c r="AZ17" s="390">
        <f t="shared" ref="AZ17:AZ22" si="10">+W17+AE17+AM17+AU17</f>
        <v>1</v>
      </c>
      <c r="BA17" s="42">
        <f>IF(AND(AW17&gt;0,AV17&gt;0),AW17/AV17,0)</f>
        <v>1</v>
      </c>
      <c r="BB17" s="42">
        <f t="shared" si="0"/>
        <v>1</v>
      </c>
      <c r="BC17" s="42">
        <f t="shared" si="0"/>
        <v>1</v>
      </c>
      <c r="BD17" s="42">
        <f t="shared" si="0"/>
        <v>1</v>
      </c>
      <c r="BE17" s="338">
        <f t="shared" ref="BE17:BE19" si="11">(IF(AND(AW17&gt;0,$F17&gt;0),AW17/$F17,0))</f>
        <v>0.16666666666666666</v>
      </c>
      <c r="BF17" s="401">
        <f t="shared" ref="BF17:BF19" si="12">(IF(AND(AX17&gt;0,$F17&gt;0),AX17/$F17,0))</f>
        <v>0.16666666666666666</v>
      </c>
      <c r="BG17" s="401">
        <f t="shared" ref="BG17:BG19" si="13">(IF(AND(AY17&gt;0,$F17&gt;0),AY17/$F17,0))</f>
        <v>0.16666666666666666</v>
      </c>
      <c r="BH17" s="401">
        <f t="shared" ref="BH17:BH19" si="14">(IF(AND(AZ17&gt;0,$F17&gt;0),AZ17/$F17,0))</f>
        <v>0.16666666666666666</v>
      </c>
      <c r="BI17" s="268"/>
    </row>
    <row r="18" spans="2:61" ht="126" customHeight="1">
      <c r="B18" s="922"/>
      <c r="C18" s="921" t="str">
        <f>+'01-FR-03 POA INSTITUCIONAL'!C36</f>
        <v>2.2. Fortalecer la moralidad publica realizando  880 acciones de prevención y control a la función pública.</v>
      </c>
      <c r="D18" s="31" t="str">
        <f>+'01-FR-03 POA INSTITUCIONAL'!D36</f>
        <v>2.2.1 Realizar 790 acciones de prevención y control a la función pública para fortalecer la moralidad pública.</v>
      </c>
      <c r="E18" s="52">
        <f>+'01-FR-03 POA INSTITUCIONAL'!E36</f>
        <v>0.89772727272727271</v>
      </c>
      <c r="F18" s="174">
        <f>+'01-FR-03 POA INSTITUCIONAL'!F36</f>
        <v>790</v>
      </c>
      <c r="G18" s="174">
        <f>+'01-FR-03 POA INSTITUCIONAL'!K36</f>
        <v>200</v>
      </c>
      <c r="H18" s="140" t="str">
        <f>+'01-FR-03 POA INSTITUCIONAL'!G36</f>
        <v>S.I.</v>
      </c>
      <c r="I18" s="140" t="str">
        <f>+'01-FR-03 POA INSTITUCIONAL'!H36</f>
        <v>Acciones de Prevención y Control a la Función Pública realizadas, con informe.</v>
      </c>
      <c r="J18" s="140" t="s">
        <v>727</v>
      </c>
      <c r="K18" s="266" t="s">
        <v>305</v>
      </c>
      <c r="L18" s="220" t="s">
        <v>315</v>
      </c>
      <c r="M18" s="220" t="s">
        <v>302</v>
      </c>
      <c r="N18" s="220" t="s">
        <v>303</v>
      </c>
      <c r="O18" s="267"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8" s="229">
        <v>0</v>
      </c>
      <c r="Q18" s="229">
        <v>0</v>
      </c>
      <c r="R18" s="229">
        <f>+(2+2)</f>
        <v>4</v>
      </c>
      <c r="S18" s="229">
        <v>1</v>
      </c>
      <c r="T18" s="229">
        <f>+(4+5)</f>
        <v>9</v>
      </c>
      <c r="U18" s="230">
        <v>36</v>
      </c>
      <c r="V18" s="41">
        <f t="shared" si="2"/>
        <v>13</v>
      </c>
      <c r="W18" s="41">
        <f t="shared" si="2"/>
        <v>37</v>
      </c>
      <c r="X18" s="229">
        <f>+(10+12)</f>
        <v>22</v>
      </c>
      <c r="Y18" s="229"/>
      <c r="Z18" s="229">
        <f>+(13+12)</f>
        <v>25</v>
      </c>
      <c r="AA18" s="229"/>
      <c r="AB18" s="230">
        <f>+(11+12)</f>
        <v>23</v>
      </c>
      <c r="AC18" s="229"/>
      <c r="AD18" s="41">
        <f t="shared" si="3"/>
        <v>70</v>
      </c>
      <c r="AE18" s="41">
        <f t="shared" si="3"/>
        <v>0</v>
      </c>
      <c r="AF18" s="230">
        <f>+(12+12)</f>
        <v>24</v>
      </c>
      <c r="AG18" s="229"/>
      <c r="AH18" s="229">
        <f>+(12+12)</f>
        <v>24</v>
      </c>
      <c r="AI18" s="229"/>
      <c r="AJ18" s="229">
        <f>+(12+12)</f>
        <v>24</v>
      </c>
      <c r="AK18" s="230"/>
      <c r="AL18" s="41">
        <f t="shared" si="4"/>
        <v>72</v>
      </c>
      <c r="AM18" s="41">
        <f t="shared" si="4"/>
        <v>0</v>
      </c>
      <c r="AN18" s="229">
        <f>+(12+12)</f>
        <v>24</v>
      </c>
      <c r="AO18" s="229"/>
      <c r="AP18" s="229">
        <f>+(12+9)</f>
        <v>21</v>
      </c>
      <c r="AQ18" s="229"/>
      <c r="AR18" s="229">
        <v>0</v>
      </c>
      <c r="AS18" s="229"/>
      <c r="AT18" s="41">
        <f t="shared" si="5"/>
        <v>45</v>
      </c>
      <c r="AU18" s="41">
        <f t="shared" si="5"/>
        <v>0</v>
      </c>
      <c r="AV18" s="25">
        <f t="shared" si="6"/>
        <v>200</v>
      </c>
      <c r="AW18" s="81">
        <f t="shared" si="7"/>
        <v>37</v>
      </c>
      <c r="AX18" s="390">
        <f t="shared" si="8"/>
        <v>37</v>
      </c>
      <c r="AY18" s="390">
        <f t="shared" si="9"/>
        <v>37</v>
      </c>
      <c r="AZ18" s="390">
        <f t="shared" si="10"/>
        <v>37</v>
      </c>
      <c r="BA18" s="42">
        <f t="shared" ref="BA18:BA22" si="15">IF(AND(AW18&gt;0,AV18&gt;0),AW18/AV18,0)</f>
        <v>0.185</v>
      </c>
      <c r="BB18" s="42">
        <f t="shared" si="0"/>
        <v>0.185</v>
      </c>
      <c r="BC18" s="42">
        <f t="shared" si="0"/>
        <v>0.185</v>
      </c>
      <c r="BD18" s="42">
        <f t="shared" si="0"/>
        <v>0.185</v>
      </c>
      <c r="BE18" s="338">
        <f t="shared" si="11"/>
        <v>4.6835443037974683E-2</v>
      </c>
      <c r="BF18" s="401">
        <f t="shared" si="12"/>
        <v>4.6835443037974683E-2</v>
      </c>
      <c r="BG18" s="401">
        <f t="shared" si="13"/>
        <v>4.6835443037974683E-2</v>
      </c>
      <c r="BH18" s="401">
        <f t="shared" si="14"/>
        <v>4.6835443037974683E-2</v>
      </c>
      <c r="BI18" s="268"/>
    </row>
    <row r="19" spans="2:61" ht="105.6" customHeight="1">
      <c r="B19" s="922"/>
      <c r="C19" s="948"/>
      <c r="D19" s="31" t="str">
        <f>+'01-FR-03 POA INSTITUCIONAL'!D37</f>
        <v>2.2.2 Realizar 90 acciones de prevención y control a la función pública - seguimientos, para fortalecer la moralidad pública en el Distrito Capital.</v>
      </c>
      <c r="E19" s="52">
        <f>+'01-FR-03 POA INSTITUCIONAL'!E37</f>
        <v>0.10227272727272728</v>
      </c>
      <c r="F19" s="174">
        <f>+'01-FR-03 POA INSTITUCIONAL'!F37</f>
        <v>90</v>
      </c>
      <c r="G19" s="174">
        <f>+'01-FR-03 POA INSTITUCIONAL'!K37</f>
        <v>20</v>
      </c>
      <c r="H19" s="140" t="str">
        <f>+'01-FR-03 POA INSTITUCIONAL'!G37</f>
        <v>S.I.</v>
      </c>
      <c r="I19" s="140" t="str">
        <f>+'01-FR-03 POA INSTITUCIONAL'!H37</f>
        <v>Seguimientos realizados sobre acciones previas, con informe</v>
      </c>
      <c r="J19" s="140" t="s">
        <v>728</v>
      </c>
      <c r="K19" s="266" t="s">
        <v>306</v>
      </c>
      <c r="L19" s="220" t="s">
        <v>320</v>
      </c>
      <c r="M19" s="220" t="s">
        <v>302</v>
      </c>
      <c r="N19" s="220" t="s">
        <v>303</v>
      </c>
      <c r="O19" s="267" t="str">
        <f>+'01-FR-03 POA INSTITUCIONAL'!J37</f>
        <v xml:space="preserve">Personería Delegada para la Coordinación de Prevención y Control a la Función Pública y sus Personerías Delegadas.
Personería Delegada para la Coordinación de Gestión de las Personerías Locales y sus Personerías Locales. </v>
      </c>
      <c r="P19" s="229">
        <v>0</v>
      </c>
      <c r="Q19" s="229">
        <v>0</v>
      </c>
      <c r="R19" s="229">
        <v>0</v>
      </c>
      <c r="S19" s="229">
        <v>0</v>
      </c>
      <c r="T19" s="229">
        <v>0</v>
      </c>
      <c r="U19" s="230">
        <v>0</v>
      </c>
      <c r="V19" s="41">
        <f t="shared" si="2"/>
        <v>0</v>
      </c>
      <c r="W19" s="41">
        <f t="shared" si="2"/>
        <v>0</v>
      </c>
      <c r="X19" s="230">
        <f>0+0</f>
        <v>0</v>
      </c>
      <c r="Y19" s="229"/>
      <c r="Z19" s="229">
        <f>+(1+1)</f>
        <v>2</v>
      </c>
      <c r="AA19" s="229"/>
      <c r="AB19" s="229">
        <f>+(1+1)</f>
        <v>2</v>
      </c>
      <c r="AC19" s="229"/>
      <c r="AD19" s="41">
        <f t="shared" si="3"/>
        <v>4</v>
      </c>
      <c r="AE19" s="41">
        <f t="shared" si="3"/>
        <v>0</v>
      </c>
      <c r="AF19" s="229">
        <f>2+0</f>
        <v>2</v>
      </c>
      <c r="AG19" s="229"/>
      <c r="AH19" s="229">
        <f>+(2+1)</f>
        <v>3</v>
      </c>
      <c r="AI19" s="229"/>
      <c r="AJ19" s="229">
        <f>+(2+1)</f>
        <v>3</v>
      </c>
      <c r="AK19" s="230"/>
      <c r="AL19" s="41">
        <f t="shared" si="4"/>
        <v>8</v>
      </c>
      <c r="AM19" s="41">
        <f t="shared" si="4"/>
        <v>0</v>
      </c>
      <c r="AN19" s="229">
        <f>4+0</f>
        <v>4</v>
      </c>
      <c r="AO19" s="229"/>
      <c r="AP19" s="229">
        <f>+(3+1)</f>
        <v>4</v>
      </c>
      <c r="AQ19" s="229"/>
      <c r="AR19" s="229">
        <f>0+0</f>
        <v>0</v>
      </c>
      <c r="AS19" s="229"/>
      <c r="AT19" s="41">
        <f t="shared" si="5"/>
        <v>8</v>
      </c>
      <c r="AU19" s="41">
        <f t="shared" si="5"/>
        <v>0</v>
      </c>
      <c r="AV19" s="25">
        <f t="shared" si="6"/>
        <v>20</v>
      </c>
      <c r="AW19" s="81">
        <f t="shared" si="7"/>
        <v>0</v>
      </c>
      <c r="AX19" s="390">
        <f t="shared" si="8"/>
        <v>0</v>
      </c>
      <c r="AY19" s="390">
        <f t="shared" si="9"/>
        <v>0</v>
      </c>
      <c r="AZ19" s="390">
        <f t="shared" si="10"/>
        <v>0</v>
      </c>
      <c r="BA19" s="42">
        <f t="shared" si="15"/>
        <v>0</v>
      </c>
      <c r="BB19" s="42">
        <f t="shared" si="0"/>
        <v>0</v>
      </c>
      <c r="BC19" s="42">
        <f t="shared" si="0"/>
        <v>0</v>
      </c>
      <c r="BD19" s="42">
        <f t="shared" si="0"/>
        <v>0</v>
      </c>
      <c r="BE19" s="338">
        <f t="shared" si="11"/>
        <v>0</v>
      </c>
      <c r="BF19" s="401">
        <f t="shared" si="12"/>
        <v>0</v>
      </c>
      <c r="BG19" s="401">
        <f t="shared" si="13"/>
        <v>0</v>
      </c>
      <c r="BH19" s="401">
        <f t="shared" si="14"/>
        <v>0</v>
      </c>
      <c r="BI19" s="268"/>
    </row>
    <row r="20" spans="2:61" ht="322.5" customHeight="1">
      <c r="B20" s="922"/>
      <c r="C20" s="921" t="str">
        <f>+'01-FR-03 POA INSTITUCIONAL'!C38</f>
        <v>2.3. Fortalecer 295 espacios de participación ciudadana en la Personería de Bogotá</v>
      </c>
      <c r="D20" s="31" t="str">
        <f>+'01-FR-03 POA INSTITUCIONAL'!D38</f>
        <v>2.3.1 Realizar 55 audiencias públicas y/o mesas de trabajo, las cuales permitan la participación ciudadana, con énfasis en los Derechos e intereses colectivos.</v>
      </c>
      <c r="E20" s="52">
        <f>+'01-FR-03 POA INSTITUCIONAL'!E38</f>
        <v>0.1864406779661017</v>
      </c>
      <c r="F20" s="174">
        <f>+'01-FR-03 POA INSTITUCIONAL'!F38</f>
        <v>55</v>
      </c>
      <c r="G20" s="174">
        <f>+'01-FR-03 POA INSTITUCIONAL'!K38</f>
        <v>7</v>
      </c>
      <c r="H20" s="140">
        <f>+'01-FR-03 POA INSTITUCIONAL'!G38</f>
        <v>75</v>
      </c>
      <c r="I20" s="140" t="str">
        <f>+'01-FR-03 POA INSTITUCIONAL'!H38</f>
        <v>Audiencias públicas y/o mesas de trabajo realizadas.</v>
      </c>
      <c r="J20" s="140" t="s">
        <v>307</v>
      </c>
      <c r="K20" s="266" t="s">
        <v>308</v>
      </c>
      <c r="L20" s="220" t="s">
        <v>321</v>
      </c>
      <c r="M20" s="220" t="s">
        <v>302</v>
      </c>
      <c r="N20" s="220" t="s">
        <v>303</v>
      </c>
      <c r="O20" s="267" t="str">
        <f>+'01-FR-03 POA INSTITUCIONAL'!J38</f>
        <v>Personería Delegada para la Coordinación de Prevención y Control a la Función Pública y sus Personerías Delegadas.</v>
      </c>
      <c r="P20" s="229">
        <v>0</v>
      </c>
      <c r="Q20" s="229">
        <v>0</v>
      </c>
      <c r="R20" s="229">
        <v>0</v>
      </c>
      <c r="S20" s="229">
        <v>1</v>
      </c>
      <c r="T20" s="229">
        <v>1</v>
      </c>
      <c r="U20" s="230">
        <v>1</v>
      </c>
      <c r="V20" s="41">
        <f t="shared" si="2"/>
        <v>1</v>
      </c>
      <c r="W20" s="41">
        <f t="shared" si="2"/>
        <v>2</v>
      </c>
      <c r="X20" s="229">
        <v>1</v>
      </c>
      <c r="Y20" s="229"/>
      <c r="Z20" s="229">
        <v>1</v>
      </c>
      <c r="AA20" s="229"/>
      <c r="AB20" s="229">
        <v>1</v>
      </c>
      <c r="AC20" s="229"/>
      <c r="AD20" s="41">
        <f t="shared" si="3"/>
        <v>3</v>
      </c>
      <c r="AE20" s="41"/>
      <c r="AF20" s="229">
        <v>1</v>
      </c>
      <c r="AG20" s="229"/>
      <c r="AH20" s="229">
        <v>1</v>
      </c>
      <c r="AI20" s="229"/>
      <c r="AJ20" s="230">
        <v>1</v>
      </c>
      <c r="AK20" s="230"/>
      <c r="AL20" s="41">
        <f t="shared" si="4"/>
        <v>3</v>
      </c>
      <c r="AM20" s="41"/>
      <c r="AN20" s="229">
        <v>0</v>
      </c>
      <c r="AO20" s="229"/>
      <c r="AP20" s="229">
        <v>0</v>
      </c>
      <c r="AQ20" s="229"/>
      <c r="AR20" s="229">
        <v>0</v>
      </c>
      <c r="AS20" s="229"/>
      <c r="AT20" s="41">
        <f t="shared" si="5"/>
        <v>0</v>
      </c>
      <c r="AU20" s="41">
        <f t="shared" si="5"/>
        <v>0</v>
      </c>
      <c r="AV20" s="25">
        <f t="shared" si="6"/>
        <v>7</v>
      </c>
      <c r="AW20" s="81">
        <f t="shared" si="7"/>
        <v>2</v>
      </c>
      <c r="AX20" s="390">
        <f t="shared" si="8"/>
        <v>2</v>
      </c>
      <c r="AY20" s="390">
        <f t="shared" si="9"/>
        <v>2</v>
      </c>
      <c r="AZ20" s="390">
        <f t="shared" si="10"/>
        <v>2</v>
      </c>
      <c r="BA20" s="42">
        <f t="shared" si="15"/>
        <v>0.2857142857142857</v>
      </c>
      <c r="BB20" s="42">
        <f t="shared" si="0"/>
        <v>0.2857142857142857</v>
      </c>
      <c r="BC20" s="42">
        <f t="shared" si="0"/>
        <v>0.2857142857142857</v>
      </c>
      <c r="BD20" s="42">
        <f t="shared" si="0"/>
        <v>0.2857142857142857</v>
      </c>
      <c r="BE20" s="338">
        <f t="shared" ref="BE20:BE22" si="16">(IF(AND(AW20&gt;0,$F20&gt;0),AW20/$F20,0))</f>
        <v>3.6363636363636362E-2</v>
      </c>
      <c r="BF20" s="401">
        <f t="shared" ref="BF20:BF22" si="17">(IF(AND(AX20&gt;0,$F20&gt;0),AX20/$F20,0))</f>
        <v>3.6363636363636362E-2</v>
      </c>
      <c r="BG20" s="401">
        <f t="shared" ref="BG20:BG22" si="18">(IF(AND(AY20&gt;0,$F20&gt;0),AY20/$F20,0))</f>
        <v>3.6363636363636362E-2</v>
      </c>
      <c r="BH20" s="401">
        <f t="shared" ref="BH20:BH22" si="19">(IF(AND(AZ20&gt;0,$F20&gt;0),AZ20/$F20,0))</f>
        <v>3.6363636363636362E-2</v>
      </c>
      <c r="BI20" s="268"/>
    </row>
    <row r="21" spans="2:61" ht="171" customHeight="1">
      <c r="B21" s="922"/>
      <c r="C21" s="922"/>
      <c r="D21" s="31" t="str">
        <f>+'01-FR-03 POA INSTITUCIONAL'!D39</f>
        <v>2.3.2 Realizar 140 acompañamientos a los ciudadanos que intervienen en los diferentes espacios de participación ciudadana.</v>
      </c>
      <c r="E21" s="52">
        <f>+'01-FR-03 POA INSTITUCIONAL'!E39</f>
        <v>0.47457627118644069</v>
      </c>
      <c r="F21" s="174">
        <f>+'01-FR-03 POA INSTITUCIONAL'!F39</f>
        <v>140</v>
      </c>
      <c r="G21" s="174">
        <f>+'01-FR-03 POA INSTITUCIONAL'!K39</f>
        <v>40</v>
      </c>
      <c r="H21" s="140" t="str">
        <f>+'01-FR-03 POA INSTITUCIONAL'!G39</f>
        <v>S.I.</v>
      </c>
      <c r="I21" s="140" t="str">
        <f>+'01-FR-03 POA INSTITUCIONAL'!H39</f>
        <v>Acompañamientos a los ciudadanos realizados.</v>
      </c>
      <c r="J21" s="140" t="s">
        <v>309</v>
      </c>
      <c r="K21" s="266" t="s">
        <v>310</v>
      </c>
      <c r="L21" s="220" t="s">
        <v>318</v>
      </c>
      <c r="M21" s="220" t="s">
        <v>302</v>
      </c>
      <c r="N21" s="220" t="s">
        <v>303</v>
      </c>
      <c r="O21" s="267" t="str">
        <f>+'01-FR-03 POA INSTITUCIONAL'!J39</f>
        <v xml:space="preserve">Personería Delegada para la Coordinación de Gestión de las Personerías Locales y sus Personerías Locales. </v>
      </c>
      <c r="P21" s="229">
        <v>0</v>
      </c>
      <c r="Q21" s="229">
        <v>3</v>
      </c>
      <c r="R21" s="229">
        <v>4</v>
      </c>
      <c r="S21" s="229">
        <v>6</v>
      </c>
      <c r="T21" s="229">
        <v>4</v>
      </c>
      <c r="U21" s="230">
        <v>14</v>
      </c>
      <c r="V21" s="41">
        <f t="shared" si="2"/>
        <v>8</v>
      </c>
      <c r="W21" s="41">
        <f t="shared" si="2"/>
        <v>23</v>
      </c>
      <c r="X21" s="229">
        <v>4</v>
      </c>
      <c r="Y21" s="229"/>
      <c r="Z21" s="229">
        <v>4</v>
      </c>
      <c r="AA21" s="229"/>
      <c r="AB21" s="229">
        <v>4</v>
      </c>
      <c r="AC21" s="229"/>
      <c r="AD21" s="41">
        <f t="shared" si="3"/>
        <v>12</v>
      </c>
      <c r="AE21" s="41"/>
      <c r="AF21" s="229">
        <v>4</v>
      </c>
      <c r="AG21" s="229"/>
      <c r="AH21" s="229">
        <v>4</v>
      </c>
      <c r="AI21" s="229"/>
      <c r="AJ21" s="230">
        <v>4</v>
      </c>
      <c r="AK21" s="230"/>
      <c r="AL21" s="41">
        <f t="shared" si="4"/>
        <v>12</v>
      </c>
      <c r="AM21" s="41"/>
      <c r="AN21" s="229">
        <v>4</v>
      </c>
      <c r="AO21" s="229"/>
      <c r="AP21" s="229">
        <v>4</v>
      </c>
      <c r="AQ21" s="229"/>
      <c r="AR21" s="229">
        <v>0</v>
      </c>
      <c r="AS21" s="229"/>
      <c r="AT21" s="41">
        <f t="shared" si="5"/>
        <v>8</v>
      </c>
      <c r="AU21" s="41">
        <f t="shared" si="5"/>
        <v>0</v>
      </c>
      <c r="AV21" s="25">
        <f t="shared" si="6"/>
        <v>40</v>
      </c>
      <c r="AW21" s="81">
        <f t="shared" si="7"/>
        <v>23</v>
      </c>
      <c r="AX21" s="390">
        <f t="shared" si="8"/>
        <v>23</v>
      </c>
      <c r="AY21" s="390">
        <f t="shared" si="9"/>
        <v>23</v>
      </c>
      <c r="AZ21" s="390">
        <f t="shared" si="10"/>
        <v>23</v>
      </c>
      <c r="BA21" s="42">
        <f t="shared" si="15"/>
        <v>0.57499999999999996</v>
      </c>
      <c r="BB21" s="42">
        <f t="shared" si="0"/>
        <v>0.57499999999999996</v>
      </c>
      <c r="BC21" s="42">
        <f t="shared" si="0"/>
        <v>0.57499999999999996</v>
      </c>
      <c r="BD21" s="42">
        <f t="shared" si="0"/>
        <v>0.57499999999999996</v>
      </c>
      <c r="BE21" s="338">
        <f t="shared" si="16"/>
        <v>0.16428571428571428</v>
      </c>
      <c r="BF21" s="401">
        <f t="shared" si="17"/>
        <v>0.16428571428571428</v>
      </c>
      <c r="BG21" s="401">
        <f t="shared" si="18"/>
        <v>0.16428571428571428</v>
      </c>
      <c r="BH21" s="401">
        <f t="shared" si="19"/>
        <v>0.16428571428571428</v>
      </c>
      <c r="BI21" s="268"/>
    </row>
    <row r="22" spans="2:61" ht="177" customHeight="1">
      <c r="B22" s="948"/>
      <c r="C22" s="948"/>
      <c r="D22" s="31" t="str">
        <f>+'01-FR-03 POA INSTITUCIONAL'!D40</f>
        <v>2.3.3 Realizar 100 espacios de diálogo con las personas para retroalimentar las actividades de participación ciudadana</v>
      </c>
      <c r="E22" s="52">
        <f>+'01-FR-03 POA INSTITUCIONAL'!E40</f>
        <v>0.33898305084745761</v>
      </c>
      <c r="F22" s="174">
        <f>+'01-FR-03 POA INSTITUCIONAL'!F40</f>
        <v>100</v>
      </c>
      <c r="G22" s="174">
        <f>+'01-FR-03 POA INSTITUCIONAL'!K40</f>
        <v>20</v>
      </c>
      <c r="H22" s="140" t="str">
        <f>+'01-FR-03 POA INSTITUCIONAL'!G40</f>
        <v>S.I.</v>
      </c>
      <c r="I22" s="140" t="str">
        <f>+'01-FR-03 POA INSTITUCIONAL'!H40</f>
        <v>Espacios de dialogo realizados.</v>
      </c>
      <c r="J22" s="140" t="s">
        <v>729</v>
      </c>
      <c r="K22" s="266" t="s">
        <v>311</v>
      </c>
      <c r="L22" s="220" t="s">
        <v>319</v>
      </c>
      <c r="M22" s="220" t="s">
        <v>302</v>
      </c>
      <c r="N22" s="220" t="s">
        <v>303</v>
      </c>
      <c r="O22" s="267" t="str">
        <f>+'01-FR-03 POA INSTITUCIONAL'!J40</f>
        <v>Personería Delegada para la Coordinación de Gestión de las Personerías Locales y sus Personerías Locales. 
Personería Delegada para la Coordinación de Prevención y Control a la Función Pública y sus Personerías Delegadas.</v>
      </c>
      <c r="P22" s="229">
        <v>0</v>
      </c>
      <c r="Q22" s="229">
        <v>0</v>
      </c>
      <c r="R22" s="229">
        <v>2</v>
      </c>
      <c r="S22" s="229">
        <v>0</v>
      </c>
      <c r="T22" s="229">
        <v>2</v>
      </c>
      <c r="U22" s="230">
        <v>0</v>
      </c>
      <c r="V22" s="41">
        <f t="shared" si="2"/>
        <v>4</v>
      </c>
      <c r="W22" s="41">
        <f t="shared" si="2"/>
        <v>0</v>
      </c>
      <c r="X22" s="229">
        <v>2</v>
      </c>
      <c r="Y22" s="229"/>
      <c r="Z22" s="229">
        <v>2</v>
      </c>
      <c r="AA22" s="229"/>
      <c r="AB22" s="229">
        <v>2</v>
      </c>
      <c r="AC22" s="229"/>
      <c r="AD22" s="41">
        <f t="shared" si="3"/>
        <v>6</v>
      </c>
      <c r="AE22" s="41">
        <f t="shared" si="3"/>
        <v>0</v>
      </c>
      <c r="AF22" s="229">
        <v>2</v>
      </c>
      <c r="AG22" s="229"/>
      <c r="AH22" s="229">
        <v>2</v>
      </c>
      <c r="AI22" s="229"/>
      <c r="AJ22" s="230">
        <v>2</v>
      </c>
      <c r="AK22" s="230"/>
      <c r="AL22" s="41">
        <f t="shared" si="4"/>
        <v>6</v>
      </c>
      <c r="AM22" s="41">
        <f t="shared" si="4"/>
        <v>0</v>
      </c>
      <c r="AN22" s="229">
        <v>2</v>
      </c>
      <c r="AO22" s="229"/>
      <c r="AP22" s="229">
        <v>2</v>
      </c>
      <c r="AQ22" s="229"/>
      <c r="AR22" s="229">
        <v>0</v>
      </c>
      <c r="AS22" s="229"/>
      <c r="AT22" s="41">
        <f t="shared" si="5"/>
        <v>4</v>
      </c>
      <c r="AU22" s="41">
        <f t="shared" si="5"/>
        <v>0</v>
      </c>
      <c r="AV22" s="25">
        <f t="shared" si="6"/>
        <v>20</v>
      </c>
      <c r="AW22" s="81">
        <f t="shared" si="7"/>
        <v>0</v>
      </c>
      <c r="AX22" s="390">
        <f t="shared" si="8"/>
        <v>0</v>
      </c>
      <c r="AY22" s="390">
        <f t="shared" si="9"/>
        <v>0</v>
      </c>
      <c r="AZ22" s="390">
        <f t="shared" si="10"/>
        <v>0</v>
      </c>
      <c r="BA22" s="42">
        <f t="shared" si="15"/>
        <v>0</v>
      </c>
      <c r="BB22" s="42">
        <f t="shared" si="0"/>
        <v>0</v>
      </c>
      <c r="BC22" s="42">
        <f t="shared" si="0"/>
        <v>0</v>
      </c>
      <c r="BD22" s="42">
        <f t="shared" si="0"/>
        <v>0</v>
      </c>
      <c r="BE22" s="338">
        <f t="shared" si="16"/>
        <v>0</v>
      </c>
      <c r="BF22" s="401">
        <f t="shared" si="17"/>
        <v>0</v>
      </c>
      <c r="BG22" s="401">
        <f t="shared" si="18"/>
        <v>0</v>
      </c>
      <c r="BH22" s="401">
        <f t="shared" si="19"/>
        <v>0</v>
      </c>
      <c r="BI22" s="268"/>
    </row>
    <row r="23" spans="2:61" ht="22.8">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1"/>
      <c r="AX23" s="918" t="s">
        <v>19</v>
      </c>
      <c r="AY23" s="947"/>
      <c r="AZ23" s="947"/>
      <c r="BA23" s="70">
        <f t="shared" ref="BA23:BD23" si="20">AVERAGE(BA16:BA22)</f>
        <v>0.29224489795918362</v>
      </c>
      <c r="BB23" s="70">
        <f t="shared" si="20"/>
        <v>0.29224489795918362</v>
      </c>
      <c r="BC23" s="70">
        <f t="shared" si="20"/>
        <v>0.29224489795918362</v>
      </c>
      <c r="BD23" s="70">
        <f t="shared" si="20"/>
        <v>0.29224489795918362</v>
      </c>
      <c r="BE23" s="959"/>
      <c r="BF23" s="960"/>
      <c r="BG23" s="960"/>
      <c r="BH23" s="961"/>
    </row>
    <row r="24" spans="2:61">
      <c r="B24" s="900" t="s">
        <v>291</v>
      </c>
      <c r="C24" s="900"/>
      <c r="D24" s="900"/>
      <c r="E24" s="900"/>
      <c r="F24" s="900"/>
      <c r="G24" s="900"/>
      <c r="H24" s="247"/>
      <c r="I24" s="248"/>
      <c r="J24" s="248"/>
      <c r="K24" s="248"/>
      <c r="L24" s="248"/>
      <c r="M24" s="248"/>
      <c r="N24" s="248"/>
      <c r="O24" s="248"/>
    </row>
    <row r="25" spans="2:61">
      <c r="B25" s="248"/>
      <c r="C25" s="248"/>
      <c r="D25" s="929"/>
      <c r="E25" s="929"/>
      <c r="F25" s="929"/>
      <c r="G25" s="929"/>
      <c r="H25" s="929"/>
      <c r="I25" s="929"/>
      <c r="J25" s="929"/>
      <c r="K25" s="929"/>
      <c r="L25" s="929"/>
      <c r="M25" s="929"/>
      <c r="N25" s="929"/>
      <c r="O25" s="929"/>
    </row>
    <row r="26" spans="2:61" ht="38.25" customHeight="1">
      <c r="B26" s="77" t="s">
        <v>26</v>
      </c>
      <c r="C26" s="249">
        <v>44224</v>
      </c>
      <c r="D26" s="250"/>
      <c r="E26" s="932" t="s">
        <v>50</v>
      </c>
      <c r="F26" s="1011" t="s">
        <v>312</v>
      </c>
      <c r="G26" s="1012"/>
      <c r="H26" s="1012"/>
      <c r="I26" s="1012"/>
      <c r="J26" s="1013"/>
      <c r="K26" s="251"/>
      <c r="L26" s="938"/>
      <c r="M26" s="938"/>
      <c r="N26" s="938"/>
      <c r="O26" s="939"/>
    </row>
    <row r="27" spans="2:61" ht="32.25" customHeight="1">
      <c r="B27" s="248"/>
      <c r="C27" s="248"/>
      <c r="D27" s="251"/>
      <c r="E27" s="932"/>
      <c r="F27" s="1014"/>
      <c r="G27" s="1015"/>
      <c r="H27" s="1015"/>
      <c r="I27" s="1015"/>
      <c r="J27" s="1016"/>
      <c r="K27" s="248"/>
      <c r="L27" s="248"/>
      <c r="M27" s="248"/>
      <c r="N27" s="248"/>
      <c r="O27" s="248"/>
    </row>
    <row r="28" spans="2:61" ht="31.5" customHeight="1">
      <c r="B28" s="77" t="s">
        <v>49</v>
      </c>
      <c r="C28" s="249"/>
      <c r="D28" s="248"/>
      <c r="E28" s="248"/>
      <c r="F28" s="248"/>
      <c r="K28" s="248"/>
      <c r="L28" s="248"/>
      <c r="M28" s="248"/>
      <c r="N28" s="248"/>
      <c r="O28" s="248"/>
    </row>
    <row r="29" spans="2:61">
      <c r="B29" s="248"/>
      <c r="C29" s="248"/>
      <c r="D29" s="248"/>
      <c r="E29" s="248"/>
      <c r="F29" s="248"/>
      <c r="K29" s="248"/>
      <c r="L29" s="248"/>
      <c r="M29" s="248"/>
      <c r="N29" s="248"/>
      <c r="O29" s="248"/>
    </row>
    <row r="30" spans="2:61" ht="15" customHeight="1">
      <c r="B30" s="248"/>
      <c r="C30" s="248"/>
      <c r="D30" s="248"/>
      <c r="E30" s="248"/>
      <c r="F30" s="248"/>
      <c r="G30" s="247"/>
      <c r="H30" s="247"/>
      <c r="I30" s="937"/>
      <c r="J30" s="937"/>
      <c r="K30" s="937"/>
      <c r="L30" s="937"/>
      <c r="M30" s="252"/>
      <c r="N30" s="252"/>
      <c r="O30" s="252"/>
    </row>
    <row r="31" spans="2:61" ht="15" customHeight="1">
      <c r="B31" s="248"/>
      <c r="C31" s="248"/>
      <c r="D31" s="248"/>
      <c r="E31" s="248"/>
      <c r="F31" s="248"/>
      <c r="G31" s="247"/>
      <c r="H31" s="247"/>
      <c r="I31" s="248"/>
      <c r="J31" s="248"/>
      <c r="K31" s="253"/>
      <c r="L31" s="248"/>
      <c r="M31" s="248"/>
      <c r="N31" s="248"/>
      <c r="O31" s="248"/>
    </row>
    <row r="32" spans="2:61" ht="15" customHeight="1">
      <c r="B32" s="248"/>
      <c r="C32" s="248"/>
      <c r="D32" s="248"/>
      <c r="E32" s="248"/>
      <c r="F32" s="248"/>
      <c r="G32" s="247"/>
      <c r="H32" s="247"/>
      <c r="I32" s="937"/>
      <c r="J32" s="937"/>
      <c r="K32" s="937"/>
      <c r="L32" s="937"/>
      <c r="M32" s="252"/>
      <c r="N32" s="252"/>
      <c r="O32" s="252"/>
    </row>
    <row r="33" spans="2:15" ht="15" customHeight="1">
      <c r="B33" s="248"/>
      <c r="C33" s="248"/>
      <c r="D33" s="248"/>
      <c r="E33" s="248"/>
      <c r="F33" s="248"/>
      <c r="G33" s="247"/>
      <c r="H33" s="247"/>
      <c r="I33" s="248"/>
      <c r="J33" s="248"/>
      <c r="K33" s="253"/>
      <c r="L33" s="248"/>
      <c r="M33" s="248"/>
      <c r="N33" s="248"/>
      <c r="O33" s="248"/>
    </row>
    <row r="34" spans="2:15" ht="15" customHeight="1">
      <c r="B34" s="248"/>
      <c r="C34" s="248"/>
      <c r="D34" s="248"/>
      <c r="E34" s="248"/>
      <c r="F34" s="248"/>
      <c r="G34" s="247"/>
      <c r="H34" s="247"/>
      <c r="I34" s="937"/>
      <c r="J34" s="937"/>
      <c r="K34" s="937"/>
      <c r="L34" s="937"/>
      <c r="M34" s="252"/>
      <c r="N34" s="252"/>
      <c r="O34" s="252"/>
    </row>
  </sheetData>
  <sheetProtection algorithmName="SHA-512" hashValue="1dIFFwPSAPoUhloTkfaWxpK1+VHI9yjUP5KUbZtg2v7A4yXpLv9lLi1p3811zU4vlmv00a1PNYoTj/uEVuGUmA==" saltValue="7WX6pK6tEiB/VZXLfmKMlQ==" spinCount="100000" sheet="1" objects="1" scenarios="1"/>
  <mergeCells count="73">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E23:BH23"/>
    <mergeCell ref="I30:L30"/>
    <mergeCell ref="I32:L32"/>
    <mergeCell ref="I34:L34"/>
    <mergeCell ref="B24:G24"/>
    <mergeCell ref="B23:AW23"/>
    <mergeCell ref="AX23:AZ23"/>
    <mergeCell ref="D25:O25"/>
    <mergeCell ref="E26:E27"/>
    <mergeCell ref="L26:O26"/>
    <mergeCell ref="F26:J27"/>
  </mergeCells>
  <conditionalFormatting sqref="BA16:BD22">
    <cfRule type="cellIs" dxfId="42" priority="2" operator="between">
      <formula>0.8</formula>
      <formula>1</formula>
    </cfRule>
    <cfRule type="cellIs" dxfId="41" priority="3" operator="between">
      <formula>0.61</formula>
      <formula>0.79</formula>
    </cfRule>
    <cfRule type="cellIs" dxfId="40" priority="4" operator="between">
      <formula>0</formula>
      <formula>0.6</formula>
    </cfRule>
  </conditionalFormatting>
  <conditionalFormatting sqref="BA16:BD23">
    <cfRule type="cellIs" dxfId="39" priority="1" operator="greaterThan">
      <formula>1</formula>
    </cfRule>
  </conditionalFormatting>
  <dataValidations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92D050"/>
  </sheetPr>
  <dimension ref="B1:BH35"/>
  <sheetViews>
    <sheetView showGridLines="0" topLeftCell="I1" zoomScale="70" zoomScaleNormal="70" workbookViewId="0">
      <selection activeCell="O17" sqref="O17"/>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6.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5.6"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2.8">
      <c r="B8" s="216" t="s">
        <v>45</v>
      </c>
      <c r="C8" s="1022" t="s">
        <v>90</v>
      </c>
      <c r="D8" s="1022"/>
      <c r="E8" s="217"/>
      <c r="F8" s="217"/>
      <c r="G8" s="217"/>
      <c r="H8" s="217"/>
      <c r="I8" s="217"/>
      <c r="J8" s="217"/>
      <c r="K8" s="217"/>
      <c r="L8" s="217"/>
      <c r="M8" s="217"/>
      <c r="N8" s="217"/>
      <c r="O8" s="217"/>
      <c r="AW8" s="238"/>
      <c r="AX8" s="238"/>
      <c r="AY8" s="238"/>
      <c r="AZ8" s="238"/>
      <c r="BA8" s="238"/>
      <c r="BB8" s="238"/>
      <c r="BC8" s="238"/>
      <c r="BD8" s="238"/>
    </row>
    <row r="9" spans="2:60" ht="69.75" customHeight="1">
      <c r="B9" s="216" t="s">
        <v>34</v>
      </c>
      <c r="C9" s="914" t="s">
        <v>367</v>
      </c>
      <c r="D9" s="915"/>
      <c r="E9" s="217"/>
      <c r="F9" s="217"/>
      <c r="G9" s="217"/>
      <c r="H9" s="217"/>
      <c r="I9" s="217"/>
      <c r="J9" s="217"/>
      <c r="K9" s="217"/>
      <c r="L9" s="217"/>
      <c r="M9" s="217"/>
      <c r="N9" s="217"/>
      <c r="O9" s="217"/>
      <c r="AW9" s="238"/>
      <c r="AX9" s="238"/>
      <c r="AY9" s="238"/>
      <c r="AZ9" s="238"/>
      <c r="BA9" s="238"/>
      <c r="BB9" s="238"/>
      <c r="BC9" s="238"/>
      <c r="BD9" s="238"/>
    </row>
    <row r="10" spans="2: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21.6"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361</v>
      </c>
      <c r="AZ13" s="897" t="s">
        <v>362</v>
      </c>
      <c r="BA13" s="886" t="s">
        <v>119</v>
      </c>
      <c r="BB13" s="886" t="s">
        <v>122</v>
      </c>
      <c r="BC13" s="886" t="s">
        <v>123</v>
      </c>
      <c r="BD13" s="886" t="s">
        <v>124</v>
      </c>
      <c r="BE13" s="880" t="s">
        <v>21</v>
      </c>
      <c r="BF13" s="880" t="s">
        <v>22</v>
      </c>
      <c r="BG13" s="880" t="s">
        <v>23</v>
      </c>
      <c r="BH13" s="880" t="s">
        <v>24</v>
      </c>
    </row>
    <row r="14" spans="2: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0" ht="90">
      <c r="B16" s="921" t="str">
        <f>+'01-FR-03 POA INSTITUCIONAL'!B41</f>
        <v>3. Vigilar la conducta oficial de los(as) servidores(as) públicos(as) del Distrito Capital, mediante acciones preventivas y correctivas, que permitan un adecuado cumplimiento de los principios de la Función Pública</v>
      </c>
      <c r="C16" s="921" t="str">
        <f>+'01-FR-03 POA INSTITUCIONAL'!C41</f>
        <v>3.1. Descongestionar 4500 procesos disciplinarios con criterios de calidad, efectividad y garantía del debido proceso.</v>
      </c>
      <c r="D16" s="31" t="str">
        <f>+'01-FR-03 POA INSTITUCIONAL'!D41</f>
        <v xml:space="preserve">3.1.1 Identificar y decidir de fondo 4.500  procesos, priorizando aquellos que se encuentren con riesgo de prescripción y/o vencidos en su etapa procesal (indagación, investigación y juzgamiento). </v>
      </c>
      <c r="E16" s="52">
        <f>+'01-FR-03 POA INSTITUCIONAL'!E41</f>
        <v>0.8</v>
      </c>
      <c r="F16" s="270">
        <f>+'01-FR-03 POA INSTITUCIONAL'!F41</f>
        <v>4500</v>
      </c>
      <c r="G16" s="270">
        <f>+'01-FR-03 POA INSTITUCIONAL'!K41</f>
        <v>900</v>
      </c>
      <c r="H16" s="270">
        <f>+'01-FR-03 POA INSTITUCIONAL'!G41</f>
        <v>6287</v>
      </c>
      <c r="I16" s="140" t="str">
        <f>+'01-FR-03 POA INSTITUCIONAL'!H41</f>
        <v>Procesos priorizados identificados y decididos de fondo</v>
      </c>
      <c r="J16" s="218" t="s">
        <v>351</v>
      </c>
      <c r="K16" s="241" t="s">
        <v>363</v>
      </c>
      <c r="L16" s="221" t="s">
        <v>340</v>
      </c>
      <c r="M16" s="221" t="s">
        <v>368</v>
      </c>
      <c r="N16" s="221" t="s">
        <v>358</v>
      </c>
      <c r="O16" s="82" t="str">
        <f>+'01-FR-03 POA INSTITUCIONAL'!J41</f>
        <v>Personería Delegada para la Coordinación de Potestad Disciplinaria</v>
      </c>
      <c r="P16" s="271">
        <v>50</v>
      </c>
      <c r="Q16" s="271">
        <v>87</v>
      </c>
      <c r="R16" s="271">
        <v>80</v>
      </c>
      <c r="S16" s="271">
        <v>124</v>
      </c>
      <c r="T16" s="271">
        <v>120</v>
      </c>
      <c r="U16" s="271">
        <v>108</v>
      </c>
      <c r="V16" s="67">
        <f>P16+R16+T16</f>
        <v>250</v>
      </c>
      <c r="W16" s="67">
        <f>Q16+S16+U16</f>
        <v>319</v>
      </c>
      <c r="X16" s="271">
        <v>150</v>
      </c>
      <c r="Y16" s="271"/>
      <c r="Z16" s="271">
        <v>150</v>
      </c>
      <c r="AA16" s="271"/>
      <c r="AB16" s="271">
        <v>150</v>
      </c>
      <c r="AC16" s="271"/>
      <c r="AD16" s="67">
        <f>X16+Z16+AB16</f>
        <v>450</v>
      </c>
      <c r="AE16" s="67">
        <f>Y16+AA16+AC16</f>
        <v>0</v>
      </c>
      <c r="AF16" s="271">
        <v>60</v>
      </c>
      <c r="AG16" s="271"/>
      <c r="AH16" s="271">
        <v>40</v>
      </c>
      <c r="AI16" s="271"/>
      <c r="AJ16" s="272">
        <v>40</v>
      </c>
      <c r="AK16" s="272"/>
      <c r="AL16" s="67">
        <f>AF16+AH16+AJ16</f>
        <v>140</v>
      </c>
      <c r="AM16" s="67">
        <f>AG16+AI16+AK16</f>
        <v>0</v>
      </c>
      <c r="AN16" s="271">
        <v>20</v>
      </c>
      <c r="AO16" s="271"/>
      <c r="AP16" s="271">
        <v>20</v>
      </c>
      <c r="AQ16" s="271"/>
      <c r="AR16" s="271">
        <v>20</v>
      </c>
      <c r="AS16" s="271"/>
      <c r="AT16" s="67">
        <f>AN16+AP16+AR16</f>
        <v>60</v>
      </c>
      <c r="AU16" s="67">
        <f>AO16+AQ16+AS16</f>
        <v>0</v>
      </c>
      <c r="AV16" s="245">
        <f>V16+AD16+AL16+AT16</f>
        <v>900</v>
      </c>
      <c r="AW16" s="81">
        <f>+W16</f>
        <v>319</v>
      </c>
      <c r="AX16" s="390">
        <f>+W16+AE16</f>
        <v>319</v>
      </c>
      <c r="AY16" s="390">
        <f>+W16+AE16+AM16</f>
        <v>319</v>
      </c>
      <c r="AZ16" s="390">
        <f>+W16+AE16+AM16+AU16</f>
        <v>319</v>
      </c>
      <c r="BA16" s="350">
        <f>IF(AND(AW16&gt;0,$AV16&gt;0),AW16/$AV16,0)</f>
        <v>0.35444444444444445</v>
      </c>
      <c r="BB16" s="350">
        <f t="shared" ref="BB16:BD23" si="0">IF(AND(AX16&gt;0,$AV16&gt;0),AX16/$AV16,0)</f>
        <v>0.35444444444444445</v>
      </c>
      <c r="BC16" s="350">
        <f t="shared" si="0"/>
        <v>0.35444444444444445</v>
      </c>
      <c r="BD16" s="350">
        <f t="shared" si="0"/>
        <v>0.35444444444444445</v>
      </c>
      <c r="BE16" s="394">
        <f>(IF(AND(AW16&gt;0,$F16&gt;0),AW16/$F16,0))</f>
        <v>7.088888888888889E-2</v>
      </c>
      <c r="BF16" s="395">
        <f t="shared" ref="BF16:BH16" si="1">(IF(AND(AX16&gt;0,$F16&gt;0),AX16/$F16,0))</f>
        <v>7.088888888888889E-2</v>
      </c>
      <c r="BG16" s="395">
        <f t="shared" si="1"/>
        <v>7.088888888888889E-2</v>
      </c>
      <c r="BH16" s="395">
        <f t="shared" si="1"/>
        <v>7.088888888888889E-2</v>
      </c>
    </row>
    <row r="17" spans="2:60" ht="90">
      <c r="B17" s="922"/>
      <c r="C17" s="948"/>
      <c r="D17" s="31" t="str">
        <f>+'01-FR-03 POA INSTITUCIONAL'!D42</f>
        <v>3.1.2 Evaluar y dar impulso procesal al 100% las noticias disciplinarias (quejas) puestas en conocimiento de la Entidad.</v>
      </c>
      <c r="E17" s="52">
        <f>+'01-FR-03 POA INSTITUCIONAL'!E42</f>
        <v>0.2</v>
      </c>
      <c r="F17" s="176">
        <f>+'01-FR-03 POA INSTITUCIONAL'!F42</f>
        <v>1</v>
      </c>
      <c r="G17" s="176">
        <f>+'01-FR-03 POA INSTITUCIONAL'!K42</f>
        <v>1</v>
      </c>
      <c r="H17" s="176">
        <f>+'01-FR-03 POA INSTITUCIONAL'!G42</f>
        <v>0.98</v>
      </c>
      <c r="I17" s="140" t="str">
        <f>+'01-FR-03 POA INSTITUCIONAL'!H42</f>
        <v>Noticias disciplinarias  evaluadas y con impulso procesal</v>
      </c>
      <c r="J17" s="218" t="s">
        <v>359</v>
      </c>
      <c r="K17" s="241" t="s">
        <v>341</v>
      </c>
      <c r="L17" s="221" t="s">
        <v>342</v>
      </c>
      <c r="M17" s="221" t="s">
        <v>368</v>
      </c>
      <c r="N17" s="221" t="s">
        <v>358</v>
      </c>
      <c r="O17" s="82" t="str">
        <f>+'01-FR-03 POA INSTITUCIONAL'!J42</f>
        <v>Personería Delegada para la Coordinación de Potestad Disciplinaria</v>
      </c>
      <c r="P17" s="273">
        <v>1</v>
      </c>
      <c r="Q17" s="348">
        <v>0.81899999999999995</v>
      </c>
      <c r="R17" s="273">
        <v>1</v>
      </c>
      <c r="S17" s="348">
        <v>0.57299999999999995</v>
      </c>
      <c r="T17" s="273">
        <v>1</v>
      </c>
      <c r="U17" s="348">
        <v>0.77700000000000002</v>
      </c>
      <c r="V17" s="89">
        <f>AVERAGE(P17,R17,T17)</f>
        <v>1</v>
      </c>
      <c r="W17" s="349">
        <f>IFERROR(AVERAGE(Q17,S17,U17),0)</f>
        <v>0.72299999999999998</v>
      </c>
      <c r="X17" s="273">
        <v>1</v>
      </c>
      <c r="Y17" s="403">
        <v>0</v>
      </c>
      <c r="Z17" s="273">
        <v>1</v>
      </c>
      <c r="AA17" s="403">
        <v>0</v>
      </c>
      <c r="AB17" s="273">
        <v>1</v>
      </c>
      <c r="AC17" s="403">
        <v>0</v>
      </c>
      <c r="AD17" s="89">
        <f>AVERAGE(X17,Z17,AB17)</f>
        <v>1</v>
      </c>
      <c r="AE17" s="89">
        <f>IFERROR(AVERAGE(Y17,AA17,AC17),0)</f>
        <v>0</v>
      </c>
      <c r="AF17" s="273">
        <v>1</v>
      </c>
      <c r="AG17" s="403">
        <v>0</v>
      </c>
      <c r="AH17" s="273">
        <v>1</v>
      </c>
      <c r="AI17" s="403">
        <v>0</v>
      </c>
      <c r="AJ17" s="273">
        <v>1</v>
      </c>
      <c r="AK17" s="403">
        <v>0</v>
      </c>
      <c r="AL17" s="89">
        <f>AVERAGE(AF17,AH17,AJ17)</f>
        <v>1</v>
      </c>
      <c r="AM17" s="89">
        <f>IFERROR(AVERAGE(AG17,AI17,AK17),0)</f>
        <v>0</v>
      </c>
      <c r="AN17" s="273">
        <v>1</v>
      </c>
      <c r="AO17" s="403">
        <v>0</v>
      </c>
      <c r="AP17" s="273">
        <v>1</v>
      </c>
      <c r="AQ17" s="403">
        <v>0</v>
      </c>
      <c r="AR17" s="273">
        <v>1</v>
      </c>
      <c r="AS17" s="403">
        <v>0</v>
      </c>
      <c r="AT17" s="89">
        <f>AVERAGE(AN17,AP17,AR17)</f>
        <v>1</v>
      </c>
      <c r="AU17" s="89">
        <f>IFERROR(AVERAGE(AO17,AQ17,AS17),0)</f>
        <v>0</v>
      </c>
      <c r="AV17" s="89">
        <f>AVERAGE(P17,R17,T17,X17,Z17,AB17,AF17,AH17,AJ17,AN17,AP17,AR17)</f>
        <v>1</v>
      </c>
      <c r="AW17" s="337">
        <f>IFERROR(IF(OR($AV$17="",$AV$17=0),0,ROUNDDOWN(AVERAGE($Q17,$S17,$U17),3)),0)</f>
        <v>0.72299999999999998</v>
      </c>
      <c r="AX17" s="383">
        <f>IFERROR(IF(OR($AV$17="",$AV$17=0),0,ROUNDDOWN(AVERAGE($Q17,$S17,$U17,$Y17,$AA17,$AC17),3)),0)</f>
        <v>0.36099999999999999</v>
      </c>
      <c r="AY17" s="383">
        <f>IFERROR(IF(OR($AV$17="",$AV$17=0),0,ROUNDDOWN(AVERAGE($Q17,$S17,$U17,$Y17,$AA17,$AC17,$AG17,$AI17,$AK17),3)),0)</f>
        <v>0.24099999999999999</v>
      </c>
      <c r="AZ17" s="383">
        <f>IFERROR(IF(OR($AV$17="",$AV$17=0),0,ROUNDDOWN(AVERAGE($Q17,$S17,$U17,$Y17,$AA17,$AC17,$AG17,$AI17,$AK17,$AO17,$AQ17,$AS17),3)),0)</f>
        <v>0.18</v>
      </c>
      <c r="BA17" s="350">
        <f>IF(AND(AW17&gt;0,AV17&gt;0),AW17/AV17,0)*0.25</f>
        <v>0.18074999999999999</v>
      </c>
      <c r="BB17" s="350">
        <f>IF(AND(AX17&gt;0,$AV17&gt;0),AX17/$AV17,0)*0.5</f>
        <v>0.18049999999999999</v>
      </c>
      <c r="BC17" s="350">
        <f>IF(AND(AY17&gt;0,$AV17&gt;0),AY17/$AV17,0)*0.75</f>
        <v>0.18074999999999999</v>
      </c>
      <c r="BD17" s="350">
        <f>IF(AND(AZ17&gt;0,$AV17&gt;0),AZ17/$AV17,0)*1</f>
        <v>0.18</v>
      </c>
      <c r="BE17" s="394">
        <f>((IF(AND(AW17&gt;0,$F17&gt;0),AW17/$F17,0))/4)*0.25</f>
        <v>4.5187499999999999E-2</v>
      </c>
      <c r="BF17" s="395">
        <f>((IF(AND(AX17&gt;0,$F17&gt;0),AX17/$F17,0))/4)*0.5</f>
        <v>4.5124999999999998E-2</v>
      </c>
      <c r="BG17" s="395">
        <f>((IF(AND(AY17&gt;0,$F17&gt;0),AY17/$F17,0))/4)*0.75</f>
        <v>4.5187499999999999E-2</v>
      </c>
      <c r="BH17" s="395">
        <f>((IF(AND(AZ17&gt;0,$F17&gt;0),AZ17/$F17,0))/4)</f>
        <v>4.4999999999999998E-2</v>
      </c>
    </row>
    <row r="18" spans="2:60" ht="90" customHeight="1">
      <c r="B18" s="922"/>
      <c r="C18" s="921" t="str">
        <f>+'01-FR-03 POA INSTITUCIONAL'!C43</f>
        <v xml:space="preserve">3.2. Identificar el 100% de los hechos constitutivos de faltas disciplinarias para ejercer el poder preferente en las Oficinas de Control Interno Disciplinario, en temas de interés e impacto para el Distrito Capital. </v>
      </c>
      <c r="D18" s="31" t="str">
        <f>+'01-FR-03 POA INSTITUCIONAL'!D43</f>
        <v>3.2.1 Realizar una visita de seguimiento a las 51 Oficinas de Control Interno Disciplinario del Distrito e identificar hechos constitutivos de faltas relevantes en temas de interés e impacto en cada anualidad.</v>
      </c>
      <c r="E18" s="52">
        <f>+'01-FR-03 POA INSTITUCIONAL'!E43</f>
        <v>0.5</v>
      </c>
      <c r="F18" s="270">
        <f>+'01-FR-03 POA INSTITUCIONAL'!F43</f>
        <v>204</v>
      </c>
      <c r="G18" s="270">
        <f>+'01-FR-03 POA INSTITUCIONAL'!K43</f>
        <v>51</v>
      </c>
      <c r="H18" s="270">
        <f>+'01-FR-03 POA INSTITUCIONAL'!G43</f>
        <v>204</v>
      </c>
      <c r="I18" s="140" t="str">
        <f>+'01-FR-03 POA INSTITUCIONAL'!H43</f>
        <v>Visitas de seguimiento a Oficinas de Control Interno Disciplinario realizadas</v>
      </c>
      <c r="J18" s="218" t="s">
        <v>343</v>
      </c>
      <c r="K18" s="241" t="s">
        <v>364</v>
      </c>
      <c r="L18" s="221" t="s">
        <v>344</v>
      </c>
      <c r="M18" s="221" t="s">
        <v>368</v>
      </c>
      <c r="N18" s="221" t="s">
        <v>358</v>
      </c>
      <c r="O18" s="82" t="str">
        <f>+'01-FR-03 POA INSTITUCIONAL'!J43</f>
        <v>Personería Delegada para la Coordinación de Potestad Disciplinaria</v>
      </c>
      <c r="P18" s="271">
        <v>0</v>
      </c>
      <c r="Q18" s="271">
        <v>0</v>
      </c>
      <c r="R18" s="271">
        <v>0</v>
      </c>
      <c r="S18" s="271">
        <v>0</v>
      </c>
      <c r="T18" s="271">
        <v>0</v>
      </c>
      <c r="U18" s="271">
        <v>12</v>
      </c>
      <c r="V18" s="67">
        <f t="shared" ref="V18:W23" si="2">P18+R18+T18</f>
        <v>0</v>
      </c>
      <c r="W18" s="67">
        <f t="shared" si="2"/>
        <v>12</v>
      </c>
      <c r="X18" s="271">
        <v>5</v>
      </c>
      <c r="Y18" s="271"/>
      <c r="Z18" s="271">
        <v>5</v>
      </c>
      <c r="AA18" s="271"/>
      <c r="AB18" s="271">
        <v>5</v>
      </c>
      <c r="AC18" s="271"/>
      <c r="AD18" s="67">
        <f t="shared" ref="AD18:AE23" si="3">X18+Z18+AB18</f>
        <v>15</v>
      </c>
      <c r="AE18" s="67">
        <f t="shared" si="3"/>
        <v>0</v>
      </c>
      <c r="AF18" s="271">
        <v>5</v>
      </c>
      <c r="AG18" s="271"/>
      <c r="AH18" s="271">
        <v>5</v>
      </c>
      <c r="AI18" s="271"/>
      <c r="AJ18" s="272">
        <v>5</v>
      </c>
      <c r="AK18" s="272"/>
      <c r="AL18" s="67">
        <f t="shared" ref="AL18:AM23" si="4">AF18+AH18+AJ18</f>
        <v>15</v>
      </c>
      <c r="AM18" s="67">
        <f t="shared" si="4"/>
        <v>0</v>
      </c>
      <c r="AN18" s="271">
        <v>5</v>
      </c>
      <c r="AO18" s="271"/>
      <c r="AP18" s="271">
        <v>10</v>
      </c>
      <c r="AQ18" s="271"/>
      <c r="AR18" s="271">
        <v>6</v>
      </c>
      <c r="AS18" s="271"/>
      <c r="AT18" s="67">
        <f t="shared" ref="AT18:AU23" si="5">AN18+AP18+AR18</f>
        <v>21</v>
      </c>
      <c r="AU18" s="67">
        <f t="shared" si="5"/>
        <v>0</v>
      </c>
      <c r="AV18" s="245">
        <f t="shared" ref="AV18:AV23" si="6">V18+AD18+AL18+AT18</f>
        <v>51</v>
      </c>
      <c r="AW18" s="81">
        <f t="shared" ref="AW18:AW23" si="7">+W18</f>
        <v>12</v>
      </c>
      <c r="AX18" s="390">
        <f t="shared" ref="AX18:AX23" si="8">+W18+AE18</f>
        <v>12</v>
      </c>
      <c r="AY18" s="390">
        <f t="shared" ref="AY18:AY23" si="9">+W18+AE18+AM18</f>
        <v>12</v>
      </c>
      <c r="AZ18" s="390">
        <f t="shared" ref="AZ18:AZ23" si="10">+W18+AE18+AM18+AU18</f>
        <v>12</v>
      </c>
      <c r="BA18" s="350">
        <f t="shared" ref="BA18:BA22" si="11">IF(AND(AW18&gt;0,AV18&gt;0),AW18/AV18,0)</f>
        <v>0.23529411764705882</v>
      </c>
      <c r="BB18" s="350">
        <f t="shared" si="0"/>
        <v>0.23529411764705882</v>
      </c>
      <c r="BC18" s="350">
        <f t="shared" si="0"/>
        <v>0.23529411764705882</v>
      </c>
      <c r="BD18" s="350">
        <f t="shared" si="0"/>
        <v>0.23529411764705882</v>
      </c>
      <c r="BE18" s="394">
        <f>(IF(AND(AW18&gt;0,$F18&gt;0),AW18/$F18,0))</f>
        <v>5.8823529411764705E-2</v>
      </c>
      <c r="BF18" s="395">
        <f t="shared" ref="BF18" si="12">(IF(AND(AX18&gt;0,$F18&gt;0),AX18/$F18,0))</f>
        <v>5.8823529411764705E-2</v>
      </c>
      <c r="BG18" s="395">
        <f t="shared" ref="BG18" si="13">(IF(AND(AY18&gt;0,$F18&gt;0),AY18/$F18,0))</f>
        <v>5.8823529411764705E-2</v>
      </c>
      <c r="BH18" s="395">
        <f t="shared" ref="BH18" si="14">(IF(AND(AZ18&gt;0,$F18&gt;0),AZ18/$F18,0))</f>
        <v>5.8823529411764705E-2</v>
      </c>
    </row>
    <row r="19" spans="2:60" ht="102" customHeight="1">
      <c r="B19" s="922"/>
      <c r="C19" s="948"/>
      <c r="D19" s="31" t="str">
        <f>+'01-FR-03 POA INSTITUCIONAL'!D44</f>
        <v>3.2.2 Asumir por competencia preferente el 100% de los procesos cuyos temas sean considerados de interés e impacto el Distrito Capital.</v>
      </c>
      <c r="E19" s="52">
        <f>+'01-FR-03 POA INSTITUCIONAL'!E44</f>
        <v>0.5</v>
      </c>
      <c r="F19" s="176">
        <f>+'01-FR-03 POA INSTITUCIONAL'!F44</f>
        <v>1</v>
      </c>
      <c r="G19" s="176">
        <f>+'01-FR-03 POA INSTITUCIONAL'!K44</f>
        <v>1</v>
      </c>
      <c r="H19" s="176">
        <f>+'01-FR-03 POA INSTITUCIONAL'!G44</f>
        <v>1</v>
      </c>
      <c r="I19" s="140" t="str">
        <f>+'01-FR-03 POA INSTITUCIONAL'!H44</f>
        <v>Procesos de interés e impacto asumidos por competencia</v>
      </c>
      <c r="J19" s="218" t="s">
        <v>724</v>
      </c>
      <c r="K19" s="241" t="s">
        <v>355</v>
      </c>
      <c r="L19" s="221" t="s">
        <v>360</v>
      </c>
      <c r="M19" s="221" t="s">
        <v>368</v>
      </c>
      <c r="N19" s="221" t="s">
        <v>358</v>
      </c>
      <c r="O19" s="82" t="str">
        <f>+'01-FR-03 POA INSTITUCIONAL'!J44</f>
        <v>Personería Delegada para la Coordinación de Potestad Disciplinaria</v>
      </c>
      <c r="P19" s="273">
        <v>0</v>
      </c>
      <c r="Q19" s="145">
        <v>0</v>
      </c>
      <c r="R19" s="273">
        <v>0</v>
      </c>
      <c r="S19" s="145">
        <v>1</v>
      </c>
      <c r="T19" s="271">
        <v>0</v>
      </c>
      <c r="U19" s="145">
        <v>1</v>
      </c>
      <c r="V19" s="89">
        <f>AVERAGE(P19,R19,T19)</f>
        <v>0</v>
      </c>
      <c r="W19" s="89">
        <f>IFERROR(AVERAGE(S19,U19),0)</f>
        <v>1</v>
      </c>
      <c r="X19" s="273">
        <v>1</v>
      </c>
      <c r="Y19" s="403">
        <v>0</v>
      </c>
      <c r="Z19" s="273">
        <v>1</v>
      </c>
      <c r="AA19" s="403">
        <v>0</v>
      </c>
      <c r="AB19" s="273">
        <v>1</v>
      </c>
      <c r="AC19" s="403">
        <v>0</v>
      </c>
      <c r="AD19" s="89">
        <f>AVERAGE(X19,Z19,AB19)</f>
        <v>1</v>
      </c>
      <c r="AE19" s="89">
        <f>IFERROR(AVERAGE(Y19,AA19,AC19),0)</f>
        <v>0</v>
      </c>
      <c r="AF19" s="273">
        <v>1</v>
      </c>
      <c r="AG19" s="403">
        <v>0</v>
      </c>
      <c r="AH19" s="273">
        <v>1</v>
      </c>
      <c r="AI19" s="403">
        <v>0</v>
      </c>
      <c r="AJ19" s="273">
        <v>1</v>
      </c>
      <c r="AK19" s="404">
        <v>0</v>
      </c>
      <c r="AL19" s="89">
        <f>AVERAGE(AF19,AH19,AJ19)</f>
        <v>1</v>
      </c>
      <c r="AM19" s="89">
        <f>IFERROR(AVERAGE(AG19,AI19,AK19),0)</f>
        <v>0</v>
      </c>
      <c r="AN19" s="273">
        <v>1</v>
      </c>
      <c r="AO19" s="403">
        <v>0</v>
      </c>
      <c r="AP19" s="273">
        <v>1</v>
      </c>
      <c r="AQ19" s="403">
        <v>0</v>
      </c>
      <c r="AR19" s="273">
        <v>1</v>
      </c>
      <c r="AS19" s="404">
        <v>0</v>
      </c>
      <c r="AT19" s="89">
        <f>AVERAGE(AN19,AP19,AR19)</f>
        <v>1</v>
      </c>
      <c r="AU19" s="89">
        <f>IFERROR(AVERAGE(AO19,AQ19,AS19),0)</f>
        <v>0</v>
      </c>
      <c r="AV19" s="89">
        <f>AVERAGE(X19,Z19,AB19,AF19,AH19,AJ19,AN19,AP19,AR19)</f>
        <v>1</v>
      </c>
      <c r="AW19" s="337">
        <f>IFERROR(IF(OR($AV$19="",$AV$19=0),0,ROUNDDOWN(AVERAGE($S19,$U19),3)),0)</f>
        <v>1</v>
      </c>
      <c r="AX19" s="383">
        <f>IFERROR(IF(OR($AV$19="",$AV$19=0),0,ROUNDDOWN(AVERAGE($S19,$U19,$Y19,$AA19,$AC19),3)),0)</f>
        <v>0.4</v>
      </c>
      <c r="AY19" s="383">
        <f>IFERROR(IF(OR($AV$19="",$AV$19=0),0,ROUNDDOWN(AVERAGE($S19,$U19,$Y19,$AA19,$AC19,$AG19,$AI19,$AK19),3)),0)</f>
        <v>0.25</v>
      </c>
      <c r="AZ19" s="383">
        <f>IFERROR(IF(OR($AV$19="",$AV$19=0),0,ROUNDDOWN(AVERAGE($S19,$U19,$Y19,$AA19,$AC19,$AG19,$AI19,$AK19,$AO19,$AQ19,$AS19),3)),0)</f>
        <v>0.18099999999999999</v>
      </c>
      <c r="BA19" s="350">
        <f>IF(AND(AW19&gt;0,AV19&gt;0),AW19/AV19,0)*0.25</f>
        <v>0.25</v>
      </c>
      <c r="BB19" s="350">
        <f>IF(AND(AX19&gt;0,$AV19&gt;0),AX19/$AV19,0)*0.5</f>
        <v>0.2</v>
      </c>
      <c r="BC19" s="350">
        <f>IF(AND(AY19&gt;0,$AV19&gt;0),AY19/$AV19,0)*0.75</f>
        <v>0.1875</v>
      </c>
      <c r="BD19" s="350">
        <f>IF(AND(AZ19&gt;0,$AV19&gt;0),AZ19/$AV19,0)*1</f>
        <v>0.18099999999999999</v>
      </c>
      <c r="BE19" s="394">
        <f>((IF(AND(AW19&gt;0,$F19&gt;0),AW19/$F19,0))/4)*0.25</f>
        <v>6.25E-2</v>
      </c>
      <c r="BF19" s="395">
        <f>((IF(AND(AX19&gt;0,$F19&gt;0),AX19/$F19,0))/4)*0.5</f>
        <v>0.05</v>
      </c>
      <c r="BG19" s="395">
        <f>((IF(AND(AY19&gt;0,$F19&gt;0),AY19/$F19,0))/4)*0.75</f>
        <v>4.6875E-2</v>
      </c>
      <c r="BH19" s="395">
        <f>((IF(AND(AZ19&gt;0,$F19&gt;0),AZ19/$F19,0))/4)</f>
        <v>4.5249999999999999E-2</v>
      </c>
    </row>
    <row r="20" spans="2:60" ht="120">
      <c r="B20" s="922"/>
      <c r="C20" s="31" t="str">
        <f>+'01-FR-03 POA INSTITUCIONAL'!C45</f>
        <v>3.3. Generar 8 escenarios que fortalezcan el conocimiento y las competencias del operador disciplinario, que apoya el cumplimiento de la labor misional, extendiendo el alcance a los jueces naturales en el Distrito Capital.</v>
      </c>
      <c r="D20" s="31" t="str">
        <f>+'01-FR-03 POA INSTITUCIONAL'!D45</f>
        <v>3.3.1 Generar 8 escenarios de intercambio de conocimiento con los(as) servidores(as) públicos(as) para fortalecer el conocimiento en la sustanciación de procesos disciplinarios en el Distrito Capital.</v>
      </c>
      <c r="E20" s="52">
        <f>+'01-FR-03 POA INSTITUCIONAL'!E45</f>
        <v>1</v>
      </c>
      <c r="F20" s="270">
        <f>+'01-FR-03 POA INSTITUCIONAL'!F45</f>
        <v>8</v>
      </c>
      <c r="G20" s="270">
        <f>+'01-FR-03 POA INSTITUCIONAL'!K45</f>
        <v>2</v>
      </c>
      <c r="H20" s="270">
        <f>+'01-FR-03 POA INSTITUCIONAL'!G45</f>
        <v>8</v>
      </c>
      <c r="I20" s="140" t="str">
        <f>+'01-FR-03 POA INSTITUCIONAL'!H45</f>
        <v>Escenarios de intercambio de conocimiento generados</v>
      </c>
      <c r="J20" s="218" t="s">
        <v>345</v>
      </c>
      <c r="K20" s="241" t="s">
        <v>356</v>
      </c>
      <c r="L20" s="221" t="s">
        <v>346</v>
      </c>
      <c r="M20" s="221" t="s">
        <v>368</v>
      </c>
      <c r="N20" s="221" t="s">
        <v>358</v>
      </c>
      <c r="O20" s="82" t="str">
        <f>+'01-FR-03 POA INSTITUCIONAL'!J45</f>
        <v>Personería Delegada para la Coordinación de Potestad Disciplinaria</v>
      </c>
      <c r="P20" s="271">
        <v>0</v>
      </c>
      <c r="Q20" s="271">
        <v>0</v>
      </c>
      <c r="R20" s="271">
        <v>0</v>
      </c>
      <c r="S20" s="271">
        <v>0</v>
      </c>
      <c r="T20" s="271">
        <v>0</v>
      </c>
      <c r="U20" s="271">
        <v>0</v>
      </c>
      <c r="V20" s="67">
        <f t="shared" si="2"/>
        <v>0</v>
      </c>
      <c r="W20" s="67">
        <f t="shared" si="2"/>
        <v>0</v>
      </c>
      <c r="X20" s="271">
        <v>0</v>
      </c>
      <c r="Y20" s="271"/>
      <c r="Z20" s="271">
        <v>0</v>
      </c>
      <c r="AA20" s="271"/>
      <c r="AB20" s="271">
        <v>0</v>
      </c>
      <c r="AC20" s="271"/>
      <c r="AD20" s="67">
        <f t="shared" si="3"/>
        <v>0</v>
      </c>
      <c r="AE20" s="67">
        <f t="shared" si="3"/>
        <v>0</v>
      </c>
      <c r="AF20" s="271">
        <v>0</v>
      </c>
      <c r="AG20" s="271"/>
      <c r="AH20" s="271">
        <v>0</v>
      </c>
      <c r="AI20" s="271"/>
      <c r="AJ20" s="272">
        <v>1</v>
      </c>
      <c r="AK20" s="272"/>
      <c r="AL20" s="67">
        <f t="shared" si="4"/>
        <v>1</v>
      </c>
      <c r="AM20" s="67">
        <f t="shared" si="4"/>
        <v>0</v>
      </c>
      <c r="AN20" s="271">
        <v>0</v>
      </c>
      <c r="AO20" s="271"/>
      <c r="AP20" s="271">
        <v>1</v>
      </c>
      <c r="AQ20" s="271"/>
      <c r="AR20" s="271">
        <v>0</v>
      </c>
      <c r="AS20" s="271"/>
      <c r="AT20" s="67">
        <f t="shared" si="5"/>
        <v>1</v>
      </c>
      <c r="AU20" s="67">
        <f t="shared" si="5"/>
        <v>0</v>
      </c>
      <c r="AV20" s="245">
        <f>V20+AD20+AL20+AT20</f>
        <v>2</v>
      </c>
      <c r="AW20" s="81">
        <f t="shared" si="7"/>
        <v>0</v>
      </c>
      <c r="AX20" s="390">
        <f t="shared" si="8"/>
        <v>0</v>
      </c>
      <c r="AY20" s="390">
        <f t="shared" si="9"/>
        <v>0</v>
      </c>
      <c r="AZ20" s="390">
        <f t="shared" si="10"/>
        <v>0</v>
      </c>
      <c r="BA20" s="350">
        <f t="shared" si="11"/>
        <v>0</v>
      </c>
      <c r="BB20" s="350">
        <f t="shared" si="0"/>
        <v>0</v>
      </c>
      <c r="BC20" s="350">
        <f t="shared" si="0"/>
        <v>0</v>
      </c>
      <c r="BD20" s="350">
        <f t="shared" si="0"/>
        <v>0</v>
      </c>
      <c r="BE20" s="394">
        <f>(IF(AND(AW20&gt;0,$F20&gt;0),AW20/$F20,0))</f>
        <v>0</v>
      </c>
      <c r="BF20" s="395">
        <f t="shared" ref="BF20:BF23" si="15">(IF(AND(AX20&gt;0,$F20&gt;0),AX20/$F20,0))</f>
        <v>0</v>
      </c>
      <c r="BG20" s="395">
        <f t="shared" ref="BG20:BG23" si="16">(IF(AND(AY20&gt;0,$F20&gt;0),AY20/$F20,0))</f>
        <v>0</v>
      </c>
      <c r="BH20" s="395">
        <f t="shared" ref="BH20:BH23" si="17">(IF(AND(AZ20&gt;0,$F20&gt;0),AZ20/$F20,0))</f>
        <v>0</v>
      </c>
    </row>
    <row r="21" spans="2:60" ht="90">
      <c r="B21" s="922"/>
      <c r="C21" s="921" t="str">
        <f>+'01-FR-03 POA INSTITUCIONAL'!C46</f>
        <v>3.4. Implementar al 100% tres soluciones informáticas propias para la ejecución y gestión de la Potestad Disciplinaria.</v>
      </c>
      <c r="D21" s="31" t="str">
        <f>+'01-FR-03 POA INSTITUCIONAL'!D46</f>
        <v>3.4.1 Implementar un sistema de comunicación efectiva y eficiente con las Oficinas de Control Interno del Distrito Capital.</v>
      </c>
      <c r="E21" s="52">
        <f>+'01-FR-03 POA INSTITUCIONAL'!E46</f>
        <v>0.2</v>
      </c>
      <c r="F21" s="270">
        <f>+'01-FR-03 POA INSTITUCIONAL'!F46</f>
        <v>1</v>
      </c>
      <c r="G21" s="274">
        <f>+'01-FR-03 POA INSTITUCIONAL'!K46</f>
        <v>0.5</v>
      </c>
      <c r="H21" s="270" t="str">
        <f>+'01-FR-03 POA INSTITUCIONAL'!G46</f>
        <v>S.I.</v>
      </c>
      <c r="I21" s="140" t="str">
        <f>+'01-FR-03 POA INSTITUCIONAL'!H46</f>
        <v xml:space="preserve">Sistema de Comunicación con las Oficinas de Control Interno Disciplinario implementado </v>
      </c>
      <c r="J21" s="218" t="s">
        <v>352</v>
      </c>
      <c r="K21" s="241" t="s">
        <v>357</v>
      </c>
      <c r="L21" s="221" t="s">
        <v>347</v>
      </c>
      <c r="M21" s="221" t="s">
        <v>368</v>
      </c>
      <c r="N21" s="221" t="s">
        <v>358</v>
      </c>
      <c r="O21" s="82" t="str">
        <f>+'01-FR-03 POA INSTITUCIONAL'!J46</f>
        <v>Personería Delegada para la Coordinación de Potestad Disciplinaria</v>
      </c>
      <c r="P21" s="271">
        <v>0</v>
      </c>
      <c r="Q21" s="271">
        <v>0</v>
      </c>
      <c r="R21" s="271">
        <v>0</v>
      </c>
      <c r="S21" s="271">
        <v>0</v>
      </c>
      <c r="T21" s="271">
        <v>0.05</v>
      </c>
      <c r="U21" s="271">
        <v>0.05</v>
      </c>
      <c r="V21" s="269">
        <f t="shared" si="2"/>
        <v>0.05</v>
      </c>
      <c r="W21" s="269">
        <f t="shared" si="2"/>
        <v>0.05</v>
      </c>
      <c r="X21" s="271">
        <v>0.1</v>
      </c>
      <c r="Y21" s="271"/>
      <c r="Z21" s="271">
        <v>0.05</v>
      </c>
      <c r="AA21" s="271"/>
      <c r="AB21" s="271">
        <v>0.05</v>
      </c>
      <c r="AC21" s="271"/>
      <c r="AD21" s="269">
        <f t="shared" si="3"/>
        <v>0.2</v>
      </c>
      <c r="AE21" s="67">
        <f t="shared" si="3"/>
        <v>0</v>
      </c>
      <c r="AF21" s="271">
        <v>0.05</v>
      </c>
      <c r="AG21" s="271"/>
      <c r="AH21" s="271">
        <v>0.05</v>
      </c>
      <c r="AI21" s="271"/>
      <c r="AJ21" s="271">
        <v>0.05</v>
      </c>
      <c r="AK21" s="272"/>
      <c r="AL21" s="269">
        <f t="shared" si="4"/>
        <v>0.15000000000000002</v>
      </c>
      <c r="AM21" s="67">
        <f t="shared" si="4"/>
        <v>0</v>
      </c>
      <c r="AN21" s="271">
        <v>0.05</v>
      </c>
      <c r="AO21" s="271"/>
      <c r="AP21" s="271">
        <v>0.05</v>
      </c>
      <c r="AQ21" s="271"/>
      <c r="AR21" s="271">
        <v>0</v>
      </c>
      <c r="AS21" s="271"/>
      <c r="AT21" s="269">
        <f t="shared" si="5"/>
        <v>0.1</v>
      </c>
      <c r="AU21" s="67">
        <f t="shared" si="5"/>
        <v>0</v>
      </c>
      <c r="AV21" s="275">
        <f t="shared" si="6"/>
        <v>0.5</v>
      </c>
      <c r="AW21" s="351">
        <f t="shared" si="7"/>
        <v>0.05</v>
      </c>
      <c r="AX21" s="405">
        <f t="shared" si="8"/>
        <v>0.05</v>
      </c>
      <c r="AY21" s="405">
        <f t="shared" si="9"/>
        <v>0.05</v>
      </c>
      <c r="AZ21" s="405">
        <f t="shared" si="10"/>
        <v>0.05</v>
      </c>
      <c r="BA21" s="350">
        <f t="shared" si="11"/>
        <v>0.1</v>
      </c>
      <c r="BB21" s="350">
        <f t="shared" si="0"/>
        <v>0.1</v>
      </c>
      <c r="BC21" s="350">
        <f t="shared" si="0"/>
        <v>0.1</v>
      </c>
      <c r="BD21" s="350">
        <f t="shared" si="0"/>
        <v>0.1</v>
      </c>
      <c r="BE21" s="394">
        <f>(IF(AND(AW21&gt;0,$F21&gt;0),AW21/$F21,0))</f>
        <v>0.05</v>
      </c>
      <c r="BF21" s="395">
        <f t="shared" si="15"/>
        <v>0.05</v>
      </c>
      <c r="BG21" s="395">
        <f t="shared" si="16"/>
        <v>0.05</v>
      </c>
      <c r="BH21" s="395">
        <f t="shared" si="17"/>
        <v>0.05</v>
      </c>
    </row>
    <row r="22" spans="2:60" ht="90">
      <c r="B22" s="922"/>
      <c r="C22" s="922"/>
      <c r="D22" s="31" t="str">
        <f>+'01-FR-03 POA INSTITUCIONAL'!D47</f>
        <v xml:space="preserve">3.4.2 Diseñar e implementar un sistema de información misional que generé el expediente electrónico  </v>
      </c>
      <c r="E22" s="52">
        <f>+'01-FR-03 POA INSTITUCIONAL'!E47</f>
        <v>0.7</v>
      </c>
      <c r="F22" s="270">
        <f>+'01-FR-03 POA INSTITUCIONAL'!F47</f>
        <v>1</v>
      </c>
      <c r="G22" s="274">
        <f>+'01-FR-03 POA INSTITUCIONAL'!K47</f>
        <v>0.2</v>
      </c>
      <c r="H22" s="270" t="str">
        <f>+'01-FR-03 POA INSTITUCIONAL'!G47</f>
        <v>S.I.</v>
      </c>
      <c r="I22" s="140" t="str">
        <f>+'01-FR-03 POA INSTITUCIONAL'!H47</f>
        <v xml:space="preserve">Sistema de información misional implementado </v>
      </c>
      <c r="J22" s="218" t="s">
        <v>353</v>
      </c>
      <c r="K22" s="241" t="s">
        <v>365</v>
      </c>
      <c r="L22" s="221" t="s">
        <v>347</v>
      </c>
      <c r="M22" s="221" t="s">
        <v>368</v>
      </c>
      <c r="N22" s="221" t="s">
        <v>358</v>
      </c>
      <c r="O22" s="82" t="str">
        <f>+'01-FR-03 POA INSTITUCIONAL'!J47</f>
        <v>Personería Delegada para la Coordinación de Potestad Disciplinaria</v>
      </c>
      <c r="P22" s="271">
        <v>0</v>
      </c>
      <c r="Q22" s="271">
        <v>0</v>
      </c>
      <c r="R22" s="271">
        <v>0</v>
      </c>
      <c r="S22" s="271">
        <v>0</v>
      </c>
      <c r="T22" s="271">
        <v>0.02</v>
      </c>
      <c r="U22" s="271">
        <v>0.02</v>
      </c>
      <c r="V22" s="269">
        <f t="shared" si="2"/>
        <v>0.02</v>
      </c>
      <c r="W22" s="269">
        <f t="shared" si="2"/>
        <v>0.02</v>
      </c>
      <c r="X22" s="271">
        <v>0.02</v>
      </c>
      <c r="Y22" s="271"/>
      <c r="Z22" s="271">
        <v>0.02</v>
      </c>
      <c r="AA22" s="271"/>
      <c r="AB22" s="271">
        <v>0.02</v>
      </c>
      <c r="AC22" s="271"/>
      <c r="AD22" s="269">
        <f t="shared" si="3"/>
        <v>0.06</v>
      </c>
      <c r="AE22" s="67">
        <f t="shared" si="3"/>
        <v>0</v>
      </c>
      <c r="AF22" s="271">
        <v>0.02</v>
      </c>
      <c r="AG22" s="271"/>
      <c r="AH22" s="271">
        <v>0.02</v>
      </c>
      <c r="AI22" s="271"/>
      <c r="AJ22" s="271">
        <v>0.02</v>
      </c>
      <c r="AK22" s="272"/>
      <c r="AL22" s="269">
        <f t="shared" si="4"/>
        <v>0.06</v>
      </c>
      <c r="AM22" s="67">
        <f t="shared" si="4"/>
        <v>0</v>
      </c>
      <c r="AN22" s="271">
        <v>0.02</v>
      </c>
      <c r="AO22" s="271"/>
      <c r="AP22" s="271">
        <v>0.02</v>
      </c>
      <c r="AQ22" s="271"/>
      <c r="AR22" s="271">
        <v>0.02</v>
      </c>
      <c r="AS22" s="271"/>
      <c r="AT22" s="269">
        <f>AN22+AP22+AR22</f>
        <v>0.06</v>
      </c>
      <c r="AU22" s="67">
        <f t="shared" si="5"/>
        <v>0</v>
      </c>
      <c r="AV22" s="276">
        <f t="shared" si="6"/>
        <v>0.2</v>
      </c>
      <c r="AW22" s="351">
        <f t="shared" si="7"/>
        <v>0.02</v>
      </c>
      <c r="AX22" s="405">
        <f t="shared" si="8"/>
        <v>0.02</v>
      </c>
      <c r="AY22" s="405">
        <f t="shared" si="9"/>
        <v>0.02</v>
      </c>
      <c r="AZ22" s="405">
        <f t="shared" si="10"/>
        <v>0.02</v>
      </c>
      <c r="BA22" s="350">
        <f t="shared" si="11"/>
        <v>9.9999999999999992E-2</v>
      </c>
      <c r="BB22" s="350">
        <f t="shared" si="0"/>
        <v>9.9999999999999992E-2</v>
      </c>
      <c r="BC22" s="350">
        <f t="shared" si="0"/>
        <v>9.9999999999999992E-2</v>
      </c>
      <c r="BD22" s="350">
        <f t="shared" si="0"/>
        <v>9.9999999999999992E-2</v>
      </c>
      <c r="BE22" s="394">
        <f>(IF(AND(AW22&gt;0,$F22&gt;0),AW22/$F22,0))</f>
        <v>0.02</v>
      </c>
      <c r="BF22" s="395">
        <f t="shared" si="15"/>
        <v>0.02</v>
      </c>
      <c r="BG22" s="395">
        <f t="shared" si="16"/>
        <v>0.02</v>
      </c>
      <c r="BH22" s="395">
        <f t="shared" si="17"/>
        <v>0.02</v>
      </c>
    </row>
    <row r="23" spans="2:60" ht="90">
      <c r="B23" s="922"/>
      <c r="C23" s="948"/>
      <c r="D23" s="31" t="str">
        <f>+'01-FR-03 POA INSTITUCIONAL'!D48</f>
        <v xml:space="preserve">3.4.3 Diseñar e implementar una relatoría de las decisiones de fondo adoptadas en ejercicio de la potestad disciplinaria  </v>
      </c>
      <c r="E23" s="52">
        <f>+'01-FR-03 POA INSTITUCIONAL'!E48</f>
        <v>0.1</v>
      </c>
      <c r="F23" s="270">
        <f>+'01-FR-03 POA INSTITUCIONAL'!F48</f>
        <v>1</v>
      </c>
      <c r="G23" s="274">
        <f>+'01-FR-03 POA INSTITUCIONAL'!K48</f>
        <v>0.1</v>
      </c>
      <c r="H23" s="270" t="str">
        <f>+'01-FR-03 POA INSTITUCIONAL'!G48</f>
        <v>S.I.</v>
      </c>
      <c r="I23" s="140" t="str">
        <f>+'01-FR-03 POA INSTITUCIONAL'!H48</f>
        <v>Relatoría diseñada e implementada</v>
      </c>
      <c r="J23" s="218" t="s">
        <v>354</v>
      </c>
      <c r="K23" s="241" t="s">
        <v>366</v>
      </c>
      <c r="L23" s="221" t="s">
        <v>348</v>
      </c>
      <c r="M23" s="221" t="s">
        <v>368</v>
      </c>
      <c r="N23" s="221" t="s">
        <v>358</v>
      </c>
      <c r="O23" s="82" t="str">
        <f>+'01-FR-03 POA INSTITUCIONAL'!J48</f>
        <v>Personería Delegada para la Coordinación de Potestad Disciplinaria</v>
      </c>
      <c r="P23" s="271">
        <v>0</v>
      </c>
      <c r="Q23" s="271">
        <v>0</v>
      </c>
      <c r="R23" s="271">
        <v>0</v>
      </c>
      <c r="S23" s="271">
        <v>0</v>
      </c>
      <c r="T23" s="271">
        <v>0</v>
      </c>
      <c r="U23" s="271">
        <v>0</v>
      </c>
      <c r="V23" s="269">
        <f t="shared" si="2"/>
        <v>0</v>
      </c>
      <c r="W23" s="269">
        <f t="shared" si="2"/>
        <v>0</v>
      </c>
      <c r="X23" s="271">
        <v>0.02</v>
      </c>
      <c r="Y23" s="271"/>
      <c r="Z23" s="271">
        <v>0.02</v>
      </c>
      <c r="AA23" s="271"/>
      <c r="AB23" s="271">
        <v>0.02</v>
      </c>
      <c r="AC23" s="271"/>
      <c r="AD23" s="269">
        <f t="shared" si="3"/>
        <v>0.06</v>
      </c>
      <c r="AE23" s="67">
        <f t="shared" si="3"/>
        <v>0</v>
      </c>
      <c r="AF23" s="271">
        <v>0.02</v>
      </c>
      <c r="AG23" s="271"/>
      <c r="AH23" s="271">
        <v>0.02</v>
      </c>
      <c r="AI23" s="271"/>
      <c r="AJ23" s="271">
        <v>0</v>
      </c>
      <c r="AK23" s="272"/>
      <c r="AL23" s="269">
        <f t="shared" si="4"/>
        <v>0.04</v>
      </c>
      <c r="AM23" s="67">
        <f t="shared" si="4"/>
        <v>0</v>
      </c>
      <c r="AN23" s="271">
        <v>0</v>
      </c>
      <c r="AO23" s="271"/>
      <c r="AP23" s="271">
        <v>0</v>
      </c>
      <c r="AQ23" s="271"/>
      <c r="AR23" s="271">
        <v>0</v>
      </c>
      <c r="AS23" s="271"/>
      <c r="AT23" s="269"/>
      <c r="AU23" s="67">
        <f t="shared" si="5"/>
        <v>0</v>
      </c>
      <c r="AV23" s="276">
        <f t="shared" si="6"/>
        <v>0.1</v>
      </c>
      <c r="AW23" s="351">
        <f t="shared" si="7"/>
        <v>0</v>
      </c>
      <c r="AX23" s="405">
        <f t="shared" si="8"/>
        <v>0</v>
      </c>
      <c r="AY23" s="405">
        <f t="shared" si="9"/>
        <v>0</v>
      </c>
      <c r="AZ23" s="405">
        <f t="shared" si="10"/>
        <v>0</v>
      </c>
      <c r="BA23" s="350">
        <f>IF(AND(AW23&gt;0,AV23&gt;0),AW23/AV23,0)</f>
        <v>0</v>
      </c>
      <c r="BB23" s="350">
        <f t="shared" si="0"/>
        <v>0</v>
      </c>
      <c r="BC23" s="350">
        <f t="shared" si="0"/>
        <v>0</v>
      </c>
      <c r="BD23" s="350">
        <f t="shared" si="0"/>
        <v>0</v>
      </c>
      <c r="BE23" s="394">
        <f>(IF(AND(AW23&gt;0,$F23&gt;0),AW23/$F23,0))</f>
        <v>0</v>
      </c>
      <c r="BF23" s="395">
        <f t="shared" si="15"/>
        <v>0</v>
      </c>
      <c r="BG23" s="395">
        <f t="shared" si="16"/>
        <v>0</v>
      </c>
      <c r="BH23" s="395">
        <f t="shared" si="17"/>
        <v>0</v>
      </c>
    </row>
    <row r="24" spans="2:60" ht="22.8">
      <c r="B24" s="949"/>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0"/>
      <c r="AW24" s="951"/>
      <c r="AX24" s="918" t="s">
        <v>19</v>
      </c>
      <c r="AY24" s="947"/>
      <c r="AZ24" s="947"/>
      <c r="BA24" s="70">
        <f t="shared" ref="BA24:BD24" si="18">AVERAGE(BA16:BA23)</f>
        <v>0.15256107026143792</v>
      </c>
      <c r="BB24" s="70">
        <f t="shared" si="18"/>
        <v>0.14627982026143793</v>
      </c>
      <c r="BC24" s="70">
        <f t="shared" si="18"/>
        <v>0.14474857026143792</v>
      </c>
      <c r="BD24" s="70">
        <f t="shared" si="18"/>
        <v>0.14384232026143795</v>
      </c>
      <c r="BE24" s="959"/>
      <c r="BF24" s="960"/>
      <c r="BG24" s="960"/>
      <c r="BH24" s="961"/>
    </row>
    <row r="25" spans="2:60">
      <c r="B25" s="900" t="s">
        <v>291</v>
      </c>
      <c r="C25" s="900"/>
      <c r="D25" s="900"/>
      <c r="E25" s="900"/>
      <c r="F25" s="900"/>
      <c r="G25" s="900"/>
      <c r="H25" s="247"/>
      <c r="I25" s="248"/>
      <c r="J25" s="248"/>
      <c r="K25" s="248"/>
      <c r="L25" s="248"/>
      <c r="M25" s="248"/>
      <c r="N25" s="248"/>
      <c r="O25" s="248"/>
    </row>
    <row r="26" spans="2:60">
      <c r="B26" s="248"/>
      <c r="C26" s="248"/>
      <c r="D26" s="929"/>
      <c r="E26" s="929"/>
      <c r="F26" s="929"/>
      <c r="G26" s="929"/>
      <c r="H26" s="929"/>
      <c r="I26" s="929"/>
      <c r="J26" s="929"/>
      <c r="K26" s="929"/>
      <c r="L26" s="929"/>
      <c r="M26" s="929"/>
      <c r="N26" s="929"/>
      <c r="O26" s="929"/>
    </row>
    <row r="27" spans="2:60" ht="15.6" customHeight="1">
      <c r="B27" s="77" t="s">
        <v>26</v>
      </c>
      <c r="C27" s="249">
        <v>44224</v>
      </c>
      <c r="D27" s="250"/>
      <c r="E27" s="932" t="s">
        <v>50</v>
      </c>
      <c r="F27" s="1011" t="s">
        <v>738</v>
      </c>
      <c r="G27" s="1012"/>
      <c r="H27" s="1012"/>
      <c r="I27" s="1012"/>
      <c r="J27" s="1013"/>
      <c r="K27" s="251"/>
      <c r="L27" s="938"/>
      <c r="M27" s="938"/>
      <c r="N27" s="938"/>
      <c r="O27" s="939"/>
    </row>
    <row r="28" spans="2:60" ht="33" customHeight="1">
      <c r="B28" s="248"/>
      <c r="C28" s="248"/>
      <c r="D28" s="251"/>
      <c r="E28" s="932"/>
      <c r="F28" s="1014"/>
      <c r="G28" s="1015"/>
      <c r="H28" s="1015"/>
      <c r="I28" s="1015"/>
      <c r="J28" s="1016"/>
      <c r="K28" s="248"/>
      <c r="L28" s="248"/>
      <c r="M28" s="248"/>
      <c r="N28" s="248"/>
      <c r="O28" s="248"/>
    </row>
    <row r="29" spans="2:60" ht="15.6">
      <c r="B29" s="77" t="s">
        <v>49</v>
      </c>
      <c r="C29" s="249"/>
      <c r="D29" s="248"/>
      <c r="E29" s="248"/>
      <c r="F29" s="248"/>
      <c r="K29" s="248"/>
      <c r="L29" s="248"/>
      <c r="M29" s="248"/>
      <c r="N29" s="248"/>
      <c r="O29" s="248"/>
    </row>
    <row r="30" spans="2:60">
      <c r="B30" s="248"/>
      <c r="C30" s="248"/>
      <c r="D30" s="248"/>
      <c r="E30" s="248"/>
      <c r="F30" s="248"/>
      <c r="K30" s="248"/>
      <c r="L30" s="248"/>
      <c r="M30" s="248"/>
      <c r="N30" s="248"/>
      <c r="O30" s="248"/>
    </row>
    <row r="31" spans="2:60">
      <c r="B31" s="248"/>
      <c r="C31" s="248"/>
      <c r="D31" s="248"/>
      <c r="E31" s="248"/>
      <c r="F31" s="248"/>
      <c r="G31" s="247"/>
      <c r="H31" s="247"/>
      <c r="I31" s="937"/>
      <c r="J31" s="937"/>
      <c r="K31" s="937"/>
      <c r="L31" s="937"/>
      <c r="M31" s="252"/>
      <c r="N31" s="252"/>
      <c r="O31" s="252"/>
    </row>
    <row r="32" spans="2:60">
      <c r="B32" s="248"/>
      <c r="C32" s="248"/>
      <c r="D32" s="248"/>
      <c r="E32" s="248"/>
      <c r="F32" s="248"/>
      <c r="G32" s="247"/>
      <c r="H32" s="247"/>
      <c r="I32" s="248"/>
      <c r="J32" s="248"/>
      <c r="K32" s="253"/>
      <c r="L32" s="248"/>
      <c r="M32" s="248"/>
      <c r="N32" s="248"/>
      <c r="O32" s="248"/>
    </row>
    <row r="33" spans="2:15">
      <c r="B33" s="248"/>
      <c r="C33" s="248"/>
      <c r="D33" s="248"/>
      <c r="E33" s="248"/>
      <c r="F33" s="248"/>
      <c r="G33" s="247"/>
      <c r="H33" s="247"/>
      <c r="I33" s="937"/>
      <c r="J33" s="937"/>
      <c r="K33" s="937"/>
      <c r="L33" s="937"/>
      <c r="M33" s="252"/>
      <c r="N33" s="252"/>
      <c r="O33" s="252"/>
    </row>
    <row r="34" spans="2:15">
      <c r="B34" s="248"/>
      <c r="C34" s="248"/>
      <c r="D34" s="248"/>
      <c r="E34" s="248"/>
      <c r="F34" s="248"/>
      <c r="G34" s="247"/>
      <c r="H34" s="247"/>
      <c r="I34" s="248"/>
      <c r="J34" s="248"/>
      <c r="K34" s="253"/>
      <c r="L34" s="248"/>
      <c r="M34" s="248"/>
      <c r="N34" s="248"/>
      <c r="O34" s="248"/>
    </row>
    <row r="35" spans="2:15">
      <c r="B35" s="248"/>
      <c r="C35" s="248"/>
      <c r="D35" s="248"/>
      <c r="E35" s="248"/>
      <c r="F35" s="248"/>
      <c r="G35" s="247"/>
      <c r="H35" s="247"/>
      <c r="I35" s="937"/>
      <c r="J35" s="937"/>
      <c r="K35" s="937"/>
      <c r="L35" s="937"/>
      <c r="M35" s="252"/>
      <c r="N35" s="252"/>
      <c r="O35" s="252"/>
    </row>
  </sheetData>
  <sheetProtection algorithmName="SHA-512" hashValue="p235J+jC2qxpFjrSozSB0qlReOpd6dhcXc+LBRYrJgauicsUhDnm+J1PdPOIneoL48n5DfUNaCp7LZX/El+hwQ==" saltValue="L/qhQ/PbQ6E3GVk81iiWEQ==" spinCount="100000" sheet="1" objects="1" scenarios="1"/>
  <mergeCells count="73">
    <mergeCell ref="BE24:BH24"/>
    <mergeCell ref="I12:I15"/>
    <mergeCell ref="J12:J15"/>
    <mergeCell ref="K12:K15"/>
    <mergeCell ref="L12:L15"/>
    <mergeCell ref="AV12:AV15"/>
    <mergeCell ref="AW12:AZ12"/>
    <mergeCell ref="BA12:BD12"/>
    <mergeCell ref="BB13:BB15"/>
    <mergeCell ref="AX24:AZ24"/>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I33:L33"/>
    <mergeCell ref="I35:L35"/>
    <mergeCell ref="B25:G25"/>
    <mergeCell ref="B24:AW24"/>
    <mergeCell ref="D26:O26"/>
    <mergeCell ref="E27:E28"/>
    <mergeCell ref="L27:O27"/>
    <mergeCell ref="F27:J28"/>
    <mergeCell ref="I31:L31"/>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92D050"/>
  </sheetPr>
  <dimension ref="B1:BH35"/>
  <sheetViews>
    <sheetView showGridLines="0" zoomScale="60" zoomScaleNormal="60" workbookViewId="0">
      <selection activeCell="O20" sqref="O20"/>
    </sheetView>
  </sheetViews>
  <sheetFormatPr baseColWidth="10" defaultColWidth="17.33203125" defaultRowHeight="15"/>
  <cols>
    <col min="1" max="1" width="4.33203125" style="277" customWidth="1"/>
    <col min="2" max="2" width="50.44140625" style="277" customWidth="1"/>
    <col min="3" max="3" width="31.44140625" style="277" customWidth="1"/>
    <col min="4" max="4" width="49.6640625" style="277" customWidth="1"/>
    <col min="5" max="6" width="27.5546875" style="277" customWidth="1"/>
    <col min="7" max="8" width="29.33203125" style="278" customWidth="1"/>
    <col min="9" max="9" width="36.33203125" style="277" customWidth="1"/>
    <col min="10" max="10" width="31.88671875" style="277" customWidth="1"/>
    <col min="11" max="11" width="63.88671875" style="277" customWidth="1"/>
    <col min="12" max="12" width="48.44140625" style="277" customWidth="1"/>
    <col min="13" max="14" width="28.5546875" style="277" customWidth="1"/>
    <col min="15" max="15" width="50" style="277" customWidth="1"/>
    <col min="16" max="47" width="15.88671875" style="277" customWidth="1"/>
    <col min="48" max="48" width="24.5546875" style="277" customWidth="1"/>
    <col min="49" max="49" width="22.88671875" style="277" customWidth="1"/>
    <col min="50" max="50" width="19.33203125" style="277" customWidth="1"/>
    <col min="51" max="51" width="18.44140625" style="277" customWidth="1"/>
    <col min="52" max="52" width="19.44140625" style="277" customWidth="1"/>
    <col min="53" max="53" width="23.33203125" style="277" customWidth="1"/>
    <col min="54" max="55" width="25.109375" style="277" customWidth="1"/>
    <col min="56" max="56" width="26.6640625" style="277" customWidth="1"/>
    <col min="57" max="57" width="26.33203125" style="277" customWidth="1"/>
    <col min="58" max="58" width="26.5546875" style="277" customWidth="1"/>
    <col min="59" max="59" width="26.33203125" style="277" customWidth="1"/>
    <col min="60" max="60" width="27.33203125" style="277" customWidth="1"/>
    <col min="61" max="16384" width="17.33203125" style="277"/>
  </cols>
  <sheetData>
    <row r="1" spans="2:60" ht="15.6" thickBot="1"/>
    <row r="2" spans="2:60" ht="15.6"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79" t="s">
        <v>457</v>
      </c>
      <c r="BH2" s="280"/>
    </row>
    <row r="3" spans="2:60" ht="15.6"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81" t="s">
        <v>28</v>
      </c>
      <c r="BH3" s="282"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217"/>
      <c r="C7" s="217"/>
      <c r="D7" s="217"/>
      <c r="E7" s="217"/>
      <c r="F7" s="217"/>
      <c r="G7" s="283"/>
      <c r="H7" s="283"/>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889"/>
      <c r="AX7" s="938"/>
      <c r="AY7" s="938"/>
      <c r="AZ7" s="938"/>
      <c r="BA7" s="891"/>
      <c r="BB7" s="238"/>
      <c r="BC7" s="238"/>
      <c r="BD7" s="238"/>
      <c r="BE7" s="217"/>
      <c r="BF7" s="217"/>
    </row>
    <row r="8" spans="2:60" ht="15.6">
      <c r="B8" s="284" t="s">
        <v>45</v>
      </c>
      <c r="C8" s="1045" t="s">
        <v>91</v>
      </c>
      <c r="D8" s="1045"/>
      <c r="E8" s="217"/>
      <c r="F8" s="217"/>
      <c r="G8" s="217"/>
      <c r="H8" s="217"/>
      <c r="I8" s="217"/>
      <c r="J8" s="217"/>
      <c r="K8" s="217"/>
      <c r="L8" s="217"/>
      <c r="M8" s="217"/>
      <c r="N8" s="217"/>
      <c r="O8" s="217"/>
      <c r="AW8" s="238"/>
      <c r="AX8" s="238"/>
      <c r="AY8" s="238"/>
      <c r="AZ8" s="238"/>
      <c r="BA8" s="238"/>
      <c r="BB8" s="238"/>
      <c r="BC8" s="238"/>
      <c r="BD8" s="238"/>
    </row>
    <row r="9" spans="2:60" ht="95.25" customHeight="1">
      <c r="B9" s="284" t="s">
        <v>34</v>
      </c>
      <c r="C9" s="1044" t="s">
        <v>481</v>
      </c>
      <c r="D9" s="915"/>
      <c r="E9" s="217"/>
      <c r="F9" s="217"/>
      <c r="G9" s="217"/>
      <c r="H9" s="217"/>
      <c r="I9" s="217"/>
      <c r="J9" s="217"/>
      <c r="K9" s="217"/>
      <c r="L9" s="217"/>
      <c r="M9" s="217"/>
      <c r="N9" s="217"/>
      <c r="O9" s="217"/>
      <c r="AW9" s="238"/>
      <c r="AX9" s="238"/>
      <c r="AY9" s="238"/>
      <c r="AZ9" s="238"/>
      <c r="BA9" s="238"/>
      <c r="BB9" s="238"/>
      <c r="BC9" s="238"/>
      <c r="BD9" s="238"/>
    </row>
    <row r="10" spans="2:60" ht="15.6">
      <c r="B10" s="284" t="s">
        <v>101</v>
      </c>
      <c r="C10" s="1036">
        <v>2021</v>
      </c>
      <c r="D10" s="1037"/>
      <c r="E10" s="217"/>
      <c r="F10" s="217"/>
      <c r="G10" s="217"/>
      <c r="H10" s="217"/>
      <c r="I10" s="217"/>
      <c r="J10" s="217"/>
      <c r="K10" s="217"/>
      <c r="L10" s="217"/>
      <c r="M10" s="217"/>
      <c r="N10" s="217"/>
      <c r="O10" s="217"/>
      <c r="AW10" s="238"/>
      <c r="AX10" s="238"/>
      <c r="AY10" s="238"/>
      <c r="AZ10" s="238"/>
      <c r="BA10" s="238"/>
      <c r="BB10" s="238"/>
      <c r="BC10" s="238"/>
      <c r="BD10" s="238"/>
    </row>
    <row r="11" spans="2:60">
      <c r="B11" s="217"/>
      <c r="C11" s="217"/>
      <c r="D11" s="217"/>
      <c r="E11" s="217"/>
      <c r="F11" s="217"/>
      <c r="G11" s="283"/>
      <c r="H11" s="283"/>
      <c r="I11" s="217"/>
      <c r="J11" s="217"/>
      <c r="K11" s="217"/>
      <c r="L11" s="217"/>
      <c r="M11" s="217"/>
      <c r="N11" s="217"/>
      <c r="O11" s="217"/>
      <c r="AW11" s="238"/>
      <c r="AX11" s="238"/>
      <c r="AY11" s="238"/>
      <c r="AZ11" s="238"/>
      <c r="BA11" s="238"/>
      <c r="BB11" s="238"/>
      <c r="BC11" s="238"/>
      <c r="BD11" s="238"/>
    </row>
    <row r="12" spans="2:60" ht="31.8" customHeight="1">
      <c r="B12" s="758" t="s">
        <v>0</v>
      </c>
      <c r="C12" s="758" t="s">
        <v>52</v>
      </c>
      <c r="D12" s="758" t="s">
        <v>53</v>
      </c>
      <c r="E12" s="758" t="s">
        <v>61</v>
      </c>
      <c r="F12" s="920" t="s">
        <v>744</v>
      </c>
      <c r="G12" s="758" t="s">
        <v>58</v>
      </c>
      <c r="H12" s="758" t="s">
        <v>25</v>
      </c>
      <c r="I12" s="758" t="s">
        <v>60</v>
      </c>
      <c r="J12" s="758" t="s">
        <v>39</v>
      </c>
      <c r="K12" s="758" t="s">
        <v>36</v>
      </c>
      <c r="L12" s="758" t="s">
        <v>20</v>
      </c>
      <c r="M12" s="758" t="s">
        <v>51</v>
      </c>
      <c r="N12" s="758" t="s">
        <v>40</v>
      </c>
      <c r="O12" s="758" t="s">
        <v>42</v>
      </c>
      <c r="P12" s="1024" t="s">
        <v>112</v>
      </c>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c r="AP12" s="1024"/>
      <c r="AQ12" s="1024"/>
      <c r="AR12" s="1024"/>
      <c r="AS12" s="1024"/>
      <c r="AT12" s="1024"/>
      <c r="AU12" s="1024"/>
      <c r="AV12" s="1031" t="s">
        <v>62</v>
      </c>
      <c r="AW12" s="894" t="s">
        <v>745</v>
      </c>
      <c r="AX12" s="895"/>
      <c r="AY12" s="895"/>
      <c r="AZ12" s="896"/>
      <c r="BA12" s="883" t="s">
        <v>746</v>
      </c>
      <c r="BB12" s="884"/>
      <c r="BC12" s="884"/>
      <c r="BD12" s="885"/>
      <c r="BE12" s="923" t="s">
        <v>747</v>
      </c>
      <c r="BF12" s="924"/>
      <c r="BG12" s="924"/>
      <c r="BH12" s="925"/>
    </row>
    <row r="13" spans="2:60" ht="15.6">
      <c r="B13" s="758"/>
      <c r="C13" s="758"/>
      <c r="D13" s="758"/>
      <c r="E13" s="758"/>
      <c r="F13" s="920"/>
      <c r="G13" s="758"/>
      <c r="H13" s="758"/>
      <c r="I13" s="758"/>
      <c r="J13" s="758"/>
      <c r="K13" s="758"/>
      <c r="L13" s="758"/>
      <c r="M13" s="758"/>
      <c r="N13" s="758"/>
      <c r="O13" s="758"/>
      <c r="P13" s="932" t="s">
        <v>21</v>
      </c>
      <c r="Q13" s="932"/>
      <c r="R13" s="932"/>
      <c r="S13" s="932"/>
      <c r="T13" s="932"/>
      <c r="U13" s="932"/>
      <c r="V13" s="932"/>
      <c r="W13" s="932"/>
      <c r="X13" s="932" t="s">
        <v>22</v>
      </c>
      <c r="Y13" s="932"/>
      <c r="Z13" s="932"/>
      <c r="AA13" s="932"/>
      <c r="AB13" s="932"/>
      <c r="AC13" s="932"/>
      <c r="AD13" s="932"/>
      <c r="AE13" s="932"/>
      <c r="AF13" s="932" t="s">
        <v>23</v>
      </c>
      <c r="AG13" s="932"/>
      <c r="AH13" s="932"/>
      <c r="AI13" s="932"/>
      <c r="AJ13" s="932"/>
      <c r="AK13" s="932"/>
      <c r="AL13" s="932"/>
      <c r="AM13" s="932"/>
      <c r="AN13" s="932" t="s">
        <v>24</v>
      </c>
      <c r="AO13" s="932"/>
      <c r="AP13" s="932"/>
      <c r="AQ13" s="932"/>
      <c r="AR13" s="932"/>
      <c r="AS13" s="932"/>
      <c r="AT13" s="932"/>
      <c r="AU13" s="932"/>
      <c r="AV13" s="1031"/>
      <c r="AW13" s="1041" t="s">
        <v>119</v>
      </c>
      <c r="AX13" s="1041" t="s">
        <v>22</v>
      </c>
      <c r="AY13" s="1041" t="s">
        <v>120</v>
      </c>
      <c r="AZ13" s="1041" t="s">
        <v>121</v>
      </c>
      <c r="BA13" s="1028" t="s">
        <v>119</v>
      </c>
      <c r="BB13" s="1028" t="s">
        <v>122</v>
      </c>
      <c r="BC13" s="1028" t="s">
        <v>123</v>
      </c>
      <c r="BD13" s="1028" t="s">
        <v>124</v>
      </c>
      <c r="BE13" s="1038" t="s">
        <v>21</v>
      </c>
      <c r="BF13" s="1038" t="s">
        <v>22</v>
      </c>
      <c r="BG13" s="1038" t="s">
        <v>23</v>
      </c>
      <c r="BH13" s="1038" t="s">
        <v>24</v>
      </c>
    </row>
    <row r="14" spans="2:60" ht="15.6">
      <c r="B14" s="758"/>
      <c r="C14" s="758"/>
      <c r="D14" s="758"/>
      <c r="E14" s="758"/>
      <c r="F14" s="920"/>
      <c r="G14" s="758"/>
      <c r="H14" s="758"/>
      <c r="I14" s="758"/>
      <c r="J14" s="758"/>
      <c r="K14" s="758"/>
      <c r="L14" s="758"/>
      <c r="M14" s="758"/>
      <c r="N14" s="758"/>
      <c r="O14" s="758"/>
      <c r="P14" s="1023" t="s">
        <v>5</v>
      </c>
      <c r="Q14" s="1023"/>
      <c r="R14" s="1023" t="s">
        <v>6</v>
      </c>
      <c r="S14" s="1023"/>
      <c r="T14" s="1023" t="s">
        <v>7</v>
      </c>
      <c r="U14" s="1023"/>
      <c r="V14" s="1024" t="s">
        <v>8</v>
      </c>
      <c r="W14" s="1024"/>
      <c r="X14" s="1023" t="s">
        <v>27</v>
      </c>
      <c r="Y14" s="1023"/>
      <c r="Z14" s="1023" t="s">
        <v>9</v>
      </c>
      <c r="AA14" s="1023"/>
      <c r="AB14" s="1023" t="s">
        <v>10</v>
      </c>
      <c r="AC14" s="1023"/>
      <c r="AD14" s="1024" t="s">
        <v>8</v>
      </c>
      <c r="AE14" s="1024"/>
      <c r="AF14" s="1023" t="s">
        <v>11</v>
      </c>
      <c r="AG14" s="1023"/>
      <c r="AH14" s="1023" t="s">
        <v>12</v>
      </c>
      <c r="AI14" s="1023"/>
      <c r="AJ14" s="1023" t="s">
        <v>13</v>
      </c>
      <c r="AK14" s="1023"/>
      <c r="AL14" s="1024" t="s">
        <v>8</v>
      </c>
      <c r="AM14" s="1024"/>
      <c r="AN14" s="1023" t="s">
        <v>14</v>
      </c>
      <c r="AO14" s="1023"/>
      <c r="AP14" s="1023" t="s">
        <v>15</v>
      </c>
      <c r="AQ14" s="1023"/>
      <c r="AR14" s="1023" t="s">
        <v>16</v>
      </c>
      <c r="AS14" s="1023"/>
      <c r="AT14" s="1024" t="s">
        <v>8</v>
      </c>
      <c r="AU14" s="1024"/>
      <c r="AV14" s="1031"/>
      <c r="AW14" s="1042"/>
      <c r="AX14" s="1042"/>
      <c r="AY14" s="1042"/>
      <c r="AZ14" s="1042"/>
      <c r="BA14" s="1029"/>
      <c r="BB14" s="1029"/>
      <c r="BC14" s="1029"/>
      <c r="BD14" s="1029"/>
      <c r="BE14" s="1039"/>
      <c r="BF14" s="1039"/>
      <c r="BG14" s="1039"/>
      <c r="BH14" s="1039"/>
    </row>
    <row r="15" spans="2:60" ht="16.2" thickBot="1">
      <c r="B15" s="758"/>
      <c r="C15" s="758"/>
      <c r="D15" s="758"/>
      <c r="E15" s="758"/>
      <c r="F15" s="920"/>
      <c r="G15" s="758"/>
      <c r="H15" s="758"/>
      <c r="I15" s="758"/>
      <c r="J15" s="758"/>
      <c r="K15" s="758"/>
      <c r="L15" s="758"/>
      <c r="M15" s="758"/>
      <c r="N15" s="758"/>
      <c r="O15" s="758"/>
      <c r="P15" s="285" t="s">
        <v>17</v>
      </c>
      <c r="Q15" s="285" t="s">
        <v>18</v>
      </c>
      <c r="R15" s="285" t="s">
        <v>17</v>
      </c>
      <c r="S15" s="285" t="s">
        <v>18</v>
      </c>
      <c r="T15" s="285" t="s">
        <v>17</v>
      </c>
      <c r="U15" s="285" t="s">
        <v>18</v>
      </c>
      <c r="V15" s="286" t="s">
        <v>17</v>
      </c>
      <c r="W15" s="286" t="s">
        <v>18</v>
      </c>
      <c r="X15" s="285" t="s">
        <v>17</v>
      </c>
      <c r="Y15" s="285" t="s">
        <v>18</v>
      </c>
      <c r="Z15" s="285" t="s">
        <v>17</v>
      </c>
      <c r="AA15" s="285" t="s">
        <v>18</v>
      </c>
      <c r="AB15" s="285" t="s">
        <v>17</v>
      </c>
      <c r="AC15" s="285" t="s">
        <v>18</v>
      </c>
      <c r="AD15" s="286" t="s">
        <v>17</v>
      </c>
      <c r="AE15" s="286" t="s">
        <v>18</v>
      </c>
      <c r="AF15" s="285" t="s">
        <v>17</v>
      </c>
      <c r="AG15" s="285" t="s">
        <v>18</v>
      </c>
      <c r="AH15" s="285" t="s">
        <v>17</v>
      </c>
      <c r="AI15" s="285" t="s">
        <v>18</v>
      </c>
      <c r="AJ15" s="285" t="s">
        <v>17</v>
      </c>
      <c r="AK15" s="285" t="s">
        <v>18</v>
      </c>
      <c r="AL15" s="286" t="s">
        <v>17</v>
      </c>
      <c r="AM15" s="286" t="s">
        <v>18</v>
      </c>
      <c r="AN15" s="285" t="s">
        <v>17</v>
      </c>
      <c r="AO15" s="285" t="s">
        <v>18</v>
      </c>
      <c r="AP15" s="285" t="s">
        <v>17</v>
      </c>
      <c r="AQ15" s="285" t="s">
        <v>18</v>
      </c>
      <c r="AR15" s="285" t="s">
        <v>17</v>
      </c>
      <c r="AS15" s="285" t="s">
        <v>18</v>
      </c>
      <c r="AT15" s="286" t="s">
        <v>17</v>
      </c>
      <c r="AU15" s="286" t="s">
        <v>18</v>
      </c>
      <c r="AV15" s="1031"/>
      <c r="AW15" s="1043"/>
      <c r="AX15" s="1043"/>
      <c r="AY15" s="1043"/>
      <c r="AZ15" s="1043"/>
      <c r="BA15" s="1030"/>
      <c r="BB15" s="1030"/>
      <c r="BC15" s="1030"/>
      <c r="BD15" s="1030"/>
      <c r="BE15" s="1040"/>
      <c r="BF15" s="1040"/>
      <c r="BG15" s="1040"/>
      <c r="BH15" s="1040"/>
    </row>
    <row r="16" spans="2:60" ht="397.8" customHeight="1">
      <c r="B16" s="1033"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33" t="str">
        <f>+'01-FR-03 POA INSTITUCIONAL'!C62</f>
        <v xml:space="preserve">4.3. Realizar el 100% de las actividades relacionadas con la Gestión del Talento Humano, que permita su fortalecimiento y el desarrollo de sus conocimientos, su competencia y bienestar. </v>
      </c>
      <c r="D16" s="31" t="str">
        <f>+'01-FR-03 POA INSTITUCIONAL'!D62</f>
        <v xml:space="preserve">4.3.1 Gestionar el 100% de las novedades y situaciones administrativas de los servidores públicos de la Entidad.
</v>
      </c>
      <c r="E16" s="52">
        <f>+'01-FR-03 POA INSTITUCIONAL'!E62</f>
        <v>0.1</v>
      </c>
      <c r="F16" s="52">
        <f>+'01-FR-03 POA INSTITUCIONAL'!F62</f>
        <v>1</v>
      </c>
      <c r="G16" s="52">
        <f>+'01-FR-03 POA INSTITUCIONAL'!K62</f>
        <v>1</v>
      </c>
      <c r="H16" s="52">
        <f>+'01-FR-03 POA INSTITUCIONAL'!G62</f>
        <v>1</v>
      </c>
      <c r="I16" s="140" t="str">
        <f>+'01-FR-03 POA INSTITUCIONAL'!H62</f>
        <v>Porcentaje de novedades y situaciones administrativas gestionadas</v>
      </c>
      <c r="J16" s="287" t="s">
        <v>458</v>
      </c>
      <c r="K16" s="288" t="s">
        <v>459</v>
      </c>
      <c r="L16" s="289" t="s">
        <v>460</v>
      </c>
      <c r="M16" s="221" t="s">
        <v>461</v>
      </c>
      <c r="N16" s="221" t="s">
        <v>462</v>
      </c>
      <c r="O16" s="241" t="str">
        <f>+'01-FR-03 POA INSTITUCIONAL'!J62</f>
        <v xml:space="preserve">
Dirección de Talento Humano
</v>
      </c>
      <c r="P16" s="273">
        <v>1</v>
      </c>
      <c r="Q16" s="145">
        <v>1</v>
      </c>
      <c r="R16" s="273">
        <v>1</v>
      </c>
      <c r="S16" s="145">
        <v>1</v>
      </c>
      <c r="T16" s="273">
        <v>1</v>
      </c>
      <c r="U16" s="145">
        <v>1</v>
      </c>
      <c r="V16" s="89">
        <f>AVERAGE(P16,R16,T16)</f>
        <v>1</v>
      </c>
      <c r="W16" s="89">
        <f>IFERROR(AVERAGE(Q16,S16,U16),0)</f>
        <v>1</v>
      </c>
      <c r="X16" s="273">
        <v>1</v>
      </c>
      <c r="Y16" s="403">
        <v>0</v>
      </c>
      <c r="Z16" s="273">
        <v>1</v>
      </c>
      <c r="AA16" s="403">
        <v>0</v>
      </c>
      <c r="AB16" s="273">
        <v>1</v>
      </c>
      <c r="AC16" s="403">
        <v>0</v>
      </c>
      <c r="AD16" s="89">
        <f>AVERAGE(X16,Z16,AB16)</f>
        <v>1</v>
      </c>
      <c r="AE16" s="89">
        <f>IFERROR(AVERAGE(Y16,AA16,AC16),0)</f>
        <v>0</v>
      </c>
      <c r="AF16" s="273">
        <v>1</v>
      </c>
      <c r="AG16" s="403">
        <v>0</v>
      </c>
      <c r="AH16" s="273">
        <v>1</v>
      </c>
      <c r="AI16" s="403">
        <v>0</v>
      </c>
      <c r="AJ16" s="273">
        <v>1</v>
      </c>
      <c r="AK16" s="404">
        <v>0</v>
      </c>
      <c r="AL16" s="89">
        <f>AVERAGE(AF16,AH16,AJ16)</f>
        <v>1</v>
      </c>
      <c r="AM16" s="89">
        <f>IFERROR(AVERAGE(AG16,AI16,AK16),0)</f>
        <v>0</v>
      </c>
      <c r="AN16" s="273">
        <v>1</v>
      </c>
      <c r="AO16" s="403">
        <v>0</v>
      </c>
      <c r="AP16" s="273">
        <v>1</v>
      </c>
      <c r="AQ16" s="403">
        <v>0</v>
      </c>
      <c r="AR16" s="273">
        <v>1</v>
      </c>
      <c r="AS16" s="403">
        <v>0</v>
      </c>
      <c r="AT16" s="89">
        <f>AVERAGE(AN16,AP16,AR16)</f>
        <v>1</v>
      </c>
      <c r="AU16" s="89">
        <f>IFERROR(AVERAGE(AO16,AQ16,AS16),0)</f>
        <v>0</v>
      </c>
      <c r="AV16" s="89">
        <f>AVERAGE(P16,R16,T16,X16,Z16,AB16,AF16,AH16,AJ16,AN16,AP16,AR16)</f>
        <v>1</v>
      </c>
      <c r="AW16" s="337">
        <f>IFERROR(IF(OR($AV$16="",$AV$16=0),0,ROUNDDOWN(AVERAGE($Q16,$S16,$U16),3)),0)</f>
        <v>1</v>
      </c>
      <c r="AX16" s="383">
        <f>IFERROR(IF(OR($AV$17="",$AV$17=0),0,ROUNDDOWN(AVERAGE($Q16,$S16,$U16,$Y16,$AA16,$AC16),3)),0)</f>
        <v>0.5</v>
      </c>
      <c r="AY16" s="383">
        <f>IFERROR(IF(OR($AV$16="",$AV$16=0),0,ROUNDDOWN(AVERAGE($Q16,$S16,$U16,$Y16,$AA16,$AC16,$AG16,$AI16,$AK16),3)),0)</f>
        <v>0.33300000000000002</v>
      </c>
      <c r="AZ16" s="383">
        <f t="shared" ref="AZ16:AZ18" si="0">IFERROR(IF(OR($AV$16="",$AV$16=0),0,ROUNDDOWN(AVERAGE($Q16,$S16,$U16,$Y16,$AA16,$AC16,$AG16,$AI16,$AK16,$AO16,$AQ16,$AS16),3)),0)</f>
        <v>0.25</v>
      </c>
      <c r="BA16" s="385">
        <f>(IF(AND(AW16&gt;0,$AV16&gt;0),AW16/$AV16,0))*0.25</f>
        <v>0.25</v>
      </c>
      <c r="BB16" s="385">
        <f>(IF(AND(AX16&gt;0,$AV16&gt;0),AX16/$AV16,0))*0.5</f>
        <v>0.25</v>
      </c>
      <c r="BC16" s="385">
        <f>(IF(AND(AY16&gt;0,$AV16&gt;0),AY16/$AV16,0))*0.75</f>
        <v>0.24975000000000003</v>
      </c>
      <c r="BD16" s="385">
        <f>(IF(AND(AZ16&gt;0,$AV16&gt;0),AZ16/$AV16,0))*1</f>
        <v>0.25</v>
      </c>
      <c r="BE16" s="394">
        <f t="shared" ref="BE16:BE18" si="1">((IF(AND(AW16&gt;0,$F16&gt;0),AW16/$F16,0))/4)*0.25</f>
        <v>6.25E-2</v>
      </c>
      <c r="BF16" s="395">
        <f t="shared" ref="BF16:BF18" si="2">((IF(AND(AX16&gt;0,$F16&gt;0),AX16/$F16,0))/4)*0.5</f>
        <v>6.25E-2</v>
      </c>
      <c r="BG16" s="395">
        <f t="shared" ref="BG16:BG18" si="3">((IF(AND(AY16&gt;0,$F16&gt;0),AY16/$F16,0))/4)*0.75</f>
        <v>6.2437500000000007E-2</v>
      </c>
      <c r="BH16" s="395">
        <f t="shared" ref="BH16:BH19" si="4">((IF(AND(AZ16&gt;0,$F16&gt;0),AZ16/$F16,0))/4)</f>
        <v>6.25E-2</v>
      </c>
    </row>
    <row r="17" spans="2:60" ht="367.2" customHeight="1">
      <c r="B17" s="1034"/>
      <c r="C17" s="1034"/>
      <c r="D17" s="31" t="str">
        <f>+'01-FR-03 POA INSTITUCIONAL'!D63</f>
        <v xml:space="preserve">4.3.2 Incluir el 97% de las Novedades en la nómina oportunamente, para liquidación y pago </v>
      </c>
      <c r="E17" s="52">
        <f>+'01-FR-03 POA INSTITUCIONAL'!E63</f>
        <v>0.1</v>
      </c>
      <c r="F17" s="52">
        <f>+'01-FR-03 POA INSTITUCIONAL'!F63</f>
        <v>0.97</v>
      </c>
      <c r="G17" s="52">
        <f>+'01-FR-03 POA INSTITUCIONAL'!K63</f>
        <v>0.97</v>
      </c>
      <c r="H17" s="52">
        <f>+'01-FR-03 POA INSTITUCIONAL'!G63</f>
        <v>0.97</v>
      </c>
      <c r="I17" s="140" t="str">
        <f>+'01-FR-03 POA INSTITUCIONAL'!H63</f>
        <v xml:space="preserve">Novedades incluidas en la nómina  oportunamente  </v>
      </c>
      <c r="J17" s="290" t="s">
        <v>463</v>
      </c>
      <c r="K17" s="291" t="s">
        <v>464</v>
      </c>
      <c r="L17" s="292" t="s">
        <v>465</v>
      </c>
      <c r="M17" s="221" t="s">
        <v>461</v>
      </c>
      <c r="N17" s="221" t="s">
        <v>466</v>
      </c>
      <c r="O17" s="541" t="str">
        <f>+'01-FR-03 POA INSTITUCIONAL'!J63</f>
        <v>Dependencia Líder: 
Dirección de Talento Humano
Dependencia Operativa:
Subdirección de Gestión del Talento Humano</v>
      </c>
      <c r="P17" s="273">
        <v>0.97</v>
      </c>
      <c r="Q17" s="145">
        <v>1</v>
      </c>
      <c r="R17" s="145">
        <v>0.97</v>
      </c>
      <c r="S17" s="352">
        <v>1</v>
      </c>
      <c r="T17" s="145">
        <v>0.97</v>
      </c>
      <c r="U17" s="352">
        <v>0.98199999999999998</v>
      </c>
      <c r="V17" s="66">
        <f>AVERAGE(P17,R17,T17)</f>
        <v>0.97000000000000008</v>
      </c>
      <c r="W17" s="353">
        <f>IFERROR(AVERAGE(Q17,S17,U17),0)</f>
        <v>0.99400000000000011</v>
      </c>
      <c r="X17" s="145">
        <v>0.97</v>
      </c>
      <c r="Y17" s="403">
        <v>0</v>
      </c>
      <c r="Z17" s="145">
        <v>0.97</v>
      </c>
      <c r="AA17" s="403">
        <v>0</v>
      </c>
      <c r="AB17" s="145">
        <v>0.97</v>
      </c>
      <c r="AC17" s="403">
        <v>0</v>
      </c>
      <c r="AD17" s="66">
        <f>AVERAGE(X17,Z17,AB17)</f>
        <v>0.97000000000000008</v>
      </c>
      <c r="AE17" s="66">
        <f>IFERROR(AVERAGE(Y17,AA17,AC17),0)</f>
        <v>0</v>
      </c>
      <c r="AF17" s="145">
        <v>0.97</v>
      </c>
      <c r="AG17" s="403">
        <v>0</v>
      </c>
      <c r="AH17" s="145">
        <v>0.97</v>
      </c>
      <c r="AI17" s="403">
        <v>0</v>
      </c>
      <c r="AJ17" s="145">
        <v>0.97</v>
      </c>
      <c r="AK17" s="404">
        <v>0</v>
      </c>
      <c r="AL17" s="66">
        <f>AVERAGE(AF17,AH17,AJ17)</f>
        <v>0.97000000000000008</v>
      </c>
      <c r="AM17" s="66">
        <f>IFERROR(AVERAGE(AG17,AI17,AK17),0)</f>
        <v>0</v>
      </c>
      <c r="AN17" s="145">
        <v>0.97</v>
      </c>
      <c r="AO17" s="403">
        <v>0</v>
      </c>
      <c r="AP17" s="145">
        <v>0.97</v>
      </c>
      <c r="AQ17" s="403">
        <v>0</v>
      </c>
      <c r="AR17" s="145">
        <v>0.97</v>
      </c>
      <c r="AS17" s="403">
        <v>0</v>
      </c>
      <c r="AT17" s="66">
        <f>AVERAGE(AN17,AP17,AR17)</f>
        <v>0.97000000000000008</v>
      </c>
      <c r="AU17" s="66">
        <f>IFERROR(AVERAGE(AO17,AQ17,AS17),0)</f>
        <v>0</v>
      </c>
      <c r="AV17" s="66">
        <f>AVERAGE(P17,R17,T17,X17,Z17,AB17,AF17,AH17,AJ17,AN17,AP17,AR17)</f>
        <v>0.97000000000000008</v>
      </c>
      <c r="AW17" s="337">
        <f>IFERROR(IF(OR($AV$16="",$AV$16=0),0,ROUNDDOWN(AVERAGE($Q17,$S17,$U17),3)),0)</f>
        <v>0.99399999999999999</v>
      </c>
      <c r="AX17" s="383">
        <f>IFERROR(IF(OR($AV$17="",$AV$17=0),0,ROUNDDOWN(AVERAGE($Q17,$S17,$U17,$Y17,$AA17,$AC17),3)),0)</f>
        <v>0.497</v>
      </c>
      <c r="AY17" s="383">
        <f>IFERROR(IF(OR($AV$16="",$AV$16=0),0,ROUNDDOWN(AVERAGE($Q17,$S17,$U17,$Y17,$AA17,$AC17,$AG17,$AI17,$AK17),3)),0)</f>
        <v>0.33100000000000002</v>
      </c>
      <c r="AZ17" s="383">
        <f t="shared" si="0"/>
        <v>0.248</v>
      </c>
      <c r="BA17" s="385">
        <f t="shared" ref="BA17" si="5">(IF(AND(AW17&gt;0,$AV17&gt;0),AW17/$AV17,0))*0.25</f>
        <v>0.25618556701030926</v>
      </c>
      <c r="BB17" s="385">
        <f t="shared" ref="BB17" si="6">(IF(AND(AX17&gt;0,$AV17&gt;0),AX17/$AV17,0))*0.5</f>
        <v>0.25618556701030926</v>
      </c>
      <c r="BC17" s="385">
        <f t="shared" ref="BC17" si="7">(IF(AND(AY17&gt;0,$AV17&gt;0),AY17/$AV17,0))*0.75</f>
        <v>0.25592783505154637</v>
      </c>
      <c r="BD17" s="385">
        <f t="shared" ref="BD17" si="8">(IF(AND(AZ17&gt;0,$AV17&gt;0),AZ17/$AV17,0))*1</f>
        <v>0.25567010309278349</v>
      </c>
      <c r="BE17" s="394">
        <f t="shared" si="1"/>
        <v>6.4046391752577314E-2</v>
      </c>
      <c r="BF17" s="395">
        <f t="shared" si="2"/>
        <v>6.4046391752577314E-2</v>
      </c>
      <c r="BG17" s="395">
        <f t="shared" si="3"/>
        <v>6.3981958762886593E-2</v>
      </c>
      <c r="BH17" s="395">
        <f t="shared" si="4"/>
        <v>6.3917525773195871E-2</v>
      </c>
    </row>
    <row r="18" spans="2:60" ht="184.8">
      <c r="B18" s="1034"/>
      <c r="C18" s="1034"/>
      <c r="D18" s="31" t="str">
        <f>+'01-FR-03 POA INSTITUCIONAL'!D64</f>
        <v xml:space="preserve">4.3.3 Lograr el 90 % de usuarios internos  satisfechos con las solicitudes de servicios atendidas de la SGTH (Certificaciones laborales, bonos pensionales y autorizaciones de retiro de cesantías). </v>
      </c>
      <c r="E18" s="52">
        <f>+'01-FR-03 POA INSTITUCIONAL'!E64</f>
        <v>0.1</v>
      </c>
      <c r="F18" s="52">
        <f>+'01-FR-03 POA INSTITUCIONAL'!F64</f>
        <v>0.9</v>
      </c>
      <c r="G18" s="52">
        <f>+'01-FR-03 POA INSTITUCIONAL'!K64</f>
        <v>0.9</v>
      </c>
      <c r="H18" s="52" t="str">
        <f>+'01-FR-03 POA INSTITUCIONAL'!G64</f>
        <v>S.I.</v>
      </c>
      <c r="I18" s="140" t="str">
        <f>+'01-FR-03 POA INSTITUCIONAL'!H64</f>
        <v>Porcentaje de Usuarios internos satisfechos con las solicitudes de los servicios atendidas de la SGTH (Certificaciones laborales, bonos pensionales y autorizaciones de retiro de cesantías)</v>
      </c>
      <c r="J18" s="218" t="s">
        <v>467</v>
      </c>
      <c r="K18" s="291" t="s">
        <v>468</v>
      </c>
      <c r="L18" s="192" t="s">
        <v>469</v>
      </c>
      <c r="M18" s="221" t="s">
        <v>461</v>
      </c>
      <c r="N18" s="221" t="s">
        <v>462</v>
      </c>
      <c r="O18" s="541" t="str">
        <f>+'01-FR-03 POA INSTITUCIONAL'!J64</f>
        <v>Dependencia Líder: 
Dirección de Talento Humano
Dependencia Operativa:
Subdirección de Gestión del Talento Humano</v>
      </c>
      <c r="P18" s="273">
        <v>0</v>
      </c>
      <c r="Q18" s="352">
        <v>0</v>
      </c>
      <c r="R18" s="145">
        <v>0</v>
      </c>
      <c r="S18" s="352">
        <v>0</v>
      </c>
      <c r="T18" s="145">
        <v>0</v>
      </c>
      <c r="U18" s="352">
        <v>0</v>
      </c>
      <c r="V18" s="66">
        <f>IFERROR(AVERAGE(P18,R18,T18),0)</f>
        <v>0</v>
      </c>
      <c r="W18" s="66">
        <f>IFERROR(AVERAGE(Q18,S18,U18),0)</f>
        <v>0</v>
      </c>
      <c r="X18" s="145">
        <v>0.9</v>
      </c>
      <c r="Y18" s="403">
        <v>0</v>
      </c>
      <c r="Z18" s="145">
        <v>0.9</v>
      </c>
      <c r="AA18" s="403">
        <v>0</v>
      </c>
      <c r="AB18" s="145">
        <v>0.9</v>
      </c>
      <c r="AC18" s="403">
        <v>0</v>
      </c>
      <c r="AD18" s="66">
        <f>AVERAGE(X18,Z18,AB18)</f>
        <v>0.9</v>
      </c>
      <c r="AE18" s="66">
        <f>IFERROR(AVERAGE(Y18,AA18,AC18),0)</f>
        <v>0</v>
      </c>
      <c r="AF18" s="145">
        <v>0.9</v>
      </c>
      <c r="AG18" s="403">
        <v>0</v>
      </c>
      <c r="AH18" s="145">
        <v>0.9</v>
      </c>
      <c r="AI18" s="403">
        <v>0</v>
      </c>
      <c r="AJ18" s="145">
        <v>0.9</v>
      </c>
      <c r="AK18" s="404">
        <v>0</v>
      </c>
      <c r="AL18" s="66">
        <f>AVERAGE(AF18,AH18,AJ18)</f>
        <v>0.9</v>
      </c>
      <c r="AM18" s="66">
        <f>IFERROR(AVERAGE(AG18,AI18,AK18),0)</f>
        <v>0</v>
      </c>
      <c r="AN18" s="145">
        <v>0.9</v>
      </c>
      <c r="AO18" s="403">
        <v>0</v>
      </c>
      <c r="AP18" s="145">
        <v>0.9</v>
      </c>
      <c r="AQ18" s="403">
        <v>0</v>
      </c>
      <c r="AR18" s="145">
        <v>0.9</v>
      </c>
      <c r="AS18" s="403">
        <v>0</v>
      </c>
      <c r="AT18" s="66">
        <f>AVERAGE(AN18,AP18,AR18)</f>
        <v>0.9</v>
      </c>
      <c r="AU18" s="66">
        <f>IFERROR(AVERAGE(AO18,AQ18,AS18),0)</f>
        <v>0</v>
      </c>
      <c r="AV18" s="66">
        <f>AVERAGE(P18,R18,T18,X18,Z18,AB18,AF18,AH18,AJ18,AN18,AP18,AR18)</f>
        <v>0.67500000000000016</v>
      </c>
      <c r="AW18" s="337">
        <f>IFERROR(IF(OR($AV$16="",$AV$16=0),0,ROUNDDOWN(AVERAGE($Q18,$S18,$U18),3)),0)</f>
        <v>0</v>
      </c>
      <c r="AX18" s="383">
        <f>IFERROR(IF(OR($AV$17="",$AV$17=0),0,ROUNDDOWN(AVERAGE($Q18,$S18,$U18,$Y18,$AA18,$AC18),3)),0)</f>
        <v>0</v>
      </c>
      <c r="AY18" s="383">
        <f>IFERROR(IF(OR($AV$16="",$AV$16=0),0,ROUNDDOWN(AVERAGE($Q18,$S18,$U18,$Y18,$AA18,$AC18,$AG18,$AI18,$AK18),3)),0)</f>
        <v>0</v>
      </c>
      <c r="AZ18" s="383">
        <f t="shared" si="0"/>
        <v>0</v>
      </c>
      <c r="BA18" s="385">
        <f t="shared" ref="BA18" si="9">(IF(AND(AW18&gt;0,$AV18&gt;0),AW18/$AV18,0))*0.25</f>
        <v>0</v>
      </c>
      <c r="BB18" s="385">
        <f t="shared" ref="BB18" si="10">(IF(AND(AX18&gt;0,$AV18&gt;0),AX18/$AV18,0))*0.5</f>
        <v>0</v>
      </c>
      <c r="BC18" s="385">
        <f t="shared" ref="BC18" si="11">(IF(AND(AY18&gt;0,$AV18&gt;0),AY18/$AV18,0))*0.75</f>
        <v>0</v>
      </c>
      <c r="BD18" s="385">
        <f t="shared" ref="BD18" si="12">(IF(AND(AZ18&gt;0,$AV18&gt;0),AZ18/$AV18,0))*1</f>
        <v>0</v>
      </c>
      <c r="BE18" s="394">
        <f t="shared" si="1"/>
        <v>0</v>
      </c>
      <c r="BF18" s="395">
        <f t="shared" si="2"/>
        <v>0</v>
      </c>
      <c r="BG18" s="395">
        <f t="shared" si="3"/>
        <v>0</v>
      </c>
      <c r="BH18" s="395">
        <f t="shared" si="4"/>
        <v>0</v>
      </c>
    </row>
    <row r="19" spans="2:60" ht="199.2" customHeight="1">
      <c r="B19" s="1034"/>
      <c r="C19" s="1034"/>
      <c r="D19" s="31" t="str">
        <f>+'01-FR-03 POA INSTITUCIONAL'!D65</f>
        <v xml:space="preserve">4.3.4 Formular e implementar el 100% del Plan Institucional de Capacitación de la vigencia.
</v>
      </c>
      <c r="E19" s="52">
        <f>+'01-FR-03 POA INSTITUCIONAL'!E65</f>
        <v>0.15</v>
      </c>
      <c r="F19" s="52">
        <f>+'01-FR-03 POA INSTITUCIONAL'!F65</f>
        <v>1</v>
      </c>
      <c r="G19" s="52">
        <f>+'01-FR-03 POA INSTITUCIONAL'!K65</f>
        <v>1</v>
      </c>
      <c r="H19" s="52">
        <f>+'01-FR-03 POA INSTITUCIONAL'!G65</f>
        <v>1</v>
      </c>
      <c r="I19" s="140" t="str">
        <f>+'01-FR-03 POA INSTITUCIONAL'!H65</f>
        <v>Plan Institucional de Capacitación formulado y ejecutado</v>
      </c>
      <c r="J19" s="293" t="s">
        <v>482</v>
      </c>
      <c r="K19" s="294" t="s">
        <v>470</v>
      </c>
      <c r="L19" s="241" t="s">
        <v>471</v>
      </c>
      <c r="M19" s="221" t="s">
        <v>487</v>
      </c>
      <c r="N19" s="221" t="s">
        <v>472</v>
      </c>
      <c r="O19" s="541" t="str">
        <f>+'01-FR-03 POA INSTITUCIONAL'!J65</f>
        <v>Dependencia Líder: 
Dirección de Talento Humano
Dependencia Operativa:
Subdirección de Desarrollo del Talento Humano</v>
      </c>
      <c r="P19" s="295">
        <v>0.1</v>
      </c>
      <c r="Q19" s="359">
        <v>0.1</v>
      </c>
      <c r="R19" s="359">
        <v>0.114</v>
      </c>
      <c r="S19" s="352">
        <v>0.1</v>
      </c>
      <c r="T19" s="352">
        <v>2.7E-2</v>
      </c>
      <c r="U19" s="352">
        <v>4.1000000000000002E-2</v>
      </c>
      <c r="V19" s="357">
        <f>+P19+R19+T19</f>
        <v>0.24100000000000002</v>
      </c>
      <c r="W19" s="357">
        <f>+Q19+S19+U19</f>
        <v>0.24100000000000002</v>
      </c>
      <c r="X19" s="356">
        <v>0.11</v>
      </c>
      <c r="Y19" s="352"/>
      <c r="Z19" s="356">
        <v>9.6000000000000002E-2</v>
      </c>
      <c r="AA19" s="352"/>
      <c r="AB19" s="356">
        <v>6.9000000000000006E-2</v>
      </c>
      <c r="AC19" s="352"/>
      <c r="AD19" s="353">
        <f>+X19+Z19+AB19</f>
        <v>0.27500000000000002</v>
      </c>
      <c r="AE19" s="353">
        <f>+Y19+AA19+AC19</f>
        <v>0</v>
      </c>
      <c r="AF19" s="352">
        <v>6.9000000000000006E-2</v>
      </c>
      <c r="AG19" s="352"/>
      <c r="AH19" s="352">
        <v>5.5E-2</v>
      </c>
      <c r="AI19" s="352"/>
      <c r="AJ19" s="360">
        <v>4.1000000000000002E-2</v>
      </c>
      <c r="AK19" s="360"/>
      <c r="AL19" s="353">
        <f>+AF19+AH19+AJ19</f>
        <v>0.16500000000000001</v>
      </c>
      <c r="AM19" s="353">
        <f>+AG19+AI19+AK19</f>
        <v>0</v>
      </c>
      <c r="AN19" s="457">
        <v>0.16450000000000001</v>
      </c>
      <c r="AO19" s="356"/>
      <c r="AP19" s="457">
        <v>5.45E-2</v>
      </c>
      <c r="AQ19" s="356"/>
      <c r="AR19" s="352">
        <v>0.1</v>
      </c>
      <c r="AS19" s="352"/>
      <c r="AT19" s="353">
        <f>+AN19+AP19+AR19</f>
        <v>0.31900000000000001</v>
      </c>
      <c r="AU19" s="353">
        <f>+AO19+AQ19+AS19</f>
        <v>0</v>
      </c>
      <c r="AV19" s="357">
        <f t="shared" ref="AV19:AV22" si="13">V19+AD19+AL19+AT19</f>
        <v>1</v>
      </c>
      <c r="AW19" s="337">
        <f t="shared" ref="AW19:AW22" si="14">+W19</f>
        <v>0.24100000000000002</v>
      </c>
      <c r="AX19" s="337">
        <f t="shared" ref="AX19:AX22" si="15">+W19+AE19</f>
        <v>0.24100000000000002</v>
      </c>
      <c r="AY19" s="337">
        <f t="shared" ref="AY19:AY22" si="16">+W19+AE19+AM19</f>
        <v>0.24100000000000002</v>
      </c>
      <c r="AZ19" s="337">
        <f t="shared" ref="AZ19:AZ22" si="17">+W19+AE19+AM19+AU19</f>
        <v>0.24100000000000002</v>
      </c>
      <c r="BA19" s="385">
        <f t="shared" ref="BA19:BA23" si="18">IF(AND(AW19&gt;0,AV19&gt;0),AW19/AV19,0)</f>
        <v>0.24100000000000002</v>
      </c>
      <c r="BB19" s="385">
        <f t="shared" ref="BB19:BD23" si="19">IF(AND(AX19&gt;0,$AV19&gt;0),AX19/$AV19,0)</f>
        <v>0.24100000000000002</v>
      </c>
      <c r="BC19" s="385">
        <f t="shared" si="19"/>
        <v>0.24100000000000002</v>
      </c>
      <c r="BD19" s="447">
        <f t="shared" si="19"/>
        <v>0.24100000000000002</v>
      </c>
      <c r="BE19" s="394">
        <f>((IF(AND(AW19&gt;0,$F19&gt;0),AW19/$F19,0))/4)</f>
        <v>6.0250000000000005E-2</v>
      </c>
      <c r="BF19" s="394">
        <f t="shared" ref="BF19:BG19" si="20">((IF(AND(AX19&gt;0,$F19&gt;0),AX19/$F19,0))/4)</f>
        <v>6.0250000000000005E-2</v>
      </c>
      <c r="BG19" s="394">
        <f t="shared" si="20"/>
        <v>6.0250000000000005E-2</v>
      </c>
      <c r="BH19" s="394">
        <f t="shared" si="4"/>
        <v>6.0250000000000005E-2</v>
      </c>
    </row>
    <row r="20" spans="2:60" ht="158.4">
      <c r="B20" s="1034"/>
      <c r="C20" s="1034"/>
      <c r="D20" s="31" t="str">
        <f>+'01-FR-03 POA INSTITUCIONAL'!D66</f>
        <v>4.3.5 Formular e implementar el 100% del Plan Institucional de Bienestar de la vigencia .</v>
      </c>
      <c r="E20" s="52">
        <f>+'01-FR-03 POA INSTITUCIONAL'!E66</f>
        <v>0.15</v>
      </c>
      <c r="F20" s="52">
        <f>+'01-FR-03 POA INSTITUCIONAL'!F66</f>
        <v>1</v>
      </c>
      <c r="G20" s="52">
        <f>+'01-FR-03 POA INSTITUCIONAL'!K66</f>
        <v>1</v>
      </c>
      <c r="H20" s="52">
        <f>+'01-FR-03 POA INSTITUCIONAL'!G66</f>
        <v>1</v>
      </c>
      <c r="I20" s="140" t="str">
        <f>+'01-FR-03 POA INSTITUCIONAL'!H66</f>
        <v>Plan Institucional de Bienestar formulado y ejecutado</v>
      </c>
      <c r="J20" s="293" t="s">
        <v>483</v>
      </c>
      <c r="K20" s="296" t="s">
        <v>473</v>
      </c>
      <c r="L20" s="241" t="s">
        <v>474</v>
      </c>
      <c r="M20" s="221" t="s">
        <v>487</v>
      </c>
      <c r="N20" s="221" t="s">
        <v>472</v>
      </c>
      <c r="O20" s="541" t="str">
        <f>+'01-FR-03 POA INSTITUCIONAL'!J66</f>
        <v>Dependencia Líder: 
Dirección de Talento Humano
Dependencia Operativa:
Subdirección de Desarrollo del Talento Humano</v>
      </c>
      <c r="P20" s="354">
        <v>0.1</v>
      </c>
      <c r="Q20" s="355">
        <v>0.1</v>
      </c>
      <c r="R20" s="355">
        <v>0.15</v>
      </c>
      <c r="S20" s="356">
        <v>0.15</v>
      </c>
      <c r="T20" s="356">
        <v>5.8000000000000003E-2</v>
      </c>
      <c r="U20" s="356">
        <v>5.8000000000000003E-2</v>
      </c>
      <c r="V20" s="357">
        <f t="shared" ref="V20:V22" si="21">+P20+R20+T20</f>
        <v>0.308</v>
      </c>
      <c r="W20" s="357">
        <f t="shared" ref="W20:W22" si="22">+Q20+S20+U20</f>
        <v>0.308</v>
      </c>
      <c r="X20" s="356">
        <v>5.8000000000000003E-2</v>
      </c>
      <c r="Y20" s="356"/>
      <c r="Z20" s="356">
        <v>5.8000000000000003E-2</v>
      </c>
      <c r="AA20" s="356"/>
      <c r="AB20" s="356">
        <v>7.0999999999999994E-2</v>
      </c>
      <c r="AC20" s="356"/>
      <c r="AD20" s="357">
        <f t="shared" ref="AD20:AD22" si="23">+X20+Z20+AB20</f>
        <v>0.187</v>
      </c>
      <c r="AE20" s="357">
        <f t="shared" ref="AE20:AE22" si="24">+Y20+AA20+AC20</f>
        <v>0</v>
      </c>
      <c r="AF20" s="356">
        <v>6.7000000000000004E-2</v>
      </c>
      <c r="AG20" s="356"/>
      <c r="AH20" s="356">
        <v>6.3E-2</v>
      </c>
      <c r="AI20" s="356"/>
      <c r="AJ20" s="358">
        <v>6.7000000000000004E-2</v>
      </c>
      <c r="AK20" s="358"/>
      <c r="AL20" s="357">
        <f t="shared" ref="AL20:AL22" si="25">+AF20+AH20+AJ20</f>
        <v>0.19700000000000001</v>
      </c>
      <c r="AM20" s="357">
        <f t="shared" ref="AM20:AM22" si="26">+AG20+AI20+AK20</f>
        <v>0</v>
      </c>
      <c r="AN20" s="356">
        <v>7.4999999999999997E-2</v>
      </c>
      <c r="AO20" s="356"/>
      <c r="AP20" s="356">
        <v>5.8000000000000003E-2</v>
      </c>
      <c r="AQ20" s="356"/>
      <c r="AR20" s="356">
        <v>0.17499999999999999</v>
      </c>
      <c r="AS20" s="356"/>
      <c r="AT20" s="357">
        <f t="shared" ref="AT20:AT22" si="27">+AN20+AP20+AR20</f>
        <v>0.308</v>
      </c>
      <c r="AU20" s="357">
        <f t="shared" ref="AU20:AU22" si="28">+AO20+AQ20+AS20</f>
        <v>0</v>
      </c>
      <c r="AV20" s="357">
        <f t="shared" si="13"/>
        <v>1</v>
      </c>
      <c r="AW20" s="337">
        <f t="shared" si="14"/>
        <v>0.308</v>
      </c>
      <c r="AX20" s="383">
        <f t="shared" si="15"/>
        <v>0.308</v>
      </c>
      <c r="AY20" s="383">
        <f t="shared" si="16"/>
        <v>0.308</v>
      </c>
      <c r="AZ20" s="383">
        <f t="shared" si="17"/>
        <v>0.308</v>
      </c>
      <c r="BA20" s="385">
        <f t="shared" si="18"/>
        <v>0.308</v>
      </c>
      <c r="BB20" s="385">
        <f t="shared" si="19"/>
        <v>0.308</v>
      </c>
      <c r="BC20" s="385">
        <f t="shared" si="19"/>
        <v>0.308</v>
      </c>
      <c r="BD20" s="385">
        <f t="shared" si="19"/>
        <v>0.308</v>
      </c>
      <c r="BE20" s="394">
        <f t="shared" ref="BE20:BE22" si="29">((IF(AND(AW20&gt;0,$F20&gt;0),AW20/$F20,0))/4)</f>
        <v>7.6999999999999999E-2</v>
      </c>
      <c r="BF20" s="394">
        <f t="shared" ref="BF20:BF22" si="30">((IF(AND(AX20&gt;0,$F20&gt;0),AX20/$F20,0))/4)</f>
        <v>7.6999999999999999E-2</v>
      </c>
      <c r="BG20" s="394">
        <f t="shared" ref="BG20:BG22" si="31">((IF(AND(AY20&gt;0,$F20&gt;0),AY20/$F20,0))/4)</f>
        <v>7.6999999999999999E-2</v>
      </c>
      <c r="BH20" s="394">
        <f t="shared" ref="BH20:BH22" si="32">((IF(AND(AZ20&gt;0,$F20&gt;0),AZ20/$F20,0))/4)</f>
        <v>7.6999999999999999E-2</v>
      </c>
    </row>
    <row r="21" spans="2:60" ht="156.6" customHeight="1">
      <c r="B21" s="1034"/>
      <c r="C21" s="1034"/>
      <c r="D21" s="31" t="str">
        <f>+'01-FR-03 POA INSTITUCIONAL'!D67</f>
        <v>4.3.6 Formular e implementar el 100% del Plan Institucional de Incentivos de la vigencia.</v>
      </c>
      <c r="E21" s="52">
        <f>+'01-FR-03 POA INSTITUCIONAL'!E67</f>
        <v>0.15</v>
      </c>
      <c r="F21" s="52">
        <f>+'01-FR-03 POA INSTITUCIONAL'!F67</f>
        <v>1</v>
      </c>
      <c r="G21" s="52">
        <f>+'01-FR-03 POA INSTITUCIONAL'!K67</f>
        <v>1</v>
      </c>
      <c r="H21" s="52">
        <f>+'01-FR-03 POA INSTITUCIONAL'!G67</f>
        <v>1</v>
      </c>
      <c r="I21" s="140" t="str">
        <f>+'01-FR-03 POA INSTITUCIONAL'!H67</f>
        <v>Plan Institucional de Incentivos formulado y ejecutado</v>
      </c>
      <c r="J21" s="293" t="s">
        <v>484</v>
      </c>
      <c r="K21" s="296" t="s">
        <v>475</v>
      </c>
      <c r="L21" s="241" t="s">
        <v>474</v>
      </c>
      <c r="M21" s="221" t="s">
        <v>487</v>
      </c>
      <c r="N21" s="221" t="s">
        <v>472</v>
      </c>
      <c r="O21" s="541" t="str">
        <f>+'01-FR-03 POA INSTITUCIONAL'!J67</f>
        <v>Dependencia Líder: 
Dirección de Talento Humano
Dependencia Operativa:
Subdirección de Desarrollo del Talento Humano</v>
      </c>
      <c r="P21" s="354">
        <v>0.1</v>
      </c>
      <c r="Q21" s="355">
        <v>0.1</v>
      </c>
      <c r="R21" s="355">
        <v>0.14799999999999999</v>
      </c>
      <c r="S21" s="356">
        <v>0.1</v>
      </c>
      <c r="T21" s="356">
        <v>1.6E-2</v>
      </c>
      <c r="U21" s="356">
        <v>4.8000000000000001E-2</v>
      </c>
      <c r="V21" s="357">
        <f t="shared" si="21"/>
        <v>0.26400000000000001</v>
      </c>
      <c r="W21" s="357">
        <f t="shared" si="22"/>
        <v>0.248</v>
      </c>
      <c r="X21" s="356">
        <v>1.6E-2</v>
      </c>
      <c r="Y21" s="356"/>
      <c r="Z21" s="356">
        <v>0.111</v>
      </c>
      <c r="AA21" s="356"/>
      <c r="AB21" s="356">
        <v>4.8000000000000001E-2</v>
      </c>
      <c r="AC21" s="356"/>
      <c r="AD21" s="357">
        <f t="shared" si="23"/>
        <v>0.17499999999999999</v>
      </c>
      <c r="AE21" s="357">
        <f t="shared" si="24"/>
        <v>0</v>
      </c>
      <c r="AF21" s="356">
        <v>1.6E-2</v>
      </c>
      <c r="AG21" s="356"/>
      <c r="AH21" s="356">
        <v>9.5000000000000001E-2</v>
      </c>
      <c r="AI21" s="356"/>
      <c r="AJ21" s="358">
        <v>1.6E-2</v>
      </c>
      <c r="AK21" s="358"/>
      <c r="AL21" s="357">
        <f t="shared" si="25"/>
        <v>0.127</v>
      </c>
      <c r="AM21" s="357">
        <f t="shared" si="26"/>
        <v>0</v>
      </c>
      <c r="AN21" s="356">
        <v>9.5000000000000001E-2</v>
      </c>
      <c r="AO21" s="356"/>
      <c r="AP21" s="356">
        <v>0.127</v>
      </c>
      <c r="AQ21" s="356"/>
      <c r="AR21" s="356">
        <v>0.21099999999999999</v>
      </c>
      <c r="AS21" s="356"/>
      <c r="AT21" s="357">
        <f t="shared" si="27"/>
        <v>0.433</v>
      </c>
      <c r="AU21" s="357">
        <f t="shared" si="28"/>
        <v>0</v>
      </c>
      <c r="AV21" s="357">
        <f t="shared" si="13"/>
        <v>0.99900000000000011</v>
      </c>
      <c r="AW21" s="337">
        <f t="shared" si="14"/>
        <v>0.248</v>
      </c>
      <c r="AX21" s="383">
        <f t="shared" si="15"/>
        <v>0.248</v>
      </c>
      <c r="AY21" s="383">
        <f t="shared" si="16"/>
        <v>0.248</v>
      </c>
      <c r="AZ21" s="383">
        <f t="shared" si="17"/>
        <v>0.248</v>
      </c>
      <c r="BA21" s="385">
        <f t="shared" si="18"/>
        <v>0.24824824824824823</v>
      </c>
      <c r="BB21" s="385">
        <f t="shared" si="19"/>
        <v>0.24824824824824823</v>
      </c>
      <c r="BC21" s="385">
        <f t="shared" si="19"/>
        <v>0.24824824824824823</v>
      </c>
      <c r="BD21" s="385">
        <f t="shared" si="19"/>
        <v>0.24824824824824823</v>
      </c>
      <c r="BE21" s="394">
        <f t="shared" si="29"/>
        <v>6.2E-2</v>
      </c>
      <c r="BF21" s="394">
        <f t="shared" si="30"/>
        <v>6.2E-2</v>
      </c>
      <c r="BG21" s="394">
        <f t="shared" si="31"/>
        <v>6.2E-2</v>
      </c>
      <c r="BH21" s="394">
        <f t="shared" si="32"/>
        <v>6.2E-2</v>
      </c>
    </row>
    <row r="22" spans="2:60" ht="174" customHeight="1">
      <c r="B22" s="1034"/>
      <c r="C22" s="1034"/>
      <c r="D22" s="31" t="str">
        <f>+'01-FR-03 POA INSTITUCIONAL'!D68</f>
        <v>4.3.7 Diseñar e implementar el 100 % del Plan Anual de Trabajo del Sistema de Gestión de Seguridad y Salud en el Trabajo SG-SST de la vigencia.</v>
      </c>
      <c r="E22" s="52">
        <f>+'01-FR-03 POA INSTITUCIONAL'!E68</f>
        <v>0.15</v>
      </c>
      <c r="F22" s="52">
        <f>+'01-FR-03 POA INSTITUCIONAL'!F68</f>
        <v>1</v>
      </c>
      <c r="G22" s="52">
        <f>+'01-FR-03 POA INSTITUCIONAL'!K68</f>
        <v>1</v>
      </c>
      <c r="H22" s="52">
        <f>+'01-FR-03 POA INSTITUCIONAL'!G68</f>
        <v>0.99</v>
      </c>
      <c r="I22" s="140" t="str">
        <f>+'01-FR-03 POA INSTITUCIONAL'!H68</f>
        <v>Plan Anual de Trabajo del Sistema de Gestión de Seguridad y Salud en el Trabajo SG-SST diseñado y ejecutado</v>
      </c>
      <c r="J22" s="293" t="s">
        <v>485</v>
      </c>
      <c r="K22" s="296" t="s">
        <v>476</v>
      </c>
      <c r="L22" s="241" t="s">
        <v>477</v>
      </c>
      <c r="M22" s="221" t="s">
        <v>487</v>
      </c>
      <c r="N22" s="221" t="s">
        <v>472</v>
      </c>
      <c r="O22" s="541" t="str">
        <f>+'01-FR-03 POA INSTITUCIONAL'!J68</f>
        <v>Dependencia Líder: 
Dirección de Talento Humano
Dependencia Operativa:
Subdirección de Desarrollo del Talento Humano</v>
      </c>
      <c r="P22" s="354">
        <v>0.14799999999999999</v>
      </c>
      <c r="Q22" s="355">
        <v>0.14399999999999999</v>
      </c>
      <c r="R22" s="355">
        <v>0.15225</v>
      </c>
      <c r="S22" s="356">
        <v>0.14399999999999999</v>
      </c>
      <c r="T22" s="356">
        <v>8.8999999999999996E-2</v>
      </c>
      <c r="U22" s="356">
        <v>9.6000000000000002E-2</v>
      </c>
      <c r="V22" s="357">
        <f t="shared" si="21"/>
        <v>0.38924999999999998</v>
      </c>
      <c r="W22" s="357">
        <f t="shared" si="22"/>
        <v>0.38400000000000001</v>
      </c>
      <c r="X22" s="356">
        <v>3.2250000000000001E-2</v>
      </c>
      <c r="Y22" s="356"/>
      <c r="Z22" s="356">
        <v>1.6E-2</v>
      </c>
      <c r="AA22" s="356"/>
      <c r="AB22" s="356">
        <v>9.2999999999999999E-2</v>
      </c>
      <c r="AC22" s="356"/>
      <c r="AD22" s="357">
        <f t="shared" si="23"/>
        <v>0.14124999999999999</v>
      </c>
      <c r="AE22" s="357">
        <f t="shared" si="24"/>
        <v>0</v>
      </c>
      <c r="AF22" s="356">
        <v>3.2250000000000001E-2</v>
      </c>
      <c r="AG22" s="356"/>
      <c r="AH22" s="356">
        <v>2.8000000000000001E-2</v>
      </c>
      <c r="AI22" s="356"/>
      <c r="AJ22" s="358">
        <v>8.4000000000000005E-2</v>
      </c>
      <c r="AK22" s="358"/>
      <c r="AL22" s="357">
        <f t="shared" si="25"/>
        <v>0.14424999999999999</v>
      </c>
      <c r="AM22" s="357">
        <f t="shared" si="26"/>
        <v>0</v>
      </c>
      <c r="AN22" s="356">
        <v>3.2250000000000001E-2</v>
      </c>
      <c r="AO22" s="356"/>
      <c r="AP22" s="356">
        <v>1.6E-2</v>
      </c>
      <c r="AQ22" s="356"/>
      <c r="AR22" s="356">
        <v>0.27700000000000002</v>
      </c>
      <c r="AS22" s="356"/>
      <c r="AT22" s="357">
        <f t="shared" si="27"/>
        <v>0.32525000000000004</v>
      </c>
      <c r="AU22" s="357">
        <f t="shared" si="28"/>
        <v>0</v>
      </c>
      <c r="AV22" s="357">
        <f t="shared" si="13"/>
        <v>1</v>
      </c>
      <c r="AW22" s="337">
        <f t="shared" si="14"/>
        <v>0.38400000000000001</v>
      </c>
      <c r="AX22" s="383">
        <f t="shared" si="15"/>
        <v>0.38400000000000001</v>
      </c>
      <c r="AY22" s="383">
        <f t="shared" si="16"/>
        <v>0.38400000000000001</v>
      </c>
      <c r="AZ22" s="383">
        <f t="shared" si="17"/>
        <v>0.38400000000000001</v>
      </c>
      <c r="BA22" s="385">
        <f t="shared" si="18"/>
        <v>0.38400000000000001</v>
      </c>
      <c r="BB22" s="385">
        <f t="shared" si="19"/>
        <v>0.38400000000000001</v>
      </c>
      <c r="BC22" s="385">
        <f t="shared" si="19"/>
        <v>0.38400000000000001</v>
      </c>
      <c r="BD22" s="385">
        <f t="shared" si="19"/>
        <v>0.38400000000000001</v>
      </c>
      <c r="BE22" s="394">
        <f t="shared" si="29"/>
        <v>9.6000000000000002E-2</v>
      </c>
      <c r="BF22" s="394">
        <f t="shared" si="30"/>
        <v>9.6000000000000002E-2</v>
      </c>
      <c r="BG22" s="394">
        <f t="shared" si="31"/>
        <v>9.6000000000000002E-2</v>
      </c>
      <c r="BH22" s="394">
        <f t="shared" si="32"/>
        <v>9.6000000000000002E-2</v>
      </c>
    </row>
    <row r="23" spans="2:60" ht="132">
      <c r="B23" s="1035"/>
      <c r="C23" s="1035"/>
      <c r="D23" s="31" t="str">
        <f>+'01-FR-03 POA INSTITUCIONAL'!D69</f>
        <v>4.3.8 Realizar 36 capacitaciones sobre los Sistemas de Gestión y Evaluación del Desempeño Laboral de la Entidad.</v>
      </c>
      <c r="E23" s="52">
        <f>+'01-FR-03 POA INSTITUCIONAL'!E69</f>
        <v>0.1</v>
      </c>
      <c r="F23" s="88">
        <f>+'01-FR-03 POA INSTITUCIONAL'!F69</f>
        <v>36</v>
      </c>
      <c r="G23" s="88">
        <f>+'01-FR-03 POA INSTITUCIONAL'!K69</f>
        <v>9</v>
      </c>
      <c r="H23" s="52" t="str">
        <f>+'01-FR-03 POA INSTITUCIONAL'!G69</f>
        <v>S.I.</v>
      </c>
      <c r="I23" s="140" t="str">
        <f>+'01-FR-03 POA INSTITUCIONAL'!H69</f>
        <v>Capacitaciones realizadas sobre los Sistemas de Gestión y Evaluación del Desempeño Laboral de la Personería de Bogotá, D.C.</v>
      </c>
      <c r="J23" s="218" t="s">
        <v>486</v>
      </c>
      <c r="K23" s="296" t="s">
        <v>478</v>
      </c>
      <c r="L23" s="241" t="s">
        <v>479</v>
      </c>
      <c r="M23" s="221" t="s">
        <v>488</v>
      </c>
      <c r="N23" s="221" t="s">
        <v>480</v>
      </c>
      <c r="O23" s="541" t="str">
        <f>+'01-FR-03 POA INSTITUCIONAL'!J69</f>
        <v>Dirección de Talento Humano</v>
      </c>
      <c r="P23" s="297">
        <v>0</v>
      </c>
      <c r="Q23" s="297">
        <v>0</v>
      </c>
      <c r="R23" s="297">
        <v>3</v>
      </c>
      <c r="S23" s="297">
        <v>3</v>
      </c>
      <c r="T23" s="297">
        <v>0</v>
      </c>
      <c r="U23" s="297">
        <v>0</v>
      </c>
      <c r="V23" s="90">
        <f>+P23+R23+T23</f>
        <v>3</v>
      </c>
      <c r="W23" s="90">
        <f>+Q23+S23+U23</f>
        <v>3</v>
      </c>
      <c r="X23" s="298">
        <v>0</v>
      </c>
      <c r="Y23" s="298"/>
      <c r="Z23" s="298">
        <v>0</v>
      </c>
      <c r="AA23" s="298"/>
      <c r="AB23" s="298">
        <v>0</v>
      </c>
      <c r="AC23" s="298"/>
      <c r="AD23" s="90">
        <f>+X23+Z23+AB23</f>
        <v>0</v>
      </c>
      <c r="AE23" s="90">
        <f>+Y23+AA23+AC23</f>
        <v>0</v>
      </c>
      <c r="AF23" s="299">
        <v>3</v>
      </c>
      <c r="AG23" s="299"/>
      <c r="AH23" s="299">
        <v>0</v>
      </c>
      <c r="AI23" s="299"/>
      <c r="AJ23" s="300">
        <v>0</v>
      </c>
      <c r="AK23" s="300"/>
      <c r="AL23" s="90">
        <f>+AF23+AH23+AJ23</f>
        <v>3</v>
      </c>
      <c r="AM23" s="90">
        <f>+AG23+AI23+AK23</f>
        <v>0</v>
      </c>
      <c r="AN23" s="301"/>
      <c r="AO23" s="301"/>
      <c r="AP23" s="301">
        <v>3</v>
      </c>
      <c r="AQ23" s="301"/>
      <c r="AR23" s="301"/>
      <c r="AS23" s="301"/>
      <c r="AT23" s="90">
        <f>+AN23+AP23+AR23</f>
        <v>3</v>
      </c>
      <c r="AU23" s="90">
        <f>+AO23+AQ23+AS23</f>
        <v>0</v>
      </c>
      <c r="AV23" s="302">
        <v>9</v>
      </c>
      <c r="AW23" s="81">
        <f>+W23</f>
        <v>3</v>
      </c>
      <c r="AX23" s="390">
        <f t="shared" ref="AX23" si="33">+W23+AE23</f>
        <v>3</v>
      </c>
      <c r="AY23" s="390">
        <f t="shared" ref="AY23" si="34">+W23+AE23+AM23</f>
        <v>3</v>
      </c>
      <c r="AZ23" s="390">
        <f t="shared" ref="AZ23" si="35">+W23+AE23+AM23+AU23</f>
        <v>3</v>
      </c>
      <c r="BA23" s="386">
        <f t="shared" si="18"/>
        <v>0.33333333333333331</v>
      </c>
      <c r="BB23" s="386">
        <f t="shared" si="19"/>
        <v>0.33333333333333331</v>
      </c>
      <c r="BC23" s="386">
        <f t="shared" si="19"/>
        <v>0.33333333333333331</v>
      </c>
      <c r="BD23" s="386">
        <f t="shared" si="19"/>
        <v>0.33333333333333331</v>
      </c>
      <c r="BE23" s="394">
        <f>(IF(AND(AW23&gt;0,$F23&gt;0),AW23/$F23,0))</f>
        <v>8.3333333333333329E-2</v>
      </c>
      <c r="BF23" s="401">
        <f t="shared" ref="BF23:BH23" si="36">(IF(AND(AX23&gt;0,$F23&gt;0),AX23/$F23,0))</f>
        <v>8.3333333333333329E-2</v>
      </c>
      <c r="BG23" s="401">
        <f t="shared" si="36"/>
        <v>8.3333333333333329E-2</v>
      </c>
      <c r="BH23" s="401">
        <f t="shared" si="36"/>
        <v>8.3333333333333329E-2</v>
      </c>
    </row>
    <row r="24" spans="2:60" ht="15.6">
      <c r="B24" s="1025"/>
      <c r="C24" s="1026"/>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1026"/>
      <c r="AB24" s="1026"/>
      <c r="AC24" s="1026"/>
      <c r="AD24" s="1026"/>
      <c r="AE24" s="1026"/>
      <c r="AF24" s="1026"/>
      <c r="AG24" s="1026"/>
      <c r="AH24" s="1026"/>
      <c r="AI24" s="1026"/>
      <c r="AJ24" s="1026"/>
      <c r="AK24" s="1026"/>
      <c r="AL24" s="1026"/>
      <c r="AM24" s="1026"/>
      <c r="AN24" s="1026"/>
      <c r="AO24" s="1026"/>
      <c r="AP24" s="1026"/>
      <c r="AQ24" s="1026"/>
      <c r="AR24" s="1026"/>
      <c r="AS24" s="1026"/>
      <c r="AT24" s="1026"/>
      <c r="AU24" s="1026"/>
      <c r="AV24" s="1026"/>
      <c r="AW24" s="1027"/>
      <c r="AX24" s="1049" t="s">
        <v>19</v>
      </c>
      <c r="AY24" s="1050"/>
      <c r="AZ24" s="1050"/>
      <c r="BA24" s="87">
        <f t="shared" ref="BA24:BD24" si="37">AVERAGE(BA17:BA23)</f>
        <v>0.25296673551312726</v>
      </c>
      <c r="BB24" s="87">
        <f t="shared" si="37"/>
        <v>0.25296673551312726</v>
      </c>
      <c r="BC24" s="87">
        <f t="shared" si="37"/>
        <v>0.25292991666187542</v>
      </c>
      <c r="BD24" s="87">
        <f t="shared" si="37"/>
        <v>0.25289309781062358</v>
      </c>
      <c r="BE24" s="1046"/>
      <c r="BF24" s="1047"/>
      <c r="BG24" s="1047"/>
      <c r="BH24" s="1048"/>
    </row>
    <row r="25" spans="2:60">
      <c r="B25" s="900" t="s">
        <v>291</v>
      </c>
      <c r="C25" s="900"/>
      <c r="D25" s="900"/>
      <c r="E25" s="900"/>
      <c r="F25" s="900"/>
      <c r="G25" s="900"/>
      <c r="H25" s="303"/>
      <c r="I25" s="304"/>
      <c r="J25" s="304"/>
      <c r="K25" s="304"/>
      <c r="L25" s="304"/>
      <c r="M25" s="304"/>
      <c r="N25" s="304"/>
      <c r="O25" s="304"/>
    </row>
    <row r="26" spans="2:60">
      <c r="B26" s="304"/>
      <c r="C26" s="304"/>
      <c r="D26" s="1032"/>
      <c r="E26" s="1032"/>
      <c r="F26" s="1032"/>
      <c r="G26" s="1032"/>
      <c r="H26" s="1032"/>
      <c r="I26" s="1032"/>
      <c r="J26" s="1032"/>
      <c r="K26" s="1032"/>
      <c r="L26" s="1032"/>
      <c r="M26" s="1032"/>
      <c r="N26" s="1032"/>
      <c r="O26" s="1032"/>
    </row>
    <row r="27" spans="2:60" ht="15.6" customHeight="1">
      <c r="B27" s="77" t="s">
        <v>26</v>
      </c>
      <c r="C27" s="249">
        <v>44224</v>
      </c>
      <c r="D27" s="250"/>
      <c r="E27" s="932" t="s">
        <v>50</v>
      </c>
      <c r="F27" s="1011" t="s">
        <v>731</v>
      </c>
      <c r="G27" s="1012"/>
      <c r="H27" s="1012"/>
      <c r="I27" s="1012"/>
      <c r="J27" s="1013"/>
      <c r="K27" s="251"/>
      <c r="L27" s="938"/>
      <c r="M27" s="938"/>
      <c r="N27" s="938"/>
      <c r="O27" s="939"/>
    </row>
    <row r="28" spans="2:60" ht="15.6">
      <c r="B28" s="304"/>
      <c r="C28" s="304"/>
      <c r="D28" s="251"/>
      <c r="E28" s="932"/>
      <c r="F28" s="1014"/>
      <c r="G28" s="1015"/>
      <c r="H28" s="1015"/>
      <c r="I28" s="1015"/>
      <c r="J28" s="1016"/>
      <c r="K28" s="304"/>
      <c r="L28" s="304"/>
      <c r="M28" s="304"/>
      <c r="N28" s="304"/>
      <c r="O28" s="304"/>
    </row>
    <row r="29" spans="2:60" ht="15.6">
      <c r="B29" s="77" t="s">
        <v>49</v>
      </c>
      <c r="C29" s="249"/>
      <c r="D29" s="304"/>
      <c r="E29" s="304"/>
      <c r="F29" s="371"/>
      <c r="K29" s="304"/>
      <c r="L29" s="304"/>
      <c r="M29" s="304"/>
      <c r="N29" s="304"/>
      <c r="O29" s="304"/>
    </row>
    <row r="30" spans="2:60">
      <c r="B30" s="304"/>
      <c r="C30" s="304"/>
      <c r="D30" s="304"/>
      <c r="E30" s="304"/>
      <c r="F30" s="371"/>
      <c r="K30" s="304"/>
      <c r="L30" s="304"/>
      <c r="M30" s="304"/>
      <c r="N30" s="304"/>
      <c r="O30" s="304"/>
    </row>
    <row r="31" spans="2:60">
      <c r="B31" s="304"/>
      <c r="C31" s="304"/>
      <c r="D31" s="304"/>
      <c r="E31" s="304"/>
      <c r="F31" s="371"/>
      <c r="G31" s="303"/>
      <c r="H31" s="303"/>
      <c r="I31" s="938"/>
      <c r="J31" s="938"/>
      <c r="K31" s="938"/>
      <c r="L31" s="938"/>
      <c r="M31" s="238"/>
      <c r="N31" s="238"/>
      <c r="O31" s="238"/>
    </row>
    <row r="32" spans="2:60">
      <c r="B32" s="304"/>
      <c r="C32" s="304"/>
      <c r="D32" s="304"/>
      <c r="E32" s="304"/>
      <c r="F32" s="371"/>
      <c r="G32" s="303"/>
      <c r="H32" s="303"/>
      <c r="I32" s="304"/>
      <c r="J32" s="304"/>
      <c r="K32" s="305"/>
      <c r="L32" s="304"/>
      <c r="M32" s="304"/>
      <c r="N32" s="304"/>
      <c r="O32" s="304"/>
    </row>
    <row r="33" spans="2:15">
      <c r="B33" s="304"/>
      <c r="C33" s="304"/>
      <c r="D33" s="304"/>
      <c r="E33" s="304"/>
      <c r="F33" s="371"/>
      <c r="G33" s="303"/>
      <c r="H33" s="303"/>
      <c r="I33" s="938"/>
      <c r="J33" s="938"/>
      <c r="K33" s="938"/>
      <c r="L33" s="938"/>
      <c r="M33" s="238"/>
      <c r="N33" s="238"/>
      <c r="O33" s="238"/>
    </row>
    <row r="34" spans="2:15">
      <c r="B34" s="304"/>
      <c r="C34" s="304"/>
      <c r="D34" s="304"/>
      <c r="E34" s="304"/>
      <c r="F34" s="371"/>
      <c r="G34" s="303"/>
      <c r="H34" s="303"/>
      <c r="I34" s="304"/>
      <c r="J34" s="304"/>
      <c r="K34" s="305"/>
      <c r="L34" s="304"/>
      <c r="M34" s="304"/>
      <c r="N34" s="304"/>
      <c r="O34" s="304"/>
    </row>
    <row r="35" spans="2:15">
      <c r="B35" s="304"/>
      <c r="C35" s="304"/>
      <c r="D35" s="304"/>
      <c r="E35" s="304"/>
      <c r="F35" s="371"/>
      <c r="G35" s="303"/>
      <c r="H35" s="303"/>
      <c r="I35" s="938"/>
      <c r="J35" s="938"/>
      <c r="K35" s="938"/>
      <c r="L35" s="938"/>
      <c r="M35" s="238"/>
      <c r="N35" s="238"/>
      <c r="O35" s="238"/>
    </row>
  </sheetData>
  <sheetProtection algorithmName="SHA-512" hashValue="jK5314bJjhOaxIxnlzYn2Du6KJ21PB5H6UGNCi+bdpoRGPisWPCwxoqIqzq/0WN0HsqhODCqAhpOx2Gn/Z0bQw==" saltValue="tzc8T+b1jrJuLiD8E44e1A==" spinCount="100000" sheet="1" objects="1" scenarios="1"/>
  <mergeCells count="71">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 ref="C9:D9"/>
    <mergeCell ref="B2:B6"/>
    <mergeCell ref="C2:BF6"/>
    <mergeCell ref="BG6:BH6"/>
    <mergeCell ref="AW7:BA7"/>
    <mergeCell ref="C8:D8"/>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D26:O26"/>
    <mergeCell ref="B25:G25"/>
    <mergeCell ref="B16:B23"/>
    <mergeCell ref="C16:C23"/>
    <mergeCell ref="P14:Q14"/>
    <mergeCell ref="E12:E15"/>
    <mergeCell ref="G12:G15"/>
    <mergeCell ref="BC13:BC15"/>
    <mergeCell ref="AV12:AV15"/>
    <mergeCell ref="AW12:AZ12"/>
    <mergeCell ref="BA12:BD12"/>
    <mergeCell ref="BB13:BB15"/>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1:L31"/>
    <mergeCell ref="I33:L33"/>
    <mergeCell ref="F27:J28"/>
  </mergeCells>
  <conditionalFormatting sqref="BA16:BD23">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92D050"/>
  </sheetPr>
  <dimension ref="B1:BI29"/>
  <sheetViews>
    <sheetView showGridLines="0" zoomScale="70" zoomScaleNormal="70" workbookViewId="0">
      <selection activeCell="F16" sqref="F16"/>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3" width="28.5546875" style="133" customWidth="1"/>
    <col min="14" max="14" width="33.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1" ht="15.6" thickBot="1"/>
    <row r="2" spans="2:61" ht="15.6">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1" ht="15.6">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1"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1" ht="15.6">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1"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1" ht="21">
      <c r="B8" s="216" t="s">
        <v>45</v>
      </c>
      <c r="C8" s="958" t="s">
        <v>92</v>
      </c>
      <c r="D8" s="958"/>
      <c r="E8" s="217"/>
      <c r="F8" s="217"/>
      <c r="G8" s="217"/>
      <c r="H8" s="217"/>
      <c r="I8" s="217"/>
      <c r="J8" s="217"/>
      <c r="K8" s="217"/>
      <c r="L8" s="217"/>
      <c r="M8" s="217"/>
      <c r="N8" s="217"/>
      <c r="O8" s="217"/>
      <c r="AW8" s="238"/>
      <c r="AX8" s="238"/>
      <c r="AY8" s="238"/>
      <c r="AZ8" s="238"/>
      <c r="BA8" s="238"/>
      <c r="BB8" s="238"/>
      <c r="BC8" s="238"/>
      <c r="BD8" s="238"/>
    </row>
    <row r="9" spans="2:61" ht="63" customHeight="1">
      <c r="B9" s="216" t="s">
        <v>34</v>
      </c>
      <c r="C9" s="1044" t="s">
        <v>493</v>
      </c>
      <c r="D9" s="915"/>
      <c r="E9" s="1053"/>
      <c r="F9" s="1054"/>
      <c r="G9" s="1054"/>
      <c r="H9" s="217"/>
      <c r="I9" s="217"/>
      <c r="J9" s="217"/>
      <c r="K9" s="217"/>
      <c r="L9" s="217"/>
      <c r="M9" s="217"/>
      <c r="N9" s="217"/>
      <c r="O9" s="217"/>
      <c r="AW9" s="238"/>
      <c r="AX9" s="238"/>
      <c r="AY9" s="238"/>
      <c r="AZ9" s="238"/>
      <c r="BA9" s="238"/>
      <c r="BB9" s="238"/>
      <c r="BC9" s="238"/>
      <c r="BD9" s="238"/>
    </row>
    <row r="10" spans="2:61" ht="24.6">
      <c r="B10" s="216" t="s">
        <v>101</v>
      </c>
      <c r="C10" s="916">
        <v>2021</v>
      </c>
      <c r="D10" s="917"/>
      <c r="E10" s="306"/>
      <c r="F10" s="306"/>
      <c r="G10" s="217"/>
      <c r="H10" s="217"/>
      <c r="I10" s="217"/>
      <c r="J10" s="217"/>
      <c r="K10" s="217"/>
      <c r="L10" s="217"/>
      <c r="M10" s="217"/>
      <c r="N10" s="217"/>
      <c r="O10" s="217"/>
      <c r="AW10" s="238"/>
      <c r="AX10" s="238"/>
      <c r="AY10" s="238"/>
      <c r="AZ10" s="238"/>
      <c r="BA10" s="238"/>
      <c r="BB10" s="238"/>
      <c r="BC10" s="238"/>
      <c r="BD10" s="238"/>
    </row>
    <row r="11" spans="2:61">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1" ht="28.2"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1"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361</v>
      </c>
      <c r="AZ13" s="897" t="s">
        <v>362</v>
      </c>
      <c r="BA13" s="886" t="s">
        <v>119</v>
      </c>
      <c r="BB13" s="886" t="s">
        <v>122</v>
      </c>
      <c r="BC13" s="886" t="s">
        <v>123</v>
      </c>
      <c r="BD13" s="886" t="s">
        <v>124</v>
      </c>
      <c r="BE13" s="880" t="s">
        <v>21</v>
      </c>
      <c r="BF13" s="880" t="s">
        <v>22</v>
      </c>
      <c r="BG13" s="880" t="s">
        <v>23</v>
      </c>
      <c r="BH13" s="880" t="s">
        <v>24</v>
      </c>
    </row>
    <row r="14" spans="2:61"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1"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1" ht="244.2" customHeight="1">
      <c r="B16" s="92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1" t="str">
        <f>+'01-FR-03 POA INSTITUCIONAL'!C70</f>
        <v>4.4. Implementar el 100% de las acciones necesarias para la modernización de la gestión institucional a través de los procesos de apoyo, que permita una mejor prestación del servicio.</v>
      </c>
      <c r="D16" s="255" t="str">
        <f>+'01-FR-03 POA INSTITUCIONAL'!D70</f>
        <v>4.4.1 Atender el 100% de los servicios de mantenimiento, almacén, transporte. Aseo y cafetería</v>
      </c>
      <c r="E16" s="52">
        <f>+'01-FR-03 POA INSTITUCIONAL'!E70</f>
        <v>0.1</v>
      </c>
      <c r="F16" s="52">
        <f>+'01-FR-03 POA INSTITUCIONAL'!F70</f>
        <v>1</v>
      </c>
      <c r="G16" s="161">
        <f>+'01-FR-03 POA INSTITUCIONAL'!K70</f>
        <v>1</v>
      </c>
      <c r="H16" s="307">
        <f>+'01-FR-03 POA INSTITUCIONAL'!G70</f>
        <v>0.99199999999999999</v>
      </c>
      <c r="I16" s="68" t="str">
        <f>+'[5]POA Anualizado (Pág 1 de 3)'!H13</f>
        <v>Porcentaje de servicios atendidos</v>
      </c>
      <c r="J16" s="218" t="s">
        <v>494</v>
      </c>
      <c r="K16" s="308" t="s">
        <v>495</v>
      </c>
      <c r="L16" s="242" t="s">
        <v>503</v>
      </c>
      <c r="M16" s="242" t="s">
        <v>496</v>
      </c>
      <c r="N16" s="242" t="s">
        <v>504</v>
      </c>
      <c r="O16" s="309" t="str">
        <f>+'01-FR-03 POA INSTITUCIONAL'!J70</f>
        <v>Subdirección de Gestión Documental y Recursos Físicos
Dirección Administrativa y Financiera</v>
      </c>
      <c r="P16" s="362">
        <v>1</v>
      </c>
      <c r="Q16" s="363">
        <v>0.99099999999999999</v>
      </c>
      <c r="R16" s="363">
        <v>1</v>
      </c>
      <c r="S16" s="363">
        <v>1</v>
      </c>
      <c r="T16" s="363">
        <v>1</v>
      </c>
      <c r="U16" s="363">
        <v>0.998</v>
      </c>
      <c r="V16" s="353">
        <f>AVERAGE(P16,R16,T16)</f>
        <v>1</v>
      </c>
      <c r="W16" s="353">
        <f>IFERROR(AVERAGE(Q16,S16,U16),0)</f>
        <v>0.99633333333333329</v>
      </c>
      <c r="X16" s="363">
        <v>1</v>
      </c>
      <c r="Y16" s="406">
        <v>1</v>
      </c>
      <c r="Z16" s="363">
        <v>1</v>
      </c>
      <c r="AA16" s="406">
        <v>1</v>
      </c>
      <c r="AB16" s="363">
        <v>1</v>
      </c>
      <c r="AC16" s="406">
        <v>1</v>
      </c>
      <c r="AD16" s="353">
        <f>AVERAGE(X16,Z16,AB16)</f>
        <v>1</v>
      </c>
      <c r="AE16" s="353">
        <f>IFERROR(AVERAGE(Y16,AA16,AC16),0)</f>
        <v>1</v>
      </c>
      <c r="AF16" s="363">
        <v>1</v>
      </c>
      <c r="AG16" s="406">
        <v>1</v>
      </c>
      <c r="AH16" s="363">
        <v>1</v>
      </c>
      <c r="AI16" s="406">
        <v>1</v>
      </c>
      <c r="AJ16" s="363">
        <v>1</v>
      </c>
      <c r="AK16" s="406">
        <v>1</v>
      </c>
      <c r="AL16" s="353">
        <f>AVERAGE(AF16,AH16,AJ16)</f>
        <v>1</v>
      </c>
      <c r="AM16" s="353">
        <f>IFERROR(AVERAGE(AG16,AI16,AK16),0)</f>
        <v>1</v>
      </c>
      <c r="AN16" s="363">
        <v>1</v>
      </c>
      <c r="AO16" s="406">
        <v>1</v>
      </c>
      <c r="AP16" s="363">
        <v>1</v>
      </c>
      <c r="AQ16" s="406">
        <v>1.0097</v>
      </c>
      <c r="AR16" s="363">
        <v>1</v>
      </c>
      <c r="AS16" s="406">
        <v>1.0091000000000001</v>
      </c>
      <c r="AT16" s="353">
        <f>AVERAGE(AN16,AP16,AR16)</f>
        <v>1</v>
      </c>
      <c r="AU16" s="353">
        <f>IFERROR(AVERAGE(AO16,AQ16,AS16),0)</f>
        <v>1.0062666666666666</v>
      </c>
      <c r="AV16" s="353">
        <f>AVERAGE(P16,R16,T16,X16,Z16,AB16,AF16,AH16,AJ16,AN16,AP16,AR16)</f>
        <v>1</v>
      </c>
      <c r="AW16" s="337">
        <f>IFERROR(IF(OR($AV$16="",$AV$16=0),0,ROUNDDOWN(AVERAGE($Q16,$S16,$U16),3)),0)</f>
        <v>0.996</v>
      </c>
      <c r="AX16" s="337">
        <f>IFERROR(IF(OR($AV$17="",$AV$17=0),0,ROUNDDOWN(AVERAGE($Q16,$S16,$U16,$Y16,$AA16,$AC16),3)),0)</f>
        <v>0.998</v>
      </c>
      <c r="AY16" s="337">
        <f>IFERROR(IF(OR($AV$16="",$AV$16=0),0,ROUNDDOWN(AVERAGE($Q16,$S16,$U16,$Y16,$AA16,$AC16,$AG16,$AI16,$AK16),3)),0)</f>
        <v>0.998</v>
      </c>
      <c r="AZ16" s="337">
        <f t="shared" ref="AZ16" si="0">IFERROR(IF(OR($AV$16="",$AV$16=0),0,ROUNDDOWN(AVERAGE($Q16,$S16,$U16,$Y16,$AA16,$AC16,$AG16,$AI16,$AK16,$AO16,$AQ16,$AS16),3)),0)</f>
        <v>1</v>
      </c>
      <c r="BA16" s="385">
        <f>(IF(AND(AW16&gt;0,$AV16&gt;0),AW16/$AV16,0))*0.25</f>
        <v>0.249</v>
      </c>
      <c r="BB16" s="385">
        <f>(IF(AND(AX16&gt;0,$AV16&gt;0),AX16/$AV16,0))*0.5</f>
        <v>0.499</v>
      </c>
      <c r="BC16" s="385">
        <f>(IF(AND(AY16&gt;0,$AV16&gt;0),AY16/$AV16,0))*0.75</f>
        <v>0.74849999999999994</v>
      </c>
      <c r="BD16" s="385">
        <f>(IF(AND(AZ16&gt;0,$AV16&gt;0),AZ16/$AV16,0))*1</f>
        <v>1</v>
      </c>
      <c r="BE16" s="394">
        <f>((IF(AND(AW16&gt;0,$F16&gt;0),AW16/$F16,0))/4)*0.25</f>
        <v>6.225E-2</v>
      </c>
      <c r="BF16" s="465">
        <f>((IF(AND(AX16&gt;0,$F16&gt;0),AX16/$F16,0))/4)*0.5</f>
        <v>0.12475</v>
      </c>
      <c r="BG16" s="465">
        <f>((IF(AND(AY16&gt;0,$F16&gt;0),AY16/$F16,0))/4)*0.75</f>
        <v>0.18712499999999999</v>
      </c>
      <c r="BH16" s="465">
        <f>((IF(AND(AZ16&gt;0,$F16&gt;0),AZ16/$F16,0))/4)</f>
        <v>0.25</v>
      </c>
      <c r="BI16" s="310"/>
    </row>
    <row r="17" spans="2:60" ht="60">
      <c r="B17" s="948"/>
      <c r="C17" s="948"/>
      <c r="D17" s="255" t="str">
        <f>+'01-FR-03 POA INSTITUCIONAL'!D71</f>
        <v>4.4.2 Ejecutar el 97% de las actividades del Plan Estratégico de Seguridad Vial (PESV)</v>
      </c>
      <c r="E17" s="52">
        <f>+'01-FR-03 POA INSTITUCIONAL'!E71</f>
        <v>0.1</v>
      </c>
      <c r="F17" s="52">
        <f>+'01-FR-03 POA INSTITUCIONAL'!F71</f>
        <v>0.97</v>
      </c>
      <c r="G17" s="161">
        <f>+'01-FR-03 POA INSTITUCIONAL'!K71</f>
        <v>0.97</v>
      </c>
      <c r="H17" s="307">
        <f>+'01-FR-03 POA INSTITUCIONAL'!G71</f>
        <v>0.96599999999999997</v>
      </c>
      <c r="I17" s="68" t="str">
        <f>+'[5]POA Anualizado (Pág 1 de 3)'!H14</f>
        <v>Porcentaje de actividades del PESV ejecutadas</v>
      </c>
      <c r="J17" s="311" t="s">
        <v>497</v>
      </c>
      <c r="K17" s="308" t="s">
        <v>498</v>
      </c>
      <c r="L17" s="242" t="s">
        <v>499</v>
      </c>
      <c r="M17" s="242" t="s">
        <v>500</v>
      </c>
      <c r="N17" s="242" t="s">
        <v>501</v>
      </c>
      <c r="O17" s="309" t="str">
        <f>+'01-FR-03 POA INSTITUCIONAL'!J71</f>
        <v>Subdirección de Gestión Documental y Recursos Físicos
Dirección Administrativa y Financiera</v>
      </c>
      <c r="P17" s="362">
        <v>0.97</v>
      </c>
      <c r="Q17" s="363">
        <v>1</v>
      </c>
      <c r="R17" s="362">
        <v>0.97</v>
      </c>
      <c r="S17" s="363">
        <v>1</v>
      </c>
      <c r="T17" s="362">
        <v>0.97</v>
      </c>
      <c r="U17" s="363">
        <v>1</v>
      </c>
      <c r="V17" s="353">
        <f>AVERAGE(P17,R17,T17)</f>
        <v>0.97000000000000008</v>
      </c>
      <c r="W17" s="353">
        <f>IFERROR(AVERAGE(Q17,S17,U17),0)</f>
        <v>1</v>
      </c>
      <c r="X17" s="362">
        <v>0.97</v>
      </c>
      <c r="Y17" s="406">
        <v>0</v>
      </c>
      <c r="Z17" s="362">
        <v>0.97</v>
      </c>
      <c r="AA17" s="406">
        <v>0</v>
      </c>
      <c r="AB17" s="362">
        <v>0.97</v>
      </c>
      <c r="AC17" s="406">
        <v>0</v>
      </c>
      <c r="AD17" s="353">
        <f>AVERAGE(X17,Z17,AB17)</f>
        <v>0.97000000000000008</v>
      </c>
      <c r="AE17" s="353">
        <f>IFERROR(AVERAGE(Y17,AA17,AC17),0)</f>
        <v>0</v>
      </c>
      <c r="AF17" s="362">
        <v>0.97</v>
      </c>
      <c r="AG17" s="406">
        <v>0</v>
      </c>
      <c r="AH17" s="362">
        <v>0.97</v>
      </c>
      <c r="AI17" s="406">
        <v>0</v>
      </c>
      <c r="AJ17" s="362">
        <v>0.97</v>
      </c>
      <c r="AK17" s="406">
        <v>0</v>
      </c>
      <c r="AL17" s="353">
        <f>AVERAGE(AF17,AH17,AJ17)</f>
        <v>0.97000000000000008</v>
      </c>
      <c r="AM17" s="353">
        <f>IFERROR(AVERAGE(AG17,AI17,AK17),0)</f>
        <v>0</v>
      </c>
      <c r="AN17" s="362">
        <v>0.97</v>
      </c>
      <c r="AO17" s="406">
        <v>0</v>
      </c>
      <c r="AP17" s="362">
        <v>0.97</v>
      </c>
      <c r="AQ17" s="406">
        <v>0</v>
      </c>
      <c r="AR17" s="362">
        <v>0.97</v>
      </c>
      <c r="AS17" s="406">
        <v>0</v>
      </c>
      <c r="AT17" s="353">
        <f>AVERAGE(AN17,AP17,AR17)</f>
        <v>0.97000000000000008</v>
      </c>
      <c r="AU17" s="353">
        <f>IFERROR(AVERAGE(AO17,AQ17,AS17),0)</f>
        <v>0</v>
      </c>
      <c r="AV17" s="353">
        <f>AVERAGE(P17,R17,T17,X17,Z17,AB17,AF17,AH17,AJ17,AN17,AP17,AR17)</f>
        <v>0.97000000000000008</v>
      </c>
      <c r="AW17" s="337">
        <f>IFERROR(IF(OR($AV$17="",$AV$17=0),0,ROUNDDOWN(AVERAGE($Q17,$S17,$U17),3)),0)</f>
        <v>1</v>
      </c>
      <c r="AX17" s="337">
        <f>IFERROR(IF(OR($AV$17="",$AV$17=0),0,ROUNDDOWN(AVERAGE($Q17,$S17,$U17,$Y17,$AA17,$AC17),3)),0)</f>
        <v>0.5</v>
      </c>
      <c r="AY17" s="337">
        <f>IFERROR(IF(OR($AV$17="",$AV$17=0),0,ROUNDDOWN(AVERAGE($Q17,$S17,$U17,$Y17,$AA17,$AC17,$AG17,$AI17,$AK17),3)),0)</f>
        <v>0.33300000000000002</v>
      </c>
      <c r="AZ17" s="337">
        <f>IFERROR(IF(OR($AV$17="",$AV$17=0),0,ROUNDDOWN(AVERAGE($Q17,$S17,$U17,$Y17,$AA17,$AC17,$AG17,$AI17,$AK17,$AO17,$AQ17,$AS17),3)),0)</f>
        <v>0.25</v>
      </c>
      <c r="BA17" s="385">
        <f>(IF(AND(AW17&gt;0,$AV17&gt;0),AW17/$AV17,0))*0.25</f>
        <v>0.25773195876288657</v>
      </c>
      <c r="BB17" s="385">
        <f>(IF(AND(AX17&gt;0,$AV17&gt;0),AX17/$AV17,0))*0.5</f>
        <v>0.25773195876288657</v>
      </c>
      <c r="BC17" s="385">
        <f>(IF(AND(AY17&gt;0,$AV17&gt;0),AY17/$AV17,0))*0.75</f>
        <v>0.25747422680412368</v>
      </c>
      <c r="BD17" s="385">
        <f>(IF(AND(AZ17&gt;0,$AV17&gt;0),AZ17/$AV17,0))*1</f>
        <v>0.25773195876288657</v>
      </c>
      <c r="BE17" s="394">
        <f>((IF(AND(AW17&gt;0,$F17&gt;0),AW17/$F17,0))*0.25)*0.25</f>
        <v>6.4432989690721656E-2</v>
      </c>
      <c r="BF17" s="465">
        <f>((IF(AND(AX17&gt;0,$F17&gt;0),AX17/$F17,0))/4)*0.5</f>
        <v>6.4432989690721656E-2</v>
      </c>
      <c r="BG17" s="465">
        <f>((IF(AND(AY17&gt;0,$F17&gt;0),AY17/$F17,0))/4)*0.75</f>
        <v>6.4368556701030921E-2</v>
      </c>
      <c r="BH17" s="465">
        <f>((IF(AND(AZ17&gt;0,$F17&gt;0),AZ17/$F17,0))/4)</f>
        <v>6.4432989690721656E-2</v>
      </c>
    </row>
    <row r="18" spans="2:60" ht="22.8">
      <c r="B18" s="949"/>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1"/>
      <c r="AX18" s="918" t="s">
        <v>19</v>
      </c>
      <c r="AY18" s="947"/>
      <c r="AZ18" s="947"/>
      <c r="BA18" s="70">
        <f t="shared" ref="BA18:BD18" si="1">AVERAGE(BA16:BA17)</f>
        <v>0.25336597938144328</v>
      </c>
      <c r="BB18" s="70">
        <f t="shared" si="1"/>
        <v>0.37836597938144328</v>
      </c>
      <c r="BC18" s="70">
        <f t="shared" si="1"/>
        <v>0.50298711340206181</v>
      </c>
      <c r="BD18" s="70">
        <f t="shared" si="1"/>
        <v>0.62886597938144329</v>
      </c>
      <c r="BE18" s="959"/>
      <c r="BF18" s="1051"/>
      <c r="BG18" s="1051"/>
      <c r="BH18" s="1052"/>
    </row>
    <row r="19" spans="2:60">
      <c r="B19" s="900" t="s">
        <v>291</v>
      </c>
      <c r="C19" s="900"/>
      <c r="D19" s="900"/>
      <c r="E19" s="900"/>
      <c r="F19" s="900"/>
      <c r="G19" s="900"/>
      <c r="H19" s="247"/>
      <c r="I19" s="248"/>
      <c r="J19" s="248"/>
      <c r="K19" s="248"/>
      <c r="L19" s="248"/>
      <c r="M19" s="248"/>
      <c r="N19" s="248"/>
      <c r="O19" s="248"/>
    </row>
    <row r="20" spans="2:60">
      <c r="B20" s="248"/>
      <c r="C20" s="248"/>
      <c r="D20" s="929"/>
      <c r="E20" s="929"/>
      <c r="F20" s="929"/>
      <c r="G20" s="929"/>
      <c r="H20" s="929"/>
      <c r="I20" s="929"/>
      <c r="J20" s="929"/>
      <c r="K20" s="929"/>
      <c r="L20" s="929"/>
      <c r="M20" s="929"/>
      <c r="N20" s="929"/>
      <c r="O20" s="929"/>
    </row>
    <row r="21" spans="2:60" ht="15.6">
      <c r="B21" s="77" t="s">
        <v>26</v>
      </c>
      <c r="C21" s="249">
        <v>44224</v>
      </c>
      <c r="D21" s="250"/>
      <c r="E21" s="932" t="s">
        <v>50</v>
      </c>
      <c r="F21" s="368"/>
      <c r="G21" s="933" t="s">
        <v>502</v>
      </c>
      <c r="H21" s="933"/>
      <c r="I21" s="933"/>
      <c r="J21" s="933"/>
      <c r="K21" s="251"/>
      <c r="L21" s="938"/>
      <c r="M21" s="938"/>
      <c r="N21" s="938"/>
      <c r="O21" s="939"/>
    </row>
    <row r="22" spans="2:60" ht="15.6">
      <c r="B22" s="248"/>
      <c r="C22" s="248"/>
      <c r="D22" s="251"/>
      <c r="E22" s="932"/>
      <c r="F22" s="368"/>
      <c r="G22" s="933"/>
      <c r="H22" s="933"/>
      <c r="I22" s="933"/>
      <c r="J22" s="933"/>
      <c r="K22" s="248"/>
      <c r="L22" s="248"/>
      <c r="M22" s="248"/>
      <c r="N22" s="248"/>
      <c r="O22" s="248"/>
    </row>
    <row r="23" spans="2:60" ht="15.6">
      <c r="B23" s="77" t="s">
        <v>49</v>
      </c>
      <c r="C23" s="249"/>
      <c r="D23" s="248"/>
      <c r="E23" s="248"/>
      <c r="F23" s="248"/>
      <c r="K23" s="248"/>
      <c r="L23" s="248"/>
      <c r="M23" s="248"/>
      <c r="N23" s="248"/>
      <c r="O23" s="248"/>
    </row>
    <row r="24" spans="2:60">
      <c r="B24" s="248"/>
      <c r="C24" s="248"/>
      <c r="D24" s="248"/>
      <c r="E24" s="248"/>
      <c r="F24" s="248"/>
      <c r="K24" s="248"/>
      <c r="L24" s="248"/>
      <c r="M24" s="248"/>
      <c r="N24" s="248"/>
      <c r="O24" s="248"/>
    </row>
    <row r="25" spans="2:60">
      <c r="B25" s="248"/>
      <c r="C25" s="248"/>
      <c r="D25" s="248"/>
      <c r="E25" s="248"/>
      <c r="F25" s="248"/>
      <c r="G25" s="247"/>
      <c r="H25" s="247"/>
      <c r="I25" s="937"/>
      <c r="J25" s="937"/>
      <c r="K25" s="937"/>
      <c r="L25" s="937"/>
      <c r="M25" s="252"/>
      <c r="N25" s="252"/>
      <c r="O25" s="252"/>
    </row>
    <row r="26" spans="2:60">
      <c r="B26" s="248"/>
      <c r="C26" s="248"/>
      <c r="D26" s="248"/>
      <c r="E26" s="248"/>
      <c r="F26" s="248"/>
      <c r="G26" s="247"/>
      <c r="H26" s="247"/>
      <c r="I26" s="248"/>
      <c r="J26" s="248"/>
      <c r="K26" s="253"/>
      <c r="L26" s="248"/>
      <c r="M26" s="248"/>
      <c r="N26" s="248"/>
      <c r="O26" s="248"/>
    </row>
    <row r="27" spans="2:60">
      <c r="B27" s="248"/>
      <c r="C27" s="248"/>
      <c r="D27" s="248"/>
      <c r="E27" s="248"/>
      <c r="F27" s="248"/>
      <c r="G27" s="247"/>
      <c r="H27" s="247"/>
      <c r="I27" s="937"/>
      <c r="J27" s="937"/>
      <c r="K27" s="937"/>
      <c r="L27" s="937"/>
      <c r="M27" s="252"/>
      <c r="N27" s="252"/>
      <c r="O27" s="252"/>
    </row>
    <row r="28" spans="2:60">
      <c r="B28" s="248"/>
      <c r="C28" s="248"/>
      <c r="D28" s="248"/>
      <c r="E28" s="248"/>
      <c r="F28" s="248"/>
      <c r="G28" s="247"/>
      <c r="H28" s="247"/>
      <c r="I28" s="248"/>
      <c r="J28" s="248"/>
      <c r="K28" s="253"/>
      <c r="L28" s="248"/>
      <c r="M28" s="248"/>
      <c r="N28" s="248"/>
      <c r="O28" s="248"/>
    </row>
    <row r="29" spans="2:60">
      <c r="B29" s="248"/>
      <c r="C29" s="248"/>
      <c r="D29" s="248"/>
      <c r="E29" s="248"/>
      <c r="F29" s="248"/>
      <c r="G29" s="247"/>
      <c r="H29" s="247"/>
      <c r="I29" s="937"/>
      <c r="J29" s="937"/>
      <c r="K29" s="937"/>
      <c r="L29" s="937"/>
      <c r="M29" s="252"/>
      <c r="N29" s="252"/>
      <c r="O29" s="252"/>
    </row>
  </sheetData>
  <sheetProtection algorithmName="SHA-512" hashValue="3GuTrygdq9J116FAUnnXG6V7l4UkoPAJiuHoZwKTGV3Eih0HtWY7SH3/kPsKWxEQRDXQZoG0mDWBATcQLQXZbQ==" saltValue="x0Abok2SOc59CI4sjJTx4Q==" spinCount="100000" sheet="1" objects="1" scenarios="1"/>
  <mergeCells count="72">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7:L27"/>
    <mergeCell ref="I29:L29"/>
    <mergeCell ref="B19:G19"/>
    <mergeCell ref="AX18:AZ18"/>
    <mergeCell ref="D20:O20"/>
    <mergeCell ref="E21:E22"/>
    <mergeCell ref="G21:J22"/>
    <mergeCell ref="L21:O21"/>
    <mergeCell ref="I25:L25"/>
    <mergeCell ref="B18:AW18"/>
  </mergeCells>
  <conditionalFormatting sqref="BA16:BD17">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92D050"/>
  </sheetPr>
  <dimension ref="B1:BH30"/>
  <sheetViews>
    <sheetView showGridLines="0" zoomScale="70" zoomScaleNormal="70" workbookViewId="0">
      <selection activeCell="E17" sqref="E17"/>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7" width="27" style="134" customWidth="1"/>
    <col min="8" max="8" width="23.88671875" style="134" customWidth="1"/>
    <col min="9" max="9" width="44" style="133" customWidth="1"/>
    <col min="10" max="10" width="31.88671875" style="133" customWidth="1"/>
    <col min="11" max="11" width="55.88671875" style="133" customWidth="1"/>
    <col min="12" max="12" width="33.5546875" style="133" customWidth="1"/>
    <col min="13" max="13" width="49.44140625" style="133" customWidth="1"/>
    <col min="14"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5.6">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1">
      <c r="B8" s="216" t="s">
        <v>45</v>
      </c>
      <c r="C8" s="958" t="s">
        <v>93</v>
      </c>
      <c r="D8" s="958"/>
      <c r="E8" s="217"/>
      <c r="F8" s="217"/>
      <c r="G8" s="217"/>
      <c r="H8" s="217"/>
      <c r="I8" s="217"/>
      <c r="J8" s="217"/>
      <c r="K8" s="217"/>
      <c r="L8" s="217"/>
      <c r="M8" s="217"/>
      <c r="N8" s="217"/>
      <c r="O8" s="217"/>
      <c r="AW8" s="238"/>
      <c r="AX8" s="238"/>
      <c r="AY8" s="238"/>
      <c r="AZ8" s="238"/>
      <c r="BA8" s="238"/>
      <c r="BB8" s="238"/>
      <c r="BC8" s="238"/>
      <c r="BD8" s="238"/>
    </row>
    <row r="9" spans="2:60" ht="73.5" customHeight="1">
      <c r="B9" s="216" t="s">
        <v>34</v>
      </c>
      <c r="C9" s="914" t="s">
        <v>524</v>
      </c>
      <c r="D9" s="915"/>
      <c r="E9" s="217"/>
      <c r="F9" s="217"/>
      <c r="G9" s="217"/>
      <c r="H9" s="217"/>
      <c r="I9" s="217"/>
      <c r="J9" s="217"/>
      <c r="K9" s="217"/>
      <c r="L9" s="217"/>
      <c r="M9" s="217"/>
      <c r="N9" s="217"/>
      <c r="O9" s="217"/>
      <c r="AW9" s="238"/>
      <c r="AX9" s="238"/>
      <c r="AY9" s="238"/>
      <c r="AZ9" s="238"/>
      <c r="BA9" s="238"/>
      <c r="BB9" s="238"/>
      <c r="BC9" s="238"/>
      <c r="BD9" s="238"/>
    </row>
    <row r="10" spans="2: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15.6"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0" ht="159" customHeight="1">
      <c r="B16" s="773"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773" t="str">
        <f>+'01-FR-03 POA INSTITUCIONAL'!C70</f>
        <v>4.4. Implementar el 100% de las acciones necesarias para la modernización de la gestión institucional a través de los procesos de apoyo, que permita una mejor prestación del servicio.</v>
      </c>
      <c r="D16" s="231" t="str">
        <f>+'01-FR-03 POA INSTITUCIONAL'!D72</f>
        <v>4.4.3 Ejecutar el 95% del presupuesto aprobado para la Entidad</v>
      </c>
      <c r="E16" s="59">
        <f>+'01-FR-03 POA INSTITUCIONAL'!E72</f>
        <v>7.0000000000000007E-2</v>
      </c>
      <c r="F16" s="367">
        <f>+'01-FR-03 POA INSTITUCIONAL'!F72</f>
        <v>0.95</v>
      </c>
      <c r="G16" s="59">
        <f>+'01-FR-03 POA INSTITUCIONAL'!K72</f>
        <v>0.95</v>
      </c>
      <c r="H16" s="140" t="str">
        <f>+'01-FR-03 POA INSTITUCIONAL'!G72</f>
        <v>S.I.</v>
      </c>
      <c r="I16" s="140" t="str">
        <f>+'01-FR-03 POA INSTITUCIONAL'!H72</f>
        <v>Porcentaje del presupuesto aprobado y ejecutado.</v>
      </c>
      <c r="J16" s="312" t="s">
        <v>525</v>
      </c>
      <c r="K16" s="292" t="s">
        <v>526</v>
      </c>
      <c r="L16" s="221" t="s">
        <v>527</v>
      </c>
      <c r="M16" s="242" t="s">
        <v>540</v>
      </c>
      <c r="N16" s="221" t="s">
        <v>528</v>
      </c>
      <c r="O16" s="313" t="str">
        <f>+'01-FR-03 POA INSTITUCIONAL'!J72</f>
        <v>Subdirección de Gestión Financiera
Dirección Administrativa y Financiera</v>
      </c>
      <c r="P16" s="352">
        <v>7.0000000000000007E-2</v>
      </c>
      <c r="Q16" s="352">
        <v>4.9000000000000002E-2</v>
      </c>
      <c r="R16" s="352">
        <v>7.0000000000000007E-2</v>
      </c>
      <c r="S16" s="352">
        <v>7.2999999999999995E-2</v>
      </c>
      <c r="T16" s="352">
        <v>0.08</v>
      </c>
      <c r="U16" s="352">
        <v>8.2000000000000003E-2</v>
      </c>
      <c r="V16" s="353">
        <f>P16+R16+T16</f>
        <v>0.22000000000000003</v>
      </c>
      <c r="W16" s="353">
        <f>Q16+S16+U16</f>
        <v>0.20400000000000001</v>
      </c>
      <c r="X16" s="352">
        <v>0.08</v>
      </c>
      <c r="Y16" s="352"/>
      <c r="Z16" s="352">
        <v>0.08</v>
      </c>
      <c r="AA16" s="352"/>
      <c r="AB16" s="352">
        <v>0.09</v>
      </c>
      <c r="AC16" s="352"/>
      <c r="AD16" s="353">
        <f>X16+Z16+AB16</f>
        <v>0.25</v>
      </c>
      <c r="AE16" s="353">
        <f>Y16+AA16+AC16</f>
        <v>0</v>
      </c>
      <c r="AF16" s="352">
        <v>0.08</v>
      </c>
      <c r="AG16" s="352"/>
      <c r="AH16" s="352">
        <v>0.08</v>
      </c>
      <c r="AI16" s="352"/>
      <c r="AJ16" s="360">
        <v>0.09</v>
      </c>
      <c r="AK16" s="360"/>
      <c r="AL16" s="353">
        <f>AF16+AH16+AJ16</f>
        <v>0.25</v>
      </c>
      <c r="AM16" s="353">
        <f>AG16+AI16+AK16</f>
        <v>0</v>
      </c>
      <c r="AN16" s="352">
        <v>0.08</v>
      </c>
      <c r="AO16" s="352"/>
      <c r="AP16" s="352">
        <v>0.08</v>
      </c>
      <c r="AQ16" s="352"/>
      <c r="AR16" s="352">
        <v>7.0000000000000007E-2</v>
      </c>
      <c r="AS16" s="352"/>
      <c r="AT16" s="353">
        <f>AN16+AP16+AR16</f>
        <v>0.23</v>
      </c>
      <c r="AU16" s="353">
        <f>AO16+AQ16+AS16</f>
        <v>0</v>
      </c>
      <c r="AV16" s="353">
        <f>V16+AD16+AL16+AT16</f>
        <v>0.95</v>
      </c>
      <c r="AW16" s="337">
        <f>+W16</f>
        <v>0.20400000000000001</v>
      </c>
      <c r="AX16" s="383">
        <f>+W16+AE16</f>
        <v>0.20400000000000001</v>
      </c>
      <c r="AY16" s="383">
        <f>+W16+AE16+AM16</f>
        <v>0.20400000000000001</v>
      </c>
      <c r="AZ16" s="383">
        <f>+W16+AE16+AM16+AU16</f>
        <v>0.20400000000000001</v>
      </c>
      <c r="BA16" s="408">
        <f>IF(AND(AW16&gt;0,$AV16&gt;0),AW16/$AV16,0)</f>
        <v>0.21473684210526317</v>
      </c>
      <c r="BB16" s="409">
        <f t="shared" ref="BB16:BD16" si="0">IF(AND(AX16&gt;0,$AV16&gt;0),AX16/$AV16,0)</f>
        <v>0.21473684210526317</v>
      </c>
      <c r="BC16" s="409">
        <f t="shared" si="0"/>
        <v>0.21473684210526317</v>
      </c>
      <c r="BD16" s="409">
        <f t="shared" si="0"/>
        <v>0.21473684210526317</v>
      </c>
      <c r="BE16" s="394">
        <f>((IF(AND(AW16&gt;0,$F16&gt;0),AW16/$F16,0))/4)</f>
        <v>5.3684210526315793E-2</v>
      </c>
      <c r="BF16" s="395">
        <f>((IF(AND(AX16&gt;0,$F16&gt;0),AX16/$F16,0))/4)</f>
        <v>5.3684210526315793E-2</v>
      </c>
      <c r="BG16" s="395">
        <f>((IF(AND(AY16&gt;0,$F16&gt;0),AY16/$F16,0))/4)</f>
        <v>5.3684210526315793E-2</v>
      </c>
      <c r="BH16" s="395">
        <f>((IF(AND(AZ16&gt;0,$F16&gt;0),AZ16/$F16,0))/4)</f>
        <v>5.3684210526315793E-2</v>
      </c>
    </row>
    <row r="17" spans="2:60" ht="118.8" customHeight="1">
      <c r="B17" s="1020"/>
      <c r="C17" s="1020"/>
      <c r="D17" s="231" t="str">
        <f>+'01-FR-03 POA INSTITUCIONAL'!D73</f>
        <v>4.4.4 Programar y ejecutar el 95% de los compromisos de pago adquiridos por la Entidad</v>
      </c>
      <c r="E17" s="59">
        <f>+'01-FR-03 POA INSTITUCIONAL'!E73</f>
        <v>7.0000000000000007E-2</v>
      </c>
      <c r="F17" s="367">
        <f>+'01-FR-03 POA INSTITUCIONAL'!F73</f>
        <v>0.95</v>
      </c>
      <c r="G17" s="59">
        <f>+'01-FR-03 POA INSTITUCIONAL'!K73</f>
        <v>0.95</v>
      </c>
      <c r="H17" s="140" t="str">
        <f>+'01-FR-03 POA INSTITUCIONAL'!G73</f>
        <v>S.I.</v>
      </c>
      <c r="I17" s="140" t="str">
        <f>+'01-FR-03 POA INSTITUCIONAL'!H73</f>
        <v>Porcentaje de los compromisos de pago programados y ejecutados.</v>
      </c>
      <c r="J17" s="312" t="s">
        <v>529</v>
      </c>
      <c r="K17" s="292" t="s">
        <v>530</v>
      </c>
      <c r="L17" s="221" t="s">
        <v>531</v>
      </c>
      <c r="M17" s="242" t="s">
        <v>538</v>
      </c>
      <c r="N17" s="221" t="s">
        <v>532</v>
      </c>
      <c r="O17" s="313" t="str">
        <f>+'01-FR-03 POA INSTITUCIONAL'!J73</f>
        <v>Subdirección de Gestión Financiera
Dirección Administrativa y Financiera</v>
      </c>
      <c r="P17" s="356">
        <v>0.03</v>
      </c>
      <c r="Q17" s="356">
        <v>2.07358873943508E-2</v>
      </c>
      <c r="R17" s="356">
        <v>0.05</v>
      </c>
      <c r="S17" s="356">
        <v>3.4846799197208303E-2</v>
      </c>
      <c r="T17" s="356">
        <v>0.06</v>
      </c>
      <c r="U17" s="356">
        <v>4.1815230536016101E-2</v>
      </c>
      <c r="V17" s="357">
        <f t="shared" ref="V17:W18" si="1">P17+R17+T17</f>
        <v>0.14000000000000001</v>
      </c>
      <c r="W17" s="357">
        <f t="shared" si="1"/>
        <v>9.7397917127575201E-2</v>
      </c>
      <c r="X17" s="356">
        <v>7.0000000000000007E-2</v>
      </c>
      <c r="Y17" s="356"/>
      <c r="Z17" s="356">
        <v>0.08</v>
      </c>
      <c r="AA17" s="356"/>
      <c r="AB17" s="356">
        <v>0.1</v>
      </c>
      <c r="AC17" s="356"/>
      <c r="AD17" s="357">
        <f t="shared" ref="AD17:AE18" si="2">X17+Z17+AB17</f>
        <v>0.25</v>
      </c>
      <c r="AE17" s="357">
        <f t="shared" si="2"/>
        <v>0</v>
      </c>
      <c r="AF17" s="356">
        <v>7.0000000000000007E-2</v>
      </c>
      <c r="AG17" s="356"/>
      <c r="AH17" s="356">
        <v>0.08</v>
      </c>
      <c r="AI17" s="356"/>
      <c r="AJ17" s="356">
        <v>0.08</v>
      </c>
      <c r="AK17" s="356"/>
      <c r="AL17" s="357">
        <f t="shared" ref="AL17:AM18" si="3">AF17+AH17+AJ17</f>
        <v>0.23000000000000004</v>
      </c>
      <c r="AM17" s="357">
        <f t="shared" si="3"/>
        <v>0</v>
      </c>
      <c r="AN17" s="356">
        <v>0.08</v>
      </c>
      <c r="AO17" s="356"/>
      <c r="AP17" s="356">
        <v>0.09</v>
      </c>
      <c r="AQ17" s="356"/>
      <c r="AR17" s="356">
        <v>0.16</v>
      </c>
      <c r="AS17" s="356"/>
      <c r="AT17" s="357">
        <f t="shared" ref="AT17:AU18" si="4">AN17+AP17+AR17</f>
        <v>0.32999999999999996</v>
      </c>
      <c r="AU17" s="357">
        <f t="shared" si="4"/>
        <v>0</v>
      </c>
      <c r="AV17" s="357">
        <f t="shared" ref="AV17:AV18" si="5">V17+AD17+AL17+AT17</f>
        <v>0.95000000000000007</v>
      </c>
      <c r="AW17" s="364">
        <f t="shared" ref="AW17:AW18" si="6">+W17</f>
        <v>9.7397917127575201E-2</v>
      </c>
      <c r="AX17" s="407">
        <f t="shared" ref="AX17:AX18" si="7">+W17+AE17</f>
        <v>9.7397917127575201E-2</v>
      </c>
      <c r="AY17" s="407">
        <f t="shared" ref="AY17:AY18" si="8">+W17+AE17+AM17</f>
        <v>9.7397917127575201E-2</v>
      </c>
      <c r="AZ17" s="407">
        <f t="shared" ref="AZ17:AZ18" si="9">+W17+AE17+AM17+AU17</f>
        <v>9.7397917127575201E-2</v>
      </c>
      <c r="BA17" s="410">
        <f t="shared" ref="BA17:BA18" si="10">IF(AND(AW17&gt;0,$AV17&gt;0),AW17/$AV17,0)</f>
        <v>0.10252412329218441</v>
      </c>
      <c r="BB17" s="411">
        <f t="shared" ref="BB17:BB18" si="11">IF(AND(AX17&gt;0,$AV17&gt;0),AX17/$AV17,0)</f>
        <v>0.10252412329218441</v>
      </c>
      <c r="BC17" s="411">
        <f t="shared" ref="BC17:BC18" si="12">IF(AND(AY17&gt;0,$AV17&gt;0),AY17/$AV17,0)</f>
        <v>0.10252412329218441</v>
      </c>
      <c r="BD17" s="411">
        <f t="shared" ref="BD17:BD18" si="13">IF(AND(AZ17&gt;0,$AV17&gt;0),AZ17/$AV17,0)</f>
        <v>0.10252412329218441</v>
      </c>
      <c r="BE17" s="394">
        <f>((IF(AND(AW17&gt;0,$F17&gt;0),AW17/$F17,0))/4)</f>
        <v>2.5631030823046106E-2</v>
      </c>
      <c r="BF17" s="395">
        <f t="shared" ref="BF17:BH18" si="14">((IF(AND(AX17&gt;0,$F17&gt;0),AX17/$F17,0))/4)</f>
        <v>2.5631030823046106E-2</v>
      </c>
      <c r="BG17" s="395">
        <f t="shared" si="14"/>
        <v>2.5631030823046106E-2</v>
      </c>
      <c r="BH17" s="395">
        <f t="shared" si="14"/>
        <v>2.5631030823046106E-2</v>
      </c>
    </row>
    <row r="18" spans="2:60" ht="120.6" customHeight="1">
      <c r="B18" s="1020"/>
      <c r="C18" s="1020"/>
      <c r="D18" s="231" t="str">
        <f>+'01-FR-03 POA INSTITUCIONAL'!D74</f>
        <v>4.4.5 Elaborar y presentar el 100% de los estados financieros de la Entidad</v>
      </c>
      <c r="E18" s="59">
        <f>+'01-FR-03 POA INSTITUCIONAL'!E74</f>
        <v>0.06</v>
      </c>
      <c r="F18" s="367">
        <f>+'01-FR-03 POA INSTITUCIONAL'!F74</f>
        <v>1</v>
      </c>
      <c r="G18" s="59">
        <f>+'01-FR-03 POA INSTITUCIONAL'!K74</f>
        <v>1</v>
      </c>
      <c r="H18" s="140" t="str">
        <f>+'01-FR-03 POA INSTITUCIONAL'!G74</f>
        <v>S.I.</v>
      </c>
      <c r="I18" s="140" t="str">
        <f>+'01-FR-03 POA INSTITUCIONAL'!H74</f>
        <v>Porcentaje de estados financieros de la Entidad elaborados y presentados.</v>
      </c>
      <c r="J18" s="312" t="s">
        <v>533</v>
      </c>
      <c r="K18" s="292" t="s">
        <v>534</v>
      </c>
      <c r="L18" s="221" t="s">
        <v>535</v>
      </c>
      <c r="M18" s="242" t="s">
        <v>539</v>
      </c>
      <c r="N18" s="221" t="s">
        <v>536</v>
      </c>
      <c r="O18" s="313" t="str">
        <f>+'01-FR-03 POA INSTITUCIONAL'!J74</f>
        <v>Subdirección de Gestión Financiera
Dirección Administrativa y Financiera</v>
      </c>
      <c r="P18" s="352">
        <v>0.08</v>
      </c>
      <c r="Q18" s="352">
        <v>0.08</v>
      </c>
      <c r="R18" s="352">
        <v>0.08</v>
      </c>
      <c r="S18" s="352">
        <v>0.08</v>
      </c>
      <c r="T18" s="352">
        <v>0.09</v>
      </c>
      <c r="U18" s="352">
        <v>0.09</v>
      </c>
      <c r="V18" s="353">
        <f t="shared" si="1"/>
        <v>0.25</v>
      </c>
      <c r="W18" s="353">
        <f t="shared" si="1"/>
        <v>0.25</v>
      </c>
      <c r="X18" s="352">
        <v>0.08</v>
      </c>
      <c r="Y18" s="352"/>
      <c r="Z18" s="352">
        <v>0.08</v>
      </c>
      <c r="AA18" s="352"/>
      <c r="AB18" s="352">
        <v>0.09</v>
      </c>
      <c r="AC18" s="352"/>
      <c r="AD18" s="353">
        <f t="shared" si="2"/>
        <v>0.25</v>
      </c>
      <c r="AE18" s="353">
        <f t="shared" si="2"/>
        <v>0</v>
      </c>
      <c r="AF18" s="352">
        <v>0.08</v>
      </c>
      <c r="AG18" s="352"/>
      <c r="AH18" s="352">
        <v>0.08</v>
      </c>
      <c r="AI18" s="352"/>
      <c r="AJ18" s="352">
        <v>0.09</v>
      </c>
      <c r="AK18" s="352"/>
      <c r="AL18" s="353">
        <f t="shared" si="3"/>
        <v>0.25</v>
      </c>
      <c r="AM18" s="353">
        <f t="shared" si="3"/>
        <v>0</v>
      </c>
      <c r="AN18" s="352">
        <v>0.08</v>
      </c>
      <c r="AO18" s="352"/>
      <c r="AP18" s="352">
        <v>0.08</v>
      </c>
      <c r="AQ18" s="352"/>
      <c r="AR18" s="352">
        <v>0.09</v>
      </c>
      <c r="AS18" s="352"/>
      <c r="AT18" s="353">
        <f t="shared" si="4"/>
        <v>0.25</v>
      </c>
      <c r="AU18" s="353">
        <f t="shared" si="4"/>
        <v>0</v>
      </c>
      <c r="AV18" s="353">
        <f t="shared" si="5"/>
        <v>1</v>
      </c>
      <c r="AW18" s="337">
        <f t="shared" si="6"/>
        <v>0.25</v>
      </c>
      <c r="AX18" s="383">
        <f t="shared" si="7"/>
        <v>0.25</v>
      </c>
      <c r="AY18" s="383">
        <f t="shared" si="8"/>
        <v>0.25</v>
      </c>
      <c r="AZ18" s="383">
        <f t="shared" si="9"/>
        <v>0.25</v>
      </c>
      <c r="BA18" s="408">
        <f t="shared" si="10"/>
        <v>0.25</v>
      </c>
      <c r="BB18" s="409">
        <f t="shared" si="11"/>
        <v>0.25</v>
      </c>
      <c r="BC18" s="409">
        <f t="shared" si="12"/>
        <v>0.25</v>
      </c>
      <c r="BD18" s="409">
        <f t="shared" si="13"/>
        <v>0.25</v>
      </c>
      <c r="BE18" s="394">
        <f>((IF(AND(AW18&gt;0,$F18&gt;0),AW18/$F18,0))/4)</f>
        <v>6.25E-2</v>
      </c>
      <c r="BF18" s="395">
        <f t="shared" si="14"/>
        <v>6.25E-2</v>
      </c>
      <c r="BG18" s="395">
        <f t="shared" si="14"/>
        <v>6.25E-2</v>
      </c>
      <c r="BH18" s="395">
        <f t="shared" si="14"/>
        <v>6.25E-2</v>
      </c>
    </row>
    <row r="19" spans="2:60" ht="22.8">
      <c r="B19" s="949"/>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1"/>
      <c r="AX19" s="918" t="s">
        <v>19</v>
      </c>
      <c r="AY19" s="947"/>
      <c r="AZ19" s="947"/>
      <c r="BA19" s="70">
        <f t="shared" ref="BA19:BD19" si="15">AVERAGE(BA16:BA18)</f>
        <v>0.18908698846581587</v>
      </c>
      <c r="BB19" s="70">
        <f t="shared" si="15"/>
        <v>0.18908698846581587</v>
      </c>
      <c r="BC19" s="70">
        <f t="shared" si="15"/>
        <v>0.18908698846581587</v>
      </c>
      <c r="BD19" s="70">
        <f t="shared" si="15"/>
        <v>0.18908698846581587</v>
      </c>
      <c r="BE19" s="959"/>
      <c r="BF19" s="960"/>
      <c r="BG19" s="960"/>
      <c r="BH19" s="961"/>
    </row>
    <row r="20" spans="2:60">
      <c r="B20" s="900" t="s">
        <v>291</v>
      </c>
      <c r="C20" s="900"/>
      <c r="D20" s="900"/>
      <c r="E20" s="900"/>
      <c r="F20" s="900"/>
      <c r="G20" s="900"/>
      <c r="H20" s="247"/>
      <c r="I20" s="248"/>
      <c r="J20" s="248"/>
      <c r="K20" s="248"/>
      <c r="L20" s="248"/>
      <c r="M20" s="248"/>
      <c r="N20" s="248"/>
      <c r="O20" s="248"/>
    </row>
    <row r="21" spans="2:60">
      <c r="B21" s="248"/>
      <c r="C21" s="248"/>
      <c r="D21" s="929"/>
      <c r="E21" s="929"/>
      <c r="F21" s="929"/>
      <c r="G21" s="929"/>
      <c r="H21" s="929"/>
      <c r="I21" s="929"/>
      <c r="J21" s="929"/>
      <c r="K21" s="929"/>
      <c r="L21" s="929"/>
      <c r="M21" s="929"/>
      <c r="N21" s="929"/>
      <c r="O21" s="929"/>
    </row>
    <row r="22" spans="2:60" ht="15.6">
      <c r="B22" s="77" t="s">
        <v>26</v>
      </c>
      <c r="C22" s="249">
        <v>44224</v>
      </c>
      <c r="D22" s="250"/>
      <c r="E22" s="932" t="s">
        <v>50</v>
      </c>
      <c r="F22" s="368"/>
      <c r="G22" s="933" t="s">
        <v>537</v>
      </c>
      <c r="H22" s="933"/>
      <c r="I22" s="933"/>
      <c r="J22" s="933"/>
      <c r="K22" s="251"/>
      <c r="L22" s="938"/>
      <c r="M22" s="938"/>
      <c r="N22" s="938"/>
      <c r="O22" s="939"/>
    </row>
    <row r="23" spans="2:60" ht="15.6">
      <c r="B23" s="248"/>
      <c r="C23" s="248"/>
      <c r="D23" s="251"/>
      <c r="E23" s="932"/>
      <c r="F23" s="368"/>
      <c r="G23" s="933"/>
      <c r="H23" s="933"/>
      <c r="I23" s="933"/>
      <c r="J23" s="933"/>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248"/>
      <c r="C26" s="248"/>
      <c r="D26" s="248"/>
      <c r="E26" s="248"/>
      <c r="F26" s="248"/>
      <c r="G26" s="247"/>
      <c r="H26" s="247"/>
      <c r="I26" s="937"/>
      <c r="J26" s="937"/>
      <c r="K26" s="937"/>
      <c r="L26" s="937"/>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937"/>
      <c r="J28" s="937"/>
      <c r="K28" s="937"/>
      <c r="L28" s="937"/>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937"/>
      <c r="J30" s="937"/>
      <c r="K30" s="937"/>
      <c r="L30" s="937"/>
      <c r="M30" s="252"/>
      <c r="N30" s="252"/>
      <c r="O30" s="252"/>
    </row>
  </sheetData>
  <sheetProtection algorithmName="SHA-512" hashValue="VmqXHpm6/cU7MjzJCvrXIDOEUrXRWPI6kznmWz2Yzb19YEbeim6cM8Rgy3W/b//TI8VlXjgt4pGHoMpuufCH/A==" saltValue="yntjXo4xTdgikyST6eJoiw==" spinCount="100000" sheet="1" objects="1" scenarios="1"/>
  <mergeCells count="71">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8:L28"/>
    <mergeCell ref="I30:L30"/>
    <mergeCell ref="B20:G20"/>
    <mergeCell ref="AX19:AZ19"/>
    <mergeCell ref="D21:O21"/>
    <mergeCell ref="E22:E23"/>
    <mergeCell ref="G22:J23"/>
    <mergeCell ref="L22:O22"/>
    <mergeCell ref="I26:L26"/>
    <mergeCell ref="B19:AW19"/>
  </mergeCells>
  <conditionalFormatting sqref="BA16:BD18">
    <cfRule type="cellIs" dxfId="26" priority="1" operator="greaterThan">
      <formula>1</formula>
    </cfRule>
    <cfRule type="cellIs" dxfId="25" priority="2" operator="between">
      <formula>0.8</formula>
      <formula>1</formula>
    </cfRule>
    <cfRule type="cellIs" dxfId="24" priority="3" operator="between">
      <formula>0.61</formula>
      <formula>0.79</formula>
    </cfRule>
    <cfRule type="cellIs" dxfId="23"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92D050"/>
  </sheetPr>
  <dimension ref="B1:BH32"/>
  <sheetViews>
    <sheetView showGridLines="0" zoomScale="70" zoomScaleNormal="70" workbookViewId="0">
      <selection activeCell="BE16" sqref="BE16"/>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5.6">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1">
      <c r="B8" s="216" t="s">
        <v>45</v>
      </c>
      <c r="C8" s="958" t="s">
        <v>94</v>
      </c>
      <c r="D8" s="958"/>
      <c r="E8" s="217"/>
      <c r="F8" s="217"/>
      <c r="G8" s="217"/>
      <c r="H8" s="217"/>
      <c r="I8" s="217"/>
      <c r="J8" s="217"/>
      <c r="K8" s="217"/>
      <c r="L8" s="217"/>
      <c r="M8" s="217"/>
      <c r="N8" s="217"/>
      <c r="O8" s="217"/>
      <c r="AW8" s="238"/>
      <c r="AX8" s="238"/>
      <c r="AY8" s="238"/>
      <c r="AZ8" s="238"/>
      <c r="BA8" s="238"/>
      <c r="BB8" s="238"/>
      <c r="BC8" s="238"/>
      <c r="BD8" s="238"/>
    </row>
    <row r="9" spans="2:60" ht="79.5" customHeight="1">
      <c r="B9" s="216" t="s">
        <v>34</v>
      </c>
      <c r="C9" s="914" t="s">
        <v>508</v>
      </c>
      <c r="D9" s="915"/>
      <c r="E9" s="217"/>
      <c r="F9" s="217"/>
      <c r="G9" s="217"/>
      <c r="H9" s="217"/>
      <c r="I9" s="217"/>
      <c r="J9" s="217"/>
      <c r="K9" s="217"/>
      <c r="L9" s="217"/>
      <c r="M9" s="217"/>
      <c r="N9" s="217"/>
      <c r="O9" s="217"/>
      <c r="AW9" s="238"/>
      <c r="AX9" s="238"/>
      <c r="AY9" s="238"/>
      <c r="AZ9" s="238"/>
      <c r="BA9" s="238"/>
      <c r="BB9" s="238"/>
      <c r="BC9" s="238"/>
      <c r="BD9" s="238"/>
    </row>
    <row r="10" spans="2: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15.6"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0" ht="135">
      <c r="B16" s="140"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0" t="str">
        <f>+'01-FR-03 POA INSTITUCIONAL'!C70</f>
        <v>4.4. Implementar el 100% de las acciones necesarias para la modernización de la gestión institucional a través de los procesos de apoyo, que permita una mejor prestación del servicio.</v>
      </c>
      <c r="D16" s="140" t="str">
        <f>+'01-FR-03 POA INSTITUCIONAL'!D75</f>
        <v>4.4.6 Ejecutar el 95% del Plan Anual de Adquisiciones respecto de gastos generales</v>
      </c>
      <c r="E16" s="59">
        <f>+'01-FR-03 POA INSTITUCIONAL'!E75</f>
        <v>0.2</v>
      </c>
      <c r="F16" s="367">
        <f>+'01-FR-03 POA INSTITUCIONAL'!F75</f>
        <v>0.95</v>
      </c>
      <c r="G16" s="314">
        <f>+'01-FR-03 POA INSTITUCIONAL'!K75</f>
        <v>0.95</v>
      </c>
      <c r="H16" s="140" t="str">
        <f>+'01-FR-03 POA INSTITUCIONAL'!G75</f>
        <v>S.I.</v>
      </c>
      <c r="I16" s="140" t="str">
        <f>+'01-FR-03 POA INSTITUCIONAL'!H75</f>
        <v xml:space="preserve">Porcentaje del Plan Anual de Adquisiciones ejecutado </v>
      </c>
      <c r="J16" s="312" t="s">
        <v>509</v>
      </c>
      <c r="K16" s="292" t="s">
        <v>510</v>
      </c>
      <c r="L16" s="315" t="s">
        <v>511</v>
      </c>
      <c r="M16" s="316" t="s">
        <v>512</v>
      </c>
      <c r="N16" s="316" t="s">
        <v>513</v>
      </c>
      <c r="O16" s="313" t="str">
        <f>+'01-FR-03 POA INSTITUCIONAL'!J75</f>
        <v>Subdirección de Gestión Contractual
Dirección Administrativa y Financiera</v>
      </c>
      <c r="P16" s="145">
        <v>0.28000000000000003</v>
      </c>
      <c r="Q16" s="145">
        <v>0.2</v>
      </c>
      <c r="R16" s="145">
        <v>0.21</v>
      </c>
      <c r="S16" s="145">
        <v>0.08</v>
      </c>
      <c r="T16" s="145">
        <v>0.08</v>
      </c>
      <c r="U16" s="145">
        <v>0.05</v>
      </c>
      <c r="V16" s="66">
        <f>P16+R16+T16</f>
        <v>0.56999999999999995</v>
      </c>
      <c r="W16" s="66">
        <f>Q16+S16+U16</f>
        <v>0.33</v>
      </c>
      <c r="X16" s="145">
        <v>0.13</v>
      </c>
      <c r="Y16" s="145"/>
      <c r="Z16" s="145">
        <v>0.02</v>
      </c>
      <c r="AA16" s="145"/>
      <c r="AB16" s="145">
        <v>0.09</v>
      </c>
      <c r="AC16" s="145"/>
      <c r="AD16" s="66">
        <f>X16+Z16+AB16</f>
        <v>0.24</v>
      </c>
      <c r="AE16" s="66">
        <f>Y16+AA16+AC16</f>
        <v>0</v>
      </c>
      <c r="AF16" s="145">
        <v>0.02</v>
      </c>
      <c r="AG16" s="145"/>
      <c r="AH16" s="145">
        <v>0.01</v>
      </c>
      <c r="AI16" s="145"/>
      <c r="AJ16" s="317">
        <v>0.05</v>
      </c>
      <c r="AK16" s="317"/>
      <c r="AL16" s="66">
        <f>AF16+AH16+AJ16</f>
        <v>0.08</v>
      </c>
      <c r="AM16" s="66">
        <f>AG16+AI16+AK16</f>
        <v>0</v>
      </c>
      <c r="AN16" s="145">
        <v>0.03</v>
      </c>
      <c r="AO16" s="145"/>
      <c r="AP16" s="145">
        <v>0.03</v>
      </c>
      <c r="AQ16" s="145"/>
      <c r="AR16" s="145">
        <v>0</v>
      </c>
      <c r="AS16" s="145"/>
      <c r="AT16" s="66">
        <f>AN16+AP16+AR16</f>
        <v>0.06</v>
      </c>
      <c r="AU16" s="66">
        <f>AO16+AQ16+AS16</f>
        <v>0</v>
      </c>
      <c r="AV16" s="66">
        <f>V16+AD16+AL16+AT16</f>
        <v>0.95</v>
      </c>
      <c r="AW16" s="337">
        <f>+W16</f>
        <v>0.33</v>
      </c>
      <c r="AX16" s="383">
        <f>+W16+AE16</f>
        <v>0.33</v>
      </c>
      <c r="AY16" s="383">
        <f>+W16+AE16+AM16</f>
        <v>0.33</v>
      </c>
      <c r="AZ16" s="383">
        <f>+W16+AE16+AM16+AU16</f>
        <v>0.33</v>
      </c>
      <c r="BA16" s="408">
        <f>IF(AND(AW16&gt;0,$AV16&gt;0),AW16/$AV16,0)</f>
        <v>0.3473684210526316</v>
      </c>
      <c r="BB16" s="409">
        <f t="shared" ref="BB16:BD16" si="0">IF(AND(AX16&gt;0,$AV16&gt;0),AX16/$AV16,0)</f>
        <v>0.3473684210526316</v>
      </c>
      <c r="BC16" s="409">
        <f t="shared" si="0"/>
        <v>0.3473684210526316</v>
      </c>
      <c r="BD16" s="409">
        <f t="shared" si="0"/>
        <v>0.3473684210526316</v>
      </c>
      <c r="BE16" s="394">
        <f>((IF(AND(AW16&gt;0,$F16&gt;0),AW16/$F16,0))/4)</f>
        <v>8.6842105263157901E-2</v>
      </c>
      <c r="BF16" s="395">
        <f>((IF(AND(AX16&gt;0,$F16&gt;0),AX16/$F16,0))/4)</f>
        <v>8.6842105263157901E-2</v>
      </c>
      <c r="BG16" s="395">
        <f>((IF(AND(AY16&gt;0,$F16&gt;0),AY16/$F16,0))/4)</f>
        <v>8.6842105263157901E-2</v>
      </c>
      <c r="BH16" s="395">
        <f>((IF(AND(AZ16&gt;0,$F16&gt;0),AZ16/$F16,0))/4)</f>
        <v>8.6842105263157901E-2</v>
      </c>
    </row>
    <row r="17" spans="2:60" ht="22.8">
      <c r="B17" s="949"/>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1"/>
      <c r="AX17" s="918" t="s">
        <v>19</v>
      </c>
      <c r="AY17" s="947"/>
      <c r="AZ17" s="947"/>
      <c r="BA17" s="70">
        <f t="shared" ref="BA17:BD17" si="1">AVERAGE(BA16:BA16)</f>
        <v>0.3473684210526316</v>
      </c>
      <c r="BB17" s="70">
        <f t="shared" si="1"/>
        <v>0.3473684210526316</v>
      </c>
      <c r="BC17" s="70">
        <f t="shared" si="1"/>
        <v>0.3473684210526316</v>
      </c>
      <c r="BD17" s="70">
        <f t="shared" si="1"/>
        <v>0.3473684210526316</v>
      </c>
      <c r="BE17" s="959"/>
      <c r="BF17" s="960"/>
      <c r="BG17" s="960"/>
      <c r="BH17" s="961"/>
    </row>
    <row r="18" spans="2:60">
      <c r="B18" s="900" t="s">
        <v>291</v>
      </c>
      <c r="C18" s="900"/>
      <c r="D18" s="900"/>
      <c r="E18" s="900"/>
      <c r="F18" s="900"/>
      <c r="G18" s="900"/>
      <c r="H18" s="247"/>
      <c r="I18" s="248"/>
      <c r="J18" s="248"/>
      <c r="K18" s="248"/>
      <c r="L18" s="248"/>
      <c r="M18" s="248"/>
      <c r="N18" s="248"/>
      <c r="O18" s="248"/>
    </row>
    <row r="19" spans="2:60">
      <c r="B19" s="248"/>
      <c r="C19" s="248"/>
      <c r="D19" s="929"/>
      <c r="E19" s="929"/>
      <c r="F19" s="929"/>
      <c r="G19" s="929"/>
      <c r="H19" s="929"/>
      <c r="I19" s="929"/>
      <c r="J19" s="929"/>
      <c r="K19" s="929"/>
      <c r="L19" s="929"/>
      <c r="M19" s="929"/>
      <c r="N19" s="929"/>
      <c r="O19" s="929"/>
    </row>
    <row r="20" spans="2:60" ht="15.6" customHeight="1">
      <c r="B20" s="77" t="s">
        <v>26</v>
      </c>
      <c r="C20" s="249">
        <v>44224</v>
      </c>
      <c r="D20" s="250"/>
      <c r="E20" s="932" t="s">
        <v>50</v>
      </c>
      <c r="F20" s="1011" t="s">
        <v>739</v>
      </c>
      <c r="G20" s="1012"/>
      <c r="H20" s="1012"/>
      <c r="I20" s="1012"/>
      <c r="J20" s="1013"/>
      <c r="K20" s="251"/>
      <c r="L20" s="938"/>
      <c r="M20" s="938"/>
      <c r="N20" s="938"/>
      <c r="O20" s="939"/>
    </row>
    <row r="21" spans="2:60" ht="15.6">
      <c r="B21" s="248"/>
      <c r="C21" s="248"/>
      <c r="D21" s="251"/>
      <c r="E21" s="932"/>
      <c r="F21" s="1014"/>
      <c r="G21" s="1015"/>
      <c r="H21" s="1015"/>
      <c r="I21" s="1015"/>
      <c r="J21" s="1016"/>
      <c r="K21" s="248"/>
      <c r="L21" s="248"/>
      <c r="M21" s="248"/>
      <c r="N21" s="248"/>
      <c r="O21" s="248"/>
    </row>
    <row r="22" spans="2:60" ht="15.6">
      <c r="B22" s="77" t="s">
        <v>49</v>
      </c>
      <c r="C22" s="249"/>
      <c r="D22" s="248"/>
      <c r="E22" s="248"/>
      <c r="F22" s="248"/>
      <c r="I22" s="318"/>
      <c r="J22" s="318"/>
      <c r="K22" s="319"/>
      <c r="L22" s="319"/>
      <c r="M22" s="248"/>
      <c r="N22" s="248"/>
      <c r="O22" s="248"/>
    </row>
    <row r="23" spans="2:60">
      <c r="B23" s="248"/>
      <c r="C23" s="248"/>
      <c r="D23" s="248"/>
      <c r="E23" s="248"/>
      <c r="F23" s="248"/>
      <c r="I23" s="318"/>
      <c r="J23" s="318"/>
      <c r="K23" s="319"/>
      <c r="L23" s="319"/>
      <c r="M23" s="248"/>
      <c r="N23" s="248"/>
      <c r="O23" s="248"/>
    </row>
    <row r="24" spans="2:60">
      <c r="B24" s="248"/>
      <c r="C24" s="248"/>
      <c r="D24" s="248"/>
      <c r="E24" s="248"/>
      <c r="F24" s="248"/>
      <c r="G24" s="247"/>
      <c r="H24" s="247"/>
      <c r="I24" s="1055"/>
      <c r="J24" s="1055"/>
      <c r="K24" s="1055"/>
      <c r="L24" s="1055"/>
      <c r="M24" s="252"/>
      <c r="N24" s="252"/>
      <c r="O24" s="252"/>
    </row>
    <row r="25" spans="2:60">
      <c r="B25" s="248"/>
      <c r="C25" s="248"/>
      <c r="D25" s="248"/>
      <c r="E25" s="248"/>
      <c r="F25" s="248"/>
      <c r="G25" s="247"/>
      <c r="H25" s="247"/>
      <c r="I25" s="319"/>
      <c r="J25" s="319"/>
      <c r="K25" s="320"/>
      <c r="L25" s="319"/>
      <c r="M25" s="248"/>
      <c r="N25" s="248"/>
      <c r="O25" s="248"/>
    </row>
    <row r="26" spans="2:60">
      <c r="B26" s="248"/>
      <c r="C26" s="248"/>
      <c r="D26" s="248"/>
      <c r="E26" s="248"/>
      <c r="F26" s="248"/>
      <c r="G26" s="247"/>
      <c r="H26" s="247"/>
      <c r="I26" s="1055"/>
      <c r="J26" s="1055"/>
      <c r="K26" s="1055"/>
      <c r="L26" s="1055"/>
      <c r="M26" s="252"/>
      <c r="N26" s="252"/>
      <c r="O26" s="252"/>
    </row>
    <row r="27" spans="2:60">
      <c r="B27" s="248"/>
      <c r="C27" s="248"/>
      <c r="D27" s="248"/>
      <c r="E27" s="248"/>
      <c r="F27" s="248"/>
      <c r="G27" s="247"/>
      <c r="H27" s="247"/>
      <c r="I27" s="319"/>
      <c r="J27" s="319"/>
      <c r="K27" s="320"/>
      <c r="L27" s="319"/>
      <c r="M27" s="248"/>
      <c r="N27" s="248"/>
      <c r="O27" s="248"/>
    </row>
    <row r="28" spans="2:60">
      <c r="B28" s="248"/>
      <c r="C28" s="248"/>
      <c r="D28" s="248"/>
      <c r="E28" s="248"/>
      <c r="F28" s="248"/>
      <c r="G28" s="247"/>
      <c r="H28" s="247"/>
      <c r="I28" s="1055"/>
      <c r="J28" s="1055"/>
      <c r="K28" s="1055"/>
      <c r="L28" s="1055"/>
      <c r="M28" s="252"/>
      <c r="N28" s="252"/>
      <c r="O28" s="252"/>
    </row>
    <row r="29" spans="2:60">
      <c r="I29" s="318"/>
      <c r="J29" s="318"/>
      <c r="K29" s="318"/>
      <c r="L29" s="318"/>
    </row>
    <row r="30" spans="2:60">
      <c r="I30" s="318"/>
      <c r="J30" s="318"/>
      <c r="K30" s="318"/>
      <c r="L30" s="318"/>
    </row>
    <row r="31" spans="2:60">
      <c r="I31" s="318"/>
      <c r="J31" s="318"/>
      <c r="K31" s="318"/>
      <c r="L31" s="318"/>
    </row>
    <row r="32" spans="2:60">
      <c r="I32" s="318"/>
      <c r="J32" s="318"/>
      <c r="K32" s="318"/>
      <c r="L32" s="318"/>
    </row>
  </sheetData>
  <sheetProtection algorithmName="SHA-512" hashValue="x9GFNhwgvebO0WsSIYH29tN6D+W3WYAc4/RqkBMSfTA7gBZ5SRVGt/zs8VStVtEdOkU986hWTzu47jtzkRRpDA==" saltValue="39OvOC+HAd/kxI79R0SkiQ==" spinCount="100000" sheet="1" objects="1" scenarios="1"/>
  <mergeCells count="69">
    <mergeCell ref="BE17:BH17"/>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B13:BB15"/>
    <mergeCell ref="BC13:BC15"/>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X17:AZ17"/>
    <mergeCell ref="D19:O19"/>
    <mergeCell ref="B18:G18"/>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I28:L28"/>
    <mergeCell ref="AP14:AQ14"/>
    <mergeCell ref="AR14:AS14"/>
    <mergeCell ref="AT14:AU14"/>
    <mergeCell ref="B17:AW17"/>
    <mergeCell ref="M12:M15"/>
    <mergeCell ref="G12:G15"/>
    <mergeCell ref="E20:E21"/>
    <mergeCell ref="L20:O20"/>
    <mergeCell ref="I24:L24"/>
    <mergeCell ref="I26:L26"/>
    <mergeCell ref="F12:F15"/>
    <mergeCell ref="F20:J21"/>
    <mergeCell ref="P12:AU12"/>
  </mergeCells>
  <conditionalFormatting sqref="BA16:BD16">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92D050"/>
  </sheetPr>
  <dimension ref="B1:BH31"/>
  <sheetViews>
    <sheetView showGridLines="0" zoomScale="55" zoomScaleNormal="55" workbookViewId="0">
      <selection activeCell="O18" sqref="O18"/>
    </sheetView>
  </sheetViews>
  <sheetFormatPr baseColWidth="10" defaultColWidth="17.33203125" defaultRowHeight="15" customHeight="1"/>
  <cols>
    <col min="1" max="1" width="4.33203125" style="135" customWidth="1"/>
    <col min="2" max="2" width="50.44140625" style="133" customWidth="1"/>
    <col min="3" max="3" width="33.33203125" style="133" customWidth="1"/>
    <col min="4" max="4" width="49.6640625" style="133" customWidth="1"/>
    <col min="5" max="6" width="28.33203125" style="133" customWidth="1"/>
    <col min="7" max="7" width="23.33203125" style="134" customWidth="1"/>
    <col min="8" max="8" width="29.33203125" style="134" customWidth="1"/>
    <col min="9" max="9" width="27.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5.6">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1">
      <c r="B8" s="216" t="s">
        <v>45</v>
      </c>
      <c r="C8" s="958" t="s">
        <v>95</v>
      </c>
      <c r="D8" s="958"/>
      <c r="E8" s="217"/>
      <c r="F8" s="217"/>
      <c r="G8" s="217"/>
      <c r="H8" s="217"/>
      <c r="I8" s="217"/>
      <c r="J8" s="217"/>
      <c r="K8" s="217"/>
      <c r="L8" s="217"/>
      <c r="M8" s="217"/>
      <c r="N8" s="217"/>
      <c r="O8" s="217"/>
      <c r="AW8" s="238"/>
      <c r="AX8" s="238"/>
      <c r="AY8" s="238"/>
      <c r="AZ8" s="238"/>
      <c r="BA8" s="238"/>
      <c r="BB8" s="238"/>
      <c r="BC8" s="238"/>
      <c r="BD8" s="238"/>
    </row>
    <row r="9" spans="2:60" ht="83.25" customHeight="1">
      <c r="B9" s="216" t="s">
        <v>34</v>
      </c>
      <c r="C9" s="914" t="s">
        <v>567</v>
      </c>
      <c r="D9" s="915"/>
      <c r="E9" s="217"/>
      <c r="F9" s="217"/>
      <c r="G9" s="217"/>
      <c r="H9" s="217"/>
      <c r="I9" s="217"/>
      <c r="J9" s="217"/>
      <c r="K9" s="217"/>
      <c r="L9" s="217"/>
      <c r="M9" s="217"/>
      <c r="N9" s="217"/>
      <c r="O9" s="217"/>
      <c r="AW9" s="238"/>
      <c r="AX9" s="238"/>
      <c r="AY9" s="238"/>
      <c r="AZ9" s="238"/>
      <c r="BA9" s="238"/>
      <c r="BB9" s="238"/>
      <c r="BC9" s="238"/>
      <c r="BD9" s="238"/>
    </row>
    <row r="10" spans="2: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30.6"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0" ht="164.4" customHeight="1">
      <c r="B16" s="773"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773" t="str">
        <f>+'01-FR-03 POA INSTITUCIONAL'!C70</f>
        <v>4.4. Implementar el 100% de las acciones necesarias para la modernización de la gestión institucional a través de los procesos de apoyo, que permita una mejor prestación del servicio.</v>
      </c>
      <c r="D16" s="31" t="str">
        <f>+'01-FR-03 POA INSTITUCIONAL'!D76</f>
        <v>4.4.7 Realizar el 95% del reparto, dentro de un término no superior a tres (3) días hábiles, de las comunicaciones oficiales institucionales recibidas por el Grupo de Correspondencia.</v>
      </c>
      <c r="E16" s="52">
        <f>+'01-FR-03 POA INSTITUCIONAL'!E76</f>
        <v>0.05</v>
      </c>
      <c r="F16" s="52">
        <f>+'01-FR-03 POA INSTITUCIONAL'!F76</f>
        <v>0.95</v>
      </c>
      <c r="G16" s="161">
        <f>+'01-FR-03 POA INSTITUCIONAL'!K76</f>
        <v>0.95</v>
      </c>
      <c r="H16" s="140" t="str">
        <f>+'01-FR-03 POA INSTITUCIONAL'!G76</f>
        <v>S.I.</v>
      </c>
      <c r="I16" s="140" t="str">
        <f>+'01-FR-03 POA INSTITUCIONAL'!H76</f>
        <v>Porcentaje de Comunicaciones oficiales con reparto realizado dentro de los 3 días hábiles desde su radicación</v>
      </c>
      <c r="J16" s="218" t="s">
        <v>740</v>
      </c>
      <c r="K16" s="254" t="s">
        <v>742</v>
      </c>
      <c r="L16" s="221" t="s">
        <v>741</v>
      </c>
      <c r="M16" s="221" t="s">
        <v>552</v>
      </c>
      <c r="N16" s="242" t="s">
        <v>553</v>
      </c>
      <c r="O16" s="82" t="str">
        <f>+'01-FR-03 POA INSTITUCIONAL'!J76</f>
        <v>Subdirección de Gestión Documental y Recursos Físicos - Grupo de Correspondencia</v>
      </c>
      <c r="P16" s="352">
        <v>0.95</v>
      </c>
      <c r="Q16" s="352">
        <v>0.96099999999999997</v>
      </c>
      <c r="R16" s="352">
        <v>0.95</v>
      </c>
      <c r="S16" s="352">
        <v>0.96299999999999997</v>
      </c>
      <c r="T16" s="352">
        <v>0.95</v>
      </c>
      <c r="U16" s="352">
        <v>0.96199999999999997</v>
      </c>
      <c r="V16" s="353">
        <f>AVERAGE(P16,R16,T16)</f>
        <v>0.94999999999999984</v>
      </c>
      <c r="W16" s="353">
        <f>IFERROR(AVERAGE(Q16,S16,U16),0)</f>
        <v>0.96200000000000008</v>
      </c>
      <c r="X16" s="352">
        <v>0.95</v>
      </c>
      <c r="Y16" s="412">
        <v>0</v>
      </c>
      <c r="Z16" s="352">
        <v>0.95</v>
      </c>
      <c r="AA16" s="412">
        <v>0</v>
      </c>
      <c r="AB16" s="352">
        <v>0.95</v>
      </c>
      <c r="AC16" s="412">
        <v>0</v>
      </c>
      <c r="AD16" s="353">
        <f>AVERAGE(X16,Z16,AB16)</f>
        <v>0.94999999999999984</v>
      </c>
      <c r="AE16" s="353">
        <f>IFERROR(AVERAGE(Y16,AA16,AC16),0)</f>
        <v>0</v>
      </c>
      <c r="AF16" s="352">
        <v>0.95</v>
      </c>
      <c r="AG16" s="412">
        <v>0</v>
      </c>
      <c r="AH16" s="352">
        <v>0.95</v>
      </c>
      <c r="AI16" s="412">
        <v>0</v>
      </c>
      <c r="AJ16" s="352">
        <v>0.95</v>
      </c>
      <c r="AK16" s="412">
        <v>0</v>
      </c>
      <c r="AL16" s="353">
        <f>AVERAGE(AF16,AH16,AJ16)</f>
        <v>0.94999999999999984</v>
      </c>
      <c r="AM16" s="353">
        <f>IFERROR(AVERAGE(AG16,AI16,AK16),0)</f>
        <v>0</v>
      </c>
      <c r="AN16" s="352">
        <v>0.95</v>
      </c>
      <c r="AO16" s="412">
        <v>0</v>
      </c>
      <c r="AP16" s="352">
        <v>0.95</v>
      </c>
      <c r="AQ16" s="412">
        <v>0</v>
      </c>
      <c r="AR16" s="352">
        <v>0.95</v>
      </c>
      <c r="AS16" s="412">
        <v>0</v>
      </c>
      <c r="AT16" s="353">
        <f>AVERAGE(AN16,AP16,AR16)</f>
        <v>0.94999999999999984</v>
      </c>
      <c r="AU16" s="353">
        <f>IFERROR(AVERAGE(AO16,AQ16,AS16),0)</f>
        <v>0</v>
      </c>
      <c r="AV16" s="353">
        <f>AVERAGE(P16,R16,T16,X16,Z16,AB16,AF16,AH16,AJ16,AN16,AP16,AR16)</f>
        <v>0.94999999999999984</v>
      </c>
      <c r="AW16" s="337">
        <f>IFERROR(IF(OR($AV$17="",$AV$17=0),0,ROUNDDOWN(AVERAGE($Q16,$S16,$U16),3)),0)</f>
        <v>0.96199999999999997</v>
      </c>
      <c r="AX16" s="383">
        <f>IFERROR(IF(OR($AV$17="",$AV$17=0),0,ROUNDDOWN(AVERAGE($Q16,$S16,$U16,$Y16,$AA16,$AC16),3)),0)</f>
        <v>0.48099999999999998</v>
      </c>
      <c r="AY16" s="383">
        <f>IFERROR(IF(OR($AV$17="",$AV$17=0),0,ROUNDDOWN(AVERAGE($Q16,$S16,$U16,$Y16,$AA16,$AC16,$AG16,$AI16,$AK16),3)),0)</f>
        <v>0.32</v>
      </c>
      <c r="AZ16" s="383">
        <f>IFERROR(IF(OR($AV$17="",$AV$17=0),0,ROUNDDOWN(AVERAGE($Q16,$S16,$U16,$Y16,$AA16,$AC16,$AG16,$AI16,$AK16,$AO16,$AQ16,$AS16),3)),0)</f>
        <v>0.24</v>
      </c>
      <c r="BA16" s="385">
        <f>(IF(AND(AW16&gt;0,$AV16&gt;0),AW16/$AV16,0))*0.25</f>
        <v>0.25315789473684214</v>
      </c>
      <c r="BB16" s="385">
        <f>(IF(AND(AX16&gt;0,$AV16&gt;0),AX16/$AV16,0))*0.5</f>
        <v>0.25315789473684214</v>
      </c>
      <c r="BC16" s="385">
        <f>(IF(AND(AY16&gt;0,$AV16&gt;0),AY16/$AV16,0))*0.75</f>
        <v>0.25263157894736843</v>
      </c>
      <c r="BD16" s="385">
        <f>(IF(AND(AZ16&gt;0,$AV16&gt;0),AZ16/$AV16,0))*1</f>
        <v>0.25263157894736843</v>
      </c>
      <c r="BE16" s="394">
        <f>((IF(AND(AW16&gt;0,$F16&gt;0),AW16/$F16,0))*0.25)*0.25</f>
        <v>6.328947368421052E-2</v>
      </c>
      <c r="BF16" s="395">
        <f>((IF(AND(AX16&gt;0,$F16&gt;0),AX16/$F16,0))*0.25)*0.5</f>
        <v>6.328947368421052E-2</v>
      </c>
      <c r="BG16" s="395">
        <f>((IF(AND(AY16&gt;0,$F16&gt;0),AY16/$F16,0))/4)*0.75</f>
        <v>6.3157894736842107E-2</v>
      </c>
      <c r="BH16" s="395">
        <f>((IF(AND(AZ16&gt;0,$F16&gt;0),AZ16/$F16,0))/4)*1</f>
        <v>6.3157894736842107E-2</v>
      </c>
    </row>
    <row r="17" spans="2:60" ht="202.2" customHeight="1">
      <c r="B17" s="1020"/>
      <c r="C17" s="1020"/>
      <c r="D17" s="31" t="str">
        <f>+'01-FR-03 POA INSTITUCIONAL'!D77</f>
        <v>4.4.8 Incorporar el 80% al archivo central de las transferencias documentales provenientes de las dependencias, en razón a que cumplen los requisitos exigidos para ello.</v>
      </c>
      <c r="E17" s="52">
        <f>+'01-FR-03 POA INSTITUCIONAL'!E77</f>
        <v>0.05</v>
      </c>
      <c r="F17" s="52">
        <f>+'01-FR-03 POA INSTITUCIONAL'!F77</f>
        <v>0.8</v>
      </c>
      <c r="G17" s="161">
        <f>+'01-FR-03 POA INSTITUCIONAL'!K77</f>
        <v>0.8</v>
      </c>
      <c r="H17" s="140">
        <f>+'01-FR-03 POA INSTITUCIONAL'!G77</f>
        <v>264</v>
      </c>
      <c r="I17" s="140" t="str">
        <f>+'01-FR-03 POA INSTITUCIONAL'!H77</f>
        <v>Porcentaje de documentación incorporada en el archivo central durante la vigencia.</v>
      </c>
      <c r="J17" s="218" t="s">
        <v>569</v>
      </c>
      <c r="K17" s="254" t="s">
        <v>554</v>
      </c>
      <c r="L17" s="221" t="s">
        <v>555</v>
      </c>
      <c r="M17" s="221" t="s">
        <v>552</v>
      </c>
      <c r="N17" s="242" t="s">
        <v>556</v>
      </c>
      <c r="O17" s="82" t="str">
        <f>+'01-FR-03 POA INSTITUCIONAL'!J77</f>
        <v>Subdirección de Gestión Documental y Recursos Físicos - Archivo central</v>
      </c>
      <c r="P17" s="352">
        <v>0.8</v>
      </c>
      <c r="Q17" s="352">
        <v>0.8</v>
      </c>
      <c r="R17" s="352">
        <v>0.8</v>
      </c>
      <c r="S17" s="352">
        <v>0.8</v>
      </c>
      <c r="T17" s="352">
        <v>0.8</v>
      </c>
      <c r="U17" s="352">
        <v>0.8</v>
      </c>
      <c r="V17" s="353">
        <f>AVERAGE(P17,R17,T17)</f>
        <v>0.80000000000000016</v>
      </c>
      <c r="W17" s="353">
        <f>IFERROR(AVERAGE(Q17,S17,U17),0)</f>
        <v>0.80000000000000016</v>
      </c>
      <c r="X17" s="352">
        <v>0.8</v>
      </c>
      <c r="Y17" s="412">
        <v>0</v>
      </c>
      <c r="Z17" s="352">
        <v>0.8</v>
      </c>
      <c r="AA17" s="412">
        <v>0</v>
      </c>
      <c r="AB17" s="352">
        <v>0.8</v>
      </c>
      <c r="AC17" s="412">
        <v>0</v>
      </c>
      <c r="AD17" s="353">
        <f>AVERAGE(X17,Z17,AB17)</f>
        <v>0.80000000000000016</v>
      </c>
      <c r="AE17" s="353">
        <f>IFERROR(AVERAGE(Y17,AA17,AC17),0)</f>
        <v>0</v>
      </c>
      <c r="AF17" s="352">
        <v>0.8</v>
      </c>
      <c r="AG17" s="412">
        <v>0</v>
      </c>
      <c r="AH17" s="352">
        <v>0.8</v>
      </c>
      <c r="AI17" s="412">
        <v>0</v>
      </c>
      <c r="AJ17" s="352">
        <v>0.8</v>
      </c>
      <c r="AK17" s="412">
        <v>0</v>
      </c>
      <c r="AL17" s="353">
        <f>AVERAGE(AF17,AH17,AJ17)</f>
        <v>0.80000000000000016</v>
      </c>
      <c r="AM17" s="353">
        <f>IFERROR(AVERAGE(AG17,AI17,AK17),0)</f>
        <v>0</v>
      </c>
      <c r="AN17" s="352">
        <v>0.8</v>
      </c>
      <c r="AO17" s="412">
        <v>0</v>
      </c>
      <c r="AP17" s="352">
        <v>0.8</v>
      </c>
      <c r="AQ17" s="412">
        <v>0</v>
      </c>
      <c r="AR17" s="352">
        <v>0.8</v>
      </c>
      <c r="AS17" s="412">
        <v>0</v>
      </c>
      <c r="AT17" s="353">
        <f>AVERAGE(AN17,AP17,AR17)</f>
        <v>0.80000000000000016</v>
      </c>
      <c r="AU17" s="353">
        <f>IFERROR(AVERAGE(AO17,AQ17,AS17),0)</f>
        <v>0</v>
      </c>
      <c r="AV17" s="353">
        <f>AVERAGE(P17,R17,T17,X17,Z17,AB17,AF17,AH17,AJ17,AN17,AP17,AR17)</f>
        <v>0.79999999999999993</v>
      </c>
      <c r="AW17" s="337">
        <f>IFERROR(IF(OR($AV$17="",$AV$17=0),0,ROUNDDOWN(AVERAGE($Q17,$S17,$U17),3)),0)</f>
        <v>0.8</v>
      </c>
      <c r="AX17" s="383">
        <f>IFERROR(IF(OR($AV$17="",$AV$17=0),0,ROUNDDOWN(AVERAGE($Q17,$S17,$U17,$Y17,$AA17,$AC17),3)),0)</f>
        <v>0.4</v>
      </c>
      <c r="AY17" s="383">
        <f>IFERROR(IF(OR($AV$17="",$AV$17=0),0,ROUNDDOWN(AVERAGE($Q17,$S17,$U17,$Y17,$AA17,$AC17,$AG17,$AI17,$AK17),3)),0)</f>
        <v>0.26600000000000001</v>
      </c>
      <c r="AZ17" s="383">
        <f>IFERROR(IF(OR($AV$17="",$AV$17=0),0,ROUNDDOWN(AVERAGE($Q17,$S17,$U17,$Y17,$AA17,$AC17,$AG17,$AI17,$AK17,$AO17,$AQ17,$AS17),3)),0)</f>
        <v>0.2</v>
      </c>
      <c r="BA17" s="385">
        <f>(IF(AND(AW17&gt;0,$AV17&gt;0),AW17/$AV17,0))*0.25</f>
        <v>0.25000000000000006</v>
      </c>
      <c r="BB17" s="385">
        <f>(IF(AND(AX17&gt;0,$AV17&gt;0),AX17/$AV17,0))*0.5</f>
        <v>0.25000000000000006</v>
      </c>
      <c r="BC17" s="385">
        <f>(IF(AND(AY17&gt;0,$AV17&gt;0),AY17/$AV17,0))*0.75</f>
        <v>0.24937500000000001</v>
      </c>
      <c r="BD17" s="385">
        <f>(IF(AND(AZ17&gt;0,$AV17&gt;0),AZ17/$AV17,0))*1</f>
        <v>0.25000000000000006</v>
      </c>
      <c r="BE17" s="394">
        <f>((IF(AND(AW17&gt;0,$F17&gt;0),AW17/$F17,0))*0.25)*0.25</f>
        <v>6.25E-2</v>
      </c>
      <c r="BF17" s="395">
        <f>((IF(AND(AX17&gt;0,$F17&gt;0),AX17/$F17,0))/4)*0.5</f>
        <v>6.25E-2</v>
      </c>
      <c r="BG17" s="395">
        <f>((IF(AND(AY17&gt;0,$F17&gt;0),AY17/$F17,0))/4)*0.75</f>
        <v>6.2343750000000003E-2</v>
      </c>
      <c r="BH17" s="395">
        <f>((IF(AND(AZ17&gt;0,$F17&gt;0),AZ17/$F17,0))/4)</f>
        <v>6.25E-2</v>
      </c>
    </row>
    <row r="18" spans="2:60" ht="171.6" customHeight="1">
      <c r="B18" s="1020"/>
      <c r="C18" s="1020"/>
      <c r="D18" s="31" t="str">
        <f>+'01-FR-03 POA INSTITUCIONAL'!D78</f>
        <v>4.4.9 Realizar 100 actividades de diseño, actualización o ajuste de los instrumentos archivísticos establecidos por norma.</v>
      </c>
      <c r="E18" s="52">
        <f>+'01-FR-03 POA INSTITUCIONAL'!E78</f>
        <v>0.05</v>
      </c>
      <c r="F18" s="369">
        <f>+'01-FR-03 POA INSTITUCIONAL'!F78</f>
        <v>100</v>
      </c>
      <c r="G18" s="140">
        <f>+'01-FR-03 POA INSTITUCIONAL'!K78</f>
        <v>25</v>
      </c>
      <c r="H18" s="140">
        <f>+'01-FR-03 POA INSTITUCIONAL'!G78</f>
        <v>32</v>
      </c>
      <c r="I18" s="140" t="str">
        <f>+'01-FR-03 POA INSTITUCIONAL'!H78</f>
        <v>Cantidad de actividades realizadas por año para el diseño, actualización o ajuste de los instrumentos archivísticos establecidos por norma</v>
      </c>
      <c r="J18" s="140" t="s">
        <v>557</v>
      </c>
      <c r="K18" s="254" t="s">
        <v>558</v>
      </c>
      <c r="L18" s="221" t="s">
        <v>559</v>
      </c>
      <c r="M18" s="221" t="s">
        <v>552</v>
      </c>
      <c r="N18" s="242" t="s">
        <v>560</v>
      </c>
      <c r="O18" s="82" t="str">
        <f>+'01-FR-03 POA INSTITUCIONAL'!J78</f>
        <v xml:space="preserve">Subdirección de Gestión Documental y Recursos Físicos </v>
      </c>
      <c r="P18" s="243">
        <v>1</v>
      </c>
      <c r="Q18" s="243">
        <v>1</v>
      </c>
      <c r="R18" s="243">
        <v>2</v>
      </c>
      <c r="S18" s="243">
        <v>3</v>
      </c>
      <c r="T18" s="243">
        <v>2</v>
      </c>
      <c r="U18" s="243">
        <v>3</v>
      </c>
      <c r="V18" s="91">
        <f t="shared" ref="V18:W19" si="0">P18+R18+T18</f>
        <v>5</v>
      </c>
      <c r="W18" s="91">
        <f t="shared" si="0"/>
        <v>7</v>
      </c>
      <c r="X18" s="243">
        <v>2</v>
      </c>
      <c r="Y18" s="243"/>
      <c r="Z18" s="243">
        <v>3</v>
      </c>
      <c r="AA18" s="243"/>
      <c r="AB18" s="243">
        <v>2</v>
      </c>
      <c r="AC18" s="243"/>
      <c r="AD18" s="91">
        <f t="shared" ref="AD18:AE19" si="1">X18+Z18+AB18</f>
        <v>7</v>
      </c>
      <c r="AE18" s="91">
        <f t="shared" si="1"/>
        <v>0</v>
      </c>
      <c r="AF18" s="243">
        <v>2</v>
      </c>
      <c r="AG18" s="243"/>
      <c r="AH18" s="243">
        <v>3</v>
      </c>
      <c r="AI18" s="243"/>
      <c r="AJ18" s="244">
        <v>2</v>
      </c>
      <c r="AK18" s="244"/>
      <c r="AL18" s="91">
        <f t="shared" ref="AL18:AM19" si="2">AF18+AH18+AJ18</f>
        <v>7</v>
      </c>
      <c r="AM18" s="91">
        <f t="shared" si="2"/>
        <v>0</v>
      </c>
      <c r="AN18" s="243">
        <v>3</v>
      </c>
      <c r="AO18" s="243"/>
      <c r="AP18" s="243">
        <v>2</v>
      </c>
      <c r="AQ18" s="243"/>
      <c r="AR18" s="243">
        <v>1</v>
      </c>
      <c r="AS18" s="243"/>
      <c r="AT18" s="91">
        <f t="shared" ref="AT18:AU19" si="3">AN18+AP18+AR18</f>
        <v>6</v>
      </c>
      <c r="AU18" s="91">
        <f t="shared" si="3"/>
        <v>0</v>
      </c>
      <c r="AV18" s="245">
        <f t="shared" ref="AV18:AV19" si="4">V18+AD18+AL18+AT18</f>
        <v>25</v>
      </c>
      <c r="AW18" s="81">
        <f t="shared" ref="AW18:AW19" si="5">+W18</f>
        <v>7</v>
      </c>
      <c r="AX18" s="390">
        <f t="shared" ref="AX18:AX19" si="6">+W18+AE18</f>
        <v>7</v>
      </c>
      <c r="AY18" s="390">
        <f t="shared" ref="AY18:AY19" si="7">+W18+AE18+AM18</f>
        <v>7</v>
      </c>
      <c r="AZ18" s="390">
        <f t="shared" ref="AZ18:AZ19" si="8">+W18+AE18+AM18+AU18</f>
        <v>7</v>
      </c>
      <c r="BA18" s="350">
        <f t="shared" ref="BA18:BA19" si="9">IF(AND(AW18&gt;0,AV18&gt;0),AW18/AV18,0)</f>
        <v>0.28000000000000003</v>
      </c>
      <c r="BB18" s="350">
        <f t="shared" ref="BB18:BD19" si="10">IF(AND(AX18&gt;0,$AV18&gt;0),AX18/$AV18,0)</f>
        <v>0.28000000000000003</v>
      </c>
      <c r="BC18" s="350">
        <f t="shared" si="10"/>
        <v>0.28000000000000003</v>
      </c>
      <c r="BD18" s="350">
        <f t="shared" si="10"/>
        <v>0.28000000000000003</v>
      </c>
      <c r="BE18" s="394">
        <f>(IF(AND(AW18&gt;0,$F18&gt;0),AW18/$F18,0))</f>
        <v>7.0000000000000007E-2</v>
      </c>
      <c r="BF18" s="395">
        <f t="shared" ref="BF18:BH18" si="11">(IF(AND(AX18&gt;0,$F18&gt;0),AX18/$F18,0))</f>
        <v>7.0000000000000007E-2</v>
      </c>
      <c r="BG18" s="395">
        <f t="shared" si="11"/>
        <v>7.0000000000000007E-2</v>
      </c>
      <c r="BH18" s="395">
        <f t="shared" si="11"/>
        <v>7.0000000000000007E-2</v>
      </c>
    </row>
    <row r="19" spans="2:60" ht="240">
      <c r="B19" s="774"/>
      <c r="C19" s="774"/>
      <c r="D19" s="31" t="str">
        <f>+'01-FR-03 POA INSTITUCIONAL'!D79</f>
        <v>4.4.10 Realizar 100 actividades de implementación de los instrumentos archivísticos establecidos por norma, y de las herramientas de apoyo a la gestión documental.</v>
      </c>
      <c r="E19" s="52">
        <f>+'01-FR-03 POA INSTITUCIONAL'!E79</f>
        <v>0.05</v>
      </c>
      <c r="F19" s="369">
        <f>+'01-FR-03 POA INSTITUCIONAL'!F79</f>
        <v>100</v>
      </c>
      <c r="G19" s="140">
        <f>+'01-FR-03 POA INSTITUCIONAL'!K79</f>
        <v>25</v>
      </c>
      <c r="H19" s="140">
        <f>+'01-FR-03 POA INSTITUCIONAL'!G79</f>
        <v>26</v>
      </c>
      <c r="I19" s="140" t="str">
        <f>+'01-FR-03 POA INSTITUCIONAL'!H79</f>
        <v>Cantidad de actividades realizadas por año para implementación de los instrumentos archivísticos establecidos por norma, y de herramientas de apoyo a la gestión documental.</v>
      </c>
      <c r="J19" s="140" t="s">
        <v>561</v>
      </c>
      <c r="K19" s="254" t="s">
        <v>562</v>
      </c>
      <c r="L19" s="221" t="s">
        <v>563</v>
      </c>
      <c r="M19" s="221" t="s">
        <v>564</v>
      </c>
      <c r="N19" s="242" t="s">
        <v>565</v>
      </c>
      <c r="O19" s="82" t="str">
        <f>+'01-FR-03 POA INSTITUCIONAL'!J79</f>
        <v>Subdirección de Gestión Documental y Recursos Físicos
Dirección de Tecnologías de la Información y Comunicaciones</v>
      </c>
      <c r="P19" s="243">
        <v>1</v>
      </c>
      <c r="Q19" s="243">
        <v>2</v>
      </c>
      <c r="R19" s="243">
        <v>2</v>
      </c>
      <c r="S19" s="243">
        <v>2</v>
      </c>
      <c r="T19" s="243">
        <v>2</v>
      </c>
      <c r="U19" s="243">
        <v>2</v>
      </c>
      <c r="V19" s="91">
        <f t="shared" si="0"/>
        <v>5</v>
      </c>
      <c r="W19" s="91">
        <f t="shared" si="0"/>
        <v>6</v>
      </c>
      <c r="X19" s="243">
        <v>2</v>
      </c>
      <c r="Y19" s="243"/>
      <c r="Z19" s="243">
        <v>3</v>
      </c>
      <c r="AA19" s="243"/>
      <c r="AB19" s="243">
        <v>2</v>
      </c>
      <c r="AC19" s="243"/>
      <c r="AD19" s="91">
        <f t="shared" si="1"/>
        <v>7</v>
      </c>
      <c r="AE19" s="91">
        <f t="shared" si="1"/>
        <v>0</v>
      </c>
      <c r="AF19" s="243">
        <v>2</v>
      </c>
      <c r="AG19" s="243"/>
      <c r="AH19" s="243">
        <v>3</v>
      </c>
      <c r="AI19" s="243"/>
      <c r="AJ19" s="244">
        <v>2</v>
      </c>
      <c r="AK19" s="244"/>
      <c r="AL19" s="91">
        <f t="shared" si="2"/>
        <v>7</v>
      </c>
      <c r="AM19" s="91">
        <f t="shared" si="2"/>
        <v>0</v>
      </c>
      <c r="AN19" s="243">
        <v>3</v>
      </c>
      <c r="AO19" s="243"/>
      <c r="AP19" s="243">
        <v>2</v>
      </c>
      <c r="AQ19" s="243"/>
      <c r="AR19" s="243">
        <v>1</v>
      </c>
      <c r="AS19" s="243"/>
      <c r="AT19" s="91">
        <f t="shared" si="3"/>
        <v>6</v>
      </c>
      <c r="AU19" s="91">
        <f t="shared" si="3"/>
        <v>0</v>
      </c>
      <c r="AV19" s="245">
        <f t="shared" si="4"/>
        <v>25</v>
      </c>
      <c r="AW19" s="81">
        <f t="shared" si="5"/>
        <v>6</v>
      </c>
      <c r="AX19" s="390">
        <f t="shared" si="6"/>
        <v>6</v>
      </c>
      <c r="AY19" s="390">
        <f t="shared" si="7"/>
        <v>6</v>
      </c>
      <c r="AZ19" s="390">
        <f t="shared" si="8"/>
        <v>6</v>
      </c>
      <c r="BA19" s="350">
        <f t="shared" si="9"/>
        <v>0.24</v>
      </c>
      <c r="BB19" s="350">
        <f t="shared" si="10"/>
        <v>0.24</v>
      </c>
      <c r="BC19" s="350">
        <f t="shared" si="10"/>
        <v>0.24</v>
      </c>
      <c r="BD19" s="350">
        <f t="shared" si="10"/>
        <v>0.24</v>
      </c>
      <c r="BE19" s="394">
        <f>(IF(AND(AW19&gt;0,$F19&gt;0),AW19/$F19,0))</f>
        <v>0.06</v>
      </c>
      <c r="BF19" s="395">
        <f t="shared" ref="BF19" si="12">(IF(AND(AX19&gt;0,$F19&gt;0),AX19/$F19,0))</f>
        <v>0.06</v>
      </c>
      <c r="BG19" s="395">
        <f t="shared" ref="BG19" si="13">(IF(AND(AY19&gt;0,$F19&gt;0),AY19/$F19,0))</f>
        <v>0.06</v>
      </c>
      <c r="BH19" s="395">
        <f t="shared" ref="BH19" si="14">(IF(AND(AZ19&gt;0,$F19&gt;0),AZ19/$F19,0))</f>
        <v>0.06</v>
      </c>
    </row>
    <row r="20" spans="2:60" ht="22.8">
      <c r="B20" s="949"/>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1"/>
      <c r="AX20" s="918" t="s">
        <v>19</v>
      </c>
      <c r="AY20" s="947"/>
      <c r="AZ20" s="947"/>
      <c r="BA20" s="70">
        <f t="shared" ref="BA20:BD20" si="15">AVERAGE(BA16:BA19)</f>
        <v>0.25578947368421057</v>
      </c>
      <c r="BB20" s="70">
        <f t="shared" si="15"/>
        <v>0.25578947368421057</v>
      </c>
      <c r="BC20" s="70">
        <f t="shared" si="15"/>
        <v>0.25550164473684212</v>
      </c>
      <c r="BD20" s="70">
        <f t="shared" si="15"/>
        <v>0.25565789473684214</v>
      </c>
      <c r="BE20" s="959"/>
      <c r="BF20" s="960"/>
      <c r="BG20" s="960"/>
      <c r="BH20" s="961"/>
    </row>
    <row r="21" spans="2:60">
      <c r="B21" s="900" t="s">
        <v>291</v>
      </c>
      <c r="C21" s="900"/>
      <c r="D21" s="900"/>
      <c r="E21" s="900"/>
      <c r="F21" s="900"/>
      <c r="G21" s="900"/>
      <c r="H21" s="247"/>
      <c r="I21" s="248"/>
      <c r="J21" s="248"/>
      <c r="K21" s="248"/>
      <c r="L21" s="248"/>
      <c r="M21" s="248"/>
      <c r="N21" s="248"/>
      <c r="O21" s="248"/>
    </row>
    <row r="22" spans="2:60">
      <c r="B22" s="248"/>
      <c r="C22" s="248"/>
      <c r="D22" s="929"/>
      <c r="E22" s="929"/>
      <c r="F22" s="929"/>
      <c r="G22" s="929"/>
      <c r="H22" s="929"/>
      <c r="I22" s="929"/>
      <c r="J22" s="929"/>
      <c r="K22" s="929"/>
      <c r="L22" s="929"/>
      <c r="M22" s="929"/>
      <c r="N22" s="929"/>
      <c r="O22" s="929"/>
    </row>
    <row r="23" spans="2:60" ht="15.6">
      <c r="B23" s="77" t="s">
        <v>26</v>
      </c>
      <c r="C23" s="249">
        <v>44224</v>
      </c>
      <c r="D23" s="250"/>
      <c r="E23" s="932" t="s">
        <v>50</v>
      </c>
      <c r="F23" s="368"/>
      <c r="G23" s="933" t="s">
        <v>566</v>
      </c>
      <c r="H23" s="933"/>
      <c r="I23" s="933"/>
      <c r="J23" s="933"/>
      <c r="K23" s="251"/>
      <c r="L23" s="938"/>
      <c r="M23" s="938"/>
      <c r="N23" s="938"/>
      <c r="O23" s="939"/>
    </row>
    <row r="24" spans="2:60" ht="15.6">
      <c r="B24" s="248"/>
      <c r="C24" s="248"/>
      <c r="D24" s="251"/>
      <c r="E24" s="932"/>
      <c r="F24" s="368"/>
      <c r="G24" s="933"/>
      <c r="H24" s="933"/>
      <c r="I24" s="933"/>
      <c r="J24" s="933"/>
      <c r="K24" s="248"/>
      <c r="L24" s="248"/>
      <c r="M24" s="248"/>
      <c r="N24" s="248"/>
      <c r="O24" s="248"/>
    </row>
    <row r="25" spans="2:60" ht="15.6">
      <c r="B25" s="77" t="s">
        <v>49</v>
      </c>
      <c r="C25" s="249"/>
      <c r="D25" s="248"/>
      <c r="E25" s="248"/>
      <c r="F25" s="248"/>
      <c r="K25" s="248"/>
      <c r="L25" s="248"/>
      <c r="M25" s="248"/>
      <c r="N25" s="248"/>
      <c r="O25" s="248"/>
    </row>
    <row r="26" spans="2:60">
      <c r="B26" s="248"/>
      <c r="C26" s="248"/>
      <c r="D26" s="248"/>
      <c r="E26" s="248"/>
      <c r="F26" s="248"/>
      <c r="K26" s="248"/>
      <c r="L26" s="248"/>
      <c r="M26" s="248"/>
      <c r="N26" s="248"/>
      <c r="O26" s="248"/>
    </row>
    <row r="27" spans="2:60">
      <c r="B27" s="248"/>
      <c r="C27" s="248"/>
      <c r="D27" s="248"/>
      <c r="E27" s="248"/>
      <c r="F27" s="248"/>
      <c r="G27" s="247"/>
      <c r="H27" s="247"/>
      <c r="I27" s="937"/>
      <c r="J27" s="937"/>
      <c r="K27" s="937"/>
      <c r="L27" s="937"/>
      <c r="M27" s="252"/>
      <c r="N27" s="252"/>
      <c r="O27" s="252"/>
    </row>
    <row r="28" spans="2:60">
      <c r="B28" s="248"/>
      <c r="C28" s="248"/>
      <c r="D28" s="248"/>
      <c r="E28" s="248"/>
      <c r="F28" s="248"/>
      <c r="G28" s="247"/>
      <c r="H28" s="247"/>
      <c r="I28" s="248"/>
      <c r="J28" s="248"/>
      <c r="K28" s="253"/>
      <c r="L28" s="248"/>
      <c r="M28" s="248"/>
      <c r="N28" s="248"/>
      <c r="O28" s="248"/>
    </row>
    <row r="29" spans="2:60">
      <c r="B29" s="248"/>
      <c r="C29" s="248"/>
      <c r="D29" s="248"/>
      <c r="E29" s="248"/>
      <c r="F29" s="248"/>
      <c r="G29" s="247"/>
      <c r="H29" s="247"/>
      <c r="I29" s="937"/>
      <c r="J29" s="937"/>
      <c r="K29" s="937"/>
      <c r="L29" s="937"/>
      <c r="M29" s="252"/>
      <c r="N29" s="252"/>
      <c r="O29" s="252"/>
    </row>
    <row r="30" spans="2:60">
      <c r="B30" s="248"/>
      <c r="C30" s="248"/>
      <c r="D30" s="248"/>
      <c r="E30" s="248"/>
      <c r="F30" s="248"/>
      <c r="G30" s="247"/>
      <c r="H30" s="247"/>
      <c r="I30" s="248"/>
      <c r="J30" s="248"/>
      <c r="K30" s="253"/>
      <c r="L30" s="248"/>
      <c r="M30" s="248"/>
      <c r="N30" s="248"/>
      <c r="O30" s="248"/>
    </row>
    <row r="31" spans="2:60">
      <c r="B31" s="248"/>
      <c r="C31" s="248"/>
      <c r="D31" s="248"/>
      <c r="E31" s="248"/>
      <c r="F31" s="248"/>
      <c r="G31" s="247"/>
      <c r="H31" s="247"/>
      <c r="I31" s="937"/>
      <c r="J31" s="937"/>
      <c r="K31" s="937"/>
      <c r="L31" s="937"/>
      <c r="M31" s="252"/>
      <c r="N31" s="252"/>
      <c r="O31" s="252"/>
    </row>
  </sheetData>
  <sheetProtection algorithmName="SHA-512" hashValue="B3s3jCf2vXp2Im4JYwTr+mOIN1X902G5/bzheOT9g51zM9F5HG7WbgJXRM0XEjPHYoQkOtBsTzrWOd+1A+Q+wg==" saltValue="88JZE+T+Ca1oF6TvDeYnAQ==" spinCount="100000" sheet="1" objects="1" scenarios="1"/>
  <mergeCells count="71">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 ref="AN14:AO14"/>
    <mergeCell ref="N12:N15"/>
    <mergeCell ref="O12:O15"/>
    <mergeCell ref="H12:H15"/>
    <mergeCell ref="I12:I15"/>
    <mergeCell ref="J12:J15"/>
    <mergeCell ref="AD14:AE14"/>
    <mergeCell ref="AF14:AG14"/>
    <mergeCell ref="AH14:AI14"/>
    <mergeCell ref="K12:K15"/>
    <mergeCell ref="L12:L15"/>
    <mergeCell ref="M12:M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E20:BH20"/>
    <mergeCell ref="I29:L29"/>
    <mergeCell ref="I31:L31"/>
    <mergeCell ref="B21:G21"/>
    <mergeCell ref="AX20:AZ20"/>
    <mergeCell ref="D22:O22"/>
    <mergeCell ref="E23:E24"/>
    <mergeCell ref="G23:J24"/>
    <mergeCell ref="L23:O23"/>
    <mergeCell ref="I27:L27"/>
    <mergeCell ref="B20:AW20"/>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92D050"/>
  </sheetPr>
  <dimension ref="A1:BH32"/>
  <sheetViews>
    <sheetView showGridLines="0" zoomScale="70" zoomScaleNormal="70" workbookViewId="0">
      <selection activeCell="O20" sqref="O20"/>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1" style="133" customWidth="1"/>
    <col min="10" max="10" width="46.4414062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1:60" ht="15.6" thickBot="1"/>
    <row r="2" spans="1:60" ht="15.6"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1:60" ht="15.6"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1: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1:60" ht="15.6"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1: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1: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1:60" ht="21">
      <c r="B8" s="216" t="s">
        <v>45</v>
      </c>
      <c r="C8" s="958" t="s">
        <v>96</v>
      </c>
      <c r="D8" s="958"/>
      <c r="E8" s="217"/>
      <c r="F8" s="217"/>
      <c r="G8" s="217"/>
      <c r="H8" s="217"/>
      <c r="I8" s="217"/>
      <c r="J8" s="217"/>
      <c r="K8" s="217"/>
      <c r="L8" s="217"/>
      <c r="M8" s="217"/>
      <c r="N8" s="217"/>
      <c r="O8" s="217"/>
      <c r="AW8" s="238"/>
      <c r="AX8" s="238"/>
      <c r="AY8" s="238"/>
      <c r="AZ8" s="238"/>
      <c r="BA8" s="238"/>
      <c r="BB8" s="238"/>
      <c r="BC8" s="238"/>
      <c r="BD8" s="238"/>
    </row>
    <row r="9" spans="1:60" ht="75.75" customHeight="1">
      <c r="B9" s="216" t="s">
        <v>34</v>
      </c>
      <c r="C9" s="1044" t="s">
        <v>591</v>
      </c>
      <c r="D9" s="915"/>
      <c r="E9" s="217"/>
      <c r="F9" s="217"/>
      <c r="G9" s="217"/>
      <c r="H9" s="217"/>
      <c r="I9" s="217"/>
      <c r="J9" s="217"/>
      <c r="K9" s="217"/>
      <c r="L9" s="217"/>
      <c r="M9" s="217"/>
      <c r="N9" s="217"/>
      <c r="O9" s="217"/>
      <c r="AW9" s="238"/>
      <c r="AX9" s="238"/>
      <c r="AY9" s="238"/>
      <c r="AZ9" s="238"/>
      <c r="BA9" s="238"/>
      <c r="BB9" s="238"/>
      <c r="BC9" s="238"/>
      <c r="BD9" s="238"/>
    </row>
    <row r="10" spans="1: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1: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1:60" ht="24"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1: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1: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1: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1:60" ht="102.6" customHeight="1">
      <c r="A16" s="277"/>
      <c r="B16" s="92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1" t="str">
        <f>+'01-FR-03 POA INSTITUCIONAL'!C70</f>
        <v>4.4. Implementar el 100% de las acciones necesarias para la modernización de la gestión institucional a través de los procesos de apoyo, que permita una mejor prestación del servicio.</v>
      </c>
      <c r="D16" s="31" t="str">
        <f>+'01-FR-03 POA INSTITUCIONAL'!D80</f>
        <v>4.4.11  Representar a la Entidad en el 100% de los procesos judiciales en los cuales la sea vinculada o demandada.</v>
      </c>
      <c r="E16" s="52">
        <f>+'01-FR-03 POA INSTITUCIONAL'!E80</f>
        <v>0.05</v>
      </c>
      <c r="F16" s="52">
        <f>+'01-FR-03 POA INSTITUCIONAL'!F80</f>
        <v>1</v>
      </c>
      <c r="G16" s="161">
        <f>+'01-FR-03 POA INSTITUCIONAL'!K80</f>
        <v>1</v>
      </c>
      <c r="H16" s="33">
        <f>+'01-FR-03 POA INSTITUCIONAL'!G80</f>
        <v>1</v>
      </c>
      <c r="I16" s="140" t="str">
        <f>+'01-FR-03 POA INSTITUCIONAL'!H80</f>
        <v>Porcentaje de procesos judiciales en los que se vincule o demande a la Entidad, objeto de representación oportuna</v>
      </c>
      <c r="J16" s="321" t="s">
        <v>580</v>
      </c>
      <c r="K16" s="221" t="s">
        <v>581</v>
      </c>
      <c r="L16" s="221" t="s">
        <v>582</v>
      </c>
      <c r="M16" s="221" t="s">
        <v>583</v>
      </c>
      <c r="N16" s="221" t="s">
        <v>584</v>
      </c>
      <c r="O16" s="322" t="str">
        <f>+'01-FR-03 POA INSTITUCIONAL'!J80</f>
        <v>Oficina Asesora Jurídica</v>
      </c>
      <c r="P16" s="145">
        <v>1</v>
      </c>
      <c r="Q16" s="145">
        <v>1</v>
      </c>
      <c r="R16" s="145">
        <v>1</v>
      </c>
      <c r="S16" s="145">
        <v>1</v>
      </c>
      <c r="T16" s="145">
        <v>1</v>
      </c>
      <c r="U16" s="145">
        <v>1</v>
      </c>
      <c r="V16" s="66">
        <f>AVERAGE(P16,R16,T16)</f>
        <v>1</v>
      </c>
      <c r="W16" s="66">
        <f>IFERROR(AVERAGE(Q16,S16,U16),0)</f>
        <v>1</v>
      </c>
      <c r="X16" s="145">
        <v>1</v>
      </c>
      <c r="Y16" s="403">
        <v>0</v>
      </c>
      <c r="Z16" s="145">
        <v>1</v>
      </c>
      <c r="AA16" s="403">
        <v>0</v>
      </c>
      <c r="AB16" s="145">
        <v>1</v>
      </c>
      <c r="AC16" s="403">
        <v>0</v>
      </c>
      <c r="AD16" s="66">
        <f>AVERAGE(X16,Z16,AB16)</f>
        <v>1</v>
      </c>
      <c r="AE16" s="66">
        <f>IFERROR(AVERAGE(Y16,AA16,AC16),0)</f>
        <v>0</v>
      </c>
      <c r="AF16" s="145">
        <v>1</v>
      </c>
      <c r="AG16" s="403">
        <v>0</v>
      </c>
      <c r="AH16" s="145">
        <v>1</v>
      </c>
      <c r="AI16" s="403">
        <v>0</v>
      </c>
      <c r="AJ16" s="145">
        <v>1</v>
      </c>
      <c r="AK16" s="403">
        <v>0</v>
      </c>
      <c r="AL16" s="66">
        <f>AVERAGE(AF16,AH16,AJ16)</f>
        <v>1</v>
      </c>
      <c r="AM16" s="66">
        <f>IFERROR(AVERAGE(AG16,AI16,AK16),0)</f>
        <v>0</v>
      </c>
      <c r="AN16" s="145">
        <v>1</v>
      </c>
      <c r="AO16" s="403">
        <v>0</v>
      </c>
      <c r="AP16" s="145">
        <v>1</v>
      </c>
      <c r="AQ16" s="403">
        <v>0</v>
      </c>
      <c r="AR16" s="145">
        <v>1</v>
      </c>
      <c r="AS16" s="403">
        <v>0</v>
      </c>
      <c r="AT16" s="66">
        <f>AVERAGE(AN16,AP16,AR16)</f>
        <v>1</v>
      </c>
      <c r="AU16" s="66">
        <f>IFERROR(AVERAGE(AO16,AQ16,AS16),0)</f>
        <v>0</v>
      </c>
      <c r="AV16" s="66">
        <f>AVERAGE(P16,R16,T16,X16,Z16,AB16,AF16,AH16,AJ16,AN16,AP16,AR16)</f>
        <v>1</v>
      </c>
      <c r="AW16" s="65">
        <f>IFERROR(IF(OR($AV$16="",$AV$16=0),0,ROUNDDOWN(AVERAGE($Q16,$S16,$U16),3)),0)</f>
        <v>1</v>
      </c>
      <c r="AX16" s="381">
        <f>IFERROR(IF(OR($AV$17="",$AV$17=0),0,ROUNDDOWN(AVERAGE($Q16,$S16,$U16,$Y16,$AA16,$AC16),3)),0)</f>
        <v>0.5</v>
      </c>
      <c r="AY16" s="381">
        <f>IFERROR(IF(OR($AV$16="",$AV$16=0),0,ROUNDDOWN(AVERAGE($Q16,$S16,$U16,$Y16,$AA16,$AC16,$AG16,$AI16,$AK16),3)),0)</f>
        <v>0.33300000000000002</v>
      </c>
      <c r="AZ16" s="381">
        <f t="shared" ref="AZ16:AZ20" si="0">IFERROR(IF(OR($AV$16="",$AV$16=0),0,ROUNDDOWN(AVERAGE($Q16,$S16,$U16,$Y16,$AA16,$AC16,$AG16,$AI16,$AK16,$AO16,$AQ16,$AS16),3)),0)</f>
        <v>0.25</v>
      </c>
      <c r="BA16" s="386">
        <f>(IF(AND(AW16&gt;0,$AV16&gt;0),AW16/$AV16,0))*0.25</f>
        <v>0.25</v>
      </c>
      <c r="BB16" s="386">
        <f>(IF(AND(AX16&gt;0,$AV16&gt;0),AX16/$AV16,0))*0.5</f>
        <v>0.25</v>
      </c>
      <c r="BC16" s="386">
        <f>(IF(AND(AY16&gt;0,$AV16&gt;0),AY16/$AV16,0))*0.75</f>
        <v>0.24975000000000003</v>
      </c>
      <c r="BD16" s="386">
        <f>(IF(AND(AZ16&gt;0,$AV16&gt;0),AZ16/$AV16,0))*1</f>
        <v>0.25</v>
      </c>
      <c r="BE16" s="399">
        <f>((IF(AND(AW16&gt;0,$F16&gt;0),AW16/$F16,0))/4)*0.25</f>
        <v>6.25E-2</v>
      </c>
      <c r="BF16" s="400">
        <f>((IF(AND(AX16&gt;0,$F16&gt;0),AX16/$F16,0))/4)*0.5</f>
        <v>6.25E-2</v>
      </c>
      <c r="BG16" s="400">
        <f>((IF(AND(AY16&gt;0,$F16&gt;0),AY16/$F16,0))/4)*0.75</f>
        <v>6.2437500000000007E-2</v>
      </c>
      <c r="BH16" s="400">
        <f>((IF(AND(AZ16&gt;0,$F16&gt;0),AZ16/$F16,0))/4)*1</f>
        <v>6.25E-2</v>
      </c>
    </row>
    <row r="17" spans="1:60" ht="150">
      <c r="A17" s="277"/>
      <c r="B17" s="922"/>
      <c r="C17" s="922"/>
      <c r="D17" s="31" t="str">
        <f>+'01-FR-03 POA INSTITUCIONAL'!D81</f>
        <v xml:space="preserve">4.4.12 Defender judicialmente a la Entidad en el 100% de las acciones de tutela en las cuales sea vinculada o accionada </v>
      </c>
      <c r="E17" s="52">
        <f>+'01-FR-03 POA INSTITUCIONAL'!E81</f>
        <v>0.05</v>
      </c>
      <c r="F17" s="52">
        <f>+'01-FR-03 POA INSTITUCIONAL'!F81</f>
        <v>1</v>
      </c>
      <c r="G17" s="161">
        <f>+'01-FR-03 POA INSTITUCIONAL'!K81</f>
        <v>1</v>
      </c>
      <c r="H17" s="33">
        <f>+'01-FR-03 POA INSTITUCIONAL'!G81</f>
        <v>1</v>
      </c>
      <c r="I17" s="140" t="str">
        <f>+'01-FR-03 POA INSTITUCIONAL'!H81</f>
        <v xml:space="preserve">Porcentaje de acciones de tutela en las cuales se defienda judicialmente a la Entidad oportunamente </v>
      </c>
      <c r="J17" s="321" t="s">
        <v>585</v>
      </c>
      <c r="K17" s="241" t="s">
        <v>586</v>
      </c>
      <c r="L17" s="221" t="s">
        <v>582</v>
      </c>
      <c r="M17" s="221" t="s">
        <v>583</v>
      </c>
      <c r="N17" s="221" t="s">
        <v>584</v>
      </c>
      <c r="O17" s="322" t="str">
        <f>+'01-FR-03 POA INSTITUCIONAL'!J81</f>
        <v>Oficina Asesora Jurídica</v>
      </c>
      <c r="P17" s="145">
        <v>1</v>
      </c>
      <c r="Q17" s="145">
        <v>1</v>
      </c>
      <c r="R17" s="145">
        <v>1</v>
      </c>
      <c r="S17" s="145">
        <v>1</v>
      </c>
      <c r="T17" s="145">
        <v>1</v>
      </c>
      <c r="U17" s="145">
        <v>1</v>
      </c>
      <c r="V17" s="66">
        <f t="shared" ref="V17:V19" si="1">AVERAGE(P17,R17,T17)</f>
        <v>1</v>
      </c>
      <c r="W17" s="66">
        <f t="shared" ref="W17:W19" si="2">IFERROR(AVERAGE(Q17,S17,U17),0)</f>
        <v>1</v>
      </c>
      <c r="X17" s="145">
        <v>1</v>
      </c>
      <c r="Y17" s="403">
        <v>0</v>
      </c>
      <c r="Z17" s="145">
        <v>1</v>
      </c>
      <c r="AA17" s="403">
        <v>0</v>
      </c>
      <c r="AB17" s="145">
        <v>1</v>
      </c>
      <c r="AC17" s="403">
        <v>0</v>
      </c>
      <c r="AD17" s="66">
        <f t="shared" ref="AD17:AD19" si="3">AVERAGE(X17,Z17,AB17)</f>
        <v>1</v>
      </c>
      <c r="AE17" s="66">
        <f t="shared" ref="AE17:AE19" si="4">IFERROR(AVERAGE(Y17,AA17,AC17),0)</f>
        <v>0</v>
      </c>
      <c r="AF17" s="145">
        <v>1</v>
      </c>
      <c r="AG17" s="403">
        <v>0</v>
      </c>
      <c r="AH17" s="145">
        <v>1</v>
      </c>
      <c r="AI17" s="403">
        <v>0</v>
      </c>
      <c r="AJ17" s="145">
        <v>1</v>
      </c>
      <c r="AK17" s="403">
        <v>0</v>
      </c>
      <c r="AL17" s="66">
        <f t="shared" ref="AL17:AL19" si="5">AVERAGE(AF17,AH17,AJ17)</f>
        <v>1</v>
      </c>
      <c r="AM17" s="66">
        <f t="shared" ref="AM17:AM19" si="6">IFERROR(AVERAGE(AG17,AI17,AK17),0)</f>
        <v>0</v>
      </c>
      <c r="AN17" s="145">
        <v>1</v>
      </c>
      <c r="AO17" s="403">
        <v>0</v>
      </c>
      <c r="AP17" s="145">
        <v>1</v>
      </c>
      <c r="AQ17" s="403">
        <v>0</v>
      </c>
      <c r="AR17" s="145">
        <v>1</v>
      </c>
      <c r="AS17" s="403">
        <v>0</v>
      </c>
      <c r="AT17" s="66">
        <f t="shared" ref="AT17:AT19" si="7">AVERAGE(AN17,AP17,AR17)</f>
        <v>1</v>
      </c>
      <c r="AU17" s="66">
        <f t="shared" ref="AU17:AU19" si="8">IFERROR(AVERAGE(AO17,AQ17,AS17),0)</f>
        <v>0</v>
      </c>
      <c r="AV17" s="66">
        <f t="shared" ref="AV17:AV19" si="9">AVERAGE(P17,R17,T17,X17,Z17,AB17,AF17,AH17,AJ17,AN17,AP17,AR17)</f>
        <v>1</v>
      </c>
      <c r="AW17" s="65">
        <f t="shared" ref="AW17:AW20" si="10">IFERROR(IF(OR($AV$16="",$AV$16=0),0,ROUNDDOWN(AVERAGE($Q17,$S17,$U17),3)),0)</f>
        <v>1</v>
      </c>
      <c r="AX17" s="381">
        <f t="shared" ref="AX17:AX20" si="11">IFERROR(IF(OR($AV$17="",$AV$17=0),0,ROUNDDOWN(AVERAGE($Q17,$S17,$U17,$Y17,$AA17,$AC17),3)),0)</f>
        <v>0.5</v>
      </c>
      <c r="AY17" s="381">
        <f t="shared" ref="AY17:AY20" si="12">IFERROR(IF(OR($AV$16="",$AV$16=0),0,ROUNDDOWN(AVERAGE($Q17,$S17,$U17,$Y17,$AA17,$AC17,$AG17,$AI17,$AK17),3)),0)</f>
        <v>0.33300000000000002</v>
      </c>
      <c r="AZ17" s="381">
        <f t="shared" si="0"/>
        <v>0.25</v>
      </c>
      <c r="BA17" s="386">
        <f t="shared" ref="BA17:BA20" si="13">(IF(AND(AW17&gt;0,$AV17&gt;0),AW17/$AV17,0))*0.25</f>
        <v>0.25</v>
      </c>
      <c r="BB17" s="386">
        <f t="shared" ref="BB17:BB20" si="14">(IF(AND(AX17&gt;0,$AV17&gt;0),AX17/$AV17,0))*0.5</f>
        <v>0.25</v>
      </c>
      <c r="BC17" s="386">
        <f t="shared" ref="BC17:BC20" si="15">(IF(AND(AY17&gt;0,$AV17&gt;0),AY17/$AV17,0))*0.75</f>
        <v>0.24975000000000003</v>
      </c>
      <c r="BD17" s="386">
        <f t="shared" ref="BD17:BD20" si="16">(IF(AND(AZ17&gt;0,$AV17&gt;0),AZ17/$AV17,0))*1</f>
        <v>0.25</v>
      </c>
      <c r="BE17" s="399">
        <f t="shared" ref="BE17:BE20" si="17">((IF(AND(AW17&gt;0,$F17&gt;0),AW17/$F17,0))/4)*0.25</f>
        <v>6.25E-2</v>
      </c>
      <c r="BF17" s="400">
        <f t="shared" ref="BF17:BF20" si="18">((IF(AND(AX17&gt;0,$F17&gt;0),AX17/$F17,0))/4)*0.5</f>
        <v>6.25E-2</v>
      </c>
      <c r="BG17" s="400">
        <f t="shared" ref="BG17:BG20" si="19">((IF(AND(AY17&gt;0,$F17&gt;0),AY17/$F17,0))/4)*0.75</f>
        <v>6.2437500000000007E-2</v>
      </c>
      <c r="BH17" s="400">
        <f t="shared" ref="BH17:BH20" si="20">((IF(AND(AZ17&gt;0,$F17&gt;0),AZ17/$F17,0))/4)*1</f>
        <v>6.25E-2</v>
      </c>
    </row>
    <row r="18" spans="1:60" ht="75">
      <c r="A18" s="277"/>
      <c r="B18" s="922"/>
      <c r="C18" s="922"/>
      <c r="D18" s="31" t="str">
        <f>+'01-FR-03 POA INSTITUCIONAL'!D82</f>
        <v>4.4.13 Emitir oportunamente el 100% de los conceptos jurídicos solicitados por el Despacho del Personero de Bogotá o sus delegados.</v>
      </c>
      <c r="E18" s="52">
        <f>+'01-FR-03 POA INSTITUCIONAL'!E82</f>
        <v>0.05</v>
      </c>
      <c r="F18" s="52">
        <f>+'01-FR-03 POA INSTITUCIONAL'!F82</f>
        <v>1</v>
      </c>
      <c r="G18" s="161">
        <f>+'01-FR-03 POA INSTITUCIONAL'!K82</f>
        <v>1</v>
      </c>
      <c r="H18" s="33">
        <f>+'01-FR-03 POA INSTITUCIONAL'!G82</f>
        <v>1</v>
      </c>
      <c r="I18" s="140" t="str">
        <f>+'01-FR-03 POA INSTITUCIONAL'!H82</f>
        <v>Porcentaje de conceptos de competencia de la dependencia emitidos oportunamente</v>
      </c>
      <c r="J18" s="321" t="s">
        <v>587</v>
      </c>
      <c r="K18" s="241" t="s">
        <v>588</v>
      </c>
      <c r="L18" s="221" t="s">
        <v>589</v>
      </c>
      <c r="M18" s="221" t="s">
        <v>583</v>
      </c>
      <c r="N18" s="221" t="s">
        <v>584</v>
      </c>
      <c r="O18" s="322" t="str">
        <f>+'01-FR-03 POA INSTITUCIONAL'!J82</f>
        <v>Oficina Asesora Jurídica</v>
      </c>
      <c r="P18" s="145">
        <v>1</v>
      </c>
      <c r="Q18" s="145">
        <v>1</v>
      </c>
      <c r="R18" s="145">
        <v>1</v>
      </c>
      <c r="S18" s="145">
        <v>1</v>
      </c>
      <c r="T18" s="145">
        <v>1</v>
      </c>
      <c r="U18" s="145">
        <v>1</v>
      </c>
      <c r="V18" s="66">
        <f t="shared" si="1"/>
        <v>1</v>
      </c>
      <c r="W18" s="66">
        <f t="shared" si="2"/>
        <v>1</v>
      </c>
      <c r="X18" s="145">
        <v>1</v>
      </c>
      <c r="Y18" s="403">
        <v>0</v>
      </c>
      <c r="Z18" s="145">
        <v>1</v>
      </c>
      <c r="AA18" s="403">
        <v>0</v>
      </c>
      <c r="AB18" s="145">
        <v>1</v>
      </c>
      <c r="AC18" s="403">
        <v>0</v>
      </c>
      <c r="AD18" s="66">
        <f t="shared" si="3"/>
        <v>1</v>
      </c>
      <c r="AE18" s="66">
        <f t="shared" si="4"/>
        <v>0</v>
      </c>
      <c r="AF18" s="145">
        <v>1</v>
      </c>
      <c r="AG18" s="403">
        <v>0</v>
      </c>
      <c r="AH18" s="145">
        <v>1</v>
      </c>
      <c r="AI18" s="403">
        <v>0</v>
      </c>
      <c r="AJ18" s="145">
        <v>1</v>
      </c>
      <c r="AK18" s="403">
        <v>0</v>
      </c>
      <c r="AL18" s="66">
        <f t="shared" si="5"/>
        <v>1</v>
      </c>
      <c r="AM18" s="66">
        <f t="shared" si="6"/>
        <v>0</v>
      </c>
      <c r="AN18" s="145">
        <v>1</v>
      </c>
      <c r="AO18" s="403">
        <v>0</v>
      </c>
      <c r="AP18" s="145">
        <v>1</v>
      </c>
      <c r="AQ18" s="403">
        <v>0</v>
      </c>
      <c r="AR18" s="145">
        <v>1</v>
      </c>
      <c r="AS18" s="403">
        <v>0</v>
      </c>
      <c r="AT18" s="66">
        <f t="shared" si="7"/>
        <v>1</v>
      </c>
      <c r="AU18" s="66">
        <f t="shared" si="8"/>
        <v>0</v>
      </c>
      <c r="AV18" s="66">
        <f t="shared" si="9"/>
        <v>1</v>
      </c>
      <c r="AW18" s="65">
        <f t="shared" si="10"/>
        <v>1</v>
      </c>
      <c r="AX18" s="381">
        <f t="shared" si="11"/>
        <v>0.5</v>
      </c>
      <c r="AY18" s="381">
        <f t="shared" si="12"/>
        <v>0.33300000000000002</v>
      </c>
      <c r="AZ18" s="381">
        <f t="shared" si="0"/>
        <v>0.25</v>
      </c>
      <c r="BA18" s="386">
        <f t="shared" si="13"/>
        <v>0.25</v>
      </c>
      <c r="BB18" s="386">
        <f t="shared" si="14"/>
        <v>0.25</v>
      </c>
      <c r="BC18" s="386">
        <f t="shared" si="15"/>
        <v>0.24975000000000003</v>
      </c>
      <c r="BD18" s="386">
        <f t="shared" si="16"/>
        <v>0.25</v>
      </c>
      <c r="BE18" s="399">
        <f t="shared" si="17"/>
        <v>6.25E-2</v>
      </c>
      <c r="BF18" s="400">
        <f t="shared" si="18"/>
        <v>6.25E-2</v>
      </c>
      <c r="BG18" s="400">
        <f t="shared" si="19"/>
        <v>6.2437500000000007E-2</v>
      </c>
      <c r="BH18" s="400">
        <f t="shared" si="20"/>
        <v>6.25E-2</v>
      </c>
    </row>
    <row r="19" spans="1:60" ht="90">
      <c r="A19" s="277"/>
      <c r="B19" s="922"/>
      <c r="C19" s="922"/>
      <c r="D19" s="921" t="str">
        <f>+'01-FR-03 POA INSTITUCIONAL'!D83</f>
        <v>4.4.14 Registrar el 100% de los reportes de las sanciones disciplinarias de los servidores públicos distritales.</v>
      </c>
      <c r="E19" s="759">
        <f>+'01-FR-03 POA INSTITUCIONAL'!E83</f>
        <v>0.05</v>
      </c>
      <c r="F19" s="52">
        <f>+'01-FR-03 POA INSTITUCIONAL'!F83</f>
        <v>1</v>
      </c>
      <c r="G19" s="161">
        <f>+'01-FR-03 POA INSTITUCIONAL'!K83</f>
        <v>1</v>
      </c>
      <c r="H19" s="33">
        <f>+'01-FR-03 POA INSTITUCIONAL'!G83</f>
        <v>1</v>
      </c>
      <c r="I19" s="140" t="str">
        <f>+'01-FR-03 POA INSTITUCIONAL'!H83</f>
        <v>Porcentaje de reportes de la base de datos de sanciones disciplinarias registrados</v>
      </c>
      <c r="J19" s="321" t="s">
        <v>593</v>
      </c>
      <c r="K19" s="221" t="s">
        <v>594</v>
      </c>
      <c r="L19" s="221" t="s">
        <v>590</v>
      </c>
      <c r="M19" s="221" t="s">
        <v>583</v>
      </c>
      <c r="N19" s="221" t="s">
        <v>584</v>
      </c>
      <c r="O19" s="322" t="str">
        <f>+'01-FR-03 POA INSTITUCIONAL'!J83</f>
        <v>Oficina Asesora Jurídica</v>
      </c>
      <c r="P19" s="145">
        <v>1</v>
      </c>
      <c r="Q19" s="145">
        <v>1</v>
      </c>
      <c r="R19" s="145">
        <v>1</v>
      </c>
      <c r="S19" s="145">
        <v>1</v>
      </c>
      <c r="T19" s="145">
        <v>1</v>
      </c>
      <c r="U19" s="145">
        <v>1</v>
      </c>
      <c r="V19" s="66">
        <f t="shared" si="1"/>
        <v>1</v>
      </c>
      <c r="W19" s="66">
        <f t="shared" si="2"/>
        <v>1</v>
      </c>
      <c r="X19" s="145">
        <v>1</v>
      </c>
      <c r="Y19" s="403">
        <v>0</v>
      </c>
      <c r="Z19" s="145">
        <v>1</v>
      </c>
      <c r="AA19" s="403">
        <v>0</v>
      </c>
      <c r="AB19" s="145">
        <v>1</v>
      </c>
      <c r="AC19" s="403">
        <v>0</v>
      </c>
      <c r="AD19" s="66">
        <f t="shared" si="3"/>
        <v>1</v>
      </c>
      <c r="AE19" s="66">
        <f t="shared" si="4"/>
        <v>0</v>
      </c>
      <c r="AF19" s="145">
        <v>1</v>
      </c>
      <c r="AG19" s="403">
        <v>0</v>
      </c>
      <c r="AH19" s="145">
        <v>1</v>
      </c>
      <c r="AI19" s="403">
        <v>0</v>
      </c>
      <c r="AJ19" s="145">
        <v>1</v>
      </c>
      <c r="AK19" s="403">
        <v>0</v>
      </c>
      <c r="AL19" s="66">
        <f t="shared" si="5"/>
        <v>1</v>
      </c>
      <c r="AM19" s="66">
        <f t="shared" si="6"/>
        <v>0</v>
      </c>
      <c r="AN19" s="145">
        <v>1</v>
      </c>
      <c r="AO19" s="403">
        <v>0</v>
      </c>
      <c r="AP19" s="145">
        <v>1</v>
      </c>
      <c r="AQ19" s="403">
        <v>0</v>
      </c>
      <c r="AR19" s="145">
        <v>1</v>
      </c>
      <c r="AS19" s="403">
        <v>0</v>
      </c>
      <c r="AT19" s="66">
        <f t="shared" si="7"/>
        <v>1</v>
      </c>
      <c r="AU19" s="66">
        <f t="shared" si="8"/>
        <v>0</v>
      </c>
      <c r="AV19" s="66">
        <f t="shared" si="9"/>
        <v>1</v>
      </c>
      <c r="AW19" s="65">
        <f t="shared" si="10"/>
        <v>1</v>
      </c>
      <c r="AX19" s="381">
        <f t="shared" si="11"/>
        <v>0.5</v>
      </c>
      <c r="AY19" s="381">
        <f t="shared" si="12"/>
        <v>0.33300000000000002</v>
      </c>
      <c r="AZ19" s="381">
        <f t="shared" si="0"/>
        <v>0.25</v>
      </c>
      <c r="BA19" s="386">
        <f t="shared" si="13"/>
        <v>0.25</v>
      </c>
      <c r="BB19" s="386">
        <f t="shared" si="14"/>
        <v>0.25</v>
      </c>
      <c r="BC19" s="386">
        <f t="shared" si="15"/>
        <v>0.24975000000000003</v>
      </c>
      <c r="BD19" s="386">
        <f t="shared" si="16"/>
        <v>0.25</v>
      </c>
      <c r="BE19" s="399">
        <f t="shared" si="17"/>
        <v>6.25E-2</v>
      </c>
      <c r="BF19" s="400">
        <f t="shared" si="18"/>
        <v>6.25E-2</v>
      </c>
      <c r="BG19" s="400">
        <f t="shared" si="19"/>
        <v>6.2437500000000007E-2</v>
      </c>
      <c r="BH19" s="400">
        <f t="shared" si="20"/>
        <v>6.25E-2</v>
      </c>
    </row>
    <row r="20" spans="1:60" ht="62.25" customHeight="1">
      <c r="B20" s="948"/>
      <c r="C20" s="948"/>
      <c r="D20" s="948"/>
      <c r="E20" s="760"/>
      <c r="F20" s="52">
        <f>+'01-FR-03 POA INSTITUCIONAL'!F84</f>
        <v>1</v>
      </c>
      <c r="G20" s="161">
        <f>+'01-FR-03 POA INSTITUCIONAL'!K84</f>
        <v>1</v>
      </c>
      <c r="H20" s="33">
        <f>+'01-FR-03 POA INSTITUCIONAL'!G84</f>
        <v>1</v>
      </c>
      <c r="I20" s="140" t="str">
        <f>+'01-FR-03 POA INSTITUCIONAL'!H84</f>
        <v>Porcentaje de antecedentes disciplinarios expedidos</v>
      </c>
      <c r="J20" s="321" t="s">
        <v>722</v>
      </c>
      <c r="K20" s="221" t="s">
        <v>595</v>
      </c>
      <c r="L20" s="221" t="s">
        <v>596</v>
      </c>
      <c r="M20" s="221" t="s">
        <v>597</v>
      </c>
      <c r="N20" s="221" t="s">
        <v>584</v>
      </c>
      <c r="O20" s="322" t="str">
        <f>+'01-FR-03 POA INSTITUCIONAL'!J84</f>
        <v>Oficina Asesora Jurídica</v>
      </c>
      <c r="P20" s="145">
        <v>1</v>
      </c>
      <c r="Q20" s="145">
        <v>1</v>
      </c>
      <c r="R20" s="145">
        <v>1</v>
      </c>
      <c r="S20" s="145">
        <v>1</v>
      </c>
      <c r="T20" s="145">
        <v>1</v>
      </c>
      <c r="U20" s="145">
        <v>1</v>
      </c>
      <c r="V20" s="66">
        <f t="shared" ref="V20" si="21">AVERAGE(P20,R20,T20)</f>
        <v>1</v>
      </c>
      <c r="W20" s="66">
        <f t="shared" ref="W20" si="22">IFERROR(AVERAGE(Q20,S20,U20),0)</f>
        <v>1</v>
      </c>
      <c r="X20" s="145">
        <v>1</v>
      </c>
      <c r="Y20" s="403">
        <v>0</v>
      </c>
      <c r="Z20" s="145">
        <v>1</v>
      </c>
      <c r="AA20" s="403">
        <v>0</v>
      </c>
      <c r="AB20" s="145">
        <v>1</v>
      </c>
      <c r="AC20" s="403">
        <v>0</v>
      </c>
      <c r="AD20" s="66">
        <f t="shared" ref="AD20" si="23">AVERAGE(X20,Z20,AB20)</f>
        <v>1</v>
      </c>
      <c r="AE20" s="66">
        <f t="shared" ref="AE20" si="24">IFERROR(AVERAGE(Y20,AA20,AC20),0)</f>
        <v>0</v>
      </c>
      <c r="AF20" s="145">
        <v>1</v>
      </c>
      <c r="AG20" s="403">
        <v>0</v>
      </c>
      <c r="AH20" s="145">
        <v>1</v>
      </c>
      <c r="AI20" s="403">
        <v>0</v>
      </c>
      <c r="AJ20" s="145">
        <v>1</v>
      </c>
      <c r="AK20" s="403">
        <v>0</v>
      </c>
      <c r="AL20" s="66">
        <f t="shared" ref="AL20" si="25">AVERAGE(AF20,AH20,AJ20)</f>
        <v>1</v>
      </c>
      <c r="AM20" s="66">
        <f t="shared" ref="AM20" si="26">IFERROR(AVERAGE(AG20,AI20,AK20),0)</f>
        <v>0</v>
      </c>
      <c r="AN20" s="145">
        <v>1</v>
      </c>
      <c r="AO20" s="403">
        <v>0</v>
      </c>
      <c r="AP20" s="145">
        <v>1</v>
      </c>
      <c r="AQ20" s="403">
        <v>0</v>
      </c>
      <c r="AR20" s="145">
        <v>1</v>
      </c>
      <c r="AS20" s="403">
        <v>0</v>
      </c>
      <c r="AT20" s="66">
        <f t="shared" ref="AT20" si="27">AVERAGE(AN20,AP20,AR20)</f>
        <v>1</v>
      </c>
      <c r="AU20" s="66">
        <f t="shared" ref="AU20" si="28">IFERROR(AVERAGE(AO20,AQ20,AS20),0)</f>
        <v>0</v>
      </c>
      <c r="AV20" s="66">
        <f t="shared" ref="AV20" si="29">AVERAGE(P20,R20,T20,X20,Z20,AB20,AF20,AH20,AJ20,AN20,AP20,AR20)</f>
        <v>1</v>
      </c>
      <c r="AW20" s="65">
        <f t="shared" si="10"/>
        <v>1</v>
      </c>
      <c r="AX20" s="381">
        <f t="shared" si="11"/>
        <v>0.5</v>
      </c>
      <c r="AY20" s="381">
        <f t="shared" si="12"/>
        <v>0.33300000000000002</v>
      </c>
      <c r="AZ20" s="381">
        <f t="shared" si="0"/>
        <v>0.25</v>
      </c>
      <c r="BA20" s="386">
        <f t="shared" si="13"/>
        <v>0.25</v>
      </c>
      <c r="BB20" s="386">
        <f t="shared" si="14"/>
        <v>0.25</v>
      </c>
      <c r="BC20" s="386">
        <f t="shared" si="15"/>
        <v>0.24975000000000003</v>
      </c>
      <c r="BD20" s="386">
        <f t="shared" si="16"/>
        <v>0.25</v>
      </c>
      <c r="BE20" s="399">
        <f t="shared" si="17"/>
        <v>6.25E-2</v>
      </c>
      <c r="BF20" s="400">
        <f t="shared" si="18"/>
        <v>6.25E-2</v>
      </c>
      <c r="BG20" s="400">
        <f t="shared" si="19"/>
        <v>6.2437500000000007E-2</v>
      </c>
      <c r="BH20" s="400">
        <f t="shared" si="20"/>
        <v>6.25E-2</v>
      </c>
    </row>
    <row r="21" spans="1:60" ht="22.8">
      <c r="B21" s="949"/>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1"/>
      <c r="AX21" s="918" t="s">
        <v>19</v>
      </c>
      <c r="AY21" s="947"/>
      <c r="AZ21" s="947"/>
      <c r="BA21" s="70">
        <f t="shared" ref="BA21:BD21" si="30">AVERAGE(BA16:BA20)</f>
        <v>0.25</v>
      </c>
      <c r="BB21" s="70">
        <f t="shared" si="30"/>
        <v>0.25</v>
      </c>
      <c r="BC21" s="70">
        <f t="shared" si="30"/>
        <v>0.24975000000000006</v>
      </c>
      <c r="BD21" s="70">
        <f t="shared" si="30"/>
        <v>0.25</v>
      </c>
      <c r="BE21" s="959"/>
      <c r="BF21" s="960"/>
      <c r="BG21" s="960"/>
      <c r="BH21" s="961"/>
    </row>
    <row r="22" spans="1:60">
      <c r="B22" s="900" t="s">
        <v>291</v>
      </c>
      <c r="C22" s="900"/>
      <c r="D22" s="900"/>
      <c r="E22" s="900"/>
      <c r="F22" s="900"/>
      <c r="G22" s="900"/>
      <c r="H22" s="247"/>
      <c r="I22" s="248"/>
      <c r="J22" s="248"/>
      <c r="K22" s="248"/>
      <c r="L22" s="248"/>
      <c r="M22" s="248"/>
      <c r="N22" s="248"/>
      <c r="O22" s="248"/>
    </row>
    <row r="23" spans="1:60">
      <c r="B23" s="248"/>
      <c r="C23" s="248"/>
      <c r="D23" s="929"/>
      <c r="E23" s="929"/>
      <c r="F23" s="929"/>
      <c r="G23" s="929"/>
      <c r="H23" s="929"/>
      <c r="I23" s="929"/>
      <c r="J23" s="929"/>
      <c r="K23" s="929"/>
      <c r="L23" s="929"/>
      <c r="M23" s="929"/>
      <c r="N23" s="929"/>
      <c r="O23" s="929"/>
    </row>
    <row r="24" spans="1:60" ht="15.6">
      <c r="B24" s="77" t="s">
        <v>26</v>
      </c>
      <c r="C24" s="249">
        <v>44224</v>
      </c>
      <c r="D24" s="250"/>
      <c r="E24" s="932" t="s">
        <v>50</v>
      </c>
      <c r="F24" s="368"/>
      <c r="G24" s="933" t="s">
        <v>592</v>
      </c>
      <c r="H24" s="933"/>
      <c r="I24" s="933"/>
      <c r="J24" s="933"/>
      <c r="K24" s="251"/>
      <c r="L24" s="938"/>
      <c r="M24" s="938"/>
      <c r="N24" s="938"/>
      <c r="O24" s="939"/>
    </row>
    <row r="25" spans="1:60" ht="15.6">
      <c r="B25" s="248"/>
      <c r="C25" s="248"/>
      <c r="D25" s="251"/>
      <c r="E25" s="932"/>
      <c r="F25" s="368"/>
      <c r="G25" s="933"/>
      <c r="H25" s="933"/>
      <c r="I25" s="933"/>
      <c r="J25" s="933"/>
      <c r="K25" s="248"/>
      <c r="L25" s="248"/>
      <c r="M25" s="248"/>
      <c r="N25" s="248"/>
      <c r="O25" s="248"/>
    </row>
    <row r="26" spans="1:60" ht="15.6">
      <c r="B26" s="77" t="s">
        <v>49</v>
      </c>
      <c r="C26" s="249"/>
      <c r="D26" s="248"/>
      <c r="E26" s="248"/>
      <c r="F26" s="248"/>
      <c r="K26" s="248"/>
      <c r="L26" s="248"/>
      <c r="M26" s="248"/>
      <c r="N26" s="248"/>
      <c r="O26" s="248"/>
    </row>
    <row r="27" spans="1:60">
      <c r="B27" s="248"/>
      <c r="C27" s="248"/>
      <c r="D27" s="248"/>
      <c r="E27" s="248"/>
      <c r="F27" s="248"/>
      <c r="K27" s="248"/>
      <c r="L27" s="248"/>
      <c r="M27" s="248"/>
      <c r="N27" s="248"/>
      <c r="O27" s="248"/>
    </row>
    <row r="28" spans="1:60">
      <c r="B28" s="248"/>
      <c r="C28" s="248"/>
      <c r="D28" s="248"/>
      <c r="E28" s="248"/>
      <c r="F28" s="248"/>
      <c r="G28" s="247"/>
      <c r="H28" s="247"/>
      <c r="I28" s="937"/>
      <c r="J28" s="937"/>
      <c r="K28" s="937"/>
      <c r="L28" s="937"/>
      <c r="M28" s="252"/>
      <c r="N28" s="252"/>
      <c r="O28" s="252"/>
    </row>
    <row r="29" spans="1:60">
      <c r="B29" s="248"/>
      <c r="C29" s="248"/>
      <c r="D29" s="248"/>
      <c r="E29" s="248"/>
      <c r="F29" s="248"/>
      <c r="G29" s="247"/>
      <c r="H29" s="247"/>
      <c r="I29" s="248"/>
      <c r="J29" s="248"/>
      <c r="K29" s="253"/>
      <c r="L29" s="248"/>
      <c r="M29" s="248"/>
      <c r="N29" s="248"/>
      <c r="O29" s="248"/>
    </row>
    <row r="30" spans="1:60">
      <c r="B30" s="248"/>
      <c r="C30" s="248"/>
      <c r="D30" s="248"/>
      <c r="E30" s="248"/>
      <c r="F30" s="248"/>
      <c r="G30" s="247"/>
      <c r="H30" s="247"/>
      <c r="I30" s="937"/>
      <c r="J30" s="937"/>
      <c r="K30" s="937"/>
      <c r="L30" s="937"/>
      <c r="M30" s="252"/>
      <c r="N30" s="252"/>
      <c r="O30" s="252"/>
    </row>
    <row r="31" spans="1:60">
      <c r="B31" s="248"/>
      <c r="C31" s="248"/>
      <c r="D31" s="248"/>
      <c r="E31" s="248"/>
      <c r="F31" s="248"/>
      <c r="G31" s="247"/>
      <c r="H31" s="247"/>
      <c r="I31" s="248"/>
      <c r="J31" s="248"/>
      <c r="K31" s="253"/>
      <c r="L31" s="248"/>
      <c r="M31" s="248"/>
      <c r="N31" s="248"/>
      <c r="O31" s="248"/>
    </row>
    <row r="32" spans="1:60">
      <c r="B32" s="248"/>
      <c r="C32" s="248"/>
      <c r="D32" s="248"/>
      <c r="E32" s="248"/>
      <c r="F32" s="248"/>
      <c r="G32" s="247"/>
      <c r="H32" s="247"/>
      <c r="I32" s="937"/>
      <c r="J32" s="937"/>
      <c r="K32" s="937"/>
      <c r="L32" s="937"/>
      <c r="M32" s="252"/>
      <c r="N32" s="252"/>
      <c r="O32" s="252"/>
    </row>
  </sheetData>
  <sheetProtection algorithmName="SHA-512" hashValue="wzY0ITEYBhJ1xCOnWueQDvm7S1aKbrGz3ZiTq+Tkegb/GTx3lOMrnJg/mgyNqv8nDj1pi3F9KnTYC3u3u+iZ6A==" saltValue="zlRKTti7bFK6BKnJ84aqVg==" spinCount="100000" sheet="1" objects="1" scenarios="1"/>
  <mergeCells count="73">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BE21:BH21"/>
    <mergeCell ref="I30:L30"/>
    <mergeCell ref="I32:L32"/>
    <mergeCell ref="E19:E20"/>
    <mergeCell ref="D19:D20"/>
    <mergeCell ref="B22:G22"/>
    <mergeCell ref="B16:B20"/>
    <mergeCell ref="C16:C20"/>
    <mergeCell ref="I28:L28"/>
    <mergeCell ref="AX21:AZ21"/>
    <mergeCell ref="D23:O23"/>
    <mergeCell ref="E24:E25"/>
    <mergeCell ref="G24:J25"/>
    <mergeCell ref="L24:O24"/>
    <mergeCell ref="B21:AW21"/>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92D050"/>
  </sheetPr>
  <dimension ref="B1:BH30"/>
  <sheetViews>
    <sheetView showGridLines="0" zoomScale="70" zoomScaleNormal="70" workbookViewId="0">
      <selection activeCell="O17" sqref="O17"/>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5" width="23.44140625" style="133" customWidth="1"/>
    <col min="6" max="6" width="27.5546875" style="133" customWidth="1"/>
    <col min="7" max="8" width="29.33203125" style="134" customWidth="1"/>
    <col min="9" max="9" width="26.8867187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5.6" customHeight="1">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ustomHeight="1">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4.6">
      <c r="B8" s="216" t="s">
        <v>45</v>
      </c>
      <c r="C8" s="913" t="s">
        <v>87</v>
      </c>
      <c r="D8" s="913"/>
      <c r="E8" s="217"/>
      <c r="F8" s="217"/>
      <c r="G8" s="217"/>
      <c r="H8" s="217"/>
      <c r="I8" s="217"/>
      <c r="J8" s="217"/>
      <c r="K8" s="217"/>
      <c r="L8" s="217"/>
      <c r="M8" s="217"/>
      <c r="N8" s="217"/>
      <c r="O8" s="217"/>
      <c r="AW8" s="238"/>
      <c r="AX8" s="238"/>
      <c r="AY8" s="238"/>
      <c r="AZ8" s="238"/>
      <c r="BA8" s="238"/>
      <c r="BB8" s="238"/>
      <c r="BC8" s="238"/>
      <c r="BD8" s="238"/>
    </row>
    <row r="9" spans="2:60" ht="75" customHeight="1">
      <c r="B9" s="216" t="s">
        <v>34</v>
      </c>
      <c r="C9" s="914" t="s">
        <v>430</v>
      </c>
      <c r="D9" s="915"/>
      <c r="E9" s="217"/>
      <c r="F9" s="217"/>
      <c r="G9" s="217"/>
      <c r="H9" s="217"/>
      <c r="I9" s="217"/>
      <c r="J9" s="217"/>
      <c r="K9" s="217"/>
      <c r="L9" s="217"/>
      <c r="M9" s="217"/>
      <c r="N9" s="217"/>
      <c r="O9" s="217"/>
      <c r="AW9" s="238"/>
      <c r="AX9" s="238"/>
      <c r="AY9" s="238"/>
      <c r="AZ9" s="238"/>
      <c r="BA9" s="238"/>
      <c r="BB9" s="238"/>
      <c r="BC9" s="238"/>
      <c r="BD9" s="238"/>
    </row>
    <row r="10" spans="2: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25.2"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0" ht="128.25" customHeight="1">
      <c r="B16" s="773"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773" t="str">
        <f>+'01-FR-03 POA INSTITUCIONAL'!C56</f>
        <v>4.2. Consolidar el 90% del Modelo Integrado de Planeación y Gestión –MIPG- y sus sistemas de gestión articulados, como compromiso con la Calidad, la Excelencia, la Responsabilidad Ambiental y la Mejora en la prestación del Servicio.</v>
      </c>
      <c r="D16" s="31" t="str">
        <f>+'01-FR-03 POA INSTITUCIONAL'!D60</f>
        <v>4.2.5 Incrementar al 90% la percepción de los usuarios que califican como excelente y bueno el servicio en la Personería de Bogotá</v>
      </c>
      <c r="E16" s="52">
        <f>+'01-FR-03 POA INSTITUCIONAL'!E60</f>
        <v>0.2</v>
      </c>
      <c r="F16" s="332">
        <f>+'01-FR-03 POA INSTITUCIONAL'!F60</f>
        <v>0.9</v>
      </c>
      <c r="G16" s="176">
        <f>+'01-FR-03 POA INSTITUCIONAL'!K60</f>
        <v>0.9</v>
      </c>
      <c r="H16" s="33">
        <f>+'01-FR-03 POA INSTITUCIONAL'!G60</f>
        <v>0.86</v>
      </c>
      <c r="I16" s="33" t="str">
        <f>+'01-FR-03 POA INSTITUCIONAL'!H60</f>
        <v>Porcentaje de Percepción de los usuarios en calificación excelente y bueno incrementado</v>
      </c>
      <c r="J16" s="218" t="s">
        <v>420</v>
      </c>
      <c r="K16" s="221" t="s">
        <v>421</v>
      </c>
      <c r="L16" s="221" t="s">
        <v>422</v>
      </c>
      <c r="M16" s="221" t="s">
        <v>423</v>
      </c>
      <c r="N16" s="221" t="s">
        <v>424</v>
      </c>
      <c r="O16" s="34" t="str">
        <f>+'01-FR-03 POA INSTITUCIONAL'!J60</f>
        <v>Secretaría General</v>
      </c>
      <c r="P16" s="330">
        <v>0.9</v>
      </c>
      <c r="Q16" s="373">
        <v>0.79800000000000004</v>
      </c>
      <c r="R16" s="330">
        <v>0</v>
      </c>
      <c r="S16" s="176">
        <v>0</v>
      </c>
      <c r="T16" s="330">
        <v>0</v>
      </c>
      <c r="U16" s="176">
        <v>0</v>
      </c>
      <c r="V16" s="345">
        <f>IFERROR(AVERAGE(P16),0)</f>
        <v>0.9</v>
      </c>
      <c r="W16" s="361">
        <f>IFERROR(AVERAGE(Q16),0)</f>
        <v>0.79800000000000004</v>
      </c>
      <c r="X16" s="330">
        <v>0</v>
      </c>
      <c r="Y16" s="176">
        <v>0</v>
      </c>
      <c r="Z16" s="330">
        <v>0</v>
      </c>
      <c r="AA16" s="176">
        <v>0</v>
      </c>
      <c r="AB16" s="330">
        <v>0</v>
      </c>
      <c r="AC16" s="176">
        <v>0</v>
      </c>
      <c r="AD16" s="345">
        <f>IFERROR(AVERAGE(X16),0)</f>
        <v>0</v>
      </c>
      <c r="AE16" s="345">
        <f>IFERROR(AVERAGE(Y16),0)</f>
        <v>0</v>
      </c>
      <c r="AF16" s="330">
        <v>0.9</v>
      </c>
      <c r="AG16" s="330"/>
      <c r="AH16" s="330">
        <v>0</v>
      </c>
      <c r="AI16" s="330"/>
      <c r="AJ16" s="330">
        <v>0</v>
      </c>
      <c r="AK16" s="330"/>
      <c r="AL16" s="345">
        <f>IFERROR(AVERAGE(AF16),0)</f>
        <v>0.9</v>
      </c>
      <c r="AM16" s="345">
        <f>IFERROR(AVERAGE(AG16),0)</f>
        <v>0</v>
      </c>
      <c r="AN16" s="330">
        <v>0</v>
      </c>
      <c r="AO16" s="330"/>
      <c r="AP16" s="330">
        <v>0</v>
      </c>
      <c r="AQ16" s="330"/>
      <c r="AR16" s="330">
        <v>0</v>
      </c>
      <c r="AS16" s="330"/>
      <c r="AT16" s="345">
        <f>IFERROR(AVERAGE(AN16),0)</f>
        <v>0</v>
      </c>
      <c r="AU16" s="345">
        <f>IFERROR(AVERAGE(AO16),0)</f>
        <v>0</v>
      </c>
      <c r="AV16" s="332">
        <f>(IFERROR(AVERAGE(V16,AL16),0))</f>
        <v>0.9</v>
      </c>
      <c r="AW16" s="337">
        <f>IFERROR(IF(OR($AV$16="",$AV$16=0),0,ROUNDDOWN(AVERAGE($Q16),3)),0)</f>
        <v>0.79800000000000004</v>
      </c>
      <c r="AX16" s="383">
        <f>IFERROR(IF(OR($AV$16="",$AV$16=0),0,ROUNDDOWN(AVERAGE($Q16),3)),0)</f>
        <v>0.79800000000000004</v>
      </c>
      <c r="AY16" s="383">
        <f>IFERROR(IF(OR($AV$16="",$AV$16=0),0,ROUNDDOWN(AVERAGE($AG16),3)),0)</f>
        <v>0</v>
      </c>
      <c r="AZ16" s="383">
        <f>IFERROR(IF(OR($AV$16="",$AV$16=0),0,ROUNDDOWN(AVERAGE($AG16),3)),0)</f>
        <v>0</v>
      </c>
      <c r="BA16" s="448">
        <f>(IF(AND(AW16&gt;0,AV16&gt;0),AW16/AV16,0))*0.5</f>
        <v>0.44333333333333336</v>
      </c>
      <c r="BB16" s="448">
        <f>(IF(AND(AX16&gt;0,$AV16&gt;0),AX16/$AV16,0))*0.5</f>
        <v>0.44333333333333336</v>
      </c>
      <c r="BC16" s="448">
        <f>(IF(AND(AY16&gt;0,$AV16&gt;0),AY16/$AV16,0))*1</f>
        <v>0</v>
      </c>
      <c r="BD16" s="448">
        <f>IF(AND(AZ16&gt;0,$AV16&gt;0),AZ16/$AV16,0)*0.5</f>
        <v>0</v>
      </c>
      <c r="BE16" s="346">
        <f>(((IF(AND(AW16&gt;0,$F16&gt;0),AW16/$F16,0)))/4)*0.5</f>
        <v>0.11083333333333334</v>
      </c>
      <c r="BF16" s="392">
        <f>(((IF(AND(AX16&gt;0,$F16&gt;0),AX16/$F16,0)))/4)*0.5</f>
        <v>0.11083333333333334</v>
      </c>
      <c r="BG16" s="392">
        <f>(((IF(AND(AY16&gt;0,$F16&gt;0),AY16/$F16,0)))/4)*1</f>
        <v>0</v>
      </c>
      <c r="BH16" s="392">
        <f>(((IF(AND(AZ16&gt;0,$F16&gt;0),AZ16/$F16,0)))/4)*1</f>
        <v>0</v>
      </c>
    </row>
    <row r="17" spans="2:60" ht="128.25" customHeight="1">
      <c r="B17" s="1020"/>
      <c r="C17" s="774"/>
      <c r="D17" s="31" t="str">
        <f>+'01-FR-03 POA INSTITUCIONAL'!D61</f>
        <v xml:space="preserve">4.2.6 Implementar 7 lineamientos en compromiso con la calidad para satisfacer las necesidades y expectativas de los (as) usuarios(as) y partes interesadas </v>
      </c>
      <c r="E17" s="52">
        <f>+'01-FR-03 POA INSTITUCIONAL'!E61</f>
        <v>0.15</v>
      </c>
      <c r="F17" s="335">
        <f>+'01-FR-03 POA INSTITUCIONAL'!F61</f>
        <v>7</v>
      </c>
      <c r="G17" s="323">
        <f>+'01-FR-03 POA INSTITUCIONAL'!K61</f>
        <v>2</v>
      </c>
      <c r="H17" s="323">
        <f>+'01-FR-03 POA INSTITUCIONAL'!G61</f>
        <v>3</v>
      </c>
      <c r="I17" s="33" t="str">
        <f>+'01-FR-03 POA INSTITUCIONAL'!H61</f>
        <v>Lineamientos implementados</v>
      </c>
      <c r="J17" s="218" t="s">
        <v>425</v>
      </c>
      <c r="K17" s="221" t="s">
        <v>426</v>
      </c>
      <c r="L17" s="231" t="s">
        <v>428</v>
      </c>
      <c r="M17" s="221" t="s">
        <v>427</v>
      </c>
      <c r="N17" s="221" t="s">
        <v>424</v>
      </c>
      <c r="O17" s="34" t="str">
        <f>+'01-FR-03 POA INSTITUCIONAL'!J61</f>
        <v>Secretaría General</v>
      </c>
      <c r="P17" s="331">
        <v>1</v>
      </c>
      <c r="Q17" s="331">
        <v>1</v>
      </c>
      <c r="R17" s="331">
        <v>0</v>
      </c>
      <c r="S17" s="331">
        <v>0</v>
      </c>
      <c r="T17" s="331">
        <v>0</v>
      </c>
      <c r="U17" s="331">
        <v>0</v>
      </c>
      <c r="V17" s="333">
        <f t="shared" ref="V17:W17" si="0">P17+R17+T17</f>
        <v>1</v>
      </c>
      <c r="W17" s="333">
        <f t="shared" si="0"/>
        <v>1</v>
      </c>
      <c r="X17" s="331">
        <v>0</v>
      </c>
      <c r="Y17" s="331"/>
      <c r="Z17" s="331">
        <v>0</v>
      </c>
      <c r="AA17" s="331"/>
      <c r="AB17" s="331">
        <v>1</v>
      </c>
      <c r="AC17" s="331"/>
      <c r="AD17" s="333">
        <f t="shared" ref="AD17:AE17" si="1">X17+Z17+AB17</f>
        <v>1</v>
      </c>
      <c r="AE17" s="333">
        <f t="shared" si="1"/>
        <v>0</v>
      </c>
      <c r="AF17" s="331">
        <v>0</v>
      </c>
      <c r="AG17" s="331"/>
      <c r="AH17" s="331">
        <v>0</v>
      </c>
      <c r="AI17" s="331"/>
      <c r="AJ17" s="331">
        <v>0</v>
      </c>
      <c r="AK17" s="334"/>
      <c r="AL17" s="333">
        <f t="shared" ref="AL17:AM17" si="2">AF17+AH17+AJ17</f>
        <v>0</v>
      </c>
      <c r="AM17" s="333">
        <f t="shared" si="2"/>
        <v>0</v>
      </c>
      <c r="AN17" s="331">
        <v>0</v>
      </c>
      <c r="AO17" s="331"/>
      <c r="AP17" s="331">
        <v>0</v>
      </c>
      <c r="AQ17" s="331"/>
      <c r="AR17" s="331">
        <v>0</v>
      </c>
      <c r="AS17" s="331"/>
      <c r="AT17" s="333">
        <f t="shared" ref="AT17:AU17" si="3">AN17+AP17+AR17</f>
        <v>0</v>
      </c>
      <c r="AU17" s="333">
        <f t="shared" si="3"/>
        <v>0</v>
      </c>
      <c r="AV17" s="335">
        <f t="shared" ref="AV17" si="4">V17+AD17+AL17+AT17</f>
        <v>2</v>
      </c>
      <c r="AW17" s="335">
        <f>+W17</f>
        <v>1</v>
      </c>
      <c r="AX17" s="384">
        <f>+W17+AE17</f>
        <v>1</v>
      </c>
      <c r="AY17" s="384">
        <f>+W17+AE17+AM17</f>
        <v>1</v>
      </c>
      <c r="AZ17" s="384">
        <f>+W17+AE17+AM17+AU17</f>
        <v>1</v>
      </c>
      <c r="BA17" s="386">
        <f>IF(AND(AW17&gt;0,AV17&gt;0),AW17/AV17,0)</f>
        <v>0.5</v>
      </c>
      <c r="BB17" s="386">
        <f t="shared" ref="BB17:BD18" si="5">IF(AND(AX17&gt;0,$AV17&gt;0),AX17/$AV17,0)</f>
        <v>0.5</v>
      </c>
      <c r="BC17" s="386">
        <f t="shared" si="5"/>
        <v>0.5</v>
      </c>
      <c r="BD17" s="386">
        <f t="shared" si="5"/>
        <v>0.5</v>
      </c>
      <c r="BE17" s="347">
        <f t="shared" ref="BE17:BH18" si="6">(IF(AND(AW17&gt;0,$F17&gt;0),AW17/$F17,0))</f>
        <v>0.14285714285714285</v>
      </c>
      <c r="BF17" s="393">
        <f t="shared" si="6"/>
        <v>0.14285714285714285</v>
      </c>
      <c r="BG17" s="393">
        <f t="shared" si="6"/>
        <v>0.14285714285714285</v>
      </c>
      <c r="BH17" s="393">
        <f t="shared" si="6"/>
        <v>0.14285714285714285</v>
      </c>
    </row>
    <row r="18" spans="2:60" ht="128.25" customHeight="1">
      <c r="B18" s="774"/>
      <c r="C18" s="31" t="str">
        <f>+'01-FR-03 POA INSTITUCIONAL'!C93</f>
        <v>4.7. Articular el 100% de las acciones de trabajo interinstitucional y cooperación nacional e internacional que permita aunar esfuerzos para el cumplimiento de la misión institucional.</v>
      </c>
      <c r="D18" s="31" t="str">
        <f>+'01-FR-03 POA INSTITUCIONAL'!D93</f>
        <v>4.7.1 Gestionar 3 acuerdos interinstitucionales o de cooperación nacional y/o internacional para garantizar el enfoque social, en el marco de un estado pluralista, para el fortalecimiento de la prestación del servicio al usuario</v>
      </c>
      <c r="E18" s="52">
        <f>+'01-FR-03 POA INSTITUCIONAL'!E93</f>
        <v>1</v>
      </c>
      <c r="F18" s="245">
        <f>+'01-FR-03 POA INSTITUCIONAL'!F93</f>
        <v>3</v>
      </c>
      <c r="G18" s="323">
        <f>+'01-FR-03 POA INSTITUCIONAL'!K93</f>
        <v>1</v>
      </c>
      <c r="H18" s="140" t="str">
        <f>+'01-FR-03 POA INSTITUCIONAL'!G93</f>
        <v>S.I.</v>
      </c>
      <c r="I18" s="140" t="str">
        <f>+'01-FR-03 POA INSTITUCIONAL'!H93</f>
        <v>Acuerdos interinstitucionales gestionados</v>
      </c>
      <c r="J18" s="218" t="s">
        <v>431</v>
      </c>
      <c r="K18" s="221" t="s">
        <v>432</v>
      </c>
      <c r="L18" s="221" t="s">
        <v>433</v>
      </c>
      <c r="M18" s="221" t="s">
        <v>427</v>
      </c>
      <c r="N18" s="221" t="s">
        <v>424</v>
      </c>
      <c r="O18" s="34" t="str">
        <f>+'01-FR-03 POA INSTITUCIONAL'!J93</f>
        <v>Secretaría General</v>
      </c>
      <c r="P18" s="271">
        <v>0</v>
      </c>
      <c r="Q18" s="271">
        <v>0</v>
      </c>
      <c r="R18" s="271">
        <v>0</v>
      </c>
      <c r="S18" s="271">
        <v>0</v>
      </c>
      <c r="T18" s="271">
        <v>0</v>
      </c>
      <c r="U18" s="271">
        <v>0</v>
      </c>
      <c r="V18" s="67">
        <f t="shared" ref="V18:W18" si="7">P18+R18+T18</f>
        <v>0</v>
      </c>
      <c r="W18" s="67">
        <f t="shared" si="7"/>
        <v>0</v>
      </c>
      <c r="X18" s="271">
        <v>0</v>
      </c>
      <c r="Y18" s="271"/>
      <c r="Z18" s="271">
        <v>0</v>
      </c>
      <c r="AA18" s="271"/>
      <c r="AB18" s="271">
        <v>0</v>
      </c>
      <c r="AC18" s="271"/>
      <c r="AD18" s="67">
        <f t="shared" ref="AD18:AE18" si="8">X18+Z18+AB18</f>
        <v>0</v>
      </c>
      <c r="AE18" s="67">
        <f t="shared" si="8"/>
        <v>0</v>
      </c>
      <c r="AF18" s="271">
        <v>0</v>
      </c>
      <c r="AG18" s="271"/>
      <c r="AH18" s="271">
        <v>0</v>
      </c>
      <c r="AI18" s="271"/>
      <c r="AJ18" s="272">
        <v>0</v>
      </c>
      <c r="AK18" s="272"/>
      <c r="AL18" s="67">
        <f t="shared" ref="AL18:AM18" si="9">AF18+AH18+AJ18</f>
        <v>0</v>
      </c>
      <c r="AM18" s="67">
        <f t="shared" si="9"/>
        <v>0</v>
      </c>
      <c r="AN18" s="271">
        <v>0</v>
      </c>
      <c r="AO18" s="271"/>
      <c r="AP18" s="271">
        <v>1</v>
      </c>
      <c r="AQ18" s="271"/>
      <c r="AR18" s="271">
        <v>0</v>
      </c>
      <c r="AS18" s="271"/>
      <c r="AT18" s="67">
        <f t="shared" ref="AT18:AU18" si="10">AN18+AP18+AR18</f>
        <v>1</v>
      </c>
      <c r="AU18" s="67">
        <f t="shared" si="10"/>
        <v>0</v>
      </c>
      <c r="AV18" s="245">
        <f t="shared" ref="AV18" si="11">V18+AD18+AL18+AT18</f>
        <v>1</v>
      </c>
      <c r="AW18" s="335">
        <f>+W18</f>
        <v>0</v>
      </c>
      <c r="AX18" s="384">
        <f>+W18+AE18</f>
        <v>0</v>
      </c>
      <c r="AY18" s="384">
        <f>+W18+AE18+AM18</f>
        <v>0</v>
      </c>
      <c r="AZ18" s="384">
        <f>+W18+AE18+AM18+AU18</f>
        <v>0</v>
      </c>
      <c r="BA18" s="386">
        <f>IF(AND(AW18&gt;0,AV18&gt;0),AW18/AV18,0)</f>
        <v>0</v>
      </c>
      <c r="BB18" s="386">
        <f t="shared" si="5"/>
        <v>0</v>
      </c>
      <c r="BC18" s="386">
        <f t="shared" si="5"/>
        <v>0</v>
      </c>
      <c r="BD18" s="386">
        <f t="shared" si="5"/>
        <v>0</v>
      </c>
      <c r="BE18" s="347">
        <f t="shared" si="6"/>
        <v>0</v>
      </c>
      <c r="BF18" s="393">
        <f t="shared" si="6"/>
        <v>0</v>
      </c>
      <c r="BG18" s="393">
        <f t="shared" si="6"/>
        <v>0</v>
      </c>
      <c r="BH18" s="393">
        <f t="shared" si="6"/>
        <v>0</v>
      </c>
    </row>
    <row r="19" spans="2:60" ht="22.8">
      <c r="B19" s="949"/>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1"/>
      <c r="AX19" s="918" t="s">
        <v>19</v>
      </c>
      <c r="AY19" s="947"/>
      <c r="AZ19" s="947"/>
      <c r="BA19" s="70">
        <f>AVERAGE(BA16:BA18)</f>
        <v>0.31444444444444447</v>
      </c>
      <c r="BB19" s="370">
        <f t="shared" ref="BB19:BD19" si="12">AVERAGE(BB16:BB18)</f>
        <v>0.31444444444444447</v>
      </c>
      <c r="BC19" s="370">
        <f t="shared" si="12"/>
        <v>0.16666666666666666</v>
      </c>
      <c r="BD19" s="370">
        <f t="shared" si="12"/>
        <v>0.16666666666666666</v>
      </c>
      <c r="BE19" s="1056"/>
      <c r="BF19" s="1057"/>
      <c r="BG19" s="1057"/>
      <c r="BH19" s="1058"/>
    </row>
    <row r="20" spans="2:60">
      <c r="B20" s="900" t="s">
        <v>291</v>
      </c>
      <c r="C20" s="900"/>
      <c r="D20" s="900"/>
      <c r="E20" s="900"/>
      <c r="F20" s="900"/>
      <c r="G20" s="900"/>
      <c r="H20" s="247"/>
      <c r="I20" s="248"/>
      <c r="J20" s="248"/>
      <c r="K20" s="248"/>
      <c r="L20" s="248"/>
      <c r="M20" s="248"/>
      <c r="N20" s="248"/>
      <c r="O20" s="248"/>
    </row>
    <row r="21" spans="2:60">
      <c r="B21" s="248"/>
      <c r="C21" s="248"/>
      <c r="D21" s="929"/>
      <c r="E21" s="929"/>
      <c r="F21" s="929"/>
      <c r="G21" s="929"/>
      <c r="H21" s="929"/>
      <c r="I21" s="929"/>
      <c r="J21" s="929"/>
      <c r="K21" s="929"/>
      <c r="L21" s="929"/>
      <c r="M21" s="929"/>
      <c r="N21" s="929"/>
      <c r="O21" s="929"/>
    </row>
    <row r="22" spans="2:60" ht="15.6" customHeight="1">
      <c r="B22" s="77" t="s">
        <v>26</v>
      </c>
      <c r="C22" s="249">
        <v>44224</v>
      </c>
      <c r="D22" s="250"/>
      <c r="E22" s="932" t="s">
        <v>50</v>
      </c>
      <c r="F22" s="1011" t="s">
        <v>434</v>
      </c>
      <c r="G22" s="1012"/>
      <c r="H22" s="1012"/>
      <c r="I22" s="1012"/>
      <c r="J22" s="1013"/>
      <c r="K22" s="251"/>
      <c r="L22" s="938"/>
      <c r="M22" s="938"/>
      <c r="N22" s="938"/>
      <c r="O22" s="939"/>
    </row>
    <row r="23" spans="2:60" ht="15.6">
      <c r="B23" s="248"/>
      <c r="C23" s="248"/>
      <c r="D23" s="251"/>
      <c r="E23" s="932"/>
      <c r="F23" s="1014"/>
      <c r="G23" s="1015"/>
      <c r="H23" s="1015"/>
      <c r="I23" s="1015"/>
      <c r="J23" s="1016"/>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248"/>
      <c r="C26" s="248"/>
      <c r="D26" s="248"/>
      <c r="E26" s="248"/>
      <c r="F26" s="248"/>
      <c r="G26" s="247"/>
      <c r="H26" s="247"/>
      <c r="I26" s="937"/>
      <c r="J26" s="937"/>
      <c r="K26" s="937"/>
      <c r="L26" s="937"/>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937"/>
      <c r="J28" s="937"/>
      <c r="K28" s="937"/>
      <c r="L28" s="937"/>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937"/>
      <c r="J30" s="937"/>
      <c r="K30" s="937"/>
      <c r="L30" s="937"/>
      <c r="M30" s="252"/>
      <c r="N30" s="252"/>
      <c r="O30" s="252"/>
    </row>
  </sheetData>
  <sheetProtection algorithmName="SHA-512" hashValue="U+at6fNmz9GBChyX+/vPUGLmm4noM5YAaTbnfQC0iOqCPesoXeuCoiPKqQ1MGKcPOGLs5GwRYK1GETZLTDg0UA==" saltValue="6LR80GPOunLRkoiUpc8KhA==" spinCount="100000" sheet="1" objects="1" scenarios="1"/>
  <mergeCells count="71">
    <mergeCell ref="F22:J23"/>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 ref="P13:W13"/>
    <mergeCell ref="X13:AE13"/>
    <mergeCell ref="AF13:AM13"/>
    <mergeCell ref="AZ13:AZ15"/>
    <mergeCell ref="AW13:AW15"/>
    <mergeCell ref="BH13:BH15"/>
    <mergeCell ref="BA13:BA15"/>
    <mergeCell ref="P12:AU12"/>
    <mergeCell ref="AV12:AV15"/>
    <mergeCell ref="AW12:AZ12"/>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I28:L28"/>
    <mergeCell ref="I30:L30"/>
    <mergeCell ref="B20:G20"/>
    <mergeCell ref="I26:L26"/>
    <mergeCell ref="H12:H15"/>
    <mergeCell ref="I12:I15"/>
    <mergeCell ref="J12:J15"/>
    <mergeCell ref="K12:K15"/>
    <mergeCell ref="L12:L15"/>
    <mergeCell ref="C16:C17"/>
    <mergeCell ref="E22:E23"/>
    <mergeCell ref="L22:O22"/>
    <mergeCell ref="B19:AW19"/>
    <mergeCell ref="R14:S14"/>
    <mergeCell ref="T14:U14"/>
    <mergeCell ref="N12:N15"/>
    <mergeCell ref="B16:B18"/>
    <mergeCell ref="F12:F15"/>
    <mergeCell ref="AX19:AZ19"/>
    <mergeCell ref="D21:O21"/>
    <mergeCell ref="M12:M15"/>
    <mergeCell ref="AX13:AX15"/>
    <mergeCell ref="O12:O15"/>
    <mergeCell ref="B12:B15"/>
    <mergeCell ref="C12:C15"/>
    <mergeCell ref="D12:D15"/>
    <mergeCell ref="E12:E15"/>
    <mergeCell ref="G12:G15"/>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92D050"/>
  </sheetPr>
  <dimension ref="B1:BH30"/>
  <sheetViews>
    <sheetView showGridLines="0" zoomScale="55" zoomScaleNormal="55" workbookViewId="0">
      <selection activeCell="O16" sqref="O16"/>
    </sheetView>
  </sheetViews>
  <sheetFormatPr baseColWidth="10" defaultColWidth="17.33203125" defaultRowHeight="15" customHeight="1"/>
  <cols>
    <col min="1" max="1" width="4.33203125" style="135" customWidth="1"/>
    <col min="2" max="2" width="50.44140625" style="133" customWidth="1"/>
    <col min="3" max="3" width="35.8867187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5.6">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1">
      <c r="B8" s="216" t="s">
        <v>45</v>
      </c>
      <c r="C8" s="958" t="s">
        <v>97</v>
      </c>
      <c r="D8" s="958"/>
      <c r="E8" s="217"/>
      <c r="F8" s="217"/>
      <c r="G8" s="217"/>
      <c r="H8" s="217"/>
      <c r="I8" s="217"/>
      <c r="J8" s="217"/>
      <c r="K8" s="217"/>
      <c r="L8" s="217"/>
      <c r="M8" s="217"/>
      <c r="N8" s="217"/>
      <c r="O8" s="217"/>
      <c r="AW8" s="238"/>
      <c r="AX8" s="238"/>
      <c r="AY8" s="238"/>
      <c r="AZ8" s="238"/>
      <c r="BA8" s="238"/>
      <c r="BB8" s="238"/>
      <c r="BC8" s="238"/>
      <c r="BD8" s="238"/>
    </row>
    <row r="9" spans="2:60" ht="92.25" customHeight="1">
      <c r="B9" s="216" t="s">
        <v>34</v>
      </c>
      <c r="C9" s="1044" t="s">
        <v>610</v>
      </c>
      <c r="D9" s="915"/>
      <c r="E9" s="217"/>
      <c r="F9" s="217"/>
      <c r="G9" s="217"/>
      <c r="H9" s="217"/>
      <c r="I9" s="217"/>
      <c r="J9" s="217"/>
      <c r="K9" s="217"/>
      <c r="L9" s="217"/>
      <c r="M9" s="217"/>
      <c r="N9" s="217"/>
      <c r="O9" s="217"/>
      <c r="AW9" s="238"/>
      <c r="AX9" s="238"/>
      <c r="AY9" s="238"/>
      <c r="AZ9" s="238"/>
      <c r="BA9" s="238"/>
      <c r="BB9" s="238"/>
      <c r="BC9" s="238"/>
      <c r="BD9" s="238"/>
    </row>
    <row r="10" spans="2: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31.2"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0" ht="110.25" customHeight="1">
      <c r="B16" s="92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1" t="str">
        <f>+'01-FR-03 POA INSTITUCIONAL'!C85</f>
        <v>4.5. Desarrollar el 100% de las acciones relacionadas con el fomento de la Cultura del Autocontrol, la Autorregulación y la Autogestión institucional.</v>
      </c>
      <c r="D16" s="31" t="str">
        <f>+'01-FR-03 POA INSTITUCIONAL'!D85</f>
        <v xml:space="preserve">4.5.1 Emitir 96 solicitudes de aplicación de medidas de preservación del orden interno, con el fin de prevenir la materialización de conductas con alcance disciplinario. </v>
      </c>
      <c r="E16" s="52">
        <f>+'01-FR-03 POA INSTITUCIONAL'!E85</f>
        <v>0.05</v>
      </c>
      <c r="F16" s="324">
        <f>+'01-FR-03 POA INSTITUCIONAL'!F85</f>
        <v>96</v>
      </c>
      <c r="G16" s="324">
        <f>+'01-FR-03 POA INSTITUCIONAL'!K85</f>
        <v>24</v>
      </c>
      <c r="H16" s="140" t="str">
        <f>+'01-FR-03 POA INSTITUCIONAL'!G85</f>
        <v>S.I.</v>
      </c>
      <c r="I16" s="140" t="str">
        <f>+'01-FR-03 POA INSTITUCIONAL'!H85</f>
        <v>Medidas de preservación del orden interno emitidas</v>
      </c>
      <c r="J16" s="218" t="s">
        <v>604</v>
      </c>
      <c r="K16" s="241" t="s">
        <v>613</v>
      </c>
      <c r="L16" s="221" t="s">
        <v>605</v>
      </c>
      <c r="M16" s="242" t="s">
        <v>616</v>
      </c>
      <c r="N16" s="221" t="s">
        <v>617</v>
      </c>
      <c r="O16" s="325" t="str">
        <f>+'01-FR-03 POA INSTITUCIONAL'!J85</f>
        <v>Oficina Control Interno Disciplinario</v>
      </c>
      <c r="P16" s="243">
        <v>2</v>
      </c>
      <c r="Q16" s="243">
        <v>2</v>
      </c>
      <c r="R16" s="243">
        <v>2</v>
      </c>
      <c r="S16" s="243">
        <v>6</v>
      </c>
      <c r="T16" s="243">
        <v>2</v>
      </c>
      <c r="U16" s="243">
        <v>2</v>
      </c>
      <c r="V16" s="91">
        <f>P16+R16+T16</f>
        <v>6</v>
      </c>
      <c r="W16" s="91">
        <f>Q16+S16+U16</f>
        <v>10</v>
      </c>
      <c r="X16" s="243">
        <v>2</v>
      </c>
      <c r="Y16" s="243"/>
      <c r="Z16" s="243">
        <v>2</v>
      </c>
      <c r="AA16" s="243"/>
      <c r="AB16" s="243">
        <v>2</v>
      </c>
      <c r="AC16" s="243"/>
      <c r="AD16" s="91">
        <f>X16+Z16+AB16</f>
        <v>6</v>
      </c>
      <c r="AE16" s="91">
        <f>Y16+AA16+AC16</f>
        <v>0</v>
      </c>
      <c r="AF16" s="243">
        <v>2</v>
      </c>
      <c r="AG16" s="243"/>
      <c r="AH16" s="243">
        <v>2</v>
      </c>
      <c r="AI16" s="243"/>
      <c r="AJ16" s="244">
        <v>2</v>
      </c>
      <c r="AK16" s="244"/>
      <c r="AL16" s="91">
        <f>AF16+AH16+AJ16</f>
        <v>6</v>
      </c>
      <c r="AM16" s="91">
        <f>AG16+AI16+AK16</f>
        <v>0</v>
      </c>
      <c r="AN16" s="243">
        <v>2</v>
      </c>
      <c r="AO16" s="243"/>
      <c r="AP16" s="243">
        <v>2</v>
      </c>
      <c r="AQ16" s="243"/>
      <c r="AR16" s="243">
        <v>2</v>
      </c>
      <c r="AS16" s="243"/>
      <c r="AT16" s="91">
        <f>AN16+AP16+AR16</f>
        <v>6</v>
      </c>
      <c r="AU16" s="91">
        <f>AO16+AQ16+AS16</f>
        <v>0</v>
      </c>
      <c r="AV16" s="245">
        <f>V16+AD16+AL16+AT16</f>
        <v>24</v>
      </c>
      <c r="AW16" s="81">
        <f>+W16</f>
        <v>10</v>
      </c>
      <c r="AX16" s="390">
        <f>+W16+AE16</f>
        <v>10</v>
      </c>
      <c r="AY16" s="390">
        <f>+W16+AE16+AM16</f>
        <v>10</v>
      </c>
      <c r="AZ16" s="390">
        <f>+W16+AE16+AM16+AU16</f>
        <v>10</v>
      </c>
      <c r="BA16" s="42">
        <f>IF(AND(AW16&gt;0,$AV16&gt;0),AW16/$AV16,0)</f>
        <v>0.41666666666666669</v>
      </c>
      <c r="BB16" s="42">
        <f t="shared" ref="BB16:BD18" si="0">IF(AND(AX16&gt;0,$AV16&gt;0),AX16/$AV16,0)</f>
        <v>0.41666666666666669</v>
      </c>
      <c r="BC16" s="42">
        <f t="shared" si="0"/>
        <v>0.41666666666666669</v>
      </c>
      <c r="BD16" s="42">
        <f t="shared" si="0"/>
        <v>0.41666666666666669</v>
      </c>
      <c r="BE16" s="394">
        <f>(IF(AND(AW16&gt;0,$F16&gt;0),AW16/$F16,0))</f>
        <v>0.10416666666666667</v>
      </c>
      <c r="BF16" s="395">
        <f t="shared" ref="BF16:BH18" si="1">(IF(AND(AX16&gt;0,$F16&gt;0),AX16/$F16,0))</f>
        <v>0.10416666666666667</v>
      </c>
      <c r="BG16" s="395">
        <f t="shared" si="1"/>
        <v>0.10416666666666667</v>
      </c>
      <c r="BH16" s="395">
        <f t="shared" si="1"/>
        <v>0.10416666666666667</v>
      </c>
    </row>
    <row r="17" spans="2:60" ht="152.25" customHeight="1">
      <c r="B17" s="922"/>
      <c r="C17" s="922"/>
      <c r="D17" s="31" t="str">
        <f>+'01-FR-03 POA INSTITUCIONAL'!D86</f>
        <v>4.5.2 Realizar 8 jornadas de sensibilización a funcionarios de la Personería de Bogotá D.C. sobre la prevención de las faltas disciplinarias más recurrentes en la Entidad.</v>
      </c>
      <c r="E17" s="52">
        <f>+'01-FR-03 POA INSTITUCIONAL'!E86</f>
        <v>0.05</v>
      </c>
      <c r="F17" s="324">
        <f>+'01-FR-03 POA INSTITUCIONAL'!F86</f>
        <v>7</v>
      </c>
      <c r="G17" s="324">
        <f>+'01-FR-03 POA INSTITUCIONAL'!K86</f>
        <v>2</v>
      </c>
      <c r="H17" s="140" t="str">
        <f>+'01-FR-03 POA INSTITUCIONAL'!G86</f>
        <v>S.I.</v>
      </c>
      <c r="I17" s="140" t="str">
        <f>+'01-FR-03 POA INSTITUCIONAL'!H86</f>
        <v>Jornadas de sensibilización realizadas</v>
      </c>
      <c r="J17" s="218" t="s">
        <v>606</v>
      </c>
      <c r="K17" s="241" t="s">
        <v>614</v>
      </c>
      <c r="L17" s="221" t="s">
        <v>607</v>
      </c>
      <c r="M17" s="242" t="s">
        <v>616</v>
      </c>
      <c r="N17" s="221" t="s">
        <v>617</v>
      </c>
      <c r="O17" s="325" t="str">
        <f>+'01-FR-03 POA INSTITUCIONAL'!J86</f>
        <v>Oficina Control Interno Disciplinario</v>
      </c>
      <c r="P17" s="243">
        <v>0</v>
      </c>
      <c r="Q17" s="243">
        <v>0</v>
      </c>
      <c r="R17" s="243">
        <v>0</v>
      </c>
      <c r="S17" s="243">
        <v>0</v>
      </c>
      <c r="T17" s="243">
        <v>0</v>
      </c>
      <c r="U17" s="243">
        <v>0</v>
      </c>
      <c r="V17" s="91">
        <f t="shared" ref="V17:W18" si="2">P17+R17+T17</f>
        <v>0</v>
      </c>
      <c r="W17" s="91">
        <f t="shared" si="2"/>
        <v>0</v>
      </c>
      <c r="X17" s="243">
        <v>0</v>
      </c>
      <c r="Y17" s="243"/>
      <c r="Z17" s="243">
        <v>1</v>
      </c>
      <c r="AA17" s="243"/>
      <c r="AB17" s="243">
        <v>0</v>
      </c>
      <c r="AC17" s="243"/>
      <c r="AD17" s="91">
        <f t="shared" ref="AD17:AE18" si="3">X17+Z17+AB17</f>
        <v>1</v>
      </c>
      <c r="AE17" s="91">
        <f t="shared" si="3"/>
        <v>0</v>
      </c>
      <c r="AF17" s="243">
        <v>0</v>
      </c>
      <c r="AG17" s="243"/>
      <c r="AH17" s="243">
        <v>1</v>
      </c>
      <c r="AI17" s="243"/>
      <c r="AJ17" s="244">
        <v>0</v>
      </c>
      <c r="AK17" s="244"/>
      <c r="AL17" s="91">
        <f t="shared" ref="AL17:AM18" si="4">AF17+AH17+AJ17</f>
        <v>1</v>
      </c>
      <c r="AM17" s="91">
        <f t="shared" si="4"/>
        <v>0</v>
      </c>
      <c r="AN17" s="243">
        <v>0</v>
      </c>
      <c r="AO17" s="243"/>
      <c r="AP17" s="243">
        <v>0</v>
      </c>
      <c r="AQ17" s="243"/>
      <c r="AR17" s="243">
        <v>0</v>
      </c>
      <c r="AS17" s="243"/>
      <c r="AT17" s="91">
        <f t="shared" ref="AT17:AU18" si="5">AN17+AP17+AR17</f>
        <v>0</v>
      </c>
      <c r="AU17" s="91">
        <f t="shared" si="5"/>
        <v>0</v>
      </c>
      <c r="AV17" s="245">
        <f t="shared" ref="AV17:AV18" si="6">V17+AD17+AL17+AT17</f>
        <v>2</v>
      </c>
      <c r="AW17" s="81">
        <f t="shared" ref="AW17:AW18" si="7">+W17</f>
        <v>0</v>
      </c>
      <c r="AX17" s="390">
        <f t="shared" ref="AX17:AX18" si="8">+W17+AE17</f>
        <v>0</v>
      </c>
      <c r="AY17" s="390">
        <f t="shared" ref="AY17:AY18" si="9">+W17+AE17+AM17</f>
        <v>0</v>
      </c>
      <c r="AZ17" s="390">
        <f t="shared" ref="AZ17:AZ18" si="10">+W17+AE17+AM17+AU17</f>
        <v>0</v>
      </c>
      <c r="BA17" s="42">
        <f>IF(AND(AW17&gt;0,AV17&gt;0),AW17/AV17,0)</f>
        <v>0</v>
      </c>
      <c r="BB17" s="42">
        <f t="shared" si="0"/>
        <v>0</v>
      </c>
      <c r="BC17" s="42">
        <f t="shared" si="0"/>
        <v>0</v>
      </c>
      <c r="BD17" s="42">
        <f t="shared" si="0"/>
        <v>0</v>
      </c>
      <c r="BE17" s="394">
        <f t="shared" ref="BE17:BE18" si="11">(IF(AND(AW17&gt;0,$F17&gt;0),AW17/$F17,0))</f>
        <v>0</v>
      </c>
      <c r="BF17" s="395">
        <f t="shared" si="1"/>
        <v>0</v>
      </c>
      <c r="BG17" s="395">
        <f t="shared" si="1"/>
        <v>0</v>
      </c>
      <c r="BH17" s="395">
        <f t="shared" si="1"/>
        <v>0</v>
      </c>
    </row>
    <row r="18" spans="2:60" ht="142.5" customHeight="1">
      <c r="B18" s="948"/>
      <c r="C18" s="948"/>
      <c r="D18" s="31" t="str">
        <f>+'01-FR-03 POA INSTITUCIONAL'!D87</f>
        <v>4.5.3 Decidir de fondo 400 procesos disciplinarios que se encuentren en términos o con periodos vencidos, dando prelación a aquellos con mayor antigüedad o aquellos próximos a prescribir o caducar.</v>
      </c>
      <c r="E18" s="52">
        <f>+'01-FR-03 POA INSTITUCIONAL'!E87</f>
        <v>0.2</v>
      </c>
      <c r="F18" s="324">
        <f>+'01-FR-03 POA INSTITUCIONAL'!F87</f>
        <v>400</v>
      </c>
      <c r="G18" s="324">
        <f>+'01-FR-03 POA INSTITUCIONAL'!K87</f>
        <v>100</v>
      </c>
      <c r="H18" s="140" t="str">
        <f>+'01-FR-03 POA INSTITUCIONAL'!G87</f>
        <v>115 (en el último año)</v>
      </c>
      <c r="I18" s="140" t="str">
        <f>+'01-FR-03 POA INSTITUCIONAL'!H87</f>
        <v>Procesos disciplinarios con decisión de fondo proferida</v>
      </c>
      <c r="J18" s="218" t="s">
        <v>608</v>
      </c>
      <c r="K18" s="241" t="s">
        <v>615</v>
      </c>
      <c r="L18" s="221" t="s">
        <v>609</v>
      </c>
      <c r="M18" s="242" t="s">
        <v>616</v>
      </c>
      <c r="N18" s="221" t="s">
        <v>617</v>
      </c>
      <c r="O18" s="325" t="str">
        <f>+'01-FR-03 POA INSTITUCIONAL'!J87</f>
        <v>Oficina Control Interno Disciplinario</v>
      </c>
      <c r="P18" s="243">
        <v>7</v>
      </c>
      <c r="Q18" s="243">
        <v>12</v>
      </c>
      <c r="R18" s="243">
        <v>8</v>
      </c>
      <c r="S18" s="243">
        <v>16</v>
      </c>
      <c r="T18" s="243">
        <v>8</v>
      </c>
      <c r="U18" s="243">
        <v>10</v>
      </c>
      <c r="V18" s="91">
        <f t="shared" si="2"/>
        <v>23</v>
      </c>
      <c r="W18" s="91">
        <f t="shared" si="2"/>
        <v>38</v>
      </c>
      <c r="X18" s="243">
        <v>10</v>
      </c>
      <c r="Y18" s="243"/>
      <c r="Z18" s="243">
        <v>10</v>
      </c>
      <c r="AA18" s="243"/>
      <c r="AB18" s="243">
        <v>10</v>
      </c>
      <c r="AC18" s="243"/>
      <c r="AD18" s="91">
        <f t="shared" si="3"/>
        <v>30</v>
      </c>
      <c r="AE18" s="91">
        <f t="shared" si="3"/>
        <v>0</v>
      </c>
      <c r="AF18" s="243">
        <v>10</v>
      </c>
      <c r="AG18" s="243"/>
      <c r="AH18" s="243">
        <v>10</v>
      </c>
      <c r="AI18" s="243"/>
      <c r="AJ18" s="244">
        <v>10</v>
      </c>
      <c r="AK18" s="244"/>
      <c r="AL18" s="91">
        <f t="shared" si="4"/>
        <v>30</v>
      </c>
      <c r="AM18" s="91">
        <f t="shared" si="4"/>
        <v>0</v>
      </c>
      <c r="AN18" s="243">
        <v>6</v>
      </c>
      <c r="AO18" s="243"/>
      <c r="AP18" s="243">
        <v>6</v>
      </c>
      <c r="AQ18" s="243"/>
      <c r="AR18" s="243">
        <v>5</v>
      </c>
      <c r="AS18" s="243"/>
      <c r="AT18" s="91">
        <f t="shared" si="5"/>
        <v>17</v>
      </c>
      <c r="AU18" s="91">
        <f t="shared" si="5"/>
        <v>0</v>
      </c>
      <c r="AV18" s="245">
        <f t="shared" si="6"/>
        <v>100</v>
      </c>
      <c r="AW18" s="81">
        <f t="shared" si="7"/>
        <v>38</v>
      </c>
      <c r="AX18" s="390">
        <f t="shared" si="8"/>
        <v>38</v>
      </c>
      <c r="AY18" s="390">
        <f t="shared" si="9"/>
        <v>38</v>
      </c>
      <c r="AZ18" s="390">
        <f t="shared" si="10"/>
        <v>38</v>
      </c>
      <c r="BA18" s="42">
        <f t="shared" ref="BA18" si="12">IF(AND(AW18&gt;0,AV18&gt;0),AW18/AV18,0)</f>
        <v>0.38</v>
      </c>
      <c r="BB18" s="42">
        <f t="shared" si="0"/>
        <v>0.38</v>
      </c>
      <c r="BC18" s="42">
        <f t="shared" si="0"/>
        <v>0.38</v>
      </c>
      <c r="BD18" s="42">
        <f t="shared" si="0"/>
        <v>0.38</v>
      </c>
      <c r="BE18" s="394">
        <f t="shared" si="11"/>
        <v>9.5000000000000001E-2</v>
      </c>
      <c r="BF18" s="395">
        <f t="shared" si="1"/>
        <v>9.5000000000000001E-2</v>
      </c>
      <c r="BG18" s="395">
        <f t="shared" si="1"/>
        <v>9.5000000000000001E-2</v>
      </c>
      <c r="BH18" s="395">
        <f t="shared" si="1"/>
        <v>9.5000000000000001E-2</v>
      </c>
    </row>
    <row r="19" spans="2:60" ht="22.8">
      <c r="B19" s="949"/>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1"/>
      <c r="AX19" s="918" t="s">
        <v>19</v>
      </c>
      <c r="AY19" s="947"/>
      <c r="AZ19" s="947"/>
      <c r="BA19" s="70">
        <f t="shared" ref="BA19:BD19" si="13">AVERAGE(BA16:BA18)</f>
        <v>0.26555555555555554</v>
      </c>
      <c r="BB19" s="70">
        <f t="shared" si="13"/>
        <v>0.26555555555555554</v>
      </c>
      <c r="BC19" s="70">
        <f t="shared" si="13"/>
        <v>0.26555555555555554</v>
      </c>
      <c r="BD19" s="70">
        <f t="shared" si="13"/>
        <v>0.26555555555555554</v>
      </c>
      <c r="BE19" s="959"/>
      <c r="BF19" s="960"/>
      <c r="BG19" s="960"/>
      <c r="BH19" s="961"/>
    </row>
    <row r="20" spans="2:60">
      <c r="B20" s="900" t="s">
        <v>291</v>
      </c>
      <c r="C20" s="900"/>
      <c r="D20" s="900"/>
      <c r="E20" s="900"/>
      <c r="F20" s="900"/>
      <c r="G20" s="900"/>
      <c r="H20" s="247"/>
      <c r="I20" s="248"/>
      <c r="J20" s="248"/>
      <c r="K20" s="248"/>
      <c r="L20" s="248"/>
      <c r="M20" s="248"/>
      <c r="N20" s="248"/>
      <c r="O20" s="248"/>
    </row>
    <row r="21" spans="2:60">
      <c r="B21" s="248"/>
      <c r="C21" s="248"/>
      <c r="D21" s="929"/>
      <c r="E21" s="929"/>
      <c r="F21" s="929"/>
      <c r="G21" s="929"/>
      <c r="H21" s="929"/>
      <c r="I21" s="929"/>
      <c r="J21" s="929"/>
      <c r="K21" s="929"/>
      <c r="L21" s="929"/>
      <c r="M21" s="929"/>
      <c r="N21" s="929"/>
      <c r="O21" s="929"/>
    </row>
    <row r="22" spans="2:60" ht="15.6">
      <c r="B22" s="77" t="s">
        <v>26</v>
      </c>
      <c r="C22" s="249">
        <v>44224</v>
      </c>
      <c r="D22" s="250"/>
      <c r="E22" s="932" t="s">
        <v>50</v>
      </c>
      <c r="F22" s="368"/>
      <c r="G22" s="933" t="s">
        <v>611</v>
      </c>
      <c r="H22" s="933"/>
      <c r="I22" s="933"/>
      <c r="J22" s="933"/>
      <c r="K22" s="251"/>
      <c r="L22" s="938"/>
      <c r="M22" s="938"/>
      <c r="N22" s="938"/>
      <c r="O22" s="939"/>
    </row>
    <row r="23" spans="2:60" ht="15.6">
      <c r="B23" s="248"/>
      <c r="C23" s="248"/>
      <c r="D23" s="251"/>
      <c r="E23" s="932"/>
      <c r="F23" s="368"/>
      <c r="G23" s="933"/>
      <c r="H23" s="933"/>
      <c r="I23" s="933"/>
      <c r="J23" s="933"/>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248"/>
      <c r="C26" s="248"/>
      <c r="D26" s="248"/>
      <c r="E26" s="248"/>
      <c r="F26" s="248"/>
      <c r="G26" s="247"/>
      <c r="H26" s="247"/>
      <c r="I26" s="937"/>
      <c r="J26" s="937"/>
      <c r="K26" s="937"/>
      <c r="L26" s="937"/>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937"/>
      <c r="J28" s="937"/>
      <c r="K28" s="937"/>
      <c r="L28" s="937"/>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937"/>
      <c r="J30" s="937"/>
      <c r="K30" s="937"/>
      <c r="L30" s="937"/>
      <c r="M30" s="252"/>
      <c r="N30" s="252"/>
      <c r="O30" s="252"/>
    </row>
  </sheetData>
  <sheetProtection algorithmName="SHA-512" hashValue="B4HIbSL/VwAC8gGLm8cVUMLMOxRBB6U2foUPRtEKOtD0qisaTx1SQZpOxUBCKs82HobPkOnAECzFih6zsrMOxg==" saltValue="Rfw4p/Yd+iOwOzYnweehoQ==" spinCount="100000" sheet="1" objects="1" scenarios="1"/>
  <mergeCells count="71">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J12:J15"/>
    <mergeCell ref="AX19:AZ19"/>
    <mergeCell ref="D21:O21"/>
    <mergeCell ref="B16:B18"/>
    <mergeCell ref="C16:C18"/>
    <mergeCell ref="B20:G20"/>
    <mergeCell ref="K12:K15"/>
    <mergeCell ref="L12:L15"/>
    <mergeCell ref="M12:M15"/>
    <mergeCell ref="G12:G15"/>
    <mergeCell ref="F12:F15"/>
    <mergeCell ref="I28:L28"/>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BE19:BH19"/>
    <mergeCell ref="E22:E23"/>
    <mergeCell ref="G22:J23"/>
    <mergeCell ref="L22:O22"/>
    <mergeCell ref="I26:L26"/>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92D050"/>
  </sheetPr>
  <dimension ref="B1:BH30"/>
  <sheetViews>
    <sheetView showGridLines="0" zoomScale="70" zoomScaleNormal="70" workbookViewId="0">
      <selection activeCell="V16" sqref="V16"/>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901" t="s">
        <v>748</v>
      </c>
      <c r="C2" s="904" t="s">
        <v>118</v>
      </c>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6"/>
      <c r="BG2" s="236" t="s">
        <v>31</v>
      </c>
      <c r="BH2" s="237"/>
    </row>
    <row r="3" spans="2:60" ht="15.6">
      <c r="B3" s="902"/>
      <c r="C3" s="907"/>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9"/>
      <c r="BG3" s="212" t="s">
        <v>28</v>
      </c>
      <c r="BH3" s="28" t="s">
        <v>29</v>
      </c>
    </row>
    <row r="4" spans="2:60" ht="15" customHeight="1">
      <c r="B4" s="902"/>
      <c r="C4" s="907"/>
      <c r="D4" s="908"/>
      <c r="E4" s="908"/>
      <c r="F4" s="908"/>
      <c r="G4" s="908"/>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8"/>
      <c r="AK4" s="908"/>
      <c r="AL4" s="908"/>
      <c r="AM4" s="908"/>
      <c r="AN4" s="908"/>
      <c r="AO4" s="908"/>
      <c r="AP4" s="908"/>
      <c r="AQ4" s="908"/>
      <c r="AR4" s="908"/>
      <c r="AS4" s="908"/>
      <c r="AT4" s="908"/>
      <c r="AU4" s="908"/>
      <c r="AV4" s="908"/>
      <c r="AW4" s="908"/>
      <c r="AX4" s="908"/>
      <c r="AY4" s="908"/>
      <c r="AZ4" s="908"/>
      <c r="BA4" s="908"/>
      <c r="BB4" s="908"/>
      <c r="BC4" s="908"/>
      <c r="BD4" s="908"/>
      <c r="BE4" s="908"/>
      <c r="BF4" s="909"/>
      <c r="BG4" s="213">
        <v>5</v>
      </c>
      <c r="BH4" s="30" t="s">
        <v>714</v>
      </c>
    </row>
    <row r="5" spans="2:60" ht="15.6">
      <c r="B5" s="902"/>
      <c r="C5" s="907"/>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9"/>
      <c r="BG5" s="214" t="s">
        <v>30</v>
      </c>
      <c r="BH5" s="215"/>
    </row>
    <row r="6" spans="2:60" ht="15.6" customHeight="1" thickBot="1">
      <c r="B6" s="903"/>
      <c r="C6" s="910"/>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2"/>
      <c r="BG6" s="930">
        <v>44306</v>
      </c>
      <c r="BH6" s="931"/>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889"/>
      <c r="AX7" s="938"/>
      <c r="AY7" s="938"/>
      <c r="AZ7" s="938"/>
      <c r="BA7" s="891"/>
      <c r="BB7" s="238"/>
      <c r="BC7" s="238"/>
      <c r="BD7" s="238"/>
      <c r="BE7" s="138"/>
      <c r="BF7" s="138"/>
    </row>
    <row r="8" spans="2:60" ht="21">
      <c r="B8" s="216" t="s">
        <v>45</v>
      </c>
      <c r="C8" s="958" t="s">
        <v>98</v>
      </c>
      <c r="D8" s="958"/>
      <c r="E8" s="217"/>
      <c r="F8" s="217"/>
      <c r="G8" s="217"/>
      <c r="H8" s="217"/>
      <c r="I8" s="217"/>
      <c r="J8" s="217"/>
      <c r="K8" s="217"/>
      <c r="L8" s="217"/>
      <c r="M8" s="217"/>
      <c r="N8" s="217"/>
      <c r="O8" s="217"/>
      <c r="AW8" s="238"/>
      <c r="AX8" s="238"/>
      <c r="AY8" s="238"/>
      <c r="AZ8" s="238"/>
      <c r="BA8" s="238"/>
      <c r="BB8" s="238"/>
      <c r="BC8" s="238"/>
      <c r="BD8" s="238"/>
    </row>
    <row r="9" spans="2:60" ht="93" customHeight="1">
      <c r="B9" s="216" t="s">
        <v>34</v>
      </c>
      <c r="C9" s="914" t="s">
        <v>622</v>
      </c>
      <c r="D9" s="915"/>
      <c r="E9" s="217"/>
      <c r="F9" s="217"/>
      <c r="G9" s="217"/>
      <c r="H9" s="217"/>
      <c r="I9" s="217"/>
      <c r="J9" s="217"/>
      <c r="K9" s="217"/>
      <c r="L9" s="217"/>
      <c r="M9" s="217"/>
      <c r="N9" s="217"/>
      <c r="O9" s="217"/>
      <c r="AW9" s="238"/>
      <c r="AX9" s="238"/>
      <c r="AY9" s="238"/>
      <c r="AZ9" s="238"/>
      <c r="BA9" s="238"/>
      <c r="BB9" s="238"/>
      <c r="BC9" s="238"/>
      <c r="BD9" s="238"/>
    </row>
    <row r="10" spans="2:60" ht="24.6">
      <c r="B10" s="216" t="s">
        <v>101</v>
      </c>
      <c r="C10" s="916">
        <v>2021</v>
      </c>
      <c r="D10" s="917"/>
      <c r="E10" s="217"/>
      <c r="F10" s="217"/>
      <c r="G10" s="217"/>
      <c r="H10" s="217"/>
      <c r="I10" s="217"/>
      <c r="J10" s="217"/>
      <c r="K10" s="217"/>
      <c r="L10" s="217"/>
      <c r="M10" s="217"/>
      <c r="N10" s="217"/>
      <c r="O10" s="217"/>
      <c r="AW10" s="238"/>
      <c r="AX10" s="238"/>
      <c r="AY10" s="238"/>
      <c r="AZ10" s="238"/>
      <c r="BA10" s="238"/>
      <c r="BB10" s="238"/>
      <c r="BC10" s="238"/>
      <c r="BD10" s="238"/>
    </row>
    <row r="11" spans="2:60">
      <c r="B11" s="136"/>
      <c r="C11" s="136"/>
      <c r="D11" s="136"/>
      <c r="E11" s="136"/>
      <c r="F11" s="136"/>
      <c r="G11" s="137"/>
      <c r="H11" s="137"/>
      <c r="I11" s="136"/>
      <c r="J11" s="136"/>
      <c r="K11" s="136"/>
      <c r="L11" s="136"/>
      <c r="M11" s="136"/>
      <c r="N11" s="136"/>
      <c r="O11" s="136"/>
      <c r="AW11" s="238"/>
      <c r="AX11" s="238"/>
      <c r="AY11" s="238"/>
      <c r="AZ11" s="238"/>
      <c r="BA11" s="238"/>
      <c r="BB11" s="238"/>
      <c r="BC11" s="238"/>
      <c r="BD11" s="238"/>
    </row>
    <row r="12" spans="2:60" ht="15.6" customHeight="1">
      <c r="B12" s="758" t="s">
        <v>0</v>
      </c>
      <c r="C12" s="758" t="s">
        <v>52</v>
      </c>
      <c r="D12" s="920" t="s">
        <v>774</v>
      </c>
      <c r="E12" s="758" t="s">
        <v>61</v>
      </c>
      <c r="F12" s="920" t="s">
        <v>744</v>
      </c>
      <c r="G12" s="758" t="s">
        <v>58</v>
      </c>
      <c r="H12" s="758" t="s">
        <v>25</v>
      </c>
      <c r="I12" s="758" t="s">
        <v>60</v>
      </c>
      <c r="J12" s="758" t="s">
        <v>39</v>
      </c>
      <c r="K12" s="758" t="s">
        <v>36</v>
      </c>
      <c r="L12" s="758" t="s">
        <v>20</v>
      </c>
      <c r="M12" s="758" t="s">
        <v>51</v>
      </c>
      <c r="N12" s="758" t="s">
        <v>40</v>
      </c>
      <c r="O12" s="758" t="s">
        <v>42</v>
      </c>
      <c r="P12" s="801" t="s">
        <v>112</v>
      </c>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92" t="s">
        <v>62</v>
      </c>
      <c r="AW12" s="894" t="s">
        <v>745</v>
      </c>
      <c r="AX12" s="895"/>
      <c r="AY12" s="895"/>
      <c r="AZ12" s="896"/>
      <c r="BA12" s="883" t="s">
        <v>746</v>
      </c>
      <c r="BB12" s="884"/>
      <c r="BC12" s="884"/>
      <c r="BD12" s="885"/>
      <c r="BE12" s="923" t="s">
        <v>747</v>
      </c>
      <c r="BF12" s="924"/>
      <c r="BG12" s="924"/>
      <c r="BH12" s="925"/>
    </row>
    <row r="13" spans="2:60" ht="15.6">
      <c r="B13" s="758"/>
      <c r="C13" s="758"/>
      <c r="D13" s="920"/>
      <c r="E13" s="758"/>
      <c r="F13" s="920"/>
      <c r="G13" s="758"/>
      <c r="H13" s="758"/>
      <c r="I13" s="758"/>
      <c r="J13" s="758"/>
      <c r="K13" s="758"/>
      <c r="L13" s="758"/>
      <c r="M13" s="758"/>
      <c r="N13" s="758"/>
      <c r="O13" s="758"/>
      <c r="P13" s="893" t="s">
        <v>21</v>
      </c>
      <c r="Q13" s="893"/>
      <c r="R13" s="893"/>
      <c r="S13" s="893"/>
      <c r="T13" s="893"/>
      <c r="U13" s="893"/>
      <c r="V13" s="893"/>
      <c r="W13" s="893"/>
      <c r="X13" s="893" t="s">
        <v>22</v>
      </c>
      <c r="Y13" s="893"/>
      <c r="Z13" s="893"/>
      <c r="AA13" s="893"/>
      <c r="AB13" s="893"/>
      <c r="AC13" s="893"/>
      <c r="AD13" s="893"/>
      <c r="AE13" s="893"/>
      <c r="AF13" s="893" t="s">
        <v>23</v>
      </c>
      <c r="AG13" s="893"/>
      <c r="AH13" s="893"/>
      <c r="AI13" s="893"/>
      <c r="AJ13" s="893"/>
      <c r="AK13" s="893"/>
      <c r="AL13" s="893"/>
      <c r="AM13" s="893"/>
      <c r="AN13" s="893" t="s">
        <v>24</v>
      </c>
      <c r="AO13" s="893"/>
      <c r="AP13" s="893"/>
      <c r="AQ13" s="893"/>
      <c r="AR13" s="893"/>
      <c r="AS13" s="893"/>
      <c r="AT13" s="893"/>
      <c r="AU13" s="893"/>
      <c r="AV13" s="892"/>
      <c r="AW13" s="897" t="s">
        <v>119</v>
      </c>
      <c r="AX13" s="897" t="s">
        <v>22</v>
      </c>
      <c r="AY13" s="897" t="s">
        <v>120</v>
      </c>
      <c r="AZ13" s="897" t="s">
        <v>121</v>
      </c>
      <c r="BA13" s="886" t="s">
        <v>119</v>
      </c>
      <c r="BB13" s="886" t="s">
        <v>122</v>
      </c>
      <c r="BC13" s="886" t="s">
        <v>123</v>
      </c>
      <c r="BD13" s="886" t="s">
        <v>124</v>
      </c>
      <c r="BE13" s="880" t="s">
        <v>21</v>
      </c>
      <c r="BF13" s="880" t="s">
        <v>22</v>
      </c>
      <c r="BG13" s="880" t="s">
        <v>23</v>
      </c>
      <c r="BH13" s="880" t="s">
        <v>24</v>
      </c>
    </row>
    <row r="14" spans="2:60" ht="15.6">
      <c r="B14" s="758"/>
      <c r="C14" s="758"/>
      <c r="D14" s="920"/>
      <c r="E14" s="758"/>
      <c r="F14" s="920"/>
      <c r="G14" s="758"/>
      <c r="H14" s="758"/>
      <c r="I14" s="758"/>
      <c r="J14" s="758"/>
      <c r="K14" s="758"/>
      <c r="L14" s="758"/>
      <c r="M14" s="758"/>
      <c r="N14" s="758"/>
      <c r="O14" s="758"/>
      <c r="P14" s="946" t="s">
        <v>5</v>
      </c>
      <c r="Q14" s="946"/>
      <c r="R14" s="946" t="s">
        <v>6</v>
      </c>
      <c r="S14" s="946"/>
      <c r="T14" s="946" t="s">
        <v>7</v>
      </c>
      <c r="U14" s="946"/>
      <c r="V14" s="801" t="s">
        <v>8</v>
      </c>
      <c r="W14" s="801"/>
      <c r="X14" s="946" t="s">
        <v>27</v>
      </c>
      <c r="Y14" s="946"/>
      <c r="Z14" s="946" t="s">
        <v>9</v>
      </c>
      <c r="AA14" s="946"/>
      <c r="AB14" s="946" t="s">
        <v>10</v>
      </c>
      <c r="AC14" s="946"/>
      <c r="AD14" s="801" t="s">
        <v>8</v>
      </c>
      <c r="AE14" s="801"/>
      <c r="AF14" s="946" t="s">
        <v>11</v>
      </c>
      <c r="AG14" s="946"/>
      <c r="AH14" s="946" t="s">
        <v>12</v>
      </c>
      <c r="AI14" s="946"/>
      <c r="AJ14" s="946" t="s">
        <v>13</v>
      </c>
      <c r="AK14" s="946"/>
      <c r="AL14" s="801" t="s">
        <v>8</v>
      </c>
      <c r="AM14" s="801"/>
      <c r="AN14" s="946" t="s">
        <v>14</v>
      </c>
      <c r="AO14" s="946"/>
      <c r="AP14" s="946" t="s">
        <v>15</v>
      </c>
      <c r="AQ14" s="946"/>
      <c r="AR14" s="946" t="s">
        <v>16</v>
      </c>
      <c r="AS14" s="946"/>
      <c r="AT14" s="801" t="s">
        <v>8</v>
      </c>
      <c r="AU14" s="801"/>
      <c r="AV14" s="892"/>
      <c r="AW14" s="898"/>
      <c r="AX14" s="898"/>
      <c r="AY14" s="898"/>
      <c r="AZ14" s="898"/>
      <c r="BA14" s="887"/>
      <c r="BB14" s="887"/>
      <c r="BC14" s="887"/>
      <c r="BD14" s="887"/>
      <c r="BE14" s="881"/>
      <c r="BF14" s="881"/>
      <c r="BG14" s="881"/>
      <c r="BH14" s="881"/>
    </row>
    <row r="15" spans="2:60" ht="13.2" customHeight="1">
      <c r="B15" s="758"/>
      <c r="C15" s="758"/>
      <c r="D15" s="920"/>
      <c r="E15" s="758"/>
      <c r="F15" s="920"/>
      <c r="G15" s="758"/>
      <c r="H15" s="758"/>
      <c r="I15" s="758"/>
      <c r="J15" s="758"/>
      <c r="K15" s="758"/>
      <c r="L15" s="758"/>
      <c r="M15" s="758"/>
      <c r="N15" s="758"/>
      <c r="O15" s="758"/>
      <c r="P15" s="239" t="s">
        <v>17</v>
      </c>
      <c r="Q15" s="240" t="s">
        <v>18</v>
      </c>
      <c r="R15" s="239" t="s">
        <v>17</v>
      </c>
      <c r="S15" s="240" t="s">
        <v>18</v>
      </c>
      <c r="T15" s="239" t="s">
        <v>17</v>
      </c>
      <c r="U15" s="240" t="s">
        <v>18</v>
      </c>
      <c r="V15" s="75" t="s">
        <v>17</v>
      </c>
      <c r="W15" s="76" t="s">
        <v>18</v>
      </c>
      <c r="X15" s="239" t="s">
        <v>17</v>
      </c>
      <c r="Y15" s="240" t="s">
        <v>18</v>
      </c>
      <c r="Z15" s="239" t="s">
        <v>17</v>
      </c>
      <c r="AA15" s="240" t="s">
        <v>18</v>
      </c>
      <c r="AB15" s="239" t="s">
        <v>17</v>
      </c>
      <c r="AC15" s="240" t="s">
        <v>18</v>
      </c>
      <c r="AD15" s="75" t="s">
        <v>17</v>
      </c>
      <c r="AE15" s="76" t="s">
        <v>18</v>
      </c>
      <c r="AF15" s="239" t="s">
        <v>17</v>
      </c>
      <c r="AG15" s="240" t="s">
        <v>18</v>
      </c>
      <c r="AH15" s="239" t="s">
        <v>17</v>
      </c>
      <c r="AI15" s="240" t="s">
        <v>18</v>
      </c>
      <c r="AJ15" s="239" t="s">
        <v>17</v>
      </c>
      <c r="AK15" s="240" t="s">
        <v>18</v>
      </c>
      <c r="AL15" s="75" t="s">
        <v>17</v>
      </c>
      <c r="AM15" s="76" t="s">
        <v>18</v>
      </c>
      <c r="AN15" s="239" t="s">
        <v>17</v>
      </c>
      <c r="AO15" s="240" t="s">
        <v>18</v>
      </c>
      <c r="AP15" s="239" t="s">
        <v>17</v>
      </c>
      <c r="AQ15" s="240" t="s">
        <v>18</v>
      </c>
      <c r="AR15" s="239" t="s">
        <v>17</v>
      </c>
      <c r="AS15" s="240" t="s">
        <v>18</v>
      </c>
      <c r="AT15" s="75" t="s">
        <v>17</v>
      </c>
      <c r="AU15" s="76" t="s">
        <v>18</v>
      </c>
      <c r="AV15" s="892"/>
      <c r="AW15" s="899"/>
      <c r="AX15" s="899"/>
      <c r="AY15" s="899"/>
      <c r="AZ15" s="899"/>
      <c r="BA15" s="888"/>
      <c r="BB15" s="888"/>
      <c r="BC15" s="888"/>
      <c r="BD15" s="888"/>
      <c r="BE15" s="882"/>
      <c r="BF15" s="882"/>
      <c r="BG15" s="882"/>
      <c r="BH15" s="882"/>
    </row>
    <row r="16" spans="2:60" ht="98.25" customHeight="1">
      <c r="B16" s="921"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1" t="str">
        <f>+'01-FR-03 POA INSTITUCIONAL'!C85</f>
        <v>4.5. Desarrollar el 100% de las acciones relacionadas con el fomento de la Cultura del Autocontrol, la Autorregulación y la Autogestión institucional.</v>
      </c>
      <c r="D16" s="31" t="str">
        <f>+'01-FR-03 POA INSTITUCIONAL'!D88</f>
        <v>4.5.4 Ejecutar  4 programas anuales de auditorias, aprobados por el Comité Institucional de Coordinación del Sistema de Control Interno.</v>
      </c>
      <c r="E16" s="52">
        <f>+'01-FR-03 POA INSTITUCIONAL'!E88</f>
        <v>0.5</v>
      </c>
      <c r="F16" s="68">
        <f>+'01-FR-03 POA INSTITUCIONAL'!F88</f>
        <v>4</v>
      </c>
      <c r="G16" s="68">
        <v>1</v>
      </c>
      <c r="H16" s="68">
        <v>1</v>
      </c>
      <c r="I16" s="140" t="str">
        <f>+'01-FR-03 POA INSTITUCIONAL'!H88</f>
        <v>Programa anual de auditorías ejecutado.</v>
      </c>
      <c r="J16" s="218" t="s">
        <v>723</v>
      </c>
      <c r="K16" s="241" t="s">
        <v>623</v>
      </c>
      <c r="L16" s="221" t="s">
        <v>624</v>
      </c>
      <c r="M16" s="221" t="s">
        <v>625</v>
      </c>
      <c r="N16" s="221" t="s">
        <v>626</v>
      </c>
      <c r="O16" s="242" t="str">
        <f>+'[6]POA Anualizado (Pág 1 de 3)'!J13</f>
        <v>Oficina de Control Interno</v>
      </c>
      <c r="P16" s="243">
        <v>0.18</v>
      </c>
      <c r="Q16" s="243">
        <v>0.18</v>
      </c>
      <c r="R16" s="243">
        <v>0.21</v>
      </c>
      <c r="S16" s="243">
        <v>0.21</v>
      </c>
      <c r="T16" s="243">
        <v>0.12</v>
      </c>
      <c r="U16" s="243">
        <v>0.12</v>
      </c>
      <c r="V16" s="93">
        <f>P16+R16+T16</f>
        <v>0.51</v>
      </c>
      <c r="W16" s="93">
        <f>Q16+S16+U16</f>
        <v>0.51</v>
      </c>
      <c r="X16" s="243">
        <v>0</v>
      </c>
      <c r="Y16" s="243"/>
      <c r="Z16" s="243">
        <v>0.12</v>
      </c>
      <c r="AA16" s="243"/>
      <c r="AB16" s="243">
        <v>0</v>
      </c>
      <c r="AC16" s="243"/>
      <c r="AD16" s="93">
        <f>X16+Z16+AB16</f>
        <v>0.12</v>
      </c>
      <c r="AE16" s="91">
        <f>Y16+AA16+AC16</f>
        <v>0</v>
      </c>
      <c r="AF16" s="243">
        <v>0.02</v>
      </c>
      <c r="AG16" s="243"/>
      <c r="AH16" s="243">
        <v>0.09</v>
      </c>
      <c r="AI16" s="243"/>
      <c r="AJ16" s="243">
        <v>0.15</v>
      </c>
      <c r="AK16" s="244"/>
      <c r="AL16" s="93">
        <f>AF16+AH16+AJ16</f>
        <v>0.26</v>
      </c>
      <c r="AM16" s="91">
        <f>AG16+AI16+AK16</f>
        <v>0</v>
      </c>
      <c r="AN16" s="243">
        <v>0.09</v>
      </c>
      <c r="AO16" s="243"/>
      <c r="AP16" s="243">
        <v>0.02</v>
      </c>
      <c r="AQ16" s="243"/>
      <c r="AR16" s="243">
        <v>0</v>
      </c>
      <c r="AS16" s="243"/>
      <c r="AT16" s="93">
        <f>AN16+AP16+AR16</f>
        <v>0.11</v>
      </c>
      <c r="AU16" s="91">
        <f>AO16+AQ16+AS16</f>
        <v>0</v>
      </c>
      <c r="AV16" s="245">
        <f>V16+AD16+AL16+AT16</f>
        <v>1</v>
      </c>
      <c r="AW16" s="351">
        <f>+W16</f>
        <v>0.51</v>
      </c>
      <c r="AX16" s="405">
        <f>+W16+AE16</f>
        <v>0.51</v>
      </c>
      <c r="AY16" s="405">
        <f>+W16+AE16+AM16</f>
        <v>0.51</v>
      </c>
      <c r="AZ16" s="405">
        <f>+W16+AE16+AM16+AU16</f>
        <v>0.51</v>
      </c>
      <c r="BA16" s="42">
        <f>IF(AND(AW16&gt;0,$AV16&gt;0),AW16/$AV16,0)</f>
        <v>0.51</v>
      </c>
      <c r="BB16" s="42">
        <f t="shared" ref="BB16:BD18" si="0">IF(AND(AX16&gt;0,$AV16&gt;0),AX16/$AV16,0)</f>
        <v>0.51</v>
      </c>
      <c r="BC16" s="42">
        <f t="shared" si="0"/>
        <v>0.51</v>
      </c>
      <c r="BD16" s="42">
        <f t="shared" si="0"/>
        <v>0.51</v>
      </c>
      <c r="BE16" s="338">
        <f>(IF(AND(AW16&gt;0,$F16&gt;0),AW16/$F16,0))</f>
        <v>0.1275</v>
      </c>
      <c r="BF16" s="401">
        <f t="shared" ref="BF16:BH18" si="1">(IF(AND(AX16&gt;0,$F16&gt;0),AX16/$F16,0))</f>
        <v>0.1275</v>
      </c>
      <c r="BG16" s="401">
        <f t="shared" si="1"/>
        <v>0.1275</v>
      </c>
      <c r="BH16" s="401">
        <f t="shared" si="1"/>
        <v>0.1275</v>
      </c>
    </row>
    <row r="17" spans="2:60" ht="120">
      <c r="B17" s="922"/>
      <c r="C17" s="922"/>
      <c r="D17" s="31" t="str">
        <f>+'01-FR-03 POA INSTITUCIONAL'!D89</f>
        <v>4.5.5 Desarrollar 4 estrategias de sensibilización acerca de la cultura del control.</v>
      </c>
      <c r="E17" s="52">
        <f>+'01-FR-03 POA INSTITUCIONAL'!E89</f>
        <v>0.1</v>
      </c>
      <c r="F17" s="68">
        <f>+'01-FR-03 POA INSTITUCIONAL'!F89</f>
        <v>4</v>
      </c>
      <c r="G17" s="68">
        <v>1</v>
      </c>
      <c r="H17" s="68">
        <v>1</v>
      </c>
      <c r="I17" s="140" t="str">
        <f>+'01-FR-03 POA INSTITUCIONAL'!H89</f>
        <v>Estrategia de Sensibilización acerca de la Cultura del Control realizada</v>
      </c>
      <c r="J17" s="218" t="s">
        <v>627</v>
      </c>
      <c r="K17" s="241" t="s">
        <v>632</v>
      </c>
      <c r="L17" s="221" t="s">
        <v>628</v>
      </c>
      <c r="M17" s="221" t="s">
        <v>625</v>
      </c>
      <c r="N17" s="221" t="s">
        <v>626</v>
      </c>
      <c r="O17" s="242" t="str">
        <f>+'[6]POA Anualizado (Pág 1 de 3)'!J14</f>
        <v>Oficina de Control Interno</v>
      </c>
      <c r="P17" s="243">
        <v>0</v>
      </c>
      <c r="Q17" s="243">
        <v>0</v>
      </c>
      <c r="R17" s="243">
        <v>0</v>
      </c>
      <c r="S17" s="243">
        <v>0</v>
      </c>
      <c r="T17" s="243">
        <v>0</v>
      </c>
      <c r="U17" s="243">
        <v>0</v>
      </c>
      <c r="V17" s="91">
        <f t="shared" ref="V17:W18" si="2">P17+R17+T17</f>
        <v>0</v>
      </c>
      <c r="W17" s="91">
        <f t="shared" si="2"/>
        <v>0</v>
      </c>
      <c r="X17" s="243">
        <v>0</v>
      </c>
      <c r="Y17" s="243"/>
      <c r="Z17" s="243">
        <v>0</v>
      </c>
      <c r="AA17" s="243"/>
      <c r="AB17" s="243">
        <v>0</v>
      </c>
      <c r="AC17" s="243"/>
      <c r="AD17" s="91">
        <f t="shared" ref="AD17:AE18" si="3">X17+Z17+AB17</f>
        <v>0</v>
      </c>
      <c r="AE17" s="91">
        <f t="shared" si="3"/>
        <v>0</v>
      </c>
      <c r="AF17" s="243">
        <v>0</v>
      </c>
      <c r="AG17" s="243"/>
      <c r="AH17" s="243">
        <v>0</v>
      </c>
      <c r="AI17" s="243"/>
      <c r="AJ17" s="243">
        <v>0</v>
      </c>
      <c r="AK17" s="244"/>
      <c r="AL17" s="91">
        <f t="shared" ref="AL17:AM18" si="4">AF17+AH17+AJ17</f>
        <v>0</v>
      </c>
      <c r="AM17" s="91">
        <f t="shared" si="4"/>
        <v>0</v>
      </c>
      <c r="AN17" s="243">
        <v>0</v>
      </c>
      <c r="AO17" s="243"/>
      <c r="AP17" s="243">
        <v>1</v>
      </c>
      <c r="AQ17" s="243"/>
      <c r="AR17" s="243">
        <v>0</v>
      </c>
      <c r="AS17" s="243"/>
      <c r="AT17" s="91">
        <f t="shared" ref="AT17:AU18" si="5">AN17+AP17+AR17</f>
        <v>1</v>
      </c>
      <c r="AU17" s="91">
        <f t="shared" si="5"/>
        <v>0</v>
      </c>
      <c r="AV17" s="245">
        <f t="shared" ref="AV17:AV18" si="6">V17+AD17+AL17+AT17</f>
        <v>1</v>
      </c>
      <c r="AW17" s="81">
        <f t="shared" ref="AW17:AW18" si="7">+W17</f>
        <v>0</v>
      </c>
      <c r="AX17" s="390">
        <f t="shared" ref="AX17:AX18" si="8">+W17+AE17</f>
        <v>0</v>
      </c>
      <c r="AY17" s="390">
        <f t="shared" ref="AY17:AY18" si="9">+W17+AE17+AM17</f>
        <v>0</v>
      </c>
      <c r="AZ17" s="390">
        <f t="shared" ref="AZ17:AZ18" si="10">+W17+AE17+AM17+AU17</f>
        <v>0</v>
      </c>
      <c r="BA17" s="42">
        <f>IF(AND(AW17&gt;0,AV17&gt;0),AW17/AV17,0)</f>
        <v>0</v>
      </c>
      <c r="BB17" s="42">
        <f t="shared" si="0"/>
        <v>0</v>
      </c>
      <c r="BC17" s="42">
        <f t="shared" si="0"/>
        <v>0</v>
      </c>
      <c r="BD17" s="42">
        <f t="shared" si="0"/>
        <v>0</v>
      </c>
      <c r="BE17" s="338">
        <f t="shared" ref="BE17:BE18" si="11">(IF(AND(AW17&gt;0,$F17&gt;0),AW17/$F17,0))</f>
        <v>0</v>
      </c>
      <c r="BF17" s="401">
        <f t="shared" si="1"/>
        <v>0</v>
      </c>
      <c r="BG17" s="401">
        <f t="shared" si="1"/>
        <v>0</v>
      </c>
      <c r="BH17" s="401">
        <f t="shared" si="1"/>
        <v>0</v>
      </c>
    </row>
    <row r="18" spans="2:60" ht="104.25" customHeight="1">
      <c r="B18" s="948"/>
      <c r="C18" s="948"/>
      <c r="D18" s="31" t="str">
        <f>+'01-FR-03 POA INSTITUCIONAL'!D90</f>
        <v>4.5.6 Realizar 4 jornadas de sensibilización a Directivos y Referentes de proceso sobre la Séptima Dimensión.</v>
      </c>
      <c r="E18" s="52">
        <f>+'01-FR-03 POA INSTITUCIONAL'!E90</f>
        <v>0.1</v>
      </c>
      <c r="F18" s="68">
        <f>+'01-FR-03 POA INSTITUCIONAL'!F90</f>
        <v>4</v>
      </c>
      <c r="G18" s="68">
        <v>1</v>
      </c>
      <c r="H18" s="68">
        <v>1</v>
      </c>
      <c r="I18" s="140" t="str">
        <f>+'01-FR-03 POA INSTITUCIONAL'!H90</f>
        <v>Sensibilización a Directivos y Referentes de Gestión sobre la Séptima Dimensión del MIPG realizada</v>
      </c>
      <c r="J18" s="218" t="s">
        <v>629</v>
      </c>
      <c r="K18" s="241" t="s">
        <v>633</v>
      </c>
      <c r="L18" s="221" t="s">
        <v>630</v>
      </c>
      <c r="M18" s="221" t="s">
        <v>625</v>
      </c>
      <c r="N18" s="221" t="s">
        <v>626</v>
      </c>
      <c r="O18" s="242" t="str">
        <f>+'[6]POA Anualizado (Pág 1 de 3)'!J15</f>
        <v>Oficina de Control Interno</v>
      </c>
      <c r="P18" s="243">
        <v>0</v>
      </c>
      <c r="Q18" s="243">
        <v>0</v>
      </c>
      <c r="R18" s="243">
        <v>0</v>
      </c>
      <c r="S18" s="243">
        <v>0</v>
      </c>
      <c r="T18" s="243">
        <v>0</v>
      </c>
      <c r="U18" s="243">
        <v>0</v>
      </c>
      <c r="V18" s="91">
        <f t="shared" si="2"/>
        <v>0</v>
      </c>
      <c r="W18" s="91">
        <f t="shared" si="2"/>
        <v>0</v>
      </c>
      <c r="X18" s="243">
        <v>0</v>
      </c>
      <c r="Y18" s="243"/>
      <c r="Z18" s="243">
        <v>0</v>
      </c>
      <c r="AA18" s="243"/>
      <c r="AB18" s="243">
        <v>0</v>
      </c>
      <c r="AC18" s="243"/>
      <c r="AD18" s="91">
        <f t="shared" si="3"/>
        <v>0</v>
      </c>
      <c r="AE18" s="91">
        <f t="shared" si="3"/>
        <v>0</v>
      </c>
      <c r="AF18" s="243">
        <v>0</v>
      </c>
      <c r="AG18" s="243"/>
      <c r="AH18" s="243">
        <v>0</v>
      </c>
      <c r="AI18" s="243"/>
      <c r="AJ18" s="243">
        <v>0</v>
      </c>
      <c r="AK18" s="244"/>
      <c r="AL18" s="91">
        <f t="shared" si="4"/>
        <v>0</v>
      </c>
      <c r="AM18" s="91">
        <f t="shared" si="4"/>
        <v>0</v>
      </c>
      <c r="AN18" s="243">
        <v>1</v>
      </c>
      <c r="AO18" s="243"/>
      <c r="AP18" s="243">
        <v>0</v>
      </c>
      <c r="AQ18" s="243"/>
      <c r="AR18" s="243">
        <v>0</v>
      </c>
      <c r="AS18" s="243"/>
      <c r="AT18" s="91">
        <f t="shared" si="5"/>
        <v>1</v>
      </c>
      <c r="AU18" s="91">
        <f t="shared" si="5"/>
        <v>0</v>
      </c>
      <c r="AV18" s="245">
        <f t="shared" si="6"/>
        <v>1</v>
      </c>
      <c r="AW18" s="81">
        <f t="shared" si="7"/>
        <v>0</v>
      </c>
      <c r="AX18" s="390">
        <f t="shared" si="8"/>
        <v>0</v>
      </c>
      <c r="AY18" s="390">
        <f t="shared" si="9"/>
        <v>0</v>
      </c>
      <c r="AZ18" s="390">
        <f t="shared" si="10"/>
        <v>0</v>
      </c>
      <c r="BA18" s="42">
        <f t="shared" ref="BA18" si="12">IF(AND(AW18&gt;0,AV18&gt;0),AW18/AV18,0)</f>
        <v>0</v>
      </c>
      <c r="BB18" s="42">
        <f t="shared" si="0"/>
        <v>0</v>
      </c>
      <c r="BC18" s="42">
        <f t="shared" si="0"/>
        <v>0</v>
      </c>
      <c r="BD18" s="42">
        <f t="shared" si="0"/>
        <v>0</v>
      </c>
      <c r="BE18" s="338">
        <f t="shared" si="11"/>
        <v>0</v>
      </c>
      <c r="BF18" s="401">
        <f t="shared" si="1"/>
        <v>0</v>
      </c>
      <c r="BG18" s="401">
        <f t="shared" si="1"/>
        <v>0</v>
      </c>
      <c r="BH18" s="401">
        <f t="shared" si="1"/>
        <v>0</v>
      </c>
    </row>
    <row r="19" spans="2:60" ht="22.8">
      <c r="B19" s="949"/>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1"/>
      <c r="AX19" s="918" t="s">
        <v>19</v>
      </c>
      <c r="AY19" s="947"/>
      <c r="AZ19" s="947"/>
      <c r="BA19" s="70">
        <f t="shared" ref="BA19:BD19" si="13">AVERAGE(BA16:BA18)</f>
        <v>0.17</v>
      </c>
      <c r="BB19" s="70">
        <f t="shared" si="13"/>
        <v>0.17</v>
      </c>
      <c r="BC19" s="70">
        <f t="shared" si="13"/>
        <v>0.17</v>
      </c>
      <c r="BD19" s="70">
        <f t="shared" si="13"/>
        <v>0.17</v>
      </c>
      <c r="BE19" s="959"/>
      <c r="BF19" s="960"/>
      <c r="BG19" s="960"/>
      <c r="BH19" s="961"/>
    </row>
    <row r="20" spans="2:60">
      <c r="B20" s="900" t="s">
        <v>291</v>
      </c>
      <c r="C20" s="900"/>
      <c r="D20" s="900"/>
      <c r="E20" s="900"/>
      <c r="F20" s="900"/>
      <c r="G20" s="900"/>
      <c r="H20" s="247"/>
      <c r="I20" s="248"/>
      <c r="J20" s="248"/>
      <c r="K20" s="248"/>
      <c r="L20" s="248"/>
      <c r="M20" s="248"/>
      <c r="N20" s="248"/>
      <c r="O20" s="248"/>
    </row>
    <row r="21" spans="2:60">
      <c r="B21" s="248"/>
      <c r="C21" s="248"/>
      <c r="D21" s="929"/>
      <c r="E21" s="929"/>
      <c r="F21" s="929"/>
      <c r="G21" s="929"/>
      <c r="H21" s="929"/>
      <c r="I21" s="929"/>
      <c r="J21" s="929"/>
      <c r="K21" s="929"/>
      <c r="L21" s="929"/>
      <c r="M21" s="929"/>
      <c r="N21" s="929"/>
      <c r="O21" s="929"/>
    </row>
    <row r="22" spans="2:60" ht="15.6" customHeight="1">
      <c r="B22" s="77" t="s">
        <v>26</v>
      </c>
      <c r="C22" s="249">
        <v>44224</v>
      </c>
      <c r="D22" s="250"/>
      <c r="E22" s="932" t="s">
        <v>50</v>
      </c>
      <c r="F22" s="1011" t="s">
        <v>631</v>
      </c>
      <c r="G22" s="1012"/>
      <c r="H22" s="1012"/>
      <c r="I22" s="1012"/>
      <c r="J22" s="1013"/>
      <c r="K22" s="251"/>
      <c r="L22" s="938"/>
      <c r="M22" s="938"/>
      <c r="N22" s="938"/>
      <c r="O22" s="939"/>
    </row>
    <row r="23" spans="2:60" ht="15.6">
      <c r="B23" s="248"/>
      <c r="C23" s="248"/>
      <c r="D23" s="251"/>
      <c r="E23" s="932"/>
      <c r="F23" s="1014"/>
      <c r="G23" s="1015"/>
      <c r="H23" s="1015"/>
      <c r="I23" s="1015"/>
      <c r="J23" s="1016"/>
      <c r="K23" s="248"/>
      <c r="L23" s="248"/>
      <c r="M23" s="248"/>
      <c r="N23" s="248"/>
      <c r="O23" s="248"/>
    </row>
    <row r="24" spans="2:60" ht="15.6">
      <c r="B24" s="77" t="s">
        <v>49</v>
      </c>
      <c r="C24" s="249"/>
      <c r="D24" s="248"/>
      <c r="E24" s="248"/>
      <c r="F24" s="248"/>
      <c r="K24" s="248"/>
      <c r="L24" s="248"/>
      <c r="M24" s="248"/>
      <c r="N24" s="248"/>
      <c r="O24" s="248"/>
    </row>
    <row r="25" spans="2:60">
      <c r="B25" s="248"/>
      <c r="C25" s="248"/>
      <c r="D25" s="248"/>
      <c r="E25" s="248"/>
      <c r="F25" s="248"/>
      <c r="K25" s="248"/>
      <c r="L25" s="248"/>
      <c r="M25" s="248"/>
      <c r="N25" s="248"/>
      <c r="O25" s="248"/>
    </row>
    <row r="26" spans="2:60">
      <c r="B26" s="248"/>
      <c r="C26" s="248"/>
      <c r="D26" s="248"/>
      <c r="E26" s="248"/>
      <c r="F26" s="248"/>
      <c r="G26" s="247"/>
      <c r="H26" s="247"/>
      <c r="I26" s="937"/>
      <c r="J26" s="937"/>
      <c r="K26" s="937"/>
      <c r="L26" s="937"/>
      <c r="M26" s="252"/>
      <c r="N26" s="252"/>
      <c r="O26" s="252"/>
    </row>
    <row r="27" spans="2:60">
      <c r="B27" s="248"/>
      <c r="C27" s="248"/>
      <c r="D27" s="248"/>
      <c r="E27" s="248"/>
      <c r="F27" s="248"/>
      <c r="G27" s="247"/>
      <c r="H27" s="247"/>
      <c r="I27" s="248"/>
      <c r="J27" s="248"/>
      <c r="K27" s="253"/>
      <c r="L27" s="248"/>
      <c r="M27" s="248"/>
      <c r="N27" s="248"/>
      <c r="O27" s="248"/>
    </row>
    <row r="28" spans="2:60">
      <c r="B28" s="248"/>
      <c r="C28" s="248"/>
      <c r="D28" s="248"/>
      <c r="E28" s="248"/>
      <c r="F28" s="248"/>
      <c r="G28" s="247"/>
      <c r="H28" s="247"/>
      <c r="I28" s="937"/>
      <c r="J28" s="937"/>
      <c r="K28" s="937"/>
      <c r="L28" s="937"/>
      <c r="M28" s="252"/>
      <c r="N28" s="252"/>
      <c r="O28" s="252"/>
    </row>
    <row r="29" spans="2:60">
      <c r="B29" s="248"/>
      <c r="C29" s="248"/>
      <c r="D29" s="248"/>
      <c r="E29" s="248"/>
      <c r="F29" s="248"/>
      <c r="G29" s="247"/>
      <c r="H29" s="247"/>
      <c r="I29" s="248"/>
      <c r="J29" s="248"/>
      <c r="K29" s="253"/>
      <c r="L29" s="248"/>
      <c r="M29" s="248"/>
      <c r="N29" s="248"/>
      <c r="O29" s="248"/>
    </row>
    <row r="30" spans="2:60">
      <c r="B30" s="248"/>
      <c r="C30" s="248"/>
      <c r="D30" s="248"/>
      <c r="E30" s="248"/>
      <c r="F30" s="248"/>
      <c r="G30" s="247"/>
      <c r="H30" s="247"/>
      <c r="I30" s="937"/>
      <c r="J30" s="937"/>
      <c r="K30" s="937"/>
      <c r="L30" s="937"/>
      <c r="M30" s="252"/>
      <c r="N30" s="252"/>
      <c r="O30" s="252"/>
    </row>
  </sheetData>
  <sheetProtection algorithmName="SHA-512" hashValue="+At8yJbN8CScW3fq7gUI6hoti3vKUcqClL6iO+F4a05Qms9hTfXhHYo0x4rkHQYfFhReguNd6Kv6ySYluuGYow==" saltValue="0uALy3Hm5aKNTauhKwSWGw==" spinCount="100000" sheet="1" objects="1" scenarios="1"/>
  <mergeCells count="71">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BE19:BH19"/>
    <mergeCell ref="I28:L28"/>
    <mergeCell ref="I30:L30"/>
    <mergeCell ref="B20:G20"/>
    <mergeCell ref="AX19:AZ19"/>
    <mergeCell ref="D21:O21"/>
    <mergeCell ref="E22:E23"/>
    <mergeCell ref="L22:O22"/>
    <mergeCell ref="I26:L26"/>
    <mergeCell ref="B19:AW19"/>
    <mergeCell ref="F22:J23"/>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F0"/>
  </sheetPr>
  <dimension ref="B1:O106"/>
  <sheetViews>
    <sheetView showGridLines="0" zoomScale="55" zoomScaleNormal="55" workbookViewId="0">
      <selection activeCell="B13" sqref="B13:B33"/>
    </sheetView>
  </sheetViews>
  <sheetFormatPr baseColWidth="10" defaultColWidth="17.33203125" defaultRowHeight="15" customHeight="1"/>
  <cols>
    <col min="1" max="1" width="4.33203125" style="135" customWidth="1"/>
    <col min="2" max="2" width="50.44140625" style="133" customWidth="1"/>
    <col min="3" max="3" width="55.109375" style="133" customWidth="1"/>
    <col min="4" max="4" width="52.88671875" style="133" customWidth="1"/>
    <col min="5" max="5" width="25.44140625" style="134" customWidth="1"/>
    <col min="6" max="6" width="26.33203125" style="134" customWidth="1"/>
    <col min="7" max="7" width="18" style="134" customWidth="1"/>
    <col min="8" max="8" width="43.6640625" style="133" customWidth="1"/>
    <col min="9" max="9" width="29.44140625" style="133" customWidth="1"/>
    <col min="10" max="10" width="56.33203125" style="133" customWidth="1"/>
    <col min="11" max="14" width="14.33203125" style="135" customWidth="1"/>
    <col min="15" max="15" width="18.5546875" style="135" customWidth="1"/>
    <col min="16" max="16384" width="17.33203125" style="135"/>
  </cols>
  <sheetData>
    <row r="1" spans="2:15" ht="15" customHeight="1" thickBot="1"/>
    <row r="2" spans="2:15" ht="16.5" customHeight="1">
      <c r="B2" s="901" t="s">
        <v>764</v>
      </c>
      <c r="C2" s="1064" t="s">
        <v>44</v>
      </c>
      <c r="D2" s="785"/>
      <c r="E2" s="785"/>
      <c r="F2" s="785"/>
      <c r="G2" s="785"/>
      <c r="H2" s="785"/>
      <c r="I2" s="785"/>
      <c r="J2" s="785"/>
      <c r="K2" s="785"/>
      <c r="L2" s="785"/>
      <c r="M2" s="1065"/>
      <c r="N2" s="1059" t="s">
        <v>31</v>
      </c>
      <c r="O2" s="1060"/>
    </row>
    <row r="3" spans="2:15" ht="16.5" customHeight="1">
      <c r="B3" s="902"/>
      <c r="C3" s="1066"/>
      <c r="D3" s="788"/>
      <c r="E3" s="788"/>
      <c r="F3" s="788"/>
      <c r="G3" s="788"/>
      <c r="H3" s="788"/>
      <c r="I3" s="788"/>
      <c r="J3" s="788"/>
      <c r="K3" s="788"/>
      <c r="L3" s="788"/>
      <c r="M3" s="1067"/>
      <c r="N3" s="27" t="s">
        <v>28</v>
      </c>
      <c r="O3" s="28" t="s">
        <v>29</v>
      </c>
    </row>
    <row r="4" spans="2:15" ht="16.5" customHeight="1">
      <c r="B4" s="902"/>
      <c r="C4" s="1066"/>
      <c r="D4" s="788"/>
      <c r="E4" s="788"/>
      <c r="F4" s="788"/>
      <c r="G4" s="788"/>
      <c r="H4" s="788"/>
      <c r="I4" s="788"/>
      <c r="J4" s="788"/>
      <c r="K4" s="788"/>
      <c r="L4" s="788"/>
      <c r="M4" s="1067"/>
      <c r="N4" s="29">
        <v>5</v>
      </c>
      <c r="O4" s="30" t="s">
        <v>713</v>
      </c>
    </row>
    <row r="5" spans="2:15" ht="16.5" customHeight="1">
      <c r="B5" s="902"/>
      <c r="C5" s="1066"/>
      <c r="D5" s="788"/>
      <c r="E5" s="788"/>
      <c r="F5" s="788"/>
      <c r="G5" s="788"/>
      <c r="H5" s="788"/>
      <c r="I5" s="788"/>
      <c r="J5" s="788"/>
      <c r="K5" s="788"/>
      <c r="L5" s="788"/>
      <c r="M5" s="1067"/>
      <c r="N5" s="1061" t="s">
        <v>30</v>
      </c>
      <c r="O5" s="1062"/>
    </row>
    <row r="6" spans="2:15" ht="16.5" customHeight="1" thickBot="1">
      <c r="B6" s="903"/>
      <c r="C6" s="1068"/>
      <c r="D6" s="791"/>
      <c r="E6" s="791"/>
      <c r="F6" s="791"/>
      <c r="G6" s="791"/>
      <c r="H6" s="791"/>
      <c r="I6" s="791"/>
      <c r="J6" s="791"/>
      <c r="K6" s="791"/>
      <c r="L6" s="791"/>
      <c r="M6" s="1069"/>
      <c r="N6" s="930">
        <v>44306</v>
      </c>
      <c r="O6" s="931"/>
    </row>
    <row r="7" spans="2:15" ht="14.25" customHeight="1">
      <c r="B7" s="136"/>
      <c r="C7" s="136"/>
      <c r="D7" s="136"/>
      <c r="E7" s="137"/>
      <c r="F7" s="137"/>
      <c r="G7" s="137"/>
      <c r="H7" s="136"/>
      <c r="I7" s="136"/>
      <c r="J7" s="136"/>
    </row>
    <row r="8" spans="2:15" ht="18" customHeight="1">
      <c r="B8" s="1063" t="s">
        <v>48</v>
      </c>
      <c r="C8" s="1063"/>
      <c r="D8" s="1063"/>
      <c r="E8" s="1063"/>
      <c r="F8" s="1063"/>
      <c r="G8" s="1063"/>
      <c r="H8" s="1063"/>
      <c r="I8" s="1063"/>
      <c r="J8" s="1063"/>
      <c r="K8" s="1063"/>
      <c r="L8" s="1063"/>
      <c r="M8" s="1063"/>
      <c r="N8" s="1063"/>
      <c r="O8" s="1063"/>
    </row>
    <row r="9" spans="2:15" ht="14.25" customHeight="1">
      <c r="B9" s="136"/>
      <c r="C9" s="136"/>
      <c r="D9" s="136"/>
      <c r="E9" s="137"/>
      <c r="F9" s="137"/>
      <c r="G9" s="137"/>
      <c r="H9" s="136"/>
      <c r="I9" s="136"/>
      <c r="J9" s="136"/>
      <c r="K9" s="138"/>
      <c r="L9" s="138"/>
      <c r="M9" s="138"/>
      <c r="N9" s="138"/>
      <c r="O9" s="138"/>
    </row>
    <row r="10" spans="2:15" ht="24.75" customHeight="1">
      <c r="B10" s="758" t="s">
        <v>0</v>
      </c>
      <c r="C10" s="758" t="s">
        <v>52</v>
      </c>
      <c r="D10" s="758" t="s">
        <v>54</v>
      </c>
      <c r="E10" s="781" t="s">
        <v>55</v>
      </c>
      <c r="F10" s="758" t="s">
        <v>56</v>
      </c>
      <c r="G10" s="758" t="s">
        <v>70</v>
      </c>
      <c r="H10" s="758" t="s">
        <v>57</v>
      </c>
      <c r="I10" s="758" t="s">
        <v>41</v>
      </c>
      <c r="J10" s="758" t="s">
        <v>42</v>
      </c>
      <c r="K10" s="801" t="s">
        <v>75</v>
      </c>
      <c r="L10" s="801"/>
      <c r="M10" s="801"/>
      <c r="N10" s="801"/>
      <c r="O10" s="1070" t="s">
        <v>43</v>
      </c>
    </row>
    <row r="11" spans="2:15" ht="24.75" customHeight="1">
      <c r="B11" s="758"/>
      <c r="C11" s="758"/>
      <c r="D11" s="758"/>
      <c r="E11" s="782"/>
      <c r="F11" s="758"/>
      <c r="G11" s="758"/>
      <c r="H11" s="758"/>
      <c r="I11" s="758"/>
      <c r="J11" s="758"/>
      <c r="K11" s="78" t="s">
        <v>59</v>
      </c>
      <c r="L11" s="78" t="s">
        <v>59</v>
      </c>
      <c r="M11" s="78" t="s">
        <v>59</v>
      </c>
      <c r="N11" s="78" t="s">
        <v>59</v>
      </c>
      <c r="O11" s="1070"/>
    </row>
    <row r="12" spans="2:15" ht="22.5" customHeight="1">
      <c r="B12" s="758"/>
      <c r="C12" s="758"/>
      <c r="D12" s="758"/>
      <c r="E12" s="783"/>
      <c r="F12" s="758"/>
      <c r="G12" s="758"/>
      <c r="H12" s="758"/>
      <c r="I12" s="758"/>
      <c r="J12" s="758"/>
      <c r="K12" s="84">
        <v>2021</v>
      </c>
      <c r="L12" s="84">
        <v>2022</v>
      </c>
      <c r="M12" s="84">
        <v>2023</v>
      </c>
      <c r="N12" s="84">
        <v>2024</v>
      </c>
      <c r="O12" s="1070"/>
    </row>
    <row r="13" spans="2:15" ht="103.5" customHeight="1">
      <c r="B13" s="766" t="s">
        <v>130</v>
      </c>
      <c r="C13" s="769" t="s">
        <v>131</v>
      </c>
      <c r="D13" s="31" t="s">
        <v>168</v>
      </c>
      <c r="E13" s="52">
        <v>0.38</v>
      </c>
      <c r="F13" s="139">
        <v>344000</v>
      </c>
      <c r="G13" s="329" t="s">
        <v>156</v>
      </c>
      <c r="H13" s="141" t="s">
        <v>169</v>
      </c>
      <c r="I13" s="142" t="s">
        <v>216</v>
      </c>
      <c r="J13" s="143" t="s">
        <v>698</v>
      </c>
      <c r="K13" s="144">
        <v>98250</v>
      </c>
      <c r="L13" s="144">
        <v>98250</v>
      </c>
      <c r="M13" s="144">
        <v>98250</v>
      </c>
      <c r="N13" s="144">
        <v>49250</v>
      </c>
      <c r="O13" s="35">
        <f>K13+L13+M13+N13</f>
        <v>344000</v>
      </c>
    </row>
    <row r="14" spans="2:15" ht="142.5" customHeight="1">
      <c r="B14" s="767"/>
      <c r="C14" s="770"/>
      <c r="D14" s="31" t="s">
        <v>170</v>
      </c>
      <c r="E14" s="52">
        <v>0.3</v>
      </c>
      <c r="F14" s="139">
        <v>267100</v>
      </c>
      <c r="G14" s="329" t="s">
        <v>156</v>
      </c>
      <c r="H14" s="141" t="s">
        <v>171</v>
      </c>
      <c r="I14" s="142" t="s">
        <v>216</v>
      </c>
      <c r="J14" s="143" t="s">
        <v>699</v>
      </c>
      <c r="K14" s="144">
        <v>73600</v>
      </c>
      <c r="L14" s="144">
        <v>76600</v>
      </c>
      <c r="M14" s="144">
        <v>76600</v>
      </c>
      <c r="N14" s="144">
        <v>40300</v>
      </c>
      <c r="O14" s="35">
        <f t="shared" ref="O14:O48" si="0">K14+L14+M14+N14</f>
        <v>267100</v>
      </c>
    </row>
    <row r="15" spans="2:15" ht="185.25" customHeight="1">
      <c r="B15" s="767"/>
      <c r="C15" s="770"/>
      <c r="D15" s="31" t="s">
        <v>173</v>
      </c>
      <c r="E15" s="52">
        <v>0.15</v>
      </c>
      <c r="F15" s="139">
        <v>140200</v>
      </c>
      <c r="G15" s="329" t="s">
        <v>156</v>
      </c>
      <c r="H15" s="141" t="s">
        <v>172</v>
      </c>
      <c r="I15" s="142" t="s">
        <v>216</v>
      </c>
      <c r="J15" s="143" t="s">
        <v>700</v>
      </c>
      <c r="K15" s="144">
        <v>38200</v>
      </c>
      <c r="L15" s="144">
        <v>39200</v>
      </c>
      <c r="M15" s="144">
        <v>39200</v>
      </c>
      <c r="N15" s="144">
        <v>23600</v>
      </c>
      <c r="O15" s="35">
        <f t="shared" si="0"/>
        <v>140200</v>
      </c>
    </row>
    <row r="16" spans="2:15" ht="30">
      <c r="B16" s="767"/>
      <c r="C16" s="770"/>
      <c r="D16" s="31" t="s">
        <v>174</v>
      </c>
      <c r="E16" s="52">
        <v>0.04</v>
      </c>
      <c r="F16" s="139">
        <v>35876</v>
      </c>
      <c r="G16" s="329" t="s">
        <v>156</v>
      </c>
      <c r="H16" s="141" t="s">
        <v>177</v>
      </c>
      <c r="I16" s="142" t="s">
        <v>216</v>
      </c>
      <c r="J16" s="143" t="s">
        <v>668</v>
      </c>
      <c r="K16" s="144">
        <v>10500</v>
      </c>
      <c r="L16" s="144">
        <v>10500</v>
      </c>
      <c r="M16" s="144">
        <v>10500</v>
      </c>
      <c r="N16" s="144">
        <v>4376</v>
      </c>
      <c r="O16" s="35">
        <f t="shared" si="0"/>
        <v>35876</v>
      </c>
    </row>
    <row r="17" spans="2:15" ht="136.5" customHeight="1">
      <c r="B17" s="767"/>
      <c r="C17" s="770"/>
      <c r="D17" s="31" t="s">
        <v>175</v>
      </c>
      <c r="E17" s="52">
        <v>0.06</v>
      </c>
      <c r="F17" s="139">
        <v>62700</v>
      </c>
      <c r="G17" s="329" t="s">
        <v>156</v>
      </c>
      <c r="H17" s="141" t="s">
        <v>178</v>
      </c>
      <c r="I17" s="142" t="s">
        <v>216</v>
      </c>
      <c r="J17" s="143" t="s">
        <v>701</v>
      </c>
      <c r="K17" s="144">
        <v>16200</v>
      </c>
      <c r="L17" s="144">
        <v>21200</v>
      </c>
      <c r="M17" s="144">
        <v>21200</v>
      </c>
      <c r="N17" s="144">
        <v>4100</v>
      </c>
      <c r="O17" s="35">
        <f t="shared" si="0"/>
        <v>62700</v>
      </c>
    </row>
    <row r="18" spans="2:15" ht="75">
      <c r="B18" s="767"/>
      <c r="C18" s="770"/>
      <c r="D18" s="31" t="s">
        <v>176</v>
      </c>
      <c r="E18" s="52">
        <v>0.01</v>
      </c>
      <c r="F18" s="139">
        <v>80</v>
      </c>
      <c r="G18" s="329" t="s">
        <v>156</v>
      </c>
      <c r="H18" s="141" t="s">
        <v>179</v>
      </c>
      <c r="I18" s="142" t="s">
        <v>216</v>
      </c>
      <c r="J18" s="143" t="s">
        <v>702</v>
      </c>
      <c r="K18" s="144">
        <v>20</v>
      </c>
      <c r="L18" s="144">
        <v>20</v>
      </c>
      <c r="M18" s="144">
        <v>20</v>
      </c>
      <c r="N18" s="144">
        <v>20</v>
      </c>
      <c r="O18" s="35">
        <f t="shared" si="0"/>
        <v>80</v>
      </c>
    </row>
    <row r="19" spans="2:15" ht="88.5" customHeight="1">
      <c r="B19" s="767"/>
      <c r="C19" s="770"/>
      <c r="D19" s="31" t="s">
        <v>180</v>
      </c>
      <c r="E19" s="52">
        <v>0.01</v>
      </c>
      <c r="F19" s="139" t="s">
        <v>182</v>
      </c>
      <c r="G19" s="329" t="s">
        <v>156</v>
      </c>
      <c r="H19" s="141" t="s">
        <v>213</v>
      </c>
      <c r="I19" s="142" t="s">
        <v>216</v>
      </c>
      <c r="J19" s="143" t="s">
        <v>703</v>
      </c>
      <c r="K19" s="145" t="s">
        <v>182</v>
      </c>
      <c r="L19" s="145" t="s">
        <v>182</v>
      </c>
      <c r="M19" s="145" t="s">
        <v>182</v>
      </c>
      <c r="N19" s="145" t="s">
        <v>182</v>
      </c>
      <c r="O19" s="36" t="s">
        <v>182</v>
      </c>
    </row>
    <row r="20" spans="2:15" ht="121.5" customHeight="1">
      <c r="B20" s="767"/>
      <c r="C20" s="770"/>
      <c r="D20" s="31" t="s">
        <v>181</v>
      </c>
      <c r="E20" s="52">
        <v>0.02</v>
      </c>
      <c r="F20" s="139">
        <v>20000</v>
      </c>
      <c r="G20" s="329" t="s">
        <v>156</v>
      </c>
      <c r="H20" s="141" t="s">
        <v>214</v>
      </c>
      <c r="I20" s="142" t="s">
        <v>216</v>
      </c>
      <c r="J20" s="143" t="s">
        <v>704</v>
      </c>
      <c r="K20" s="144">
        <v>5000</v>
      </c>
      <c r="L20" s="144">
        <v>6500</v>
      </c>
      <c r="M20" s="144">
        <v>6500</v>
      </c>
      <c r="N20" s="144">
        <v>2000</v>
      </c>
      <c r="O20" s="35">
        <f t="shared" si="0"/>
        <v>20000</v>
      </c>
    </row>
    <row r="21" spans="2:15" ht="84.75" customHeight="1">
      <c r="B21" s="767"/>
      <c r="C21" s="770"/>
      <c r="D21" s="31" t="s">
        <v>183</v>
      </c>
      <c r="E21" s="52">
        <v>0.01</v>
      </c>
      <c r="F21" s="139">
        <v>12000</v>
      </c>
      <c r="G21" s="329" t="s">
        <v>156</v>
      </c>
      <c r="H21" s="141" t="s">
        <v>272</v>
      </c>
      <c r="I21" s="142" t="s">
        <v>216</v>
      </c>
      <c r="J21" s="143" t="s">
        <v>704</v>
      </c>
      <c r="K21" s="144">
        <v>3000</v>
      </c>
      <c r="L21" s="144">
        <v>4000</v>
      </c>
      <c r="M21" s="144">
        <v>4000</v>
      </c>
      <c r="N21" s="144">
        <v>1000</v>
      </c>
      <c r="O21" s="35">
        <f t="shared" si="0"/>
        <v>12000</v>
      </c>
    </row>
    <row r="22" spans="2:15" ht="83.25" customHeight="1">
      <c r="B22" s="767"/>
      <c r="C22" s="770"/>
      <c r="D22" s="31" t="s">
        <v>184</v>
      </c>
      <c r="E22" s="52">
        <v>0.01</v>
      </c>
      <c r="F22" s="139">
        <v>2800</v>
      </c>
      <c r="G22" s="329" t="s">
        <v>156</v>
      </c>
      <c r="H22" s="141" t="s">
        <v>215</v>
      </c>
      <c r="I22" s="142" t="s">
        <v>216</v>
      </c>
      <c r="J22" s="143" t="s">
        <v>704</v>
      </c>
      <c r="K22" s="144">
        <v>700</v>
      </c>
      <c r="L22" s="144">
        <v>1000</v>
      </c>
      <c r="M22" s="144">
        <v>800</v>
      </c>
      <c r="N22" s="144">
        <v>300</v>
      </c>
      <c r="O22" s="35">
        <f t="shared" si="0"/>
        <v>2800</v>
      </c>
    </row>
    <row r="23" spans="2:15" ht="93.75" customHeight="1">
      <c r="B23" s="767"/>
      <c r="C23" s="771"/>
      <c r="D23" s="31" t="s">
        <v>717</v>
      </c>
      <c r="E23" s="52">
        <v>0.01</v>
      </c>
      <c r="F23" s="139">
        <v>60</v>
      </c>
      <c r="G23" s="329" t="s">
        <v>156</v>
      </c>
      <c r="H23" s="141" t="s">
        <v>185</v>
      </c>
      <c r="I23" s="142" t="s">
        <v>216</v>
      </c>
      <c r="J23" s="143" t="s">
        <v>704</v>
      </c>
      <c r="K23" s="144">
        <v>0</v>
      </c>
      <c r="L23" s="144">
        <v>20</v>
      </c>
      <c r="M23" s="144">
        <v>20</v>
      </c>
      <c r="N23" s="144">
        <v>20</v>
      </c>
      <c r="O23" s="35">
        <f t="shared" si="0"/>
        <v>60</v>
      </c>
    </row>
    <row r="24" spans="2:15" ht="135.75" customHeight="1">
      <c r="B24" s="767"/>
      <c r="C24" s="769" t="s">
        <v>132</v>
      </c>
      <c r="D24" s="31" t="s">
        <v>186</v>
      </c>
      <c r="E24" s="52">
        <v>0.75</v>
      </c>
      <c r="F24" s="139">
        <v>173000</v>
      </c>
      <c r="G24" s="329" t="s">
        <v>156</v>
      </c>
      <c r="H24" s="141" t="s">
        <v>187</v>
      </c>
      <c r="I24" s="142" t="s">
        <v>216</v>
      </c>
      <c r="J24" s="143" t="s">
        <v>705</v>
      </c>
      <c r="K24" s="144">
        <v>48000</v>
      </c>
      <c r="L24" s="144">
        <v>53000</v>
      </c>
      <c r="M24" s="144">
        <v>53000</v>
      </c>
      <c r="N24" s="144">
        <v>19000</v>
      </c>
      <c r="O24" s="35">
        <f t="shared" si="0"/>
        <v>173000</v>
      </c>
    </row>
    <row r="25" spans="2:15" ht="90">
      <c r="B25" s="767"/>
      <c r="C25" s="770"/>
      <c r="D25" s="31" t="s">
        <v>188</v>
      </c>
      <c r="E25" s="52">
        <v>0.12</v>
      </c>
      <c r="F25" s="139">
        <v>28400</v>
      </c>
      <c r="G25" s="329" t="s">
        <v>156</v>
      </c>
      <c r="H25" s="141" t="s">
        <v>190</v>
      </c>
      <c r="I25" s="142" t="s">
        <v>216</v>
      </c>
      <c r="J25" s="143" t="s">
        <v>706</v>
      </c>
      <c r="K25" s="144">
        <v>6800</v>
      </c>
      <c r="L25" s="144">
        <v>8650</v>
      </c>
      <c r="M25" s="144">
        <v>8650</v>
      </c>
      <c r="N25" s="144">
        <v>4300</v>
      </c>
      <c r="O25" s="35">
        <f t="shared" si="0"/>
        <v>28400</v>
      </c>
    </row>
    <row r="26" spans="2:15" ht="75">
      <c r="B26" s="767"/>
      <c r="C26" s="770"/>
      <c r="D26" s="31" t="s">
        <v>189</v>
      </c>
      <c r="E26" s="52">
        <v>0.09</v>
      </c>
      <c r="F26" s="139">
        <v>21700</v>
      </c>
      <c r="G26" s="329" t="s">
        <v>156</v>
      </c>
      <c r="H26" s="141" t="s">
        <v>191</v>
      </c>
      <c r="I26" s="142" t="s">
        <v>216</v>
      </c>
      <c r="J26" s="143" t="s">
        <v>707</v>
      </c>
      <c r="K26" s="144">
        <v>6100</v>
      </c>
      <c r="L26" s="144">
        <v>6300</v>
      </c>
      <c r="M26" s="144">
        <v>6300</v>
      </c>
      <c r="N26" s="144">
        <v>3000</v>
      </c>
      <c r="O26" s="35">
        <f t="shared" si="0"/>
        <v>21700</v>
      </c>
    </row>
    <row r="27" spans="2:15" ht="60">
      <c r="B27" s="767"/>
      <c r="C27" s="770"/>
      <c r="D27" s="31" t="s">
        <v>688</v>
      </c>
      <c r="E27" s="326">
        <v>0.02</v>
      </c>
      <c r="F27" s="139">
        <v>4200</v>
      </c>
      <c r="G27" s="329" t="s">
        <v>156</v>
      </c>
      <c r="H27" s="141" t="s">
        <v>192</v>
      </c>
      <c r="I27" s="142" t="s">
        <v>216</v>
      </c>
      <c r="J27" s="146" t="s">
        <v>708</v>
      </c>
      <c r="K27" s="144">
        <v>1200</v>
      </c>
      <c r="L27" s="144">
        <v>1200</v>
      </c>
      <c r="M27" s="144">
        <v>1200</v>
      </c>
      <c r="N27" s="144">
        <v>600</v>
      </c>
      <c r="O27" s="35">
        <f t="shared" si="0"/>
        <v>4200</v>
      </c>
    </row>
    <row r="28" spans="2:15" ht="120" customHeight="1">
      <c r="B28" s="767"/>
      <c r="C28" s="770"/>
      <c r="D28" s="31" t="s">
        <v>193</v>
      </c>
      <c r="E28" s="147">
        <v>0.01</v>
      </c>
      <c r="F28" s="139">
        <v>4322</v>
      </c>
      <c r="G28" s="329" t="s">
        <v>156</v>
      </c>
      <c r="H28" s="141" t="s">
        <v>195</v>
      </c>
      <c r="I28" s="31" t="s">
        <v>216</v>
      </c>
      <c r="J28" s="148" t="s">
        <v>709</v>
      </c>
      <c r="K28" s="144">
        <v>1092</v>
      </c>
      <c r="L28" s="144">
        <v>1092</v>
      </c>
      <c r="M28" s="144">
        <v>1092</v>
      </c>
      <c r="N28" s="144">
        <v>1046</v>
      </c>
      <c r="O28" s="35">
        <f t="shared" si="0"/>
        <v>4322</v>
      </c>
    </row>
    <row r="29" spans="2:15" ht="105">
      <c r="B29" s="767"/>
      <c r="C29" s="771"/>
      <c r="D29" s="31" t="s">
        <v>194</v>
      </c>
      <c r="E29" s="147">
        <v>0.01</v>
      </c>
      <c r="F29" s="139">
        <v>666</v>
      </c>
      <c r="G29" s="329" t="s">
        <v>156</v>
      </c>
      <c r="H29" s="141" t="s">
        <v>196</v>
      </c>
      <c r="I29" s="31" t="s">
        <v>216</v>
      </c>
      <c r="J29" s="148" t="s">
        <v>710</v>
      </c>
      <c r="K29" s="144">
        <v>182</v>
      </c>
      <c r="L29" s="144">
        <v>182</v>
      </c>
      <c r="M29" s="144">
        <v>182</v>
      </c>
      <c r="N29" s="144">
        <v>120</v>
      </c>
      <c r="O29" s="35">
        <f t="shared" si="0"/>
        <v>666</v>
      </c>
    </row>
    <row r="30" spans="2:15" ht="90" customHeight="1">
      <c r="B30" s="767"/>
      <c r="C30" s="769" t="s">
        <v>133</v>
      </c>
      <c r="D30" s="31" t="s">
        <v>197</v>
      </c>
      <c r="E30" s="327">
        <v>0.56000000000000005</v>
      </c>
      <c r="F30" s="139">
        <v>20</v>
      </c>
      <c r="G30" s="329" t="s">
        <v>156</v>
      </c>
      <c r="H30" s="141" t="s">
        <v>198</v>
      </c>
      <c r="I30" s="149" t="s">
        <v>216</v>
      </c>
      <c r="J30" s="150" t="s">
        <v>711</v>
      </c>
      <c r="K30" s="144">
        <v>2</v>
      </c>
      <c r="L30" s="144">
        <v>8</v>
      </c>
      <c r="M30" s="144">
        <v>8</v>
      </c>
      <c r="N30" s="144">
        <v>2</v>
      </c>
      <c r="O30" s="35">
        <f t="shared" si="0"/>
        <v>20</v>
      </c>
    </row>
    <row r="31" spans="2:15" ht="92.25" customHeight="1">
      <c r="B31" s="767"/>
      <c r="C31" s="770"/>
      <c r="D31" s="31" t="s">
        <v>199</v>
      </c>
      <c r="E31" s="52">
        <v>0.31</v>
      </c>
      <c r="F31" s="139">
        <v>11</v>
      </c>
      <c r="G31" s="329" t="s">
        <v>156</v>
      </c>
      <c r="H31" s="141" t="s">
        <v>200</v>
      </c>
      <c r="I31" s="142" t="s">
        <v>216</v>
      </c>
      <c r="J31" s="143" t="s">
        <v>711</v>
      </c>
      <c r="K31" s="144">
        <v>3</v>
      </c>
      <c r="L31" s="144">
        <v>3</v>
      </c>
      <c r="M31" s="144">
        <v>3</v>
      </c>
      <c r="N31" s="144">
        <v>2</v>
      </c>
      <c r="O31" s="35">
        <f t="shared" si="0"/>
        <v>11</v>
      </c>
    </row>
    <row r="32" spans="2:15" ht="83.25" customHeight="1">
      <c r="B32" s="767"/>
      <c r="C32" s="770"/>
      <c r="D32" s="31" t="s">
        <v>201</v>
      </c>
      <c r="E32" s="52">
        <v>0.11</v>
      </c>
      <c r="F32" s="139">
        <v>4</v>
      </c>
      <c r="G32" s="329" t="s">
        <v>156</v>
      </c>
      <c r="H32" s="141" t="s">
        <v>203</v>
      </c>
      <c r="I32" s="142" t="s">
        <v>216</v>
      </c>
      <c r="J32" s="143" t="s">
        <v>711</v>
      </c>
      <c r="K32" s="144">
        <v>1</v>
      </c>
      <c r="L32" s="144">
        <v>1</v>
      </c>
      <c r="M32" s="144">
        <v>1</v>
      </c>
      <c r="N32" s="144">
        <v>1</v>
      </c>
      <c r="O32" s="35">
        <f t="shared" si="0"/>
        <v>4</v>
      </c>
    </row>
    <row r="33" spans="2:15" ht="90">
      <c r="B33" s="768"/>
      <c r="C33" s="771"/>
      <c r="D33" s="31" t="s">
        <v>202</v>
      </c>
      <c r="E33" s="52">
        <v>0.02</v>
      </c>
      <c r="F33" s="139">
        <v>1</v>
      </c>
      <c r="G33" s="329" t="s">
        <v>156</v>
      </c>
      <c r="H33" s="141" t="s">
        <v>278</v>
      </c>
      <c r="I33" s="142" t="s">
        <v>216</v>
      </c>
      <c r="J33" s="143" t="s">
        <v>705</v>
      </c>
      <c r="K33" s="144">
        <v>0</v>
      </c>
      <c r="L33" s="144">
        <v>1</v>
      </c>
      <c r="M33" s="144">
        <v>0</v>
      </c>
      <c r="N33" s="144">
        <v>0</v>
      </c>
      <c r="O33" s="35">
        <f t="shared" si="0"/>
        <v>1</v>
      </c>
    </row>
    <row r="34" spans="2:15" ht="102" customHeight="1">
      <c r="B34" s="778" t="s">
        <v>134</v>
      </c>
      <c r="C34" s="761" t="s">
        <v>135</v>
      </c>
      <c r="D34" s="151" t="s">
        <v>204</v>
      </c>
      <c r="E34" s="152">
        <f>0.727272727272727*100%</f>
        <v>0.72727272727272696</v>
      </c>
      <c r="F34" s="153">
        <v>16</v>
      </c>
      <c r="G34" s="154" t="s">
        <v>156</v>
      </c>
      <c r="H34" s="155" t="s">
        <v>206</v>
      </c>
      <c r="I34" s="156" t="s">
        <v>286</v>
      </c>
      <c r="J34" s="157" t="s">
        <v>287</v>
      </c>
      <c r="K34" s="158">
        <v>3</v>
      </c>
      <c r="L34" s="158">
        <v>6</v>
      </c>
      <c r="M34" s="158">
        <v>6</v>
      </c>
      <c r="N34" s="158">
        <v>1</v>
      </c>
      <c r="O34" s="35">
        <f t="shared" si="0"/>
        <v>16</v>
      </c>
    </row>
    <row r="35" spans="2:15" ht="120" customHeight="1">
      <c r="B35" s="779"/>
      <c r="C35" s="763"/>
      <c r="D35" s="151" t="s">
        <v>205</v>
      </c>
      <c r="E35" s="152">
        <f>0.272727272727273*100%</f>
        <v>0.27272727272727298</v>
      </c>
      <c r="F35" s="153">
        <v>6</v>
      </c>
      <c r="G35" s="154" t="s">
        <v>156</v>
      </c>
      <c r="H35" s="155" t="s">
        <v>283</v>
      </c>
      <c r="I35" s="156" t="s">
        <v>286</v>
      </c>
      <c r="J35" s="157" t="s">
        <v>287</v>
      </c>
      <c r="K35" s="158">
        <v>1</v>
      </c>
      <c r="L35" s="158">
        <v>1</v>
      </c>
      <c r="M35" s="158">
        <v>3</v>
      </c>
      <c r="N35" s="158">
        <v>1</v>
      </c>
      <c r="O35" s="35">
        <f t="shared" si="0"/>
        <v>6</v>
      </c>
    </row>
    <row r="36" spans="2:15" ht="100.5" customHeight="1">
      <c r="B36" s="779"/>
      <c r="C36" s="761" t="s">
        <v>136</v>
      </c>
      <c r="D36" s="151" t="s">
        <v>208</v>
      </c>
      <c r="E36" s="152">
        <f>+F36/880</f>
        <v>0.89772727272727271</v>
      </c>
      <c r="F36" s="153">
        <v>790</v>
      </c>
      <c r="G36" s="154" t="s">
        <v>156</v>
      </c>
      <c r="H36" s="155" t="s">
        <v>316</v>
      </c>
      <c r="I36" s="156" t="s">
        <v>286</v>
      </c>
      <c r="J36" s="157" t="s">
        <v>287</v>
      </c>
      <c r="K36" s="158">
        <v>200</v>
      </c>
      <c r="L36" s="158">
        <v>259</v>
      </c>
      <c r="M36" s="158">
        <v>259</v>
      </c>
      <c r="N36" s="158">
        <v>72</v>
      </c>
      <c r="O36" s="35">
        <f t="shared" si="0"/>
        <v>790</v>
      </c>
    </row>
    <row r="37" spans="2:15" ht="100.5" customHeight="1">
      <c r="B37" s="779"/>
      <c r="C37" s="763"/>
      <c r="D37" s="151" t="s">
        <v>207</v>
      </c>
      <c r="E37" s="152">
        <f>+F37/880</f>
        <v>0.10227272727272728</v>
      </c>
      <c r="F37" s="153">
        <v>90</v>
      </c>
      <c r="G37" s="154" t="s">
        <v>156</v>
      </c>
      <c r="H37" s="155" t="s">
        <v>317</v>
      </c>
      <c r="I37" s="156" t="s">
        <v>286</v>
      </c>
      <c r="J37" s="157" t="s">
        <v>287</v>
      </c>
      <c r="K37" s="158">
        <v>20</v>
      </c>
      <c r="L37" s="158">
        <v>30</v>
      </c>
      <c r="M37" s="158">
        <v>30</v>
      </c>
      <c r="N37" s="158">
        <v>10</v>
      </c>
      <c r="O37" s="35">
        <f t="shared" si="0"/>
        <v>90</v>
      </c>
    </row>
    <row r="38" spans="2:15" ht="65.25" customHeight="1">
      <c r="B38" s="779"/>
      <c r="C38" s="761" t="s">
        <v>137</v>
      </c>
      <c r="D38" s="151" t="s">
        <v>209</v>
      </c>
      <c r="E38" s="152">
        <f>+F38/295</f>
        <v>0.1864406779661017</v>
      </c>
      <c r="F38" s="153">
        <v>55</v>
      </c>
      <c r="G38" s="154">
        <v>75</v>
      </c>
      <c r="H38" s="155" t="s">
        <v>284</v>
      </c>
      <c r="I38" s="156" t="s">
        <v>286</v>
      </c>
      <c r="J38" s="157" t="s">
        <v>288</v>
      </c>
      <c r="K38" s="158">
        <v>7</v>
      </c>
      <c r="L38" s="158">
        <v>21</v>
      </c>
      <c r="M38" s="158">
        <v>23</v>
      </c>
      <c r="N38" s="158">
        <v>4</v>
      </c>
      <c r="O38" s="35">
        <f t="shared" si="0"/>
        <v>55</v>
      </c>
    </row>
    <row r="39" spans="2:15" ht="63.75" customHeight="1">
      <c r="B39" s="779"/>
      <c r="C39" s="762"/>
      <c r="D39" s="151" t="s">
        <v>210</v>
      </c>
      <c r="E39" s="152">
        <f>+F39/295</f>
        <v>0.47457627118644069</v>
      </c>
      <c r="F39" s="153">
        <v>140</v>
      </c>
      <c r="G39" s="154" t="s">
        <v>156</v>
      </c>
      <c r="H39" s="155" t="s">
        <v>285</v>
      </c>
      <c r="I39" s="156" t="s">
        <v>286</v>
      </c>
      <c r="J39" s="157" t="s">
        <v>289</v>
      </c>
      <c r="K39" s="158">
        <v>40</v>
      </c>
      <c r="L39" s="158">
        <v>40</v>
      </c>
      <c r="M39" s="158">
        <v>40</v>
      </c>
      <c r="N39" s="158">
        <v>20</v>
      </c>
      <c r="O39" s="35">
        <f t="shared" si="0"/>
        <v>140</v>
      </c>
    </row>
    <row r="40" spans="2:15" ht="102" customHeight="1">
      <c r="B40" s="780"/>
      <c r="C40" s="763"/>
      <c r="D40" s="151" t="s">
        <v>211</v>
      </c>
      <c r="E40" s="152">
        <f>+F40/295</f>
        <v>0.33898305084745761</v>
      </c>
      <c r="F40" s="153">
        <v>100</v>
      </c>
      <c r="G40" s="154" t="s">
        <v>156</v>
      </c>
      <c r="H40" s="155" t="s">
        <v>212</v>
      </c>
      <c r="I40" s="156" t="s">
        <v>286</v>
      </c>
      <c r="J40" s="157" t="s">
        <v>290</v>
      </c>
      <c r="K40" s="158">
        <v>20</v>
      </c>
      <c r="L40" s="158">
        <v>30</v>
      </c>
      <c r="M40" s="158">
        <v>30</v>
      </c>
      <c r="N40" s="158">
        <v>20</v>
      </c>
      <c r="O40" s="35">
        <f t="shared" si="0"/>
        <v>100</v>
      </c>
    </row>
    <row r="41" spans="2:15" ht="93.75" customHeight="1">
      <c r="B41" s="766" t="s">
        <v>138</v>
      </c>
      <c r="C41" s="769" t="s">
        <v>324</v>
      </c>
      <c r="D41" s="31" t="s">
        <v>325</v>
      </c>
      <c r="E41" s="52">
        <v>0.8</v>
      </c>
      <c r="F41" s="139">
        <v>4500</v>
      </c>
      <c r="G41" s="139">
        <v>6287</v>
      </c>
      <c r="H41" s="31" t="s">
        <v>331</v>
      </c>
      <c r="I41" s="142" t="s">
        <v>337</v>
      </c>
      <c r="J41" s="159" t="s">
        <v>338</v>
      </c>
      <c r="K41" s="160">
        <v>900</v>
      </c>
      <c r="L41" s="160">
        <v>1200</v>
      </c>
      <c r="M41" s="160">
        <v>1200</v>
      </c>
      <c r="N41" s="160">
        <v>1200</v>
      </c>
      <c r="O41" s="58">
        <f t="shared" si="0"/>
        <v>4500</v>
      </c>
    </row>
    <row r="42" spans="2:15" ht="67.5" customHeight="1">
      <c r="B42" s="767"/>
      <c r="C42" s="771"/>
      <c r="D42" s="31" t="s">
        <v>326</v>
      </c>
      <c r="E42" s="52">
        <v>0.2</v>
      </c>
      <c r="F42" s="161">
        <v>1</v>
      </c>
      <c r="G42" s="161">
        <v>0.98</v>
      </c>
      <c r="H42" s="31" t="s">
        <v>332</v>
      </c>
      <c r="I42" s="142" t="s">
        <v>337</v>
      </c>
      <c r="J42" s="159" t="s">
        <v>338</v>
      </c>
      <c r="K42" s="162">
        <v>1</v>
      </c>
      <c r="L42" s="162">
        <v>1</v>
      </c>
      <c r="M42" s="162">
        <v>1</v>
      </c>
      <c r="N42" s="162">
        <v>1</v>
      </c>
      <c r="O42" s="60">
        <f>AVERAGE(K42:N42)</f>
        <v>1</v>
      </c>
    </row>
    <row r="43" spans="2:15" ht="95.25" customHeight="1">
      <c r="B43" s="767"/>
      <c r="C43" s="769" t="s">
        <v>139</v>
      </c>
      <c r="D43" s="31" t="s">
        <v>339</v>
      </c>
      <c r="E43" s="52">
        <v>0.5</v>
      </c>
      <c r="F43" s="68">
        <v>204</v>
      </c>
      <c r="G43" s="68">
        <v>204</v>
      </c>
      <c r="H43" s="31" t="s">
        <v>349</v>
      </c>
      <c r="I43" s="142" t="s">
        <v>337</v>
      </c>
      <c r="J43" s="159" t="s">
        <v>338</v>
      </c>
      <c r="K43" s="163">
        <v>51</v>
      </c>
      <c r="L43" s="163">
        <v>51</v>
      </c>
      <c r="M43" s="163">
        <v>51</v>
      </c>
      <c r="N43" s="163">
        <v>51</v>
      </c>
      <c r="O43" s="58">
        <f t="shared" si="0"/>
        <v>204</v>
      </c>
    </row>
    <row r="44" spans="2:15" ht="95.25" customHeight="1">
      <c r="B44" s="767"/>
      <c r="C44" s="771"/>
      <c r="D44" s="31" t="s">
        <v>327</v>
      </c>
      <c r="E44" s="52">
        <v>0.5</v>
      </c>
      <c r="F44" s="161">
        <v>1</v>
      </c>
      <c r="G44" s="161">
        <v>1</v>
      </c>
      <c r="H44" s="31" t="s">
        <v>333</v>
      </c>
      <c r="I44" s="142" t="s">
        <v>337</v>
      </c>
      <c r="J44" s="159" t="s">
        <v>338</v>
      </c>
      <c r="K44" s="162">
        <v>1</v>
      </c>
      <c r="L44" s="162">
        <v>1</v>
      </c>
      <c r="M44" s="162">
        <v>1</v>
      </c>
      <c r="N44" s="162">
        <v>1</v>
      </c>
      <c r="O44" s="60">
        <f>AVERAGE(K44:N44)</f>
        <v>1</v>
      </c>
    </row>
    <row r="45" spans="2:15" ht="126.75" customHeight="1">
      <c r="B45" s="767"/>
      <c r="C45" s="164" t="s">
        <v>140</v>
      </c>
      <c r="D45" s="31" t="s">
        <v>328</v>
      </c>
      <c r="E45" s="52">
        <v>1</v>
      </c>
      <c r="F45" s="68">
        <v>8</v>
      </c>
      <c r="G45" s="68">
        <v>8</v>
      </c>
      <c r="H45" s="31" t="s">
        <v>334</v>
      </c>
      <c r="I45" s="142" t="s">
        <v>337</v>
      </c>
      <c r="J45" s="159" t="s">
        <v>338</v>
      </c>
      <c r="K45" s="163">
        <v>2</v>
      </c>
      <c r="L45" s="163">
        <v>2</v>
      </c>
      <c r="M45" s="163">
        <v>2</v>
      </c>
      <c r="N45" s="163">
        <v>2</v>
      </c>
      <c r="O45" s="58">
        <f t="shared" si="0"/>
        <v>8</v>
      </c>
    </row>
    <row r="46" spans="2:15" ht="61.5" customHeight="1">
      <c r="B46" s="767"/>
      <c r="C46" s="769" t="s">
        <v>323</v>
      </c>
      <c r="D46" s="31" t="s">
        <v>329</v>
      </c>
      <c r="E46" s="52">
        <v>0.2</v>
      </c>
      <c r="F46" s="68">
        <v>1</v>
      </c>
      <c r="G46" s="329" t="s">
        <v>156</v>
      </c>
      <c r="H46" s="31" t="s">
        <v>350</v>
      </c>
      <c r="I46" s="142" t="s">
        <v>337</v>
      </c>
      <c r="J46" s="159" t="s">
        <v>338</v>
      </c>
      <c r="K46" s="163">
        <v>0.5</v>
      </c>
      <c r="L46" s="163">
        <v>0.5</v>
      </c>
      <c r="M46" s="163">
        <v>0</v>
      </c>
      <c r="N46" s="163">
        <v>0</v>
      </c>
      <c r="O46" s="58">
        <f t="shared" si="0"/>
        <v>1</v>
      </c>
    </row>
    <row r="47" spans="2:15" ht="61.5" customHeight="1">
      <c r="B47" s="767"/>
      <c r="C47" s="770"/>
      <c r="D47" s="31" t="s">
        <v>720</v>
      </c>
      <c r="E47" s="52">
        <v>0.7</v>
      </c>
      <c r="F47" s="68">
        <v>1</v>
      </c>
      <c r="G47" s="329" t="s">
        <v>156</v>
      </c>
      <c r="H47" s="31" t="s">
        <v>335</v>
      </c>
      <c r="I47" s="142" t="s">
        <v>337</v>
      </c>
      <c r="J47" s="159" t="s">
        <v>338</v>
      </c>
      <c r="K47" s="163">
        <v>0.2</v>
      </c>
      <c r="L47" s="163">
        <v>0.4</v>
      </c>
      <c r="M47" s="163">
        <v>0.3</v>
      </c>
      <c r="N47" s="163">
        <v>0.1</v>
      </c>
      <c r="O47" s="58">
        <f t="shared" si="0"/>
        <v>1.0000000000000002</v>
      </c>
    </row>
    <row r="48" spans="2:15" ht="61.5" customHeight="1">
      <c r="B48" s="768"/>
      <c r="C48" s="771"/>
      <c r="D48" s="31" t="s">
        <v>330</v>
      </c>
      <c r="E48" s="52">
        <v>0.1</v>
      </c>
      <c r="F48" s="68">
        <v>1</v>
      </c>
      <c r="G48" s="329" t="s">
        <v>156</v>
      </c>
      <c r="H48" s="31" t="s">
        <v>336</v>
      </c>
      <c r="I48" s="142" t="s">
        <v>337</v>
      </c>
      <c r="J48" s="159" t="s">
        <v>338</v>
      </c>
      <c r="K48" s="163">
        <v>0.1</v>
      </c>
      <c r="L48" s="163">
        <v>0.3</v>
      </c>
      <c r="M48" s="163">
        <v>0.4</v>
      </c>
      <c r="N48" s="163">
        <v>0.2</v>
      </c>
      <c r="O48" s="58">
        <f t="shared" si="0"/>
        <v>1</v>
      </c>
    </row>
    <row r="49" spans="2:15" ht="75" customHeight="1">
      <c r="B49" s="779" t="s">
        <v>141</v>
      </c>
      <c r="C49" s="761" t="s">
        <v>142</v>
      </c>
      <c r="D49" s="151" t="s">
        <v>715</v>
      </c>
      <c r="E49" s="165">
        <v>0.14000000000000001</v>
      </c>
      <c r="F49" s="166">
        <v>1</v>
      </c>
      <c r="G49" s="154" t="s">
        <v>156</v>
      </c>
      <c r="H49" s="167" t="s">
        <v>689</v>
      </c>
      <c r="I49" s="151" t="s">
        <v>372</v>
      </c>
      <c r="J49" s="168" t="s">
        <v>373</v>
      </c>
      <c r="K49" s="169">
        <v>0.3</v>
      </c>
      <c r="L49" s="169">
        <v>0.4</v>
      </c>
      <c r="M49" s="169">
        <v>0.25</v>
      </c>
      <c r="N49" s="169">
        <v>0.05</v>
      </c>
      <c r="O49" s="63">
        <v>1</v>
      </c>
    </row>
    <row r="50" spans="2:15" ht="80.25" customHeight="1">
      <c r="B50" s="779"/>
      <c r="C50" s="762"/>
      <c r="D50" s="151" t="s">
        <v>378</v>
      </c>
      <c r="E50" s="165">
        <v>0.14000000000000001</v>
      </c>
      <c r="F50" s="166">
        <v>1</v>
      </c>
      <c r="G50" s="154" t="s">
        <v>156</v>
      </c>
      <c r="H50" s="167" t="s">
        <v>377</v>
      </c>
      <c r="I50" s="151" t="s">
        <v>372</v>
      </c>
      <c r="J50" s="168" t="s">
        <v>373</v>
      </c>
      <c r="K50" s="169">
        <v>0.3</v>
      </c>
      <c r="L50" s="169">
        <v>0.4</v>
      </c>
      <c r="M50" s="169">
        <v>0.25</v>
      </c>
      <c r="N50" s="169">
        <v>0.05</v>
      </c>
      <c r="O50" s="63">
        <v>1</v>
      </c>
    </row>
    <row r="51" spans="2:15" ht="111" customHeight="1">
      <c r="B51" s="779"/>
      <c r="C51" s="762"/>
      <c r="D51" s="151" t="s">
        <v>718</v>
      </c>
      <c r="E51" s="165">
        <v>0.14000000000000001</v>
      </c>
      <c r="F51" s="166">
        <v>1</v>
      </c>
      <c r="G51" s="154" t="s">
        <v>156</v>
      </c>
      <c r="H51" s="167" t="s">
        <v>374</v>
      </c>
      <c r="I51" s="151" t="s">
        <v>372</v>
      </c>
      <c r="J51" s="168" t="s">
        <v>373</v>
      </c>
      <c r="K51" s="169">
        <v>0.3</v>
      </c>
      <c r="L51" s="169">
        <v>0.4</v>
      </c>
      <c r="M51" s="169">
        <v>0.25</v>
      </c>
      <c r="N51" s="169">
        <v>0.05</v>
      </c>
      <c r="O51" s="63">
        <v>1</v>
      </c>
    </row>
    <row r="52" spans="2:15" ht="82.5" customHeight="1">
      <c r="B52" s="779"/>
      <c r="C52" s="762"/>
      <c r="D52" s="151" t="s">
        <v>716</v>
      </c>
      <c r="E52" s="165">
        <v>0.14000000000000001</v>
      </c>
      <c r="F52" s="166">
        <v>1</v>
      </c>
      <c r="G52" s="154" t="s">
        <v>156</v>
      </c>
      <c r="H52" s="167" t="s">
        <v>690</v>
      </c>
      <c r="I52" s="151" t="s">
        <v>372</v>
      </c>
      <c r="J52" s="168" t="s">
        <v>373</v>
      </c>
      <c r="K52" s="169">
        <v>0.3</v>
      </c>
      <c r="L52" s="169">
        <v>0.4</v>
      </c>
      <c r="M52" s="169">
        <v>0.25</v>
      </c>
      <c r="N52" s="169">
        <v>0.05</v>
      </c>
      <c r="O52" s="63">
        <v>1</v>
      </c>
    </row>
    <row r="53" spans="2:15" ht="94.5" customHeight="1">
      <c r="B53" s="779"/>
      <c r="C53" s="762"/>
      <c r="D53" s="151" t="s">
        <v>402</v>
      </c>
      <c r="E53" s="165">
        <v>0.14000000000000001</v>
      </c>
      <c r="F53" s="166">
        <v>1</v>
      </c>
      <c r="G53" s="154" t="s">
        <v>156</v>
      </c>
      <c r="H53" s="167" t="s">
        <v>375</v>
      </c>
      <c r="I53" s="151" t="s">
        <v>372</v>
      </c>
      <c r="J53" s="168" t="s">
        <v>373</v>
      </c>
      <c r="K53" s="169">
        <v>0.3</v>
      </c>
      <c r="L53" s="169">
        <v>0.4</v>
      </c>
      <c r="M53" s="169">
        <v>0.25</v>
      </c>
      <c r="N53" s="169">
        <v>0.05</v>
      </c>
      <c r="O53" s="63">
        <v>1</v>
      </c>
    </row>
    <row r="54" spans="2:15" ht="71.25" customHeight="1">
      <c r="B54" s="779"/>
      <c r="C54" s="762"/>
      <c r="D54" s="151" t="s">
        <v>369</v>
      </c>
      <c r="E54" s="165">
        <v>0.15</v>
      </c>
      <c r="F54" s="166">
        <v>1</v>
      </c>
      <c r="G54" s="154" t="s">
        <v>156</v>
      </c>
      <c r="H54" s="167" t="s">
        <v>376</v>
      </c>
      <c r="I54" s="151" t="s">
        <v>372</v>
      </c>
      <c r="J54" s="168" t="s">
        <v>373</v>
      </c>
      <c r="K54" s="169">
        <v>0.3</v>
      </c>
      <c r="L54" s="169">
        <v>0.4</v>
      </c>
      <c r="M54" s="169">
        <v>0.25</v>
      </c>
      <c r="N54" s="169">
        <v>0.05</v>
      </c>
      <c r="O54" s="63">
        <v>1</v>
      </c>
    </row>
    <row r="55" spans="2:15" ht="87.75" customHeight="1">
      <c r="B55" s="779"/>
      <c r="C55" s="763"/>
      <c r="D55" s="151" t="s">
        <v>370</v>
      </c>
      <c r="E55" s="165">
        <v>0.15</v>
      </c>
      <c r="F55" s="166">
        <v>1</v>
      </c>
      <c r="G55" s="170" t="s">
        <v>371</v>
      </c>
      <c r="H55" s="167" t="s">
        <v>398</v>
      </c>
      <c r="I55" s="151" t="s">
        <v>372</v>
      </c>
      <c r="J55" s="168" t="s">
        <v>373</v>
      </c>
      <c r="K55" s="169">
        <v>0.3</v>
      </c>
      <c r="L55" s="169">
        <v>0.4</v>
      </c>
      <c r="M55" s="169">
        <v>0.25</v>
      </c>
      <c r="N55" s="169">
        <v>0.05</v>
      </c>
      <c r="O55" s="63">
        <v>1</v>
      </c>
    </row>
    <row r="56" spans="2:15" ht="105" customHeight="1">
      <c r="B56" s="779"/>
      <c r="C56" s="764" t="s">
        <v>143</v>
      </c>
      <c r="D56" s="31" t="s">
        <v>159</v>
      </c>
      <c r="E56" s="32">
        <v>0.2</v>
      </c>
      <c r="F56" s="161">
        <v>1</v>
      </c>
      <c r="G56" s="33">
        <v>1</v>
      </c>
      <c r="H56" s="171" t="s">
        <v>153</v>
      </c>
      <c r="I56" s="142" t="s">
        <v>406</v>
      </c>
      <c r="J56" s="143" t="s">
        <v>712</v>
      </c>
      <c r="K56" s="172">
        <v>1</v>
      </c>
      <c r="L56" s="172">
        <v>1</v>
      </c>
      <c r="M56" s="172">
        <v>1</v>
      </c>
      <c r="N56" s="172">
        <v>1</v>
      </c>
      <c r="O56" s="36">
        <f>AVERAGE(K56:N56)</f>
        <v>1</v>
      </c>
    </row>
    <row r="57" spans="2:15" ht="96" customHeight="1">
      <c r="B57" s="779"/>
      <c r="C57" s="772"/>
      <c r="D57" s="31" t="s">
        <v>160</v>
      </c>
      <c r="E57" s="32">
        <v>0.2</v>
      </c>
      <c r="F57" s="161">
        <v>0.4</v>
      </c>
      <c r="G57" s="33">
        <v>0.6</v>
      </c>
      <c r="H57" s="171" t="s">
        <v>154</v>
      </c>
      <c r="I57" s="142" t="s">
        <v>406</v>
      </c>
      <c r="J57" s="143" t="s">
        <v>712</v>
      </c>
      <c r="K57" s="172">
        <v>0.22</v>
      </c>
      <c r="L57" s="172">
        <v>0.14000000000000001</v>
      </c>
      <c r="M57" s="172">
        <v>0.02</v>
      </c>
      <c r="N57" s="172">
        <v>0.02</v>
      </c>
      <c r="O57" s="36">
        <f>K57+L57+M57+N57</f>
        <v>0.4</v>
      </c>
    </row>
    <row r="58" spans="2:15" ht="74.25" customHeight="1">
      <c r="B58" s="779"/>
      <c r="C58" s="772"/>
      <c r="D58" s="31" t="s">
        <v>161</v>
      </c>
      <c r="E58" s="32">
        <v>0.15</v>
      </c>
      <c r="F58" s="161">
        <v>1</v>
      </c>
      <c r="G58" s="173" t="s">
        <v>156</v>
      </c>
      <c r="H58" s="171" t="s">
        <v>155</v>
      </c>
      <c r="I58" s="142" t="s">
        <v>406</v>
      </c>
      <c r="J58" s="143" t="s">
        <v>158</v>
      </c>
      <c r="K58" s="172">
        <v>0.38</v>
      </c>
      <c r="L58" s="172">
        <v>0.33</v>
      </c>
      <c r="M58" s="172">
        <v>0.28999999999999998</v>
      </c>
      <c r="N58" s="172">
        <v>0</v>
      </c>
      <c r="O58" s="36">
        <f>K58+L58+M58+N58</f>
        <v>1</v>
      </c>
    </row>
    <row r="59" spans="2:15" ht="63" customHeight="1">
      <c r="B59" s="779"/>
      <c r="C59" s="772"/>
      <c r="D59" s="31" t="s">
        <v>162</v>
      </c>
      <c r="E59" s="32">
        <v>0.1</v>
      </c>
      <c r="F59" s="174">
        <v>12</v>
      </c>
      <c r="G59" s="173" t="s">
        <v>157</v>
      </c>
      <c r="H59" s="171" t="s">
        <v>166</v>
      </c>
      <c r="I59" s="142" t="s">
        <v>406</v>
      </c>
      <c r="J59" s="143" t="s">
        <v>158</v>
      </c>
      <c r="K59" s="175">
        <v>3</v>
      </c>
      <c r="L59" s="175">
        <v>3</v>
      </c>
      <c r="M59" s="175">
        <v>3</v>
      </c>
      <c r="N59" s="175">
        <v>3</v>
      </c>
      <c r="O59" s="64">
        <f>K59+L59+M59+N59</f>
        <v>12</v>
      </c>
    </row>
    <row r="60" spans="2:15" ht="63" customHeight="1">
      <c r="B60" s="779"/>
      <c r="C60" s="772"/>
      <c r="D60" s="31" t="s">
        <v>163</v>
      </c>
      <c r="E60" s="32">
        <v>0.2</v>
      </c>
      <c r="F60" s="32">
        <v>0.9</v>
      </c>
      <c r="G60" s="176">
        <v>0.86</v>
      </c>
      <c r="H60" s="177" t="s">
        <v>418</v>
      </c>
      <c r="I60" s="142" t="s">
        <v>407</v>
      </c>
      <c r="J60" s="143" t="s">
        <v>1</v>
      </c>
      <c r="K60" s="172">
        <v>0.9</v>
      </c>
      <c r="L60" s="172">
        <v>0.9</v>
      </c>
      <c r="M60" s="172">
        <v>0.9</v>
      </c>
      <c r="N60" s="172">
        <v>0.9</v>
      </c>
      <c r="O60" s="36">
        <f>AVERAGE(K60:N60)</f>
        <v>0.9</v>
      </c>
    </row>
    <row r="61" spans="2:15" ht="70.5" customHeight="1">
      <c r="B61" s="779"/>
      <c r="C61" s="765"/>
      <c r="D61" s="31" t="s">
        <v>164</v>
      </c>
      <c r="E61" s="32">
        <v>0.15</v>
      </c>
      <c r="F61" s="174">
        <v>7</v>
      </c>
      <c r="G61" s="173">
        <v>3</v>
      </c>
      <c r="H61" s="141" t="s">
        <v>419</v>
      </c>
      <c r="I61" s="142" t="s">
        <v>407</v>
      </c>
      <c r="J61" s="143" t="s">
        <v>1</v>
      </c>
      <c r="K61" s="175">
        <v>2</v>
      </c>
      <c r="L61" s="175">
        <v>3</v>
      </c>
      <c r="M61" s="175">
        <v>1</v>
      </c>
      <c r="N61" s="175">
        <v>1</v>
      </c>
      <c r="O61" s="64">
        <v>7</v>
      </c>
    </row>
    <row r="62" spans="2:15" ht="60" customHeight="1">
      <c r="B62" s="779"/>
      <c r="C62" s="761" t="s">
        <v>144</v>
      </c>
      <c r="D62" s="151" t="s">
        <v>449</v>
      </c>
      <c r="E62" s="152">
        <v>0.1</v>
      </c>
      <c r="F62" s="166">
        <v>1</v>
      </c>
      <c r="G62" s="178">
        <v>1</v>
      </c>
      <c r="H62" s="179" t="s">
        <v>436</v>
      </c>
      <c r="I62" s="180" t="s">
        <v>437</v>
      </c>
      <c r="J62" s="181" t="s">
        <v>438</v>
      </c>
      <c r="K62" s="182">
        <v>1</v>
      </c>
      <c r="L62" s="182">
        <v>1</v>
      </c>
      <c r="M62" s="182">
        <v>1</v>
      </c>
      <c r="N62" s="182">
        <v>1</v>
      </c>
      <c r="O62" s="86">
        <f>AVERAGE(K62:N62)</f>
        <v>1</v>
      </c>
    </row>
    <row r="63" spans="2:15" ht="88.5" customHeight="1">
      <c r="B63" s="779"/>
      <c r="C63" s="762"/>
      <c r="D63" s="151" t="s">
        <v>450</v>
      </c>
      <c r="E63" s="152">
        <v>0.1</v>
      </c>
      <c r="F63" s="166">
        <v>0.97</v>
      </c>
      <c r="G63" s="178">
        <v>0.97</v>
      </c>
      <c r="H63" s="151" t="s">
        <v>439</v>
      </c>
      <c r="I63" s="180" t="s">
        <v>437</v>
      </c>
      <c r="J63" s="181" t="s">
        <v>440</v>
      </c>
      <c r="K63" s="182">
        <v>0.97</v>
      </c>
      <c r="L63" s="182">
        <v>0.97</v>
      </c>
      <c r="M63" s="182">
        <v>0.97</v>
      </c>
      <c r="N63" s="182">
        <v>0.97</v>
      </c>
      <c r="O63" s="86">
        <f t="shared" ref="O63:O68" si="1">AVERAGE(K63:N63)</f>
        <v>0.97</v>
      </c>
    </row>
    <row r="64" spans="2:15" ht="99.75" customHeight="1">
      <c r="B64" s="779"/>
      <c r="C64" s="762"/>
      <c r="D64" s="151" t="s">
        <v>451</v>
      </c>
      <c r="E64" s="152">
        <v>0.1</v>
      </c>
      <c r="F64" s="166">
        <v>0.9</v>
      </c>
      <c r="G64" s="154" t="s">
        <v>156</v>
      </c>
      <c r="H64" s="155" t="s">
        <v>441</v>
      </c>
      <c r="I64" s="180" t="s">
        <v>437</v>
      </c>
      <c r="J64" s="181" t="s">
        <v>440</v>
      </c>
      <c r="K64" s="182">
        <v>0.9</v>
      </c>
      <c r="L64" s="182">
        <v>0.9</v>
      </c>
      <c r="M64" s="182">
        <v>0.9</v>
      </c>
      <c r="N64" s="182">
        <v>0.9</v>
      </c>
      <c r="O64" s="86">
        <f t="shared" si="1"/>
        <v>0.9</v>
      </c>
    </row>
    <row r="65" spans="2:15" ht="75">
      <c r="B65" s="779"/>
      <c r="C65" s="762"/>
      <c r="D65" s="151" t="s">
        <v>452</v>
      </c>
      <c r="E65" s="152">
        <v>0.15</v>
      </c>
      <c r="F65" s="183">
        <v>1</v>
      </c>
      <c r="G65" s="183">
        <v>1</v>
      </c>
      <c r="H65" s="184" t="s">
        <v>442</v>
      </c>
      <c r="I65" s="180" t="s">
        <v>437</v>
      </c>
      <c r="J65" s="181" t="s">
        <v>443</v>
      </c>
      <c r="K65" s="182">
        <v>1</v>
      </c>
      <c r="L65" s="182">
        <v>1</v>
      </c>
      <c r="M65" s="182">
        <v>1</v>
      </c>
      <c r="N65" s="182">
        <v>1</v>
      </c>
      <c r="O65" s="86">
        <f t="shared" si="1"/>
        <v>1</v>
      </c>
    </row>
    <row r="66" spans="2:15" ht="75">
      <c r="B66" s="779"/>
      <c r="C66" s="762"/>
      <c r="D66" s="151" t="s">
        <v>453</v>
      </c>
      <c r="E66" s="152">
        <v>0.15</v>
      </c>
      <c r="F66" s="183">
        <v>1</v>
      </c>
      <c r="G66" s="183">
        <v>1</v>
      </c>
      <c r="H66" s="184" t="s">
        <v>444</v>
      </c>
      <c r="I66" s="180" t="s">
        <v>437</v>
      </c>
      <c r="J66" s="181" t="s">
        <v>443</v>
      </c>
      <c r="K66" s="182">
        <v>1</v>
      </c>
      <c r="L66" s="182">
        <v>1</v>
      </c>
      <c r="M66" s="182">
        <v>1</v>
      </c>
      <c r="N66" s="182">
        <v>1</v>
      </c>
      <c r="O66" s="86">
        <f t="shared" si="1"/>
        <v>1</v>
      </c>
    </row>
    <row r="67" spans="2:15" ht="75">
      <c r="B67" s="779"/>
      <c r="C67" s="762"/>
      <c r="D67" s="151" t="s">
        <v>454</v>
      </c>
      <c r="E67" s="152">
        <v>0.15</v>
      </c>
      <c r="F67" s="183">
        <v>1</v>
      </c>
      <c r="G67" s="183">
        <v>1</v>
      </c>
      <c r="H67" s="184" t="s">
        <v>445</v>
      </c>
      <c r="I67" s="180" t="s">
        <v>437</v>
      </c>
      <c r="J67" s="181" t="s">
        <v>443</v>
      </c>
      <c r="K67" s="182">
        <v>1</v>
      </c>
      <c r="L67" s="182">
        <v>1</v>
      </c>
      <c r="M67" s="182">
        <v>1</v>
      </c>
      <c r="N67" s="182">
        <v>1</v>
      </c>
      <c r="O67" s="86">
        <f t="shared" si="1"/>
        <v>1</v>
      </c>
    </row>
    <row r="68" spans="2:15" ht="75">
      <c r="B68" s="779"/>
      <c r="C68" s="762"/>
      <c r="D68" s="151" t="s">
        <v>455</v>
      </c>
      <c r="E68" s="152">
        <v>0.15</v>
      </c>
      <c r="F68" s="183">
        <v>1</v>
      </c>
      <c r="G68" s="183">
        <v>0.99</v>
      </c>
      <c r="H68" s="184" t="s">
        <v>446</v>
      </c>
      <c r="I68" s="180" t="s">
        <v>437</v>
      </c>
      <c r="J68" s="181" t="s">
        <v>443</v>
      </c>
      <c r="K68" s="182">
        <v>1</v>
      </c>
      <c r="L68" s="182">
        <v>1</v>
      </c>
      <c r="M68" s="182">
        <v>1</v>
      </c>
      <c r="N68" s="182">
        <v>1</v>
      </c>
      <c r="O68" s="86">
        <f t="shared" si="1"/>
        <v>1</v>
      </c>
    </row>
    <row r="69" spans="2:15" ht="84.75" customHeight="1">
      <c r="B69" s="779"/>
      <c r="C69" s="763"/>
      <c r="D69" s="151" t="s">
        <v>456</v>
      </c>
      <c r="E69" s="152">
        <v>0.1</v>
      </c>
      <c r="F69" s="185">
        <v>36</v>
      </c>
      <c r="G69" s="186" t="s">
        <v>156</v>
      </c>
      <c r="H69" s="179" t="s">
        <v>447</v>
      </c>
      <c r="I69" s="180" t="s">
        <v>437</v>
      </c>
      <c r="J69" s="181" t="s">
        <v>448</v>
      </c>
      <c r="K69" s="187">
        <v>9</v>
      </c>
      <c r="L69" s="187">
        <v>9</v>
      </c>
      <c r="M69" s="187">
        <v>9</v>
      </c>
      <c r="N69" s="187">
        <v>9</v>
      </c>
      <c r="O69" s="85">
        <f t="shared" ref="O69" si="2">K69+L69+M69+N69</f>
        <v>36</v>
      </c>
    </row>
    <row r="70" spans="2:15" ht="76.5" customHeight="1">
      <c r="B70" s="779"/>
      <c r="C70" s="764" t="s">
        <v>145</v>
      </c>
      <c r="D70" s="31" t="s">
        <v>519</v>
      </c>
      <c r="E70" s="147">
        <v>0.1</v>
      </c>
      <c r="F70" s="161">
        <v>1</v>
      </c>
      <c r="G70" s="188">
        <v>0.99199999999999999</v>
      </c>
      <c r="H70" s="328" t="s">
        <v>489</v>
      </c>
      <c r="I70" s="142" t="s">
        <v>491</v>
      </c>
      <c r="J70" s="143" t="s">
        <v>492</v>
      </c>
      <c r="K70" s="172">
        <v>1</v>
      </c>
      <c r="L70" s="172">
        <v>1</v>
      </c>
      <c r="M70" s="172">
        <v>1</v>
      </c>
      <c r="N70" s="172">
        <v>1</v>
      </c>
      <c r="O70" s="36">
        <f>AVERAGE(K70:N70)</f>
        <v>1</v>
      </c>
    </row>
    <row r="71" spans="2:15" ht="62.25" customHeight="1">
      <c r="B71" s="779"/>
      <c r="C71" s="772"/>
      <c r="D71" s="31" t="s">
        <v>691</v>
      </c>
      <c r="E71" s="147">
        <v>0.1</v>
      </c>
      <c r="F71" s="161">
        <v>0.97</v>
      </c>
      <c r="G71" s="188">
        <v>0.96599999999999997</v>
      </c>
      <c r="H71" s="328" t="s">
        <v>490</v>
      </c>
      <c r="I71" s="142" t="s">
        <v>491</v>
      </c>
      <c r="J71" s="143" t="s">
        <v>492</v>
      </c>
      <c r="K71" s="172">
        <v>0.97</v>
      </c>
      <c r="L71" s="172">
        <v>0.97</v>
      </c>
      <c r="M71" s="172">
        <v>0.97</v>
      </c>
      <c r="N71" s="172">
        <v>0.97</v>
      </c>
      <c r="O71" s="36">
        <f>AVERAGE(K71:N71)</f>
        <v>0.97</v>
      </c>
    </row>
    <row r="72" spans="2:15" ht="64.5" customHeight="1">
      <c r="B72" s="779"/>
      <c r="C72" s="772"/>
      <c r="D72" s="31" t="s">
        <v>520</v>
      </c>
      <c r="E72" s="161">
        <v>7.0000000000000007E-2</v>
      </c>
      <c r="F72" s="161">
        <v>0.95</v>
      </c>
      <c r="G72" s="329" t="s">
        <v>156</v>
      </c>
      <c r="H72" s="328" t="s">
        <v>514</v>
      </c>
      <c r="I72" s="142" t="s">
        <v>518</v>
      </c>
      <c r="J72" s="143" t="s">
        <v>517</v>
      </c>
      <c r="K72" s="172">
        <v>0.95</v>
      </c>
      <c r="L72" s="172">
        <v>0.95</v>
      </c>
      <c r="M72" s="172">
        <v>0.95</v>
      </c>
      <c r="N72" s="172">
        <v>0.95</v>
      </c>
      <c r="O72" s="36">
        <f>AVERAGE(K72:N72)</f>
        <v>0.95</v>
      </c>
    </row>
    <row r="73" spans="2:15" ht="64.5" customHeight="1">
      <c r="B73" s="779"/>
      <c r="C73" s="772"/>
      <c r="D73" s="31" t="s">
        <v>521</v>
      </c>
      <c r="E73" s="161">
        <v>7.0000000000000007E-2</v>
      </c>
      <c r="F73" s="161">
        <v>0.95</v>
      </c>
      <c r="G73" s="329" t="s">
        <v>156</v>
      </c>
      <c r="H73" s="328" t="s">
        <v>515</v>
      </c>
      <c r="I73" s="142" t="s">
        <v>518</v>
      </c>
      <c r="J73" s="143" t="s">
        <v>517</v>
      </c>
      <c r="K73" s="172">
        <v>0.95</v>
      </c>
      <c r="L73" s="172">
        <v>0.95</v>
      </c>
      <c r="M73" s="172">
        <v>0.95</v>
      </c>
      <c r="N73" s="172">
        <v>0.95</v>
      </c>
      <c r="O73" s="36">
        <f t="shared" ref="O73:O74" si="3">AVERAGE(K73:N73)</f>
        <v>0.95</v>
      </c>
    </row>
    <row r="74" spans="2:15" ht="64.5" customHeight="1">
      <c r="B74" s="779"/>
      <c r="C74" s="772"/>
      <c r="D74" s="31" t="s">
        <v>522</v>
      </c>
      <c r="E74" s="161">
        <v>0.06</v>
      </c>
      <c r="F74" s="161">
        <v>1</v>
      </c>
      <c r="G74" s="329" t="s">
        <v>156</v>
      </c>
      <c r="H74" s="328" t="s">
        <v>516</v>
      </c>
      <c r="I74" s="142" t="s">
        <v>518</v>
      </c>
      <c r="J74" s="143" t="s">
        <v>517</v>
      </c>
      <c r="K74" s="172">
        <v>1</v>
      </c>
      <c r="L74" s="172">
        <v>1</v>
      </c>
      <c r="M74" s="172">
        <v>1</v>
      </c>
      <c r="N74" s="172">
        <v>1</v>
      </c>
      <c r="O74" s="36">
        <f t="shared" si="3"/>
        <v>1</v>
      </c>
    </row>
    <row r="75" spans="2:15" ht="78" customHeight="1">
      <c r="B75" s="779"/>
      <c r="C75" s="772"/>
      <c r="D75" s="31" t="s">
        <v>523</v>
      </c>
      <c r="E75" s="52">
        <v>0.2</v>
      </c>
      <c r="F75" s="161">
        <v>0.95</v>
      </c>
      <c r="G75" s="329" t="s">
        <v>156</v>
      </c>
      <c r="H75" s="328" t="s">
        <v>505</v>
      </c>
      <c r="I75" s="142" t="s">
        <v>506</v>
      </c>
      <c r="J75" s="143" t="s">
        <v>507</v>
      </c>
      <c r="K75" s="172">
        <v>0.95</v>
      </c>
      <c r="L75" s="172">
        <v>0.95</v>
      </c>
      <c r="M75" s="172">
        <v>0.95</v>
      </c>
      <c r="N75" s="172">
        <v>0.95</v>
      </c>
      <c r="O75" s="36">
        <f>AVERAGE(K75:N75)</f>
        <v>0.95</v>
      </c>
    </row>
    <row r="76" spans="2:15" ht="96.75" customHeight="1">
      <c r="B76" s="779"/>
      <c r="C76" s="772"/>
      <c r="D76" s="31" t="s">
        <v>548</v>
      </c>
      <c r="E76" s="52">
        <v>0.05</v>
      </c>
      <c r="F76" s="161">
        <v>0.95</v>
      </c>
      <c r="G76" s="329" t="s">
        <v>156</v>
      </c>
      <c r="H76" s="328" t="s">
        <v>541</v>
      </c>
      <c r="I76" s="142" t="s">
        <v>542</v>
      </c>
      <c r="J76" s="143" t="s">
        <v>543</v>
      </c>
      <c r="K76" s="172">
        <v>0.95</v>
      </c>
      <c r="L76" s="172">
        <v>0.95</v>
      </c>
      <c r="M76" s="172">
        <v>0.95</v>
      </c>
      <c r="N76" s="172">
        <v>0.95</v>
      </c>
      <c r="O76" s="36">
        <f t="shared" ref="O76:O77" si="4">AVERAGE(K76:N76)</f>
        <v>0.95</v>
      </c>
    </row>
    <row r="77" spans="2:15" ht="76.5" customHeight="1">
      <c r="B77" s="779"/>
      <c r="C77" s="772"/>
      <c r="D77" s="31" t="s">
        <v>549</v>
      </c>
      <c r="E77" s="52">
        <v>0.05</v>
      </c>
      <c r="F77" s="161">
        <v>0.8</v>
      </c>
      <c r="G77" s="329">
        <v>264</v>
      </c>
      <c r="H77" s="328" t="s">
        <v>568</v>
      </c>
      <c r="I77" s="142" t="s">
        <v>542</v>
      </c>
      <c r="J77" s="143" t="s">
        <v>544</v>
      </c>
      <c r="K77" s="172">
        <v>0.8</v>
      </c>
      <c r="L77" s="172">
        <v>0.8</v>
      </c>
      <c r="M77" s="172">
        <v>0.8</v>
      </c>
      <c r="N77" s="172">
        <v>0.8</v>
      </c>
      <c r="O77" s="36">
        <f t="shared" si="4"/>
        <v>0.8</v>
      </c>
    </row>
    <row r="78" spans="2:15" ht="120" customHeight="1">
      <c r="B78" s="779"/>
      <c r="C78" s="772"/>
      <c r="D78" s="31" t="s">
        <v>550</v>
      </c>
      <c r="E78" s="52">
        <v>0.05</v>
      </c>
      <c r="F78" s="174">
        <v>100</v>
      </c>
      <c r="G78" s="329">
        <v>32</v>
      </c>
      <c r="H78" s="190" t="s">
        <v>696</v>
      </c>
      <c r="I78" s="142" t="s">
        <v>542</v>
      </c>
      <c r="J78" s="143" t="s">
        <v>545</v>
      </c>
      <c r="K78" s="191">
        <v>25</v>
      </c>
      <c r="L78" s="191">
        <v>25</v>
      </c>
      <c r="M78" s="191">
        <v>25</v>
      </c>
      <c r="N78" s="191">
        <v>25</v>
      </c>
      <c r="O78" s="64">
        <f t="shared" ref="O78:O79" si="5">K78+L78+M78+N78</f>
        <v>100</v>
      </c>
    </row>
    <row r="79" spans="2:15" ht="87" customHeight="1">
      <c r="B79" s="779"/>
      <c r="C79" s="772"/>
      <c r="D79" s="31" t="s">
        <v>551</v>
      </c>
      <c r="E79" s="52">
        <v>0.05</v>
      </c>
      <c r="F79" s="174">
        <v>100</v>
      </c>
      <c r="G79" s="329">
        <v>26</v>
      </c>
      <c r="H79" s="190" t="s">
        <v>697</v>
      </c>
      <c r="I79" s="142" t="s">
        <v>546</v>
      </c>
      <c r="J79" s="143" t="s">
        <v>547</v>
      </c>
      <c r="K79" s="191">
        <v>25</v>
      </c>
      <c r="L79" s="191">
        <v>25</v>
      </c>
      <c r="M79" s="191">
        <v>25</v>
      </c>
      <c r="N79" s="191">
        <v>25</v>
      </c>
      <c r="O79" s="64">
        <f t="shared" si="5"/>
        <v>100</v>
      </c>
    </row>
    <row r="80" spans="2:15" ht="63" customHeight="1">
      <c r="B80" s="779"/>
      <c r="C80" s="772"/>
      <c r="D80" s="31" t="s">
        <v>574</v>
      </c>
      <c r="E80" s="52">
        <v>0.05</v>
      </c>
      <c r="F80" s="161">
        <v>1</v>
      </c>
      <c r="G80" s="33">
        <v>1</v>
      </c>
      <c r="H80" s="328" t="s">
        <v>570</v>
      </c>
      <c r="I80" s="142" t="s">
        <v>571</v>
      </c>
      <c r="J80" s="192" t="s">
        <v>3</v>
      </c>
      <c r="K80" s="193">
        <v>1</v>
      </c>
      <c r="L80" s="193">
        <v>1</v>
      </c>
      <c r="M80" s="193">
        <v>1</v>
      </c>
      <c r="N80" s="193">
        <v>1</v>
      </c>
      <c r="O80" s="36">
        <f t="shared" ref="O80:O84" si="6">AVERAGE(K80:N80)</f>
        <v>1</v>
      </c>
    </row>
    <row r="81" spans="2:15" ht="54.75" customHeight="1">
      <c r="B81" s="779"/>
      <c r="C81" s="772"/>
      <c r="D81" s="31" t="s">
        <v>575</v>
      </c>
      <c r="E81" s="52">
        <v>0.05</v>
      </c>
      <c r="F81" s="33">
        <v>1</v>
      </c>
      <c r="G81" s="33">
        <v>1</v>
      </c>
      <c r="H81" s="328" t="s">
        <v>572</v>
      </c>
      <c r="I81" s="142" t="s">
        <v>571</v>
      </c>
      <c r="J81" s="192" t="s">
        <v>3</v>
      </c>
      <c r="K81" s="193">
        <v>1</v>
      </c>
      <c r="L81" s="193">
        <v>1</v>
      </c>
      <c r="M81" s="193">
        <v>1</v>
      </c>
      <c r="N81" s="193">
        <v>1</v>
      </c>
      <c r="O81" s="36">
        <f t="shared" si="6"/>
        <v>1</v>
      </c>
    </row>
    <row r="82" spans="2:15" ht="78.75" customHeight="1">
      <c r="B82" s="779"/>
      <c r="C82" s="772"/>
      <c r="D82" s="31" t="s">
        <v>576</v>
      </c>
      <c r="E82" s="52">
        <v>0.05</v>
      </c>
      <c r="F82" s="33">
        <v>1</v>
      </c>
      <c r="G82" s="33">
        <v>1</v>
      </c>
      <c r="H82" s="328" t="s">
        <v>573</v>
      </c>
      <c r="I82" s="142" t="s">
        <v>571</v>
      </c>
      <c r="J82" s="192" t="s">
        <v>3</v>
      </c>
      <c r="K82" s="193">
        <v>1</v>
      </c>
      <c r="L82" s="193">
        <v>1</v>
      </c>
      <c r="M82" s="193">
        <v>1</v>
      </c>
      <c r="N82" s="193">
        <v>1</v>
      </c>
      <c r="O82" s="36">
        <f t="shared" si="6"/>
        <v>1</v>
      </c>
    </row>
    <row r="83" spans="2:15" ht="76.5" customHeight="1">
      <c r="B83" s="779"/>
      <c r="C83" s="772"/>
      <c r="D83" s="773" t="s">
        <v>577</v>
      </c>
      <c r="E83" s="759">
        <v>0.05</v>
      </c>
      <c r="F83" s="33">
        <v>1</v>
      </c>
      <c r="G83" s="33">
        <v>1</v>
      </c>
      <c r="H83" s="328" t="s">
        <v>579</v>
      </c>
      <c r="I83" s="142" t="s">
        <v>571</v>
      </c>
      <c r="J83" s="192" t="s">
        <v>3</v>
      </c>
      <c r="K83" s="193">
        <v>1</v>
      </c>
      <c r="L83" s="193">
        <v>1</v>
      </c>
      <c r="M83" s="193">
        <v>1</v>
      </c>
      <c r="N83" s="193">
        <v>1</v>
      </c>
      <c r="O83" s="36">
        <f t="shared" si="6"/>
        <v>1</v>
      </c>
    </row>
    <row r="84" spans="2:15" ht="76.5" customHeight="1">
      <c r="B84" s="779"/>
      <c r="C84" s="765"/>
      <c r="D84" s="774"/>
      <c r="E84" s="760"/>
      <c r="F84" s="33">
        <v>1</v>
      </c>
      <c r="G84" s="33">
        <v>1</v>
      </c>
      <c r="H84" s="328" t="s">
        <v>578</v>
      </c>
      <c r="I84" s="142" t="s">
        <v>571</v>
      </c>
      <c r="J84" s="192" t="s">
        <v>3</v>
      </c>
      <c r="K84" s="193">
        <v>1</v>
      </c>
      <c r="L84" s="193">
        <v>1</v>
      </c>
      <c r="M84" s="193">
        <v>1</v>
      </c>
      <c r="N84" s="193">
        <v>1</v>
      </c>
      <c r="O84" s="36">
        <f t="shared" si="6"/>
        <v>1</v>
      </c>
    </row>
    <row r="85" spans="2:15" ht="73.5" customHeight="1">
      <c r="B85" s="779"/>
      <c r="C85" s="761" t="s">
        <v>146</v>
      </c>
      <c r="D85" s="151" t="s">
        <v>602</v>
      </c>
      <c r="E85" s="152">
        <v>0.05</v>
      </c>
      <c r="F85" s="194">
        <v>96</v>
      </c>
      <c r="G85" s="154" t="s">
        <v>156</v>
      </c>
      <c r="H85" s="155" t="s">
        <v>598</v>
      </c>
      <c r="I85" s="156" t="s">
        <v>618</v>
      </c>
      <c r="J85" s="156" t="s">
        <v>599</v>
      </c>
      <c r="K85" s="195">
        <v>24</v>
      </c>
      <c r="L85" s="195">
        <v>24</v>
      </c>
      <c r="M85" s="195">
        <v>24</v>
      </c>
      <c r="N85" s="195">
        <v>24</v>
      </c>
      <c r="O85" s="85">
        <f t="shared" ref="O85:O90" si="7">K85+L85+M85+N85</f>
        <v>96</v>
      </c>
    </row>
    <row r="86" spans="2:15" ht="86.25" customHeight="1">
      <c r="B86" s="779"/>
      <c r="C86" s="762"/>
      <c r="D86" s="151" t="s">
        <v>719</v>
      </c>
      <c r="E86" s="152">
        <v>0.05</v>
      </c>
      <c r="F86" s="196">
        <v>7</v>
      </c>
      <c r="G86" s="154" t="s">
        <v>156</v>
      </c>
      <c r="H86" s="155" t="s">
        <v>600</v>
      </c>
      <c r="I86" s="156" t="s">
        <v>618</v>
      </c>
      <c r="J86" s="156" t="s">
        <v>599</v>
      </c>
      <c r="K86" s="197">
        <v>2</v>
      </c>
      <c r="L86" s="197">
        <v>2</v>
      </c>
      <c r="M86" s="197">
        <v>2</v>
      </c>
      <c r="N86" s="197">
        <v>2</v>
      </c>
      <c r="O86" s="85">
        <f t="shared" si="7"/>
        <v>8</v>
      </c>
    </row>
    <row r="87" spans="2:15" ht="96.75" customHeight="1">
      <c r="B87" s="779"/>
      <c r="C87" s="762"/>
      <c r="D87" s="151" t="s">
        <v>603</v>
      </c>
      <c r="E87" s="152">
        <v>0.2</v>
      </c>
      <c r="F87" s="196">
        <v>400</v>
      </c>
      <c r="G87" s="154" t="s">
        <v>612</v>
      </c>
      <c r="H87" s="155" t="s">
        <v>601</v>
      </c>
      <c r="I87" s="156" t="s">
        <v>618</v>
      </c>
      <c r="J87" s="156" t="s">
        <v>599</v>
      </c>
      <c r="K87" s="197">
        <v>100</v>
      </c>
      <c r="L87" s="197">
        <v>100</v>
      </c>
      <c r="M87" s="197">
        <v>100</v>
      </c>
      <c r="N87" s="197">
        <v>100</v>
      </c>
      <c r="O87" s="85">
        <f t="shared" si="7"/>
        <v>400</v>
      </c>
    </row>
    <row r="88" spans="2:15" ht="69.75" customHeight="1">
      <c r="B88" s="779"/>
      <c r="C88" s="762"/>
      <c r="D88" s="151" t="s">
        <v>621</v>
      </c>
      <c r="E88" s="166">
        <v>0.5</v>
      </c>
      <c r="F88" s="154">
        <v>4</v>
      </c>
      <c r="G88" s="154">
        <v>4</v>
      </c>
      <c r="H88" s="155" t="s">
        <v>619</v>
      </c>
      <c r="I88" s="198" t="s">
        <v>620</v>
      </c>
      <c r="J88" s="198" t="s">
        <v>2</v>
      </c>
      <c r="K88" s="154">
        <v>1</v>
      </c>
      <c r="L88" s="154">
        <v>1</v>
      </c>
      <c r="M88" s="154">
        <v>1</v>
      </c>
      <c r="N88" s="154">
        <v>1</v>
      </c>
      <c r="O88" s="85">
        <f t="shared" si="7"/>
        <v>4</v>
      </c>
    </row>
    <row r="89" spans="2:15" ht="56.25" customHeight="1">
      <c r="B89" s="779"/>
      <c r="C89" s="762"/>
      <c r="D89" s="151" t="s">
        <v>692</v>
      </c>
      <c r="E89" s="166">
        <v>0.1</v>
      </c>
      <c r="F89" s="196">
        <v>4</v>
      </c>
      <c r="G89" s="154">
        <v>4</v>
      </c>
      <c r="H89" s="155" t="s">
        <v>693</v>
      </c>
      <c r="I89" s="198" t="s">
        <v>620</v>
      </c>
      <c r="J89" s="198" t="s">
        <v>2</v>
      </c>
      <c r="K89" s="154">
        <v>1</v>
      </c>
      <c r="L89" s="154">
        <v>1</v>
      </c>
      <c r="M89" s="154">
        <v>1</v>
      </c>
      <c r="N89" s="154">
        <v>1</v>
      </c>
      <c r="O89" s="85">
        <f t="shared" si="7"/>
        <v>4</v>
      </c>
    </row>
    <row r="90" spans="2:15" ht="61.5" customHeight="1">
      <c r="B90" s="779"/>
      <c r="C90" s="763"/>
      <c r="D90" s="151" t="s">
        <v>694</v>
      </c>
      <c r="E90" s="166">
        <v>0.1</v>
      </c>
      <c r="F90" s="196">
        <v>4</v>
      </c>
      <c r="G90" s="154">
        <v>4</v>
      </c>
      <c r="H90" s="155" t="s">
        <v>695</v>
      </c>
      <c r="I90" s="198" t="s">
        <v>620</v>
      </c>
      <c r="J90" s="198" t="s">
        <v>2</v>
      </c>
      <c r="K90" s="154">
        <v>1</v>
      </c>
      <c r="L90" s="154">
        <v>1</v>
      </c>
      <c r="M90" s="154">
        <v>1</v>
      </c>
      <c r="N90" s="154">
        <v>1</v>
      </c>
      <c r="O90" s="85">
        <f t="shared" si="7"/>
        <v>4</v>
      </c>
    </row>
    <row r="91" spans="2:15" ht="60" customHeight="1">
      <c r="B91" s="779"/>
      <c r="C91" s="764" t="s">
        <v>147</v>
      </c>
      <c r="D91" s="328" t="s">
        <v>638</v>
      </c>
      <c r="E91" s="326">
        <v>0.5</v>
      </c>
      <c r="F91" s="33">
        <v>1</v>
      </c>
      <c r="G91" s="33">
        <v>1</v>
      </c>
      <c r="H91" s="328" t="s">
        <v>634</v>
      </c>
      <c r="I91" s="189" t="s">
        <v>635</v>
      </c>
      <c r="J91" s="199" t="s">
        <v>636</v>
      </c>
      <c r="K91" s="193">
        <v>1</v>
      </c>
      <c r="L91" s="193">
        <v>1</v>
      </c>
      <c r="M91" s="193">
        <v>1</v>
      </c>
      <c r="N91" s="193">
        <v>1</v>
      </c>
      <c r="O91" s="36">
        <f t="shared" ref="O91:O92" si="8">AVERAGE(K91:N91)</f>
        <v>1</v>
      </c>
    </row>
    <row r="92" spans="2:15" ht="69.75" customHeight="1">
      <c r="B92" s="779"/>
      <c r="C92" s="765"/>
      <c r="D92" s="328" t="s">
        <v>639</v>
      </c>
      <c r="E92" s="326">
        <v>0.5</v>
      </c>
      <c r="F92" s="33">
        <v>1</v>
      </c>
      <c r="G92" s="33">
        <v>1</v>
      </c>
      <c r="H92" s="328" t="s">
        <v>637</v>
      </c>
      <c r="I92" s="189" t="s">
        <v>635</v>
      </c>
      <c r="J92" s="199" t="s">
        <v>636</v>
      </c>
      <c r="K92" s="193">
        <v>1</v>
      </c>
      <c r="L92" s="193">
        <v>1</v>
      </c>
      <c r="M92" s="193">
        <v>1</v>
      </c>
      <c r="N92" s="193">
        <v>1</v>
      </c>
      <c r="O92" s="36">
        <f t="shared" si="8"/>
        <v>1</v>
      </c>
    </row>
    <row r="93" spans="2:15" ht="114" customHeight="1">
      <c r="B93" s="780"/>
      <c r="C93" s="200" t="s">
        <v>148</v>
      </c>
      <c r="D93" s="151" t="s">
        <v>435</v>
      </c>
      <c r="E93" s="152">
        <v>1</v>
      </c>
      <c r="F93" s="194">
        <v>3</v>
      </c>
      <c r="G93" s="154" t="s">
        <v>156</v>
      </c>
      <c r="H93" s="151" t="s">
        <v>429</v>
      </c>
      <c r="I93" s="156" t="s">
        <v>407</v>
      </c>
      <c r="J93" s="201" t="s">
        <v>1</v>
      </c>
      <c r="K93" s="202">
        <v>1</v>
      </c>
      <c r="L93" s="202">
        <v>1</v>
      </c>
      <c r="M93" s="202">
        <v>1</v>
      </c>
      <c r="N93" s="202">
        <v>0</v>
      </c>
      <c r="O93" s="85">
        <f t="shared" ref="O93" si="9">K93+L93+M93+N93</f>
        <v>3</v>
      </c>
    </row>
    <row r="94" spans="2:15" ht="93.75" customHeight="1">
      <c r="B94" s="766" t="s">
        <v>149</v>
      </c>
      <c r="C94" s="203" t="s">
        <v>150</v>
      </c>
      <c r="D94" s="31" t="s">
        <v>652</v>
      </c>
      <c r="E94" s="52">
        <v>1</v>
      </c>
      <c r="F94" s="68">
        <v>4</v>
      </c>
      <c r="G94" s="329" t="s">
        <v>156</v>
      </c>
      <c r="H94" s="328" t="s">
        <v>648</v>
      </c>
      <c r="I94" s="142" t="s">
        <v>649</v>
      </c>
      <c r="J94" s="192" t="s">
        <v>650</v>
      </c>
      <c r="K94" s="204">
        <v>1</v>
      </c>
      <c r="L94" s="204">
        <v>1</v>
      </c>
      <c r="M94" s="204">
        <v>1</v>
      </c>
      <c r="N94" s="204">
        <v>1</v>
      </c>
      <c r="O94" s="35">
        <f t="shared" ref="O94:O96" si="10">K94+L94+M94+N94</f>
        <v>4</v>
      </c>
    </row>
    <row r="95" spans="2:15" ht="102" customHeight="1">
      <c r="B95" s="767"/>
      <c r="C95" s="205" t="s">
        <v>151</v>
      </c>
      <c r="D95" s="31" t="s">
        <v>653</v>
      </c>
      <c r="E95" s="52">
        <v>1</v>
      </c>
      <c r="F95" s="68">
        <v>8</v>
      </c>
      <c r="G95" s="329" t="s">
        <v>156</v>
      </c>
      <c r="H95" s="328" t="s">
        <v>651</v>
      </c>
      <c r="I95" s="142" t="s">
        <v>649</v>
      </c>
      <c r="J95" s="192" t="s">
        <v>650</v>
      </c>
      <c r="K95" s="204">
        <v>2</v>
      </c>
      <c r="L95" s="204">
        <v>2</v>
      </c>
      <c r="M95" s="204">
        <v>3</v>
      </c>
      <c r="N95" s="204">
        <v>1</v>
      </c>
      <c r="O95" s="35">
        <f t="shared" si="10"/>
        <v>8</v>
      </c>
    </row>
    <row r="96" spans="2:15" ht="124.5" customHeight="1">
      <c r="B96" s="768"/>
      <c r="C96" s="206" t="s">
        <v>152</v>
      </c>
      <c r="D96" s="31" t="s">
        <v>654</v>
      </c>
      <c r="E96" s="52">
        <v>1</v>
      </c>
      <c r="F96" s="68">
        <v>10</v>
      </c>
      <c r="G96" s="329" t="s">
        <v>156</v>
      </c>
      <c r="H96" s="328" t="s">
        <v>655</v>
      </c>
      <c r="I96" s="142" t="s">
        <v>649</v>
      </c>
      <c r="J96" s="192" t="s">
        <v>650</v>
      </c>
      <c r="K96" s="204">
        <v>3</v>
      </c>
      <c r="L96" s="204">
        <v>3</v>
      </c>
      <c r="M96" s="204">
        <v>3</v>
      </c>
      <c r="N96" s="204">
        <v>1</v>
      </c>
      <c r="O96" s="35">
        <f t="shared" si="10"/>
        <v>10</v>
      </c>
    </row>
    <row r="97" spans="2:15" ht="17.399999999999999">
      <c r="B97" s="949"/>
      <c r="C97" s="950"/>
      <c r="D97" s="950"/>
      <c r="E97" s="950"/>
      <c r="F97" s="950"/>
      <c r="G97" s="950"/>
      <c r="H97" s="950"/>
      <c r="I97" s="950"/>
      <c r="J97" s="950"/>
      <c r="K97" s="950"/>
      <c r="L97" s="950"/>
      <c r="M97" s="950"/>
      <c r="N97" s="950"/>
      <c r="O97" s="950"/>
    </row>
    <row r="98" spans="2:15">
      <c r="B98" s="900" t="s">
        <v>291</v>
      </c>
      <c r="C98" s="900"/>
      <c r="D98" s="900"/>
      <c r="E98" s="900"/>
      <c r="F98" s="900"/>
      <c r="G98" s="207"/>
      <c r="H98" s="208"/>
      <c r="I98" s="208"/>
      <c r="J98" s="208"/>
    </row>
    <row r="99" spans="2:15" ht="13.5" customHeight="1">
      <c r="B99" s="208"/>
      <c r="C99" s="208"/>
      <c r="D99" s="208"/>
      <c r="E99" s="207"/>
      <c r="F99" s="207"/>
      <c r="G99" s="207"/>
      <c r="H99" s="208"/>
      <c r="I99" s="208"/>
      <c r="J99" s="208"/>
    </row>
    <row r="100" spans="2:15" ht="28.5" customHeight="1">
      <c r="B100" s="77" t="s">
        <v>26</v>
      </c>
      <c r="C100" s="80">
        <v>44224</v>
      </c>
      <c r="D100" s="208"/>
      <c r="E100" s="207"/>
      <c r="F100" s="207"/>
      <c r="G100" s="207"/>
      <c r="H100" s="208"/>
      <c r="I100" s="208"/>
      <c r="J100" s="208"/>
    </row>
    <row r="101" spans="2:15">
      <c r="B101" s="208"/>
      <c r="C101" s="208"/>
      <c r="D101" s="208"/>
      <c r="E101" s="207"/>
      <c r="F101" s="207"/>
      <c r="G101" s="207"/>
      <c r="H101" s="208"/>
      <c r="I101" s="208"/>
      <c r="J101" s="208"/>
    </row>
    <row r="102" spans="2:15" ht="26.25" customHeight="1">
      <c r="B102" s="77" t="s">
        <v>49</v>
      </c>
      <c r="C102" s="80"/>
      <c r="D102" s="208"/>
      <c r="E102" s="207"/>
      <c r="F102" s="207"/>
      <c r="G102" s="207"/>
      <c r="H102" s="209"/>
      <c r="I102" s="209"/>
      <c r="J102" s="209"/>
    </row>
    <row r="103" spans="2:15" ht="15" customHeight="1">
      <c r="B103" s="208"/>
      <c r="C103" s="208"/>
      <c r="D103" s="208"/>
      <c r="E103" s="207"/>
      <c r="F103" s="207"/>
      <c r="G103" s="207"/>
      <c r="H103" s="208"/>
      <c r="I103" s="208"/>
      <c r="J103" s="208"/>
    </row>
    <row r="104" spans="2:15" ht="15" customHeight="1">
      <c r="B104" s="208"/>
      <c r="C104" s="208"/>
      <c r="D104" s="208"/>
      <c r="E104" s="207"/>
      <c r="F104" s="207"/>
      <c r="G104" s="207"/>
      <c r="H104" s="209"/>
      <c r="I104" s="209"/>
      <c r="J104" s="209"/>
    </row>
    <row r="105" spans="2:15" ht="15" customHeight="1">
      <c r="B105" s="208"/>
      <c r="C105" s="208"/>
      <c r="D105" s="208"/>
      <c r="E105" s="207"/>
      <c r="F105" s="207"/>
      <c r="G105" s="207"/>
      <c r="H105" s="208"/>
      <c r="I105" s="208"/>
      <c r="J105" s="208"/>
    </row>
    <row r="106" spans="2:15" ht="15" customHeight="1">
      <c r="B106" s="208"/>
      <c r="C106" s="208"/>
      <c r="D106" s="208"/>
      <c r="E106" s="207"/>
      <c r="F106" s="207"/>
      <c r="G106" s="207"/>
      <c r="H106" s="209"/>
      <c r="I106" s="209"/>
      <c r="J106" s="209"/>
    </row>
  </sheetData>
  <sheetProtection algorithmName="SHA-512" hashValue="xWTspNnh6wo4V+5gvs8k7MBtvICoybUfBmy6qK/ShK4KG3mvjQXM43F+AsSnyjtDliRbiyHNlGHkMqS0jqVobA==" saltValue="1IjloGm9qYKg3YSTUuO2hA==" spinCount="100000" sheet="1" objects="1" scenarios="1"/>
  <mergeCells count="41">
    <mergeCell ref="B97:O97"/>
    <mergeCell ref="O10:O12"/>
    <mergeCell ref="J10:J12"/>
    <mergeCell ref="K10:N10"/>
    <mergeCell ref="B10:B12"/>
    <mergeCell ref="C10:C12"/>
    <mergeCell ref="D10:D12"/>
    <mergeCell ref="F10:F12"/>
    <mergeCell ref="H10:H12"/>
    <mergeCell ref="G10:G12"/>
    <mergeCell ref="B49:B93"/>
    <mergeCell ref="B94:B96"/>
    <mergeCell ref="C56:C61"/>
    <mergeCell ref="C13:C23"/>
    <mergeCell ref="C30:C33"/>
    <mergeCell ref="C24:C29"/>
    <mergeCell ref="B13:B33"/>
    <mergeCell ref="N2:O2"/>
    <mergeCell ref="N5:O5"/>
    <mergeCell ref="N6:O6"/>
    <mergeCell ref="B8:O8"/>
    <mergeCell ref="E10:E12"/>
    <mergeCell ref="C2:M6"/>
    <mergeCell ref="I10:I12"/>
    <mergeCell ref="B2:B6"/>
    <mergeCell ref="C34:C35"/>
    <mergeCell ref="C36:C37"/>
    <mergeCell ref="C38:C40"/>
    <mergeCell ref="B34:B40"/>
    <mergeCell ref="B98:F98"/>
    <mergeCell ref="C41:C42"/>
    <mergeCell ref="C43:C44"/>
    <mergeCell ref="C46:C48"/>
    <mergeCell ref="B41:B48"/>
    <mergeCell ref="C49:C55"/>
    <mergeCell ref="C62:C69"/>
    <mergeCell ref="E83:E84"/>
    <mergeCell ref="D83:D84"/>
    <mergeCell ref="C70:C84"/>
    <mergeCell ref="C85:C90"/>
    <mergeCell ref="C91:C92"/>
  </mergeCells>
  <pageMargins left="0.7" right="0.7" top="0.75" bottom="0.75" header="0.3" footer="0.3"/>
  <pageSetup paperSize="9"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dimension ref="B1:P68"/>
  <sheetViews>
    <sheetView showGridLines="0" workbookViewId="0">
      <selection activeCell="B2" sqref="B2:B6"/>
    </sheetView>
  </sheetViews>
  <sheetFormatPr baseColWidth="10" defaultColWidth="11.44140625" defaultRowHeight="13.2"/>
  <cols>
    <col min="1" max="1" width="4.33203125" style="380" customWidth="1"/>
    <col min="2" max="2" width="42.88671875" style="380" customWidth="1"/>
    <col min="3" max="13" width="7.109375" style="380" customWidth="1"/>
    <col min="14" max="14" width="14.33203125" style="380" customWidth="1"/>
    <col min="15" max="15" width="14.44140625" style="380" customWidth="1"/>
    <col min="16" max="16" width="6.6640625" style="380" customWidth="1"/>
    <col min="17" max="17" width="9.5546875" style="380" customWidth="1"/>
    <col min="18" max="18" width="17.109375" style="380" customWidth="1"/>
    <col min="19" max="16384" width="11.44140625" style="380"/>
  </cols>
  <sheetData>
    <row r="1" spans="2:16" s="7" customFormat="1" ht="7.5" customHeight="1" thickBot="1">
      <c r="B1" s="378"/>
      <c r="C1" s="378"/>
      <c r="D1" s="378"/>
      <c r="E1" s="378"/>
      <c r="F1" s="378"/>
      <c r="G1" s="378"/>
      <c r="H1" s="378"/>
      <c r="I1" s="378"/>
      <c r="J1" s="378"/>
      <c r="K1" s="378"/>
      <c r="L1" s="378"/>
      <c r="M1" s="378"/>
      <c r="N1" s="378"/>
      <c r="O1" s="378"/>
      <c r="P1" s="378"/>
    </row>
    <row r="2" spans="2:16" s="7" customFormat="1" ht="15.6">
      <c r="B2" s="1074" t="s">
        <v>748</v>
      </c>
      <c r="C2" s="1077" t="s">
        <v>4</v>
      </c>
      <c r="D2" s="1078"/>
      <c r="E2" s="1078"/>
      <c r="F2" s="1078"/>
      <c r="G2" s="1078"/>
      <c r="H2" s="1078"/>
      <c r="I2" s="1078"/>
      <c r="J2" s="1078"/>
      <c r="K2" s="1078"/>
      <c r="L2" s="1078"/>
      <c r="M2" s="1078"/>
      <c r="N2" s="1083" t="s">
        <v>31</v>
      </c>
      <c r="O2" s="1084"/>
      <c r="P2" s="378"/>
    </row>
    <row r="3" spans="2:16" s="7" customFormat="1" ht="15.6">
      <c r="B3" s="1075"/>
      <c r="C3" s="1079"/>
      <c r="D3" s="1080"/>
      <c r="E3" s="1080"/>
      <c r="F3" s="1080"/>
      <c r="G3" s="1080"/>
      <c r="H3" s="1080"/>
      <c r="I3" s="1080"/>
      <c r="J3" s="1080"/>
      <c r="K3" s="1080"/>
      <c r="L3" s="1080"/>
      <c r="M3" s="1080"/>
      <c r="N3" s="8" t="s">
        <v>28</v>
      </c>
      <c r="O3" s="9" t="s">
        <v>29</v>
      </c>
      <c r="P3" s="378"/>
    </row>
    <row r="4" spans="2:16" s="7" customFormat="1" ht="15.75" customHeight="1">
      <c r="B4" s="1075"/>
      <c r="C4" s="1079"/>
      <c r="D4" s="1080"/>
      <c r="E4" s="1080"/>
      <c r="F4" s="1080"/>
      <c r="G4" s="1080"/>
      <c r="H4" s="1080"/>
      <c r="I4" s="1080"/>
      <c r="J4" s="1080"/>
      <c r="K4" s="1080"/>
      <c r="L4" s="1080"/>
      <c r="M4" s="1080"/>
      <c r="N4" s="10">
        <v>5</v>
      </c>
      <c r="O4" s="11" t="s">
        <v>749</v>
      </c>
      <c r="P4" s="378"/>
    </row>
    <row r="5" spans="2:16" s="7" customFormat="1" ht="15.6">
      <c r="B5" s="1075"/>
      <c r="C5" s="1079"/>
      <c r="D5" s="1080"/>
      <c r="E5" s="1080"/>
      <c r="F5" s="1080"/>
      <c r="G5" s="1080"/>
      <c r="H5" s="1080"/>
      <c r="I5" s="1080"/>
      <c r="J5" s="1080"/>
      <c r="K5" s="1080"/>
      <c r="L5" s="1080"/>
      <c r="M5" s="1080"/>
      <c r="N5" s="1085" t="s">
        <v>30</v>
      </c>
      <c r="O5" s="1086"/>
      <c r="P5" s="378"/>
    </row>
    <row r="6" spans="2:16" s="7" customFormat="1" ht="16.5" customHeight="1" thickBot="1">
      <c r="B6" s="1076"/>
      <c r="C6" s="1081"/>
      <c r="D6" s="1082"/>
      <c r="E6" s="1082"/>
      <c r="F6" s="1082"/>
      <c r="G6" s="1082"/>
      <c r="H6" s="1082"/>
      <c r="I6" s="1082"/>
      <c r="J6" s="1082"/>
      <c r="K6" s="1082"/>
      <c r="L6" s="1082"/>
      <c r="M6" s="1082"/>
      <c r="N6" s="1087">
        <v>44306</v>
      </c>
      <c r="O6" s="1088"/>
      <c r="P6" s="378"/>
    </row>
    <row r="7" spans="2:16" s="7" customFormat="1" ht="7.5" customHeight="1">
      <c r="B7" s="378"/>
      <c r="C7" s="378"/>
      <c r="D7" s="378"/>
      <c r="E7" s="378"/>
      <c r="F7" s="379">
        <f>D13</f>
        <v>0</v>
      </c>
      <c r="G7" s="378"/>
      <c r="H7" s="378"/>
      <c r="I7" s="378"/>
      <c r="J7" s="378"/>
      <c r="K7" s="378"/>
      <c r="L7" s="378"/>
      <c r="M7" s="378"/>
      <c r="N7" s="378"/>
      <c r="O7" s="378"/>
      <c r="P7" s="378"/>
    </row>
    <row r="8" spans="2:16" s="7" customFormat="1" ht="22.5" customHeight="1">
      <c r="B8" s="1089" t="s">
        <v>46</v>
      </c>
      <c r="C8" s="1089"/>
      <c r="D8" s="1089"/>
      <c r="E8" s="1089"/>
      <c r="F8" s="1089"/>
      <c r="G8" s="1089"/>
      <c r="H8" s="1089"/>
      <c r="I8" s="1089"/>
      <c r="J8" s="1089"/>
      <c r="K8" s="1089"/>
      <c r="L8" s="1089"/>
      <c r="M8" s="1089"/>
      <c r="N8" s="1089"/>
      <c r="O8" s="1089"/>
      <c r="P8" s="378"/>
    </row>
    <row r="9" spans="2:16" s="7" customFormat="1" ht="7.5" customHeight="1">
      <c r="B9" s="378"/>
      <c r="C9" s="378"/>
      <c r="D9" s="378"/>
      <c r="E9" s="378"/>
      <c r="F9" s="379"/>
      <c r="G9" s="378"/>
      <c r="H9" s="378"/>
      <c r="I9" s="378"/>
      <c r="J9" s="378"/>
      <c r="K9" s="378"/>
      <c r="L9" s="378"/>
      <c r="M9" s="378"/>
      <c r="N9" s="378"/>
      <c r="O9" s="378"/>
      <c r="P9" s="378"/>
    </row>
    <row r="10" spans="2:16" s="7" customFormat="1" ht="28.5" customHeight="1">
      <c r="B10" s="1073" t="s">
        <v>47</v>
      </c>
      <c r="C10" s="1073"/>
      <c r="D10" s="1073"/>
      <c r="E10" s="1073"/>
      <c r="F10" s="1073"/>
      <c r="G10" s="1073"/>
      <c r="H10" s="1073"/>
      <c r="I10" s="1073"/>
      <c r="J10" s="1073"/>
      <c r="K10" s="1073"/>
      <c r="L10" s="1073"/>
      <c r="M10" s="1073"/>
      <c r="N10" s="1073"/>
      <c r="O10" s="1073"/>
      <c r="P10" s="378"/>
    </row>
    <row r="11" spans="2:16" s="7" customFormat="1" ht="7.5" customHeight="1">
      <c r="B11" s="378"/>
      <c r="C11" s="378"/>
      <c r="D11" s="378"/>
      <c r="E11" s="378"/>
      <c r="F11" s="379"/>
      <c r="G11" s="378"/>
      <c r="H11" s="378"/>
      <c r="I11" s="378"/>
      <c r="J11" s="378"/>
      <c r="K11" s="378"/>
      <c r="L11" s="378"/>
      <c r="M11" s="378"/>
      <c r="N11" s="378"/>
      <c r="O11" s="378"/>
      <c r="P11" s="378"/>
    </row>
    <row r="12" spans="2:16" s="7" customFormat="1" ht="22.5" customHeight="1">
      <c r="B12" s="372" t="s">
        <v>32</v>
      </c>
      <c r="C12" s="1090" t="s">
        <v>33</v>
      </c>
      <c r="D12" s="1090"/>
      <c r="E12" s="1090"/>
      <c r="F12" s="1090"/>
      <c r="G12" s="1090"/>
      <c r="H12" s="1090"/>
      <c r="I12" s="1090"/>
      <c r="J12" s="1090"/>
      <c r="K12" s="1090"/>
      <c r="L12" s="1090"/>
      <c r="M12" s="1090"/>
      <c r="N12" s="1090"/>
      <c r="O12" s="1090"/>
      <c r="P12" s="378"/>
    </row>
    <row r="13" spans="2:16" s="7" customFormat="1" ht="45.75" customHeight="1">
      <c r="B13" s="22" t="s">
        <v>64</v>
      </c>
      <c r="C13" s="1072" t="s">
        <v>65</v>
      </c>
      <c r="D13" s="1072"/>
      <c r="E13" s="1072"/>
      <c r="F13" s="1072"/>
      <c r="G13" s="1072"/>
      <c r="H13" s="1072"/>
      <c r="I13" s="1072"/>
      <c r="J13" s="1072"/>
      <c r="K13" s="1072"/>
      <c r="L13" s="1072"/>
      <c r="M13" s="1072"/>
      <c r="N13" s="1072"/>
      <c r="O13" s="1072"/>
    </row>
    <row r="14" spans="2:16" s="7" customFormat="1" ht="45.75" customHeight="1">
      <c r="B14" s="22" t="s">
        <v>750</v>
      </c>
      <c r="C14" s="1072" t="s">
        <v>66</v>
      </c>
      <c r="D14" s="1072"/>
      <c r="E14" s="1072"/>
      <c r="F14" s="1072"/>
      <c r="G14" s="1072"/>
      <c r="H14" s="1072"/>
      <c r="I14" s="1072"/>
      <c r="J14" s="1072"/>
      <c r="K14" s="1072"/>
      <c r="L14" s="1072"/>
      <c r="M14" s="1072"/>
      <c r="N14" s="1072"/>
      <c r="O14" s="1072"/>
    </row>
    <row r="15" spans="2:16" s="7" customFormat="1" ht="76.5" customHeight="1">
      <c r="B15" s="22" t="s">
        <v>751</v>
      </c>
      <c r="C15" s="1072" t="s">
        <v>129</v>
      </c>
      <c r="D15" s="1072"/>
      <c r="E15" s="1072"/>
      <c r="F15" s="1072"/>
      <c r="G15" s="1072"/>
      <c r="H15" s="1072"/>
      <c r="I15" s="1072"/>
      <c r="J15" s="1072"/>
      <c r="K15" s="1072"/>
      <c r="L15" s="1072"/>
      <c r="M15" s="1072"/>
      <c r="N15" s="1072"/>
      <c r="O15" s="1072"/>
    </row>
    <row r="16" spans="2:16" s="7" customFormat="1" ht="45.75" customHeight="1">
      <c r="B16" s="22" t="s">
        <v>752</v>
      </c>
      <c r="C16" s="1072" t="s">
        <v>67</v>
      </c>
      <c r="D16" s="1072"/>
      <c r="E16" s="1072"/>
      <c r="F16" s="1072"/>
      <c r="G16" s="1072"/>
      <c r="H16" s="1072"/>
      <c r="I16" s="1072"/>
      <c r="J16" s="1072"/>
      <c r="K16" s="1072"/>
      <c r="L16" s="1072"/>
      <c r="M16" s="1072"/>
      <c r="N16" s="1072"/>
      <c r="O16" s="1072"/>
    </row>
    <row r="17" spans="2:16" s="7" customFormat="1" ht="61.5" customHeight="1">
      <c r="B17" s="22" t="s">
        <v>753</v>
      </c>
      <c r="C17" s="1072" t="s">
        <v>754</v>
      </c>
      <c r="D17" s="1072"/>
      <c r="E17" s="1072"/>
      <c r="F17" s="1072"/>
      <c r="G17" s="1072"/>
      <c r="H17" s="1072"/>
      <c r="I17" s="1072"/>
      <c r="J17" s="1072"/>
      <c r="K17" s="1072"/>
      <c r="L17" s="1072"/>
      <c r="M17" s="1072"/>
      <c r="N17" s="1072"/>
      <c r="O17" s="1072"/>
    </row>
    <row r="18" spans="2:16" s="7" customFormat="1" ht="45.75" customHeight="1">
      <c r="B18" s="22" t="s">
        <v>69</v>
      </c>
      <c r="C18" s="1072" t="s">
        <v>71</v>
      </c>
      <c r="D18" s="1072"/>
      <c r="E18" s="1072"/>
      <c r="F18" s="1072"/>
      <c r="G18" s="1072"/>
      <c r="H18" s="1072"/>
      <c r="I18" s="1072"/>
      <c r="J18" s="1072"/>
      <c r="K18" s="1072"/>
      <c r="L18" s="1072"/>
      <c r="M18" s="1072"/>
      <c r="N18" s="1072"/>
      <c r="O18" s="1072"/>
    </row>
    <row r="19" spans="2:16" s="7" customFormat="1" ht="45.75" customHeight="1">
      <c r="B19" s="22" t="s">
        <v>755</v>
      </c>
      <c r="C19" s="1072" t="s">
        <v>72</v>
      </c>
      <c r="D19" s="1072"/>
      <c r="E19" s="1072"/>
      <c r="F19" s="1072"/>
      <c r="G19" s="1072"/>
      <c r="H19" s="1072"/>
      <c r="I19" s="1072"/>
      <c r="J19" s="1072"/>
      <c r="K19" s="1072"/>
      <c r="L19" s="1072"/>
      <c r="M19" s="1072"/>
      <c r="N19" s="1072"/>
      <c r="O19" s="1072"/>
    </row>
    <row r="20" spans="2:16" s="7" customFormat="1" ht="45.75" customHeight="1">
      <c r="B20" s="22" t="s">
        <v>45</v>
      </c>
      <c r="C20" s="1072" t="s">
        <v>73</v>
      </c>
      <c r="D20" s="1072"/>
      <c r="E20" s="1072"/>
      <c r="F20" s="1072"/>
      <c r="G20" s="1072"/>
      <c r="H20" s="1072"/>
      <c r="I20" s="1072"/>
      <c r="J20" s="1072"/>
      <c r="K20" s="1072"/>
      <c r="L20" s="1072"/>
      <c r="M20" s="1072"/>
      <c r="N20" s="1072"/>
      <c r="O20" s="1072"/>
    </row>
    <row r="21" spans="2:16" s="7" customFormat="1" ht="45.75" customHeight="1">
      <c r="B21" s="22" t="s">
        <v>68</v>
      </c>
      <c r="C21" s="1072" t="s">
        <v>74</v>
      </c>
      <c r="D21" s="1072"/>
      <c r="E21" s="1072"/>
      <c r="F21" s="1072"/>
      <c r="G21" s="1072"/>
      <c r="H21" s="1072"/>
      <c r="I21" s="1072"/>
      <c r="J21" s="1072"/>
      <c r="K21" s="1072"/>
      <c r="L21" s="1072"/>
      <c r="M21" s="1072"/>
      <c r="N21" s="1072"/>
      <c r="O21" s="1072"/>
    </row>
    <row r="22" spans="2:16" s="7" customFormat="1" ht="78" customHeight="1">
      <c r="B22" s="16" t="s">
        <v>76</v>
      </c>
      <c r="C22" s="1072" t="s">
        <v>116</v>
      </c>
      <c r="D22" s="1072"/>
      <c r="E22" s="1072"/>
      <c r="F22" s="1072"/>
      <c r="G22" s="1072"/>
      <c r="H22" s="1072"/>
      <c r="I22" s="1072"/>
      <c r="J22" s="1072"/>
      <c r="K22" s="1072"/>
      <c r="L22" s="1072"/>
      <c r="M22" s="1072"/>
      <c r="N22" s="1072"/>
      <c r="O22" s="1072"/>
    </row>
    <row r="23" spans="2:16" s="7" customFormat="1" ht="45.75" customHeight="1">
      <c r="B23" s="16" t="s">
        <v>77</v>
      </c>
      <c r="C23" s="1071" t="s">
        <v>117</v>
      </c>
      <c r="D23" s="1071"/>
      <c r="E23" s="1071"/>
      <c r="F23" s="1071"/>
      <c r="G23" s="1071"/>
      <c r="H23" s="1071"/>
      <c r="I23" s="1071"/>
      <c r="J23" s="1071"/>
      <c r="K23" s="1071"/>
      <c r="L23" s="1071"/>
      <c r="M23" s="1071"/>
      <c r="N23" s="1071"/>
      <c r="O23" s="1071"/>
    </row>
    <row r="24" spans="2:16" s="7" customFormat="1" ht="45.75" customHeight="1">
      <c r="B24" s="16" t="s">
        <v>37</v>
      </c>
      <c r="C24" s="1072" t="s">
        <v>83</v>
      </c>
      <c r="D24" s="1072"/>
      <c r="E24" s="1072"/>
      <c r="F24" s="1072"/>
      <c r="G24" s="1072"/>
      <c r="H24" s="1072"/>
      <c r="I24" s="1072"/>
      <c r="J24" s="1072"/>
      <c r="K24" s="1072"/>
      <c r="L24" s="1072"/>
      <c r="M24" s="1072"/>
      <c r="N24" s="1072"/>
      <c r="O24" s="1072"/>
    </row>
    <row r="25" spans="2:16" s="7" customFormat="1" ht="45.75" customHeight="1">
      <c r="B25" s="16" t="s">
        <v>82</v>
      </c>
      <c r="C25" s="1072" t="s">
        <v>84</v>
      </c>
      <c r="D25" s="1072"/>
      <c r="E25" s="1072"/>
      <c r="F25" s="1072"/>
      <c r="G25" s="1072"/>
      <c r="H25" s="1072"/>
      <c r="I25" s="1072"/>
      <c r="J25" s="1072"/>
      <c r="K25" s="1072"/>
      <c r="L25" s="1072"/>
      <c r="M25" s="1072"/>
      <c r="N25" s="1072"/>
      <c r="O25" s="1072"/>
    </row>
    <row r="26" spans="2:16" s="7" customFormat="1">
      <c r="B26" s="378"/>
      <c r="C26" s="378"/>
      <c r="D26" s="378"/>
      <c r="E26" s="378"/>
      <c r="F26" s="379"/>
      <c r="G26" s="378"/>
      <c r="H26" s="378"/>
      <c r="I26" s="378"/>
      <c r="J26" s="378"/>
      <c r="K26" s="378"/>
      <c r="L26" s="378"/>
      <c r="M26" s="378"/>
      <c r="N26" s="378"/>
      <c r="O26" s="378"/>
      <c r="P26" s="378"/>
    </row>
    <row r="27" spans="2:16" s="7" customFormat="1" ht="32.25" customHeight="1">
      <c r="B27" s="1073" t="s">
        <v>63</v>
      </c>
      <c r="C27" s="1073"/>
      <c r="D27" s="1073"/>
      <c r="E27" s="1073"/>
      <c r="F27" s="1073"/>
      <c r="G27" s="1073"/>
      <c r="H27" s="1073"/>
      <c r="I27" s="1073"/>
      <c r="J27" s="1073"/>
      <c r="K27" s="1073"/>
      <c r="L27" s="1073"/>
      <c r="M27" s="1073"/>
      <c r="N27" s="1073"/>
      <c r="O27" s="1073"/>
      <c r="P27" s="378"/>
    </row>
    <row r="28" spans="2:16" s="7" customFormat="1" ht="7.5" customHeight="1">
      <c r="B28" s="378"/>
      <c r="C28" s="378"/>
      <c r="D28" s="378"/>
      <c r="E28" s="378"/>
      <c r="F28" s="379"/>
      <c r="G28" s="378"/>
      <c r="H28" s="378"/>
      <c r="I28" s="378"/>
      <c r="J28" s="378"/>
      <c r="K28" s="378"/>
      <c r="L28" s="378"/>
      <c r="M28" s="378"/>
      <c r="N28" s="378"/>
      <c r="O28" s="378"/>
      <c r="P28" s="378"/>
    </row>
    <row r="29" spans="2:16" s="7" customFormat="1" ht="22.5" customHeight="1">
      <c r="B29" s="372" t="s">
        <v>32</v>
      </c>
      <c r="C29" s="1090" t="s">
        <v>33</v>
      </c>
      <c r="D29" s="1090"/>
      <c r="E29" s="1090"/>
      <c r="F29" s="1090"/>
      <c r="G29" s="1090"/>
      <c r="H29" s="1090"/>
      <c r="I29" s="1090"/>
      <c r="J29" s="1090"/>
      <c r="K29" s="1090"/>
      <c r="L29" s="1090"/>
      <c r="M29" s="1090"/>
      <c r="N29" s="1090"/>
      <c r="O29" s="1090"/>
      <c r="P29" s="378"/>
    </row>
    <row r="30" spans="2:16" s="7" customFormat="1" ht="45.75" customHeight="1">
      <c r="B30" s="22" t="s">
        <v>45</v>
      </c>
      <c r="C30" s="1072" t="s">
        <v>100</v>
      </c>
      <c r="D30" s="1072"/>
      <c r="E30" s="1072"/>
      <c r="F30" s="1072"/>
      <c r="G30" s="1072"/>
      <c r="H30" s="1072"/>
      <c r="I30" s="1072"/>
      <c r="J30" s="1072"/>
      <c r="K30" s="1072"/>
      <c r="L30" s="1072"/>
      <c r="M30" s="1072"/>
      <c r="N30" s="1072"/>
      <c r="O30" s="1072"/>
    </row>
    <row r="31" spans="2:16" s="7" customFormat="1" ht="45.75" customHeight="1">
      <c r="B31" s="22" t="s">
        <v>34</v>
      </c>
      <c r="C31" s="1072" t="s">
        <v>85</v>
      </c>
      <c r="D31" s="1072"/>
      <c r="E31" s="1072"/>
      <c r="F31" s="1072"/>
      <c r="G31" s="1072"/>
      <c r="H31" s="1072"/>
      <c r="I31" s="1072"/>
      <c r="J31" s="1072"/>
      <c r="K31" s="1072"/>
      <c r="L31" s="1072"/>
      <c r="M31" s="1072"/>
      <c r="N31" s="1072"/>
      <c r="O31" s="1072"/>
    </row>
    <row r="32" spans="2:16" s="7" customFormat="1" ht="45.75" customHeight="1">
      <c r="B32" s="23" t="s">
        <v>101</v>
      </c>
      <c r="C32" s="1072" t="s">
        <v>102</v>
      </c>
      <c r="D32" s="1072"/>
      <c r="E32" s="1072"/>
      <c r="F32" s="1072"/>
      <c r="G32" s="1072"/>
      <c r="H32" s="1072"/>
      <c r="I32" s="1072"/>
      <c r="J32" s="1072"/>
      <c r="K32" s="1072"/>
      <c r="L32" s="1072"/>
      <c r="M32" s="1072"/>
      <c r="N32" s="1072"/>
      <c r="O32" s="1072"/>
    </row>
    <row r="33" spans="2:15" s="7" customFormat="1" ht="45.75" customHeight="1">
      <c r="B33" s="22" t="s">
        <v>753</v>
      </c>
      <c r="C33" s="1072" t="s">
        <v>756</v>
      </c>
      <c r="D33" s="1072"/>
      <c r="E33" s="1072"/>
      <c r="F33" s="1072"/>
      <c r="G33" s="1072"/>
      <c r="H33" s="1072"/>
      <c r="I33" s="1072"/>
      <c r="J33" s="1072"/>
      <c r="K33" s="1072"/>
      <c r="L33" s="1072"/>
      <c r="M33" s="1072"/>
      <c r="N33" s="1072"/>
      <c r="O33" s="1072"/>
    </row>
    <row r="34" spans="2:15" s="7" customFormat="1" ht="45.75" customHeight="1">
      <c r="B34" s="22" t="s">
        <v>757</v>
      </c>
      <c r="C34" s="1072" t="s">
        <v>758</v>
      </c>
      <c r="D34" s="1072"/>
      <c r="E34" s="1072"/>
      <c r="F34" s="1072"/>
      <c r="G34" s="1072"/>
      <c r="H34" s="1072"/>
      <c r="I34" s="1072"/>
      <c r="J34" s="1072"/>
      <c r="K34" s="1072"/>
      <c r="L34" s="1072"/>
      <c r="M34" s="1072"/>
      <c r="N34" s="1072"/>
      <c r="O34" s="1072"/>
    </row>
    <row r="35" spans="2:15" s="7" customFormat="1" ht="144" customHeight="1">
      <c r="B35" s="24" t="s">
        <v>759</v>
      </c>
      <c r="C35" s="1072" t="s">
        <v>103</v>
      </c>
      <c r="D35" s="1072"/>
      <c r="E35" s="1072"/>
      <c r="F35" s="1072"/>
      <c r="G35" s="1072"/>
      <c r="H35" s="1072"/>
      <c r="I35" s="1072"/>
      <c r="J35" s="1072"/>
      <c r="K35" s="1072"/>
      <c r="L35" s="1072"/>
      <c r="M35" s="1072"/>
      <c r="N35" s="1072"/>
      <c r="O35" s="1072"/>
    </row>
    <row r="36" spans="2:15" s="7" customFormat="1" ht="45.75" customHeight="1">
      <c r="B36" s="21" t="s">
        <v>104</v>
      </c>
      <c r="C36" s="1072" t="s">
        <v>105</v>
      </c>
      <c r="D36" s="1072"/>
      <c r="E36" s="1072"/>
      <c r="F36" s="1072"/>
      <c r="G36" s="1072"/>
      <c r="H36" s="1072"/>
      <c r="I36" s="1072"/>
      <c r="J36" s="1072"/>
      <c r="K36" s="1072"/>
      <c r="L36" s="1072"/>
      <c r="M36" s="1072"/>
      <c r="N36" s="1072"/>
      <c r="O36" s="1072"/>
    </row>
    <row r="37" spans="2:15" s="7" customFormat="1" ht="45.75" customHeight="1">
      <c r="B37" s="22" t="s">
        <v>36</v>
      </c>
      <c r="C37" s="1072" t="s">
        <v>106</v>
      </c>
      <c r="D37" s="1072"/>
      <c r="E37" s="1072"/>
      <c r="F37" s="1072"/>
      <c r="G37" s="1072"/>
      <c r="H37" s="1072"/>
      <c r="I37" s="1072"/>
      <c r="J37" s="1072"/>
      <c r="K37" s="1072"/>
      <c r="L37" s="1072"/>
      <c r="M37" s="1072"/>
      <c r="N37" s="1072"/>
      <c r="O37" s="1072"/>
    </row>
    <row r="38" spans="2:15" s="7" customFormat="1" ht="45.75" customHeight="1">
      <c r="B38" s="16" t="s">
        <v>35</v>
      </c>
      <c r="C38" s="1072" t="s">
        <v>107</v>
      </c>
      <c r="D38" s="1072"/>
      <c r="E38" s="1072"/>
      <c r="F38" s="1072"/>
      <c r="G38" s="1072"/>
      <c r="H38" s="1072"/>
      <c r="I38" s="1072"/>
      <c r="J38" s="1072"/>
      <c r="K38" s="1072"/>
      <c r="L38" s="1072"/>
      <c r="M38" s="1072"/>
      <c r="N38" s="1072"/>
      <c r="O38" s="1072"/>
    </row>
    <row r="39" spans="2:15" s="7" customFormat="1" ht="45.75" customHeight="1">
      <c r="B39" s="21" t="s">
        <v>111</v>
      </c>
      <c r="C39" s="1072" t="s">
        <v>108</v>
      </c>
      <c r="D39" s="1072"/>
      <c r="E39" s="1072"/>
      <c r="F39" s="1072"/>
      <c r="G39" s="1072"/>
      <c r="H39" s="1072"/>
      <c r="I39" s="1072"/>
      <c r="J39" s="1072"/>
      <c r="K39" s="1072"/>
      <c r="L39" s="1072"/>
      <c r="M39" s="1072"/>
      <c r="N39" s="1072"/>
      <c r="O39" s="1072"/>
    </row>
    <row r="40" spans="2:15" s="7" customFormat="1" ht="45.75" customHeight="1">
      <c r="B40" s="16" t="s">
        <v>110</v>
      </c>
      <c r="C40" s="1072" t="s">
        <v>109</v>
      </c>
      <c r="D40" s="1072"/>
      <c r="E40" s="1072"/>
      <c r="F40" s="1072"/>
      <c r="G40" s="1072"/>
      <c r="H40" s="1072"/>
      <c r="I40" s="1072"/>
      <c r="J40" s="1072"/>
      <c r="K40" s="1072"/>
      <c r="L40" s="1072"/>
      <c r="M40" s="1072"/>
      <c r="N40" s="1072"/>
      <c r="O40" s="1072"/>
    </row>
    <row r="41" spans="2:15" s="7" customFormat="1" ht="108.75" customHeight="1">
      <c r="B41" s="16" t="s">
        <v>113</v>
      </c>
      <c r="C41" s="1072" t="s">
        <v>114</v>
      </c>
      <c r="D41" s="1072"/>
      <c r="E41" s="1072"/>
      <c r="F41" s="1072"/>
      <c r="G41" s="1072"/>
      <c r="H41" s="1072"/>
      <c r="I41" s="1072"/>
      <c r="J41" s="1072"/>
      <c r="K41" s="1072"/>
      <c r="L41" s="1072"/>
      <c r="M41" s="1072"/>
      <c r="N41" s="1072"/>
      <c r="O41" s="1072"/>
    </row>
    <row r="42" spans="2:15" s="7" customFormat="1" ht="45.75" customHeight="1">
      <c r="B42" s="21" t="s">
        <v>115</v>
      </c>
      <c r="C42" s="1071" t="s">
        <v>125</v>
      </c>
      <c r="D42" s="1071"/>
      <c r="E42" s="1071"/>
      <c r="F42" s="1071"/>
      <c r="G42" s="1071"/>
      <c r="H42" s="1071"/>
      <c r="I42" s="1071"/>
      <c r="J42" s="1071"/>
      <c r="K42" s="1071"/>
      <c r="L42" s="1071"/>
      <c r="M42" s="1071"/>
      <c r="N42" s="1071"/>
      <c r="O42" s="1071"/>
    </row>
    <row r="43" spans="2:15" s="7" customFormat="1" ht="45.75" customHeight="1">
      <c r="B43" s="16" t="s">
        <v>760</v>
      </c>
      <c r="C43" s="1071" t="s">
        <v>126</v>
      </c>
      <c r="D43" s="1071"/>
      <c r="E43" s="1071"/>
      <c r="F43" s="1071"/>
      <c r="G43" s="1071"/>
      <c r="H43" s="1071"/>
      <c r="I43" s="1071"/>
      <c r="J43" s="1071"/>
      <c r="K43" s="1071"/>
      <c r="L43" s="1071"/>
      <c r="M43" s="1071"/>
      <c r="N43" s="1071"/>
      <c r="O43" s="1071"/>
    </row>
    <row r="44" spans="2:15" s="7" customFormat="1" ht="75" customHeight="1">
      <c r="B44" s="16" t="s">
        <v>746</v>
      </c>
      <c r="C44" s="1071" t="s">
        <v>761</v>
      </c>
      <c r="D44" s="1071"/>
      <c r="E44" s="1071"/>
      <c r="F44" s="1071"/>
      <c r="G44" s="1071"/>
      <c r="H44" s="1071"/>
      <c r="I44" s="1071"/>
      <c r="J44" s="1071"/>
      <c r="K44" s="1071"/>
      <c r="L44" s="1071"/>
      <c r="M44" s="1071"/>
      <c r="N44" s="1071"/>
      <c r="O44" s="1071"/>
    </row>
    <row r="45" spans="2:15" s="7" customFormat="1" ht="64.2" customHeight="1">
      <c r="B45" s="16" t="s">
        <v>762</v>
      </c>
      <c r="C45" s="1071" t="s">
        <v>763</v>
      </c>
      <c r="D45" s="1071"/>
      <c r="E45" s="1071"/>
      <c r="F45" s="1071"/>
      <c r="G45" s="1071"/>
      <c r="H45" s="1071"/>
      <c r="I45" s="1071"/>
      <c r="J45" s="1071"/>
      <c r="K45" s="1071"/>
      <c r="L45" s="1071"/>
      <c r="M45" s="1071"/>
      <c r="N45" s="1071"/>
      <c r="O45" s="1071"/>
    </row>
    <row r="46" spans="2:15" s="7" customFormat="1" ht="45.75" customHeight="1">
      <c r="B46" s="16" t="s">
        <v>37</v>
      </c>
      <c r="C46" s="1072" t="s">
        <v>127</v>
      </c>
      <c r="D46" s="1072"/>
      <c r="E46" s="1072"/>
      <c r="F46" s="1072"/>
      <c r="G46" s="1072"/>
      <c r="H46" s="1072"/>
      <c r="I46" s="1072"/>
      <c r="J46" s="1072"/>
      <c r="K46" s="1072"/>
      <c r="L46" s="1072"/>
      <c r="M46" s="1072"/>
      <c r="N46" s="1072"/>
      <c r="O46" s="1072"/>
    </row>
    <row r="47" spans="2:15" s="7" customFormat="1" ht="45.75" customHeight="1">
      <c r="B47" s="16" t="s">
        <v>82</v>
      </c>
      <c r="C47" s="1072" t="s">
        <v>128</v>
      </c>
      <c r="D47" s="1072"/>
      <c r="E47" s="1072"/>
      <c r="F47" s="1072"/>
      <c r="G47" s="1072"/>
      <c r="H47" s="1072"/>
      <c r="I47" s="1072"/>
      <c r="J47" s="1072"/>
      <c r="K47" s="1072"/>
      <c r="L47" s="1072"/>
      <c r="M47" s="1072"/>
      <c r="N47" s="1072"/>
      <c r="O47" s="1072"/>
    </row>
    <row r="48" spans="2:15" s="7" customFormat="1" ht="45" customHeight="1">
      <c r="B48" s="16" t="s">
        <v>50</v>
      </c>
      <c r="C48" s="1072" t="s">
        <v>38</v>
      </c>
      <c r="D48" s="1072"/>
      <c r="E48" s="1072"/>
      <c r="F48" s="1072"/>
      <c r="G48" s="1072"/>
      <c r="H48" s="1072"/>
      <c r="I48" s="1072"/>
      <c r="J48" s="1072"/>
      <c r="K48" s="1072"/>
      <c r="L48" s="1072"/>
      <c r="M48" s="1072"/>
      <c r="N48" s="1072"/>
      <c r="O48" s="1072"/>
    </row>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sheetData>
  <sheetProtection algorithmName="SHA-512" hashValue="Wqt/EFPzdpi+nksToGGPtpDFsCGGeu3wvqCx9QZqzfYoI7J23zaEMJ/IagxeOX8+ClooNOGahexwRvZ0efpyfQ==" saltValue="je65iVw4dc0B/o9lNPGa/g==" spinCount="100000" sheet="1" objects="1" scenarios="1"/>
  <mergeCells count="42">
    <mergeCell ref="C48:O48"/>
    <mergeCell ref="C35:O35"/>
    <mergeCell ref="C36:O36"/>
    <mergeCell ref="C37:O37"/>
    <mergeCell ref="B27:O27"/>
    <mergeCell ref="C34:O34"/>
    <mergeCell ref="C33:O33"/>
    <mergeCell ref="C43:O43"/>
    <mergeCell ref="C44:O44"/>
    <mergeCell ref="C45:O45"/>
    <mergeCell ref="C46:O46"/>
    <mergeCell ref="C47:O47"/>
    <mergeCell ref="C38:O38"/>
    <mergeCell ref="C39:O39"/>
    <mergeCell ref="C40:O40"/>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C31:O31"/>
    <mergeCell ref="C32:O32"/>
    <mergeCell ref="C23:O23"/>
    <mergeCell ref="C24:O24"/>
    <mergeCell ref="C30:O30"/>
    <mergeCell ref="B10:O10"/>
    <mergeCell ref="B2:B6"/>
    <mergeCell ref="C2:M6"/>
    <mergeCell ref="N2:O2"/>
    <mergeCell ref="N5:O5"/>
    <mergeCell ref="N6:O6"/>
    <mergeCell ref="B8:O8"/>
  </mergeCell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3.2"/>
  <cols>
    <col min="3" max="3" width="84.6640625" customWidth="1"/>
  </cols>
  <sheetData>
    <row r="4" spans="3:5">
      <c r="C4" s="14" t="s">
        <v>78</v>
      </c>
      <c r="E4" s="15" t="s">
        <v>59</v>
      </c>
    </row>
    <row r="5" spans="3:5" ht="22.8">
      <c r="C5" s="18" t="s">
        <v>99</v>
      </c>
      <c r="E5" s="18" t="s">
        <v>99</v>
      </c>
    </row>
    <row r="6" spans="3:5" ht="22.8">
      <c r="C6" s="18" t="s">
        <v>79</v>
      </c>
      <c r="E6" s="18">
        <v>2021</v>
      </c>
    </row>
    <row r="7" spans="3:5" ht="22.8">
      <c r="C7" s="18" t="s">
        <v>80</v>
      </c>
      <c r="E7" s="18">
        <v>2022</v>
      </c>
    </row>
    <row r="8" spans="3:5" ht="22.8">
      <c r="C8" s="18" t="s">
        <v>81</v>
      </c>
      <c r="E8" s="18">
        <v>2023</v>
      </c>
    </row>
    <row r="9" spans="3:5" ht="22.8">
      <c r="C9" s="18" t="s">
        <v>86</v>
      </c>
      <c r="E9" s="18">
        <v>2024</v>
      </c>
    </row>
    <row r="10" spans="3:5" ht="22.8">
      <c r="C10" s="18" t="s">
        <v>87</v>
      </c>
    </row>
    <row r="11" spans="3:5" ht="22.8">
      <c r="C11" s="18" t="s">
        <v>88</v>
      </c>
    </row>
    <row r="12" spans="3:5" ht="22.8">
      <c r="C12" s="18" t="s">
        <v>89</v>
      </c>
    </row>
    <row r="13" spans="3:5" ht="22.8">
      <c r="C13" s="18" t="s">
        <v>90</v>
      </c>
    </row>
    <row r="14" spans="3:5" ht="22.8">
      <c r="C14" s="18" t="s">
        <v>91</v>
      </c>
    </row>
    <row r="15" spans="3:5" ht="22.8">
      <c r="C15" s="18" t="s">
        <v>92</v>
      </c>
    </row>
    <row r="16" spans="3:5" ht="22.8">
      <c r="C16" s="18" t="s">
        <v>93</v>
      </c>
    </row>
    <row r="17" spans="3:3" ht="22.8">
      <c r="C17" s="18" t="s">
        <v>94</v>
      </c>
    </row>
    <row r="18" spans="3:3" ht="22.8">
      <c r="C18" s="18" t="s">
        <v>95</v>
      </c>
    </row>
    <row r="19" spans="3:3" ht="22.8">
      <c r="C19" s="18" t="s">
        <v>96</v>
      </c>
    </row>
    <row r="20" spans="3:3" ht="22.8">
      <c r="C20" s="18" t="s">
        <v>97</v>
      </c>
    </row>
    <row r="21" spans="3:3" ht="22.8">
      <c r="C21" s="18" t="s">
        <v>98</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vt:i4>
      </vt:variant>
    </vt:vector>
  </HeadingPairs>
  <TitlesOfParts>
    <vt:vector size="29" baseType="lpstr">
      <vt:lpstr>01-PL-09 POA 2021 (Pág 1 de 2)</vt:lpstr>
      <vt:lpstr>01-PL-09 POA 2021 (Pág 2 de 2)</vt:lpstr>
      <vt:lpstr>Listas1</vt:lpstr>
      <vt:lpstr>Informe Seguimiento POA 2021</vt:lpstr>
      <vt:lpstr>Informe Detallado Desempeño POA</vt:lpstr>
      <vt:lpstr>Resumen Desempeño Procesos POA </vt:lpstr>
      <vt:lpstr>Seguimiento Medición POA 2021</vt:lpstr>
      <vt:lpstr>Rango indicadores</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01-FR-03 POA INSTITUCIONAL</vt:lpstr>
      <vt:lpstr>Instrucciones Dil (Pág 3 de 3)</vt:lpstr>
      <vt:lpstr>LISTAS</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2021-04-29T03:53:46Z</dcterms:modified>
</cp:coreProperties>
</file>