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3.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OMR\1-POA\POA2022\Seg_Trim_3_2022\PublicaciónPOA\"/>
    </mc:Choice>
  </mc:AlternateContent>
  <xr:revisionPtr revIDLastSave="0" documentId="13_ncr:1_{668E96A9-6895-486F-84C1-F008C80C6A66}" xr6:coauthVersionLast="41" xr6:coauthVersionMax="47" xr10:uidLastSave="{00000000-0000-0000-0000-000000000000}"/>
  <workbookProtection workbookAlgorithmName="SHA-512" workbookHashValue="hmcNo2mA17349OhtJYs4ekjjK9kXzWvPmi1+g422creM3zMH7s+YzwlhduGqUaqhJo/n+rJ/G9a77awug4E0cw==" workbookSaltValue="PJQd6tpIh+XfXpMZDx0eqg==" workbookSpinCount="100000" lockStructure="1"/>
  <bookViews>
    <workbookView xWindow="-120" yWindow="-120" windowWidth="29040" windowHeight="15840" tabRatio="599" firstSheet="15" activeTab="17" xr2:uid="{00000000-000D-0000-FFFF-FFFF00000000}"/>
  </bookViews>
  <sheets>
    <sheet name="01-PL-09 POA 2021 (Pág 1 de 2)" sheetId="49" state="hidden" r:id="rId1"/>
    <sheet name="01-PL-09 POA 2021 (Pág 2 de 2)" sheetId="57" state="hidden" r:id="rId2"/>
    <sheet name="Rango indicadores" sheetId="59" state="hidden" r:id="rId3"/>
    <sheet name="Listas1" sheetId="61" state="hidden" r:id="rId4"/>
    <sheet name="4-Grado Cum Objetivos Est &amp; Cal" sheetId="70" state="hidden" r:id="rId5"/>
    <sheet name="3-Grado Cump Metas Estratégicas" sheetId="67" state="hidden" r:id="rId6"/>
    <sheet name="2- Resumen Ejec PEI 2022" sheetId="69" state="hidden" r:id="rId7"/>
    <sheet name="1-Infor Det Sgto PEI 2021-2024 " sheetId="64" state="hidden" r:id="rId8"/>
    <sheet name="Matriz PEI 2021-2024" sheetId="66" state="hidden" r:id="rId9"/>
    <sheet name="INSTRUCCIONES DILG (Pág 2 de 2)" sheetId="71" state="hidden" r:id="rId10"/>
    <sheet name="4.Segto Medición POA 2022 T4" sheetId="63" state="hidden" r:id="rId11"/>
    <sheet name="3.Resum Desemp Procesos POA T4 " sheetId="74" state="hidden" r:id="rId12"/>
    <sheet name="01-FR-03 POA INSTITUCIONAL" sheetId="38" r:id="rId13"/>
    <sheet name="4.Segto Medición POA 2022 T2" sheetId="76" state="hidden" r:id="rId14"/>
    <sheet name="3.Resum Desemp Procesos POA T2" sheetId="72" state="hidden" r:id="rId15"/>
    <sheet name="4.Segto Medición POA 2022 T3" sheetId="77" r:id="rId16"/>
    <sheet name="3.Resum Desemp Procesos POA T3" sheetId="73" r:id="rId17"/>
    <sheet name="2.Infor Detallado Desempeño POA" sheetId="60" r:id="rId18"/>
    <sheet name="1.Informe Seguimiento POA 2022" sheetId="58" r:id="rId19"/>
    <sheet name="4.Segto Medición POA 2022 T1" sheetId="75" state="hidden" r:id="rId20"/>
    <sheet name="3.Resum Desemp Procesos POA T1" sheetId="62" state="hidden" r:id="rId21"/>
    <sheet name="LISTAS" sheetId="40" state="hidden" r:id="rId22"/>
    <sheet name="01-DIRECCIONAMIENTO ESTRATÉGICO" sheetId="37" r:id="rId23"/>
    <sheet name="02-G. CONOCIMIENTO INNOVACIÓN" sheetId="45" r:id="rId24"/>
    <sheet name="03-DIRECCIONAMIENTO TIC" sheetId="44" r:id="rId25"/>
    <sheet name="04-COMUNICACIÓN ESTRATÉGICA" sheetId="56" r:id="rId26"/>
    <sheet name="05-POA PROM DEFENSA DERECHOS" sheetId="41" r:id="rId27"/>
    <sheet name="06-PREV CTRL FUN PÚBLICA" sheetId="42" r:id="rId28"/>
    <sheet name="07-POTESTAD DISCIPLINARIA" sheetId="43" r:id="rId29"/>
    <sheet name="08-G. DEL TALENTO HUMANO" sheetId="47" r:id="rId30"/>
    <sheet name="09-G.  ADMINISTRATIVA" sheetId="48" r:id="rId31"/>
    <sheet name="10-GESTIÓN FINANCIERA" sheetId="51" r:id="rId32"/>
    <sheet name="11-GESTIÓN CONTRACTUAL" sheetId="50" r:id="rId33"/>
    <sheet name="12-GESTIÓN DOCUMENTAL" sheetId="52" r:id="rId34"/>
    <sheet name="13-GESTIÓN JURÍDICA" sheetId="53" r:id="rId35"/>
    <sheet name="14-SERVICIO AL USUARIO" sheetId="46" r:id="rId36"/>
    <sheet name="15-CTRL DISCIPLINARIO INTERNO" sheetId="54" r:id="rId37"/>
    <sheet name="16-EVALUACIÓN Y SEGUIMIENTO" sheetId="55" r:id="rId38"/>
    <sheet name="Instrucciones Dil (Pág 3 de 3)" sheetId="39" r:id="rId39"/>
  </sheets>
  <externalReferences>
    <externalReference r:id="rId40"/>
    <externalReference r:id="rId41"/>
    <externalReference r:id="rId42"/>
    <externalReference r:id="rId43"/>
    <externalReference r:id="rId44"/>
    <externalReference r:id="rId45"/>
    <externalReference r:id="rId46"/>
  </externalReferences>
  <definedNames>
    <definedName name="_xlnm.Print_Area" localSheetId="0">'01-PL-09 POA 2021 (Pág 1 de 2)'!$A$1:$F$29</definedName>
    <definedName name="_xlnm.Print_Area" localSheetId="26">'05-POA PROM DEFENSA DERECHOS'!$A$1:$BH$47</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10" i="60" l="1"/>
  <c r="Z110" i="60"/>
  <c r="AZ75" i="60" l="1"/>
  <c r="AZ76" i="60"/>
  <c r="AZ74" i="60"/>
  <c r="AZ73" i="60"/>
  <c r="AZ72" i="60"/>
  <c r="AZ71" i="60"/>
  <c r="AZ69" i="60"/>
  <c r="AZ70" i="60"/>
  <c r="AZ68" i="60"/>
  <c r="AZ66" i="60"/>
  <c r="AZ62" i="60"/>
  <c r="AZ60" i="60"/>
  <c r="AZ59" i="60"/>
  <c r="AY76" i="60" l="1"/>
  <c r="AY75" i="60"/>
  <c r="AY74" i="60"/>
  <c r="AY73" i="60"/>
  <c r="AY72" i="60"/>
  <c r="AY71" i="60"/>
  <c r="AY70" i="60"/>
  <c r="AY69" i="60"/>
  <c r="AY68" i="60"/>
  <c r="AY67" i="60"/>
  <c r="AY66" i="60"/>
  <c r="AY65" i="60"/>
  <c r="AY64" i="60"/>
  <c r="AY63" i="60"/>
  <c r="AY62" i="60"/>
  <c r="AY61" i="60"/>
  <c r="AY60" i="60"/>
  <c r="AY59" i="60"/>
  <c r="AY58" i="60"/>
  <c r="AY57" i="60"/>
  <c r="AZ88" i="60"/>
  <c r="AZ87" i="60"/>
  <c r="AY88" i="60" l="1"/>
  <c r="AY87" i="60"/>
  <c r="Y97" i="60" l="1"/>
  <c r="AZ96" i="60"/>
  <c r="AY95" i="60"/>
  <c r="AY96" i="60"/>
  <c r="AY97" i="60"/>
  <c r="AY98" i="60"/>
  <c r="AY99" i="60"/>
  <c r="AY100" i="60"/>
  <c r="AY101" i="60"/>
  <c r="AY94" i="60"/>
  <c r="Y112" i="60"/>
  <c r="AA112" i="60"/>
  <c r="AY108" i="60"/>
  <c r="AY109" i="60"/>
  <c r="AY110" i="60"/>
  <c r="AY111" i="60"/>
  <c r="AY112" i="60"/>
  <c r="AY113" i="60"/>
  <c r="AY114" i="60"/>
  <c r="AY107" i="60"/>
  <c r="AY121" i="60"/>
  <c r="AY120" i="60"/>
  <c r="AY129" i="60"/>
  <c r="AY128" i="60"/>
  <c r="AY127" i="60"/>
  <c r="Y137" i="60"/>
  <c r="Y136" i="60"/>
  <c r="AY138" i="60"/>
  <c r="AY137" i="60"/>
  <c r="AY136" i="60"/>
  <c r="AY135" i="60"/>
  <c r="BA144" i="60"/>
  <c r="AZ165" i="60"/>
  <c r="AZ163" i="60" l="1"/>
  <c r="AY147" i="60"/>
  <c r="AY146" i="60"/>
  <c r="AY145" i="60"/>
  <c r="AY144" i="60"/>
  <c r="AY165" i="60"/>
  <c r="AY164" i="60"/>
  <c r="AY163" i="60"/>
  <c r="AY86" i="60"/>
  <c r="AY85" i="60"/>
  <c r="AY84" i="60" l="1"/>
  <c r="Z94" i="58" l="1"/>
  <c r="Z93" i="58"/>
  <c r="X94" i="58"/>
  <c r="Y94" i="58" s="1"/>
  <c r="X93" i="58"/>
  <c r="Y93" i="58" s="1"/>
  <c r="Z83" i="58"/>
  <c r="Z82" i="58"/>
  <c r="Z81" i="58"/>
  <c r="Z80" i="58"/>
  <c r="Z79" i="58"/>
  <c r="X83" i="58"/>
  <c r="Y83" i="58" s="1"/>
  <c r="X81" i="58"/>
  <c r="Y81" i="58" s="1"/>
  <c r="X82" i="58"/>
  <c r="Y82" i="58" s="1"/>
  <c r="X80" i="58"/>
  <c r="Y80" i="58" s="1"/>
  <c r="X79" i="58"/>
  <c r="Y79" i="58" s="1"/>
  <c r="Z76" i="58"/>
  <c r="Z75" i="58"/>
  <c r="X76" i="58"/>
  <c r="Y76" i="58" s="1"/>
  <c r="X75" i="58"/>
  <c r="Y75" i="58" s="1"/>
  <c r="Z86" i="58"/>
  <c r="Z85" i="58"/>
  <c r="Z84" i="58"/>
  <c r="Z70" i="58"/>
  <c r="X69" i="58"/>
  <c r="Z69" i="58" s="1"/>
  <c r="X70" i="58"/>
  <c r="Y70" i="58" s="1"/>
  <c r="Z63" i="58"/>
  <c r="Z62" i="58"/>
  <c r="Z61" i="58"/>
  <c r="AX18" i="47"/>
  <c r="AY18" i="47"/>
  <c r="X63" i="58"/>
  <c r="Y63" i="58" s="1"/>
  <c r="X62" i="58"/>
  <c r="Y62" i="58" s="1"/>
  <c r="X61" i="58"/>
  <c r="Z55" i="58"/>
  <c r="Z59" i="58"/>
  <c r="Z43" i="58"/>
  <c r="Z41" i="58"/>
  <c r="Z19" i="58"/>
  <c r="Y84" i="58"/>
  <c r="X86" i="58"/>
  <c r="Y86" i="58" s="1"/>
  <c r="X85" i="58"/>
  <c r="Y85" i="58" s="1"/>
  <c r="X84" i="58"/>
  <c r="Y41" i="58"/>
  <c r="V79" i="58"/>
  <c r="Y59" i="58"/>
  <c r="Y69" i="58" l="1"/>
  <c r="Y61" i="58"/>
  <c r="Y43" i="58"/>
  <c r="Y19" i="58"/>
  <c r="AQ22" i="60" l="1"/>
  <c r="AR22" i="60"/>
  <c r="AS22" i="60"/>
  <c r="AT22" i="60"/>
  <c r="AU22" i="60"/>
  <c r="AV22" i="60"/>
  <c r="AP22" i="60"/>
  <c r="AO22" i="60"/>
  <c r="AE157" i="60" l="1"/>
  <c r="AE156" i="60"/>
  <c r="AE155" i="60"/>
  <c r="AE154" i="60"/>
  <c r="AE153" i="60"/>
  <c r="AE145" i="60"/>
  <c r="AE144" i="60"/>
  <c r="AE138" i="60"/>
  <c r="AE137" i="60"/>
  <c r="AE136" i="60"/>
  <c r="AE121" i="60"/>
  <c r="AE120" i="60"/>
  <c r="AE109" i="60"/>
  <c r="AE108" i="60"/>
  <c r="AE107" i="60"/>
  <c r="AE97" i="60"/>
  <c r="AE95" i="60"/>
  <c r="AE63" i="60"/>
  <c r="AE43" i="60"/>
  <c r="AE42" i="60"/>
  <c r="AM93" i="64" l="1"/>
  <c r="C37" i="72" l="1"/>
  <c r="AE18" i="50" l="1"/>
  <c r="AE17" i="50"/>
  <c r="AD18" i="50" l="1"/>
  <c r="AD19" i="50"/>
  <c r="AD17" i="50"/>
  <c r="C4" i="69" l="1"/>
  <c r="C5" i="70" s="1"/>
  <c r="AE17" i="43"/>
  <c r="R41" i="58" s="1"/>
  <c r="Q95" i="60" s="1"/>
  <c r="AE19" i="43"/>
  <c r="R43" i="58" s="1"/>
  <c r="AE18" i="43"/>
  <c r="AE20" i="43"/>
  <c r="R44" i="58" s="1"/>
  <c r="AE21" i="43"/>
  <c r="R45" i="58" s="1"/>
  <c r="AE22" i="43"/>
  <c r="R46" i="58" s="1"/>
  <c r="AE23" i="43"/>
  <c r="AE16" i="43"/>
  <c r="R40" i="58" s="1"/>
  <c r="I18" i="66"/>
  <c r="J18" i="66"/>
  <c r="K18" i="66"/>
  <c r="E18" i="66" s="1"/>
  <c r="H18" i="66"/>
  <c r="I17" i="66"/>
  <c r="J17" i="66"/>
  <c r="K17" i="66"/>
  <c r="H17" i="66"/>
  <c r="E17" i="66"/>
  <c r="I16" i="66"/>
  <c r="E16" i="66" s="1"/>
  <c r="J16" i="66"/>
  <c r="K16" i="66"/>
  <c r="H16" i="66"/>
  <c r="I13" i="66"/>
  <c r="J13" i="66"/>
  <c r="K13" i="66"/>
  <c r="I14" i="66"/>
  <c r="J14" i="66"/>
  <c r="K14" i="66"/>
  <c r="I15" i="66"/>
  <c r="J15" i="66"/>
  <c r="K15" i="66"/>
  <c r="H15" i="66"/>
  <c r="H14" i="66"/>
  <c r="H13" i="66"/>
  <c r="I12" i="66"/>
  <c r="J12" i="66"/>
  <c r="K12" i="66"/>
  <c r="H12" i="66"/>
  <c r="I11" i="66"/>
  <c r="J11" i="66"/>
  <c r="K11" i="66"/>
  <c r="H11" i="66"/>
  <c r="I10" i="66"/>
  <c r="J10" i="66"/>
  <c r="K10" i="66"/>
  <c r="H10" i="66"/>
  <c r="BK81" i="64"/>
  <c r="BJ81" i="64"/>
  <c r="BL81" i="64" s="1"/>
  <c r="V19" i="50"/>
  <c r="C5" i="77"/>
  <c r="E36" i="77"/>
  <c r="C37" i="73"/>
  <c r="D59" i="77"/>
  <c r="D58" i="77"/>
  <c r="D57" i="77"/>
  <c r="D56" i="77"/>
  <c r="D34" i="77"/>
  <c r="D30" i="77"/>
  <c r="D29" i="77"/>
  <c r="D28" i="77"/>
  <c r="D27" i="77"/>
  <c r="C3" i="77"/>
  <c r="C5" i="76"/>
  <c r="D59" i="76"/>
  <c r="D58" i="76"/>
  <c r="D57" i="76"/>
  <c r="D56" i="76"/>
  <c r="D34" i="76"/>
  <c r="D30" i="76"/>
  <c r="D29" i="76"/>
  <c r="D28" i="76"/>
  <c r="D27" i="76"/>
  <c r="E36" i="76"/>
  <c r="C3" i="76"/>
  <c r="D59" i="75"/>
  <c r="D58" i="75"/>
  <c r="D57" i="75"/>
  <c r="D56" i="75"/>
  <c r="D34" i="75"/>
  <c r="D30" i="75"/>
  <c r="D29" i="75"/>
  <c r="D28" i="75"/>
  <c r="D27" i="75"/>
  <c r="C3" i="75"/>
  <c r="C5" i="63"/>
  <c r="E36" i="63"/>
  <c r="C3" i="63"/>
  <c r="F39" i="74"/>
  <c r="F39" i="73"/>
  <c r="B5" i="74"/>
  <c r="B37" i="74" s="1"/>
  <c r="B5" i="73"/>
  <c r="B37" i="73"/>
  <c r="F39" i="72"/>
  <c r="B5" i="72"/>
  <c r="B37" i="72" s="1"/>
  <c r="F39" i="62"/>
  <c r="AV156" i="60"/>
  <c r="AP156" i="60"/>
  <c r="AO156" i="60"/>
  <c r="C156" i="60"/>
  <c r="AM81" i="60"/>
  <c r="AD81" i="60"/>
  <c r="U81" i="60"/>
  <c r="L81" i="60"/>
  <c r="AL17" i="45"/>
  <c r="AM17" i="45"/>
  <c r="T97" i="58" s="1"/>
  <c r="AD17" i="45"/>
  <c r="AE17" i="45"/>
  <c r="V17" i="45"/>
  <c r="W17" i="45"/>
  <c r="W20" i="53"/>
  <c r="W19" i="53"/>
  <c r="W18" i="50"/>
  <c r="W17" i="50"/>
  <c r="P84" i="58" s="1"/>
  <c r="V17" i="50"/>
  <c r="V18" i="50"/>
  <c r="W19" i="50"/>
  <c r="AE19" i="50"/>
  <c r="R86" i="58" s="1"/>
  <c r="Q22" i="47"/>
  <c r="S20" i="47"/>
  <c r="Q20" i="47"/>
  <c r="C5" i="62"/>
  <c r="C5" i="75" s="1"/>
  <c r="E36" i="75" s="1"/>
  <c r="C22" i="60"/>
  <c r="AM41" i="60"/>
  <c r="AG41" i="60"/>
  <c r="AL41" i="60" s="1"/>
  <c r="AD41" i="60"/>
  <c r="X41" i="60"/>
  <c r="AC41" i="60" s="1"/>
  <c r="U41" i="60"/>
  <c r="O41" i="60"/>
  <c r="T41" i="60" s="1"/>
  <c r="L41" i="60"/>
  <c r="K41" i="60"/>
  <c r="F41" i="60"/>
  <c r="AM170" i="60"/>
  <c r="AG170" i="60"/>
  <c r="AL170" i="60" s="1"/>
  <c r="AD170" i="60"/>
  <c r="X170" i="60"/>
  <c r="AC170" i="60" s="1"/>
  <c r="U170" i="60"/>
  <c r="O170" i="60"/>
  <c r="T170" i="60"/>
  <c r="AM162" i="60"/>
  <c r="AG162" i="60"/>
  <c r="AL162" i="60" s="1"/>
  <c r="AD162" i="60"/>
  <c r="X162" i="60"/>
  <c r="AC162" i="60" s="1"/>
  <c r="U162" i="60"/>
  <c r="O162" i="60"/>
  <c r="T162" i="60" s="1"/>
  <c r="AM152" i="60"/>
  <c r="AG152" i="60"/>
  <c r="AL152" i="60" s="1"/>
  <c r="AD152" i="60"/>
  <c r="X152" i="60"/>
  <c r="AC152" i="60" s="1"/>
  <c r="U152" i="60"/>
  <c r="O152" i="60"/>
  <c r="T152" i="60" s="1"/>
  <c r="AM143" i="60"/>
  <c r="AG143" i="60"/>
  <c r="AL143" i="60" s="1"/>
  <c r="AD143" i="60"/>
  <c r="X143" i="60"/>
  <c r="AC143" i="60" s="1"/>
  <c r="U143" i="60"/>
  <c r="O143" i="60"/>
  <c r="T143" i="60" s="1"/>
  <c r="AM134" i="60"/>
  <c r="AG134" i="60"/>
  <c r="AL134" i="60" s="1"/>
  <c r="AD134" i="60"/>
  <c r="X134" i="60"/>
  <c r="AC134" i="60" s="1"/>
  <c r="U134" i="60"/>
  <c r="O134" i="60"/>
  <c r="T134" i="60"/>
  <c r="AM126" i="60"/>
  <c r="AG126" i="60"/>
  <c r="AL126" i="60"/>
  <c r="AD126" i="60"/>
  <c r="X126" i="60"/>
  <c r="AC126" i="60" s="1"/>
  <c r="U126" i="60"/>
  <c r="O126" i="60"/>
  <c r="T126" i="60"/>
  <c r="AM119" i="60"/>
  <c r="AG119" i="60"/>
  <c r="AL119" i="60"/>
  <c r="AD119" i="60"/>
  <c r="X119" i="60"/>
  <c r="AC119" i="60" s="1"/>
  <c r="U119" i="60"/>
  <c r="O119" i="60"/>
  <c r="T119" i="60" s="1"/>
  <c r="AM106" i="60"/>
  <c r="AG106" i="60"/>
  <c r="AL106" i="60" s="1"/>
  <c r="AD106" i="60"/>
  <c r="X106" i="60"/>
  <c r="AC106" i="60" s="1"/>
  <c r="U106" i="60"/>
  <c r="O106" i="60"/>
  <c r="T106" i="60" s="1"/>
  <c r="AM93" i="60"/>
  <c r="AG93" i="60"/>
  <c r="AL93" i="60" s="1"/>
  <c r="AD93" i="60"/>
  <c r="X93" i="60"/>
  <c r="AC93" i="60" s="1"/>
  <c r="U93" i="60"/>
  <c r="O93" i="60"/>
  <c r="T93" i="60" s="1"/>
  <c r="AG81" i="60"/>
  <c r="AL81" i="60" s="1"/>
  <c r="X81" i="60"/>
  <c r="AC81" i="60" s="1"/>
  <c r="O81" i="60"/>
  <c r="T81" i="60" s="1"/>
  <c r="AM56" i="60"/>
  <c r="AG56" i="60"/>
  <c r="AL56" i="60" s="1"/>
  <c r="AD56" i="60"/>
  <c r="X56" i="60"/>
  <c r="AC56" i="60"/>
  <c r="U56" i="60"/>
  <c r="O56" i="60"/>
  <c r="T56" i="60"/>
  <c r="AM48" i="60"/>
  <c r="AG48" i="60"/>
  <c r="AL48" i="60" s="1"/>
  <c r="AD48" i="60"/>
  <c r="X48" i="60"/>
  <c r="AC48" i="60"/>
  <c r="U48" i="60"/>
  <c r="O48" i="60"/>
  <c r="T48" i="60"/>
  <c r="AM29" i="60"/>
  <c r="AG29" i="60"/>
  <c r="AL29" i="60" s="1"/>
  <c r="AD29" i="60"/>
  <c r="X29" i="60"/>
  <c r="AC29" i="60" s="1"/>
  <c r="U29" i="60"/>
  <c r="O29" i="60"/>
  <c r="T29" i="60" s="1"/>
  <c r="AM20" i="60"/>
  <c r="AG20" i="60"/>
  <c r="AL20" i="60"/>
  <c r="AD20" i="60"/>
  <c r="X20" i="60"/>
  <c r="AC20" i="60"/>
  <c r="U20" i="60"/>
  <c r="O20" i="60"/>
  <c r="T20" i="60" s="1"/>
  <c r="L170" i="60"/>
  <c r="K170" i="60"/>
  <c r="F170" i="60"/>
  <c r="L162" i="60"/>
  <c r="K162" i="60"/>
  <c r="F162" i="60"/>
  <c r="L152" i="60"/>
  <c r="K152" i="60"/>
  <c r="F152" i="60"/>
  <c r="L143" i="60"/>
  <c r="K143" i="60"/>
  <c r="F143" i="60"/>
  <c r="L134" i="60"/>
  <c r="K134" i="60"/>
  <c r="F134" i="60"/>
  <c r="L126" i="60"/>
  <c r="K126" i="60"/>
  <c r="F126" i="60"/>
  <c r="L119" i="60"/>
  <c r="K119" i="60"/>
  <c r="F119" i="60"/>
  <c r="L106" i="60"/>
  <c r="K106" i="60"/>
  <c r="F106" i="60"/>
  <c r="L93" i="60"/>
  <c r="K93" i="60"/>
  <c r="F93" i="60"/>
  <c r="K81" i="60"/>
  <c r="F81" i="60"/>
  <c r="L56" i="60"/>
  <c r="K56" i="60"/>
  <c r="F56" i="60"/>
  <c r="L48" i="60"/>
  <c r="K48" i="60"/>
  <c r="F48" i="60"/>
  <c r="L29" i="60"/>
  <c r="K29" i="60"/>
  <c r="F29" i="60"/>
  <c r="L20" i="60"/>
  <c r="K20" i="60"/>
  <c r="F20" i="60"/>
  <c r="N10" i="59"/>
  <c r="M10" i="59"/>
  <c r="L10" i="59"/>
  <c r="K10" i="59"/>
  <c r="J10" i="59"/>
  <c r="AM11" i="60"/>
  <c r="E39" i="74" s="1"/>
  <c r="AG11" i="60"/>
  <c r="AL11" i="60"/>
  <c r="D39" i="74" s="1"/>
  <c r="D29" i="74" s="1"/>
  <c r="AD11" i="60"/>
  <c r="E39" i="73"/>
  <c r="X11" i="60"/>
  <c r="AC11" i="60" s="1"/>
  <c r="D39" i="73" s="1"/>
  <c r="D29" i="73" s="1"/>
  <c r="L11" i="60"/>
  <c r="E39" i="62" s="1"/>
  <c r="U11" i="60"/>
  <c r="E39" i="72" s="1"/>
  <c r="O11" i="60"/>
  <c r="T11" i="60" s="1"/>
  <c r="D39" i="72" s="1"/>
  <c r="D29" i="72" s="1"/>
  <c r="F11" i="60"/>
  <c r="K11" i="60"/>
  <c r="D39" i="62" s="1"/>
  <c r="D29" i="62" s="1"/>
  <c r="F10" i="59"/>
  <c r="O10" i="58"/>
  <c r="O97" i="58"/>
  <c r="AB93" i="64" s="1"/>
  <c r="P97" i="58"/>
  <c r="AC93" i="64" s="1"/>
  <c r="Q97" i="58"/>
  <c r="AD93" i="64" s="1"/>
  <c r="S97" i="58"/>
  <c r="K97" i="58"/>
  <c r="M93" i="64" s="1"/>
  <c r="L97" i="58"/>
  <c r="N93" i="64" s="1"/>
  <c r="M97" i="58"/>
  <c r="O93" i="64" s="1"/>
  <c r="AV93" i="64" s="1"/>
  <c r="N97" i="58"/>
  <c r="P93" i="64" s="1"/>
  <c r="BG93" i="64" s="1"/>
  <c r="H97" i="58"/>
  <c r="I97" i="58"/>
  <c r="K93" i="64" s="1"/>
  <c r="J97" i="58"/>
  <c r="L93" i="64" s="1"/>
  <c r="G97" i="58"/>
  <c r="F97" i="58"/>
  <c r="J93" i="64" s="1"/>
  <c r="E97" i="58"/>
  <c r="I93" i="64" s="1"/>
  <c r="D97" i="58"/>
  <c r="H93" i="64" s="1"/>
  <c r="H18" i="55"/>
  <c r="H17" i="55"/>
  <c r="H16" i="55"/>
  <c r="G17" i="55"/>
  <c r="G18" i="55"/>
  <c r="G16" i="55"/>
  <c r="G18" i="54"/>
  <c r="G17" i="54"/>
  <c r="G16" i="54"/>
  <c r="Q86" i="59" s="1"/>
  <c r="E163" i="60" s="1"/>
  <c r="N163" i="60" s="1"/>
  <c r="G18" i="46"/>
  <c r="G17" i="46"/>
  <c r="G16" i="46"/>
  <c r="G20" i="53"/>
  <c r="G19" i="53"/>
  <c r="G18" i="53"/>
  <c r="G17" i="53"/>
  <c r="G16" i="53"/>
  <c r="G19" i="52"/>
  <c r="G18" i="52"/>
  <c r="G17" i="52"/>
  <c r="G16" i="52"/>
  <c r="AV19" i="50"/>
  <c r="AV18" i="50"/>
  <c r="AV17" i="50"/>
  <c r="G19" i="50"/>
  <c r="G18" i="50"/>
  <c r="G17" i="50"/>
  <c r="G16" i="50"/>
  <c r="G18" i="51"/>
  <c r="G17" i="51"/>
  <c r="G16" i="51"/>
  <c r="G17" i="48"/>
  <c r="G16" i="48"/>
  <c r="AR22" i="47"/>
  <c r="AR21" i="47"/>
  <c r="AR20" i="47"/>
  <c r="AR19" i="47"/>
  <c r="R22" i="47"/>
  <c r="P22" i="47"/>
  <c r="R20" i="47"/>
  <c r="P20" i="47"/>
  <c r="R19" i="47"/>
  <c r="G23" i="47"/>
  <c r="G22" i="47"/>
  <c r="G21" i="47"/>
  <c r="G20" i="47"/>
  <c r="G19" i="47"/>
  <c r="G18" i="47"/>
  <c r="G17" i="47"/>
  <c r="G16" i="47"/>
  <c r="G23" i="43"/>
  <c r="G22" i="43"/>
  <c r="G21" i="43"/>
  <c r="G20" i="43"/>
  <c r="G19" i="43"/>
  <c r="G18" i="43"/>
  <c r="G17" i="43"/>
  <c r="G16" i="43"/>
  <c r="AP21" i="42"/>
  <c r="AN21" i="42"/>
  <c r="AR19" i="42"/>
  <c r="AP18" i="42"/>
  <c r="AN18" i="42"/>
  <c r="AJ21" i="42"/>
  <c r="AH21" i="42"/>
  <c r="AF21" i="42"/>
  <c r="AJ18" i="42"/>
  <c r="AH18" i="42"/>
  <c r="AF18" i="42"/>
  <c r="AB21" i="42"/>
  <c r="Z21" i="42"/>
  <c r="X21" i="42"/>
  <c r="AB19" i="42"/>
  <c r="Z19" i="42"/>
  <c r="X19" i="42"/>
  <c r="AB18" i="42"/>
  <c r="Z18" i="42"/>
  <c r="X18" i="42"/>
  <c r="T21" i="42"/>
  <c r="R21" i="42"/>
  <c r="T19" i="42"/>
  <c r="R19" i="42"/>
  <c r="P19" i="42"/>
  <c r="T18" i="42"/>
  <c r="R18" i="42"/>
  <c r="G22" i="42"/>
  <c r="G21" i="42"/>
  <c r="G20" i="42"/>
  <c r="G19" i="42"/>
  <c r="G18" i="42"/>
  <c r="G17" i="42"/>
  <c r="G16" i="42"/>
  <c r="AP35" i="41"/>
  <c r="AR34" i="41"/>
  <c r="AP34" i="41"/>
  <c r="AN34" i="41"/>
  <c r="AR33" i="41"/>
  <c r="AP33" i="41"/>
  <c r="AR32" i="41"/>
  <c r="AP32" i="41"/>
  <c r="AN32" i="41"/>
  <c r="AR31" i="41"/>
  <c r="AP31" i="41"/>
  <c r="AN31" i="41"/>
  <c r="AR29" i="41"/>
  <c r="AP29" i="41"/>
  <c r="AN29" i="41"/>
  <c r="AP28" i="41"/>
  <c r="AN28" i="41"/>
  <c r="AR27" i="41"/>
  <c r="AP27" i="41"/>
  <c r="AN27" i="41"/>
  <c r="AR20" i="41"/>
  <c r="AP20" i="41"/>
  <c r="AN20" i="41"/>
  <c r="AR18" i="41"/>
  <c r="AP18" i="41"/>
  <c r="AN18" i="41"/>
  <c r="AR17" i="41"/>
  <c r="AP17" i="41"/>
  <c r="AN17" i="41"/>
  <c r="AR16" i="41"/>
  <c r="AP16" i="41"/>
  <c r="AN16" i="41"/>
  <c r="AJ34" i="41"/>
  <c r="AH34" i="41"/>
  <c r="AF34" i="41"/>
  <c r="AJ33" i="41"/>
  <c r="AH33" i="41"/>
  <c r="AJ32" i="41"/>
  <c r="AH32" i="41"/>
  <c r="AF32" i="41"/>
  <c r="AJ31" i="41"/>
  <c r="AH31" i="41"/>
  <c r="AF31" i="41"/>
  <c r="AJ29" i="41"/>
  <c r="AH29" i="41"/>
  <c r="AF29" i="41"/>
  <c r="AJ28" i="41"/>
  <c r="AH28" i="41"/>
  <c r="AF28" i="41"/>
  <c r="AJ27" i="41"/>
  <c r="AH27" i="41"/>
  <c r="AF27" i="41"/>
  <c r="AJ20" i="41"/>
  <c r="AH20" i="41"/>
  <c r="AF20" i="41"/>
  <c r="AJ18" i="41"/>
  <c r="AH18" i="41"/>
  <c r="AF18" i="41"/>
  <c r="AJ17" i="41"/>
  <c r="AH17" i="41"/>
  <c r="AF17" i="41"/>
  <c r="AJ16" i="41"/>
  <c r="AH16" i="41"/>
  <c r="AF16" i="41"/>
  <c r="AB34" i="41"/>
  <c r="Z34" i="41"/>
  <c r="X34" i="41"/>
  <c r="AB32" i="41"/>
  <c r="Z32" i="41"/>
  <c r="X32" i="41"/>
  <c r="AB31" i="41"/>
  <c r="Z31" i="41"/>
  <c r="X31" i="41"/>
  <c r="AB29" i="41"/>
  <c r="Z29" i="41"/>
  <c r="X29" i="41"/>
  <c r="AB28" i="41"/>
  <c r="Z28" i="41"/>
  <c r="X28" i="41"/>
  <c r="AB27" i="41"/>
  <c r="Z27" i="41"/>
  <c r="X27" i="41"/>
  <c r="AB20" i="41"/>
  <c r="Z20" i="41"/>
  <c r="X20" i="41"/>
  <c r="AB18" i="41"/>
  <c r="Z18" i="41"/>
  <c r="X18" i="41"/>
  <c r="AB17" i="41"/>
  <c r="Z17" i="41"/>
  <c r="X17" i="41"/>
  <c r="AB16" i="41"/>
  <c r="Z16" i="41"/>
  <c r="X16" i="41"/>
  <c r="T34" i="41"/>
  <c r="R34" i="41"/>
  <c r="P34" i="41"/>
  <c r="T33" i="41"/>
  <c r="R33" i="41"/>
  <c r="P33" i="41"/>
  <c r="T32" i="41"/>
  <c r="R32" i="41"/>
  <c r="P32" i="41"/>
  <c r="T31" i="41"/>
  <c r="R31" i="41"/>
  <c r="P31" i="41"/>
  <c r="T29" i="41"/>
  <c r="R29" i="41"/>
  <c r="P29" i="41"/>
  <c r="T28" i="41"/>
  <c r="R28" i="41"/>
  <c r="P28" i="41"/>
  <c r="T27" i="41"/>
  <c r="R27" i="41"/>
  <c r="P27" i="41"/>
  <c r="T20" i="41"/>
  <c r="R20" i="41"/>
  <c r="P20" i="41"/>
  <c r="T18" i="41"/>
  <c r="R18" i="41"/>
  <c r="P18" i="41"/>
  <c r="T17" i="41"/>
  <c r="R17" i="41"/>
  <c r="P17" i="41"/>
  <c r="T16" i="41"/>
  <c r="R16" i="41"/>
  <c r="P16" i="41"/>
  <c r="G35" i="41"/>
  <c r="G34" i="41"/>
  <c r="G33" i="41"/>
  <c r="G32" i="41"/>
  <c r="G31" i="41"/>
  <c r="G30" i="41"/>
  <c r="G29" i="41"/>
  <c r="G28" i="41"/>
  <c r="G27" i="41"/>
  <c r="G26" i="41"/>
  <c r="G25" i="41"/>
  <c r="G24" i="41"/>
  <c r="G23" i="41"/>
  <c r="G22" i="41"/>
  <c r="G21" i="41"/>
  <c r="G20" i="41"/>
  <c r="G19" i="41"/>
  <c r="G18" i="41"/>
  <c r="G17" i="41"/>
  <c r="G16" i="41"/>
  <c r="G17" i="56"/>
  <c r="G16" i="56"/>
  <c r="G22" i="44"/>
  <c r="G21" i="44"/>
  <c r="G20" i="44"/>
  <c r="G19" i="44"/>
  <c r="G18" i="44"/>
  <c r="G17" i="44"/>
  <c r="G16" i="44"/>
  <c r="AW17" i="45"/>
  <c r="AT17" i="45"/>
  <c r="AV17" i="45" s="1"/>
  <c r="W97" i="58" s="1"/>
  <c r="AJ93" i="64" s="1"/>
  <c r="AU17" i="45"/>
  <c r="O17" i="45"/>
  <c r="R10" i="59" s="1"/>
  <c r="I17" i="45"/>
  <c r="E10" i="59"/>
  <c r="D22" i="60" s="1"/>
  <c r="H17" i="45"/>
  <c r="G19" i="45"/>
  <c r="G18" i="45"/>
  <c r="G17" i="45"/>
  <c r="Q10" i="59" s="1"/>
  <c r="E22" i="60" s="1"/>
  <c r="G16" i="45"/>
  <c r="Q9" i="59" s="1"/>
  <c r="F17" i="45"/>
  <c r="P10" i="59" s="1"/>
  <c r="F18" i="45"/>
  <c r="E17" i="45"/>
  <c r="D17" i="45"/>
  <c r="G19" i="37"/>
  <c r="G18" i="37"/>
  <c r="G17" i="37"/>
  <c r="G16" i="37"/>
  <c r="O97" i="38"/>
  <c r="AZ17" i="50"/>
  <c r="AX17" i="50"/>
  <c r="AY17" i="50"/>
  <c r="AW17" i="50"/>
  <c r="BE17" i="50" s="1"/>
  <c r="H22" i="60"/>
  <c r="I22" i="60"/>
  <c r="J22" i="60"/>
  <c r="G22" i="60"/>
  <c r="L22" i="60"/>
  <c r="F22" i="60"/>
  <c r="K22" i="60" s="1"/>
  <c r="V97" i="58"/>
  <c r="AI93" i="64" s="1"/>
  <c r="F7" i="71"/>
  <c r="C33" i="41"/>
  <c r="C27" i="41"/>
  <c r="C16" i="41"/>
  <c r="B7" i="67"/>
  <c r="B7" i="70" s="1"/>
  <c r="D59" i="63"/>
  <c r="D58" i="63"/>
  <c r="D57" i="63"/>
  <c r="D56" i="63"/>
  <c r="AY19" i="50"/>
  <c r="BC19" i="50" s="1"/>
  <c r="AY18" i="50"/>
  <c r="AU18" i="50"/>
  <c r="V85" i="58" s="1"/>
  <c r="AU19" i="50"/>
  <c r="AM19" i="50"/>
  <c r="T86" i="58"/>
  <c r="Z138" i="60" s="1"/>
  <c r="AM18" i="50"/>
  <c r="T85" i="58" s="1"/>
  <c r="AU17" i="50"/>
  <c r="V84" i="58" s="1"/>
  <c r="AM17" i="50"/>
  <c r="T84" i="58" s="1"/>
  <c r="Z136" i="60" s="1"/>
  <c r="AM21" i="42"/>
  <c r="AM20" i="42"/>
  <c r="T37" i="58" s="1"/>
  <c r="AG33" i="64" s="1"/>
  <c r="C29" i="66"/>
  <c r="C48" i="69" s="1"/>
  <c r="C28" i="66"/>
  <c r="C27" i="66"/>
  <c r="C28" i="67" s="1"/>
  <c r="C26" i="66"/>
  <c r="C27" i="67" s="1"/>
  <c r="C25" i="66"/>
  <c r="C26" i="67" s="1"/>
  <c r="C24" i="66"/>
  <c r="C23" i="66"/>
  <c r="C22" i="66"/>
  <c r="C57" i="64" s="1"/>
  <c r="C21" i="66"/>
  <c r="C51" i="64" s="1"/>
  <c r="C20" i="66"/>
  <c r="C19" i="66"/>
  <c r="C22" i="69" s="1"/>
  <c r="C18" i="66"/>
  <c r="C19" i="67" s="1"/>
  <c r="C17" i="66"/>
  <c r="C18" i="67" s="1"/>
  <c r="C16" i="66"/>
  <c r="C15" i="66"/>
  <c r="C14" i="66"/>
  <c r="C15" i="69" s="1"/>
  <c r="C13" i="66"/>
  <c r="C29" i="64" s="1"/>
  <c r="C12" i="66"/>
  <c r="C13" i="69" s="1"/>
  <c r="C11" i="66"/>
  <c r="C12" i="67" s="1"/>
  <c r="C10" i="66"/>
  <c r="C11" i="67" s="1"/>
  <c r="E47" i="69"/>
  <c r="E48" i="69"/>
  <c r="E46" i="69"/>
  <c r="E45" i="69"/>
  <c r="E44" i="69"/>
  <c r="E43" i="69"/>
  <c r="E42" i="69"/>
  <c r="E41" i="69"/>
  <c r="E40" i="69"/>
  <c r="E36" i="69"/>
  <c r="E35" i="69"/>
  <c r="G72" i="64"/>
  <c r="G71" i="64"/>
  <c r="G70" i="64"/>
  <c r="E33" i="69"/>
  <c r="G64" i="64"/>
  <c r="G59" i="64"/>
  <c r="G58" i="64"/>
  <c r="G57" i="64"/>
  <c r="E25" i="69"/>
  <c r="E26" i="69"/>
  <c r="E27" i="69"/>
  <c r="E28" i="69"/>
  <c r="E29" i="69"/>
  <c r="E24" i="69"/>
  <c r="E23" i="69"/>
  <c r="E22" i="69"/>
  <c r="E21" i="69"/>
  <c r="E20" i="69"/>
  <c r="E19" i="69"/>
  <c r="E18" i="69"/>
  <c r="E17" i="69"/>
  <c r="E16" i="69"/>
  <c r="E15" i="69"/>
  <c r="E14" i="69"/>
  <c r="E13" i="69"/>
  <c r="E12" i="69"/>
  <c r="B15" i="70"/>
  <c r="B14" i="70"/>
  <c r="B13" i="70"/>
  <c r="B12" i="70"/>
  <c r="B11" i="70"/>
  <c r="E10" i="69"/>
  <c r="E11" i="69"/>
  <c r="D46" i="69"/>
  <c r="D47" i="69"/>
  <c r="D48" i="69"/>
  <c r="D23" i="69"/>
  <c r="D24" i="69"/>
  <c r="D30" i="69"/>
  <c r="D35" i="69"/>
  <c r="D43" i="69"/>
  <c r="D44" i="69"/>
  <c r="D45" i="69"/>
  <c r="D22" i="69"/>
  <c r="D19" i="69"/>
  <c r="C46" i="69"/>
  <c r="B46" i="69"/>
  <c r="C43" i="69"/>
  <c r="C35" i="69"/>
  <c r="C24" i="69"/>
  <c r="B23" i="69"/>
  <c r="C17" i="69"/>
  <c r="B17" i="69"/>
  <c r="C16" i="69"/>
  <c r="C14" i="69"/>
  <c r="B14" i="69"/>
  <c r="C12" i="69"/>
  <c r="B10" i="69"/>
  <c r="C30" i="67"/>
  <c r="B28" i="67"/>
  <c r="C25" i="67"/>
  <c r="C24" i="67"/>
  <c r="C22" i="67"/>
  <c r="B21" i="67"/>
  <c r="C20" i="67"/>
  <c r="C17" i="67"/>
  <c r="B17" i="67"/>
  <c r="C16" i="67"/>
  <c r="C15" i="67"/>
  <c r="C14" i="67"/>
  <c r="B14" i="67"/>
  <c r="B11" i="67"/>
  <c r="B92" i="64"/>
  <c r="B44" i="64"/>
  <c r="B36" i="64"/>
  <c r="B29" i="64"/>
  <c r="B9" i="64"/>
  <c r="C95" i="64"/>
  <c r="C91" i="64"/>
  <c r="C83" i="64"/>
  <c r="C65" i="64"/>
  <c r="C41" i="64"/>
  <c r="C36" i="64"/>
  <c r="C33" i="64"/>
  <c r="C31" i="64"/>
  <c r="C9" i="64"/>
  <c r="E94" i="64"/>
  <c r="E95" i="64"/>
  <c r="E92" i="64"/>
  <c r="E91" i="64"/>
  <c r="E89" i="64"/>
  <c r="E83" i="64"/>
  <c r="E65" i="64"/>
  <c r="E57" i="64"/>
  <c r="E51" i="64"/>
  <c r="E44" i="64"/>
  <c r="E41" i="64"/>
  <c r="E40" i="64"/>
  <c r="E38" i="64"/>
  <c r="E36" i="64"/>
  <c r="E33" i="64"/>
  <c r="E31" i="64"/>
  <c r="E29" i="64"/>
  <c r="E26" i="64"/>
  <c r="E20" i="64"/>
  <c r="E9" i="64"/>
  <c r="D94" i="64"/>
  <c r="D95" i="64"/>
  <c r="D92" i="64"/>
  <c r="D91" i="64"/>
  <c r="D89" i="64"/>
  <c r="D83" i="64"/>
  <c r="D65" i="64"/>
  <c r="D57" i="64"/>
  <c r="D51" i="64"/>
  <c r="D44" i="64"/>
  <c r="D41" i="64"/>
  <c r="D38" i="64"/>
  <c r="D30" i="63"/>
  <c r="D29" i="63"/>
  <c r="D28" i="63"/>
  <c r="D27" i="63"/>
  <c r="D34" i="63"/>
  <c r="AT23" i="43"/>
  <c r="AV138" i="60"/>
  <c r="AP138" i="60"/>
  <c r="AO138" i="60"/>
  <c r="AV137" i="60"/>
  <c r="AP137" i="60"/>
  <c r="AO137" i="60"/>
  <c r="AV136" i="60"/>
  <c r="AP136" i="60"/>
  <c r="AO136" i="60"/>
  <c r="AV18" i="47"/>
  <c r="AU18" i="47"/>
  <c r="V63" i="58" s="1"/>
  <c r="AM18" i="47"/>
  <c r="T63" i="58"/>
  <c r="Z109" i="60" s="1"/>
  <c r="W18" i="47"/>
  <c r="AE18" i="47"/>
  <c r="R63" i="58" s="1"/>
  <c r="M71" i="59"/>
  <c r="AT136" i="60" s="1"/>
  <c r="M72" i="59"/>
  <c r="AT137" i="60" s="1"/>
  <c r="M73" i="59"/>
  <c r="AT138" i="60"/>
  <c r="K73" i="59"/>
  <c r="AR138" i="60"/>
  <c r="K71" i="59"/>
  <c r="AR136" i="60" s="1"/>
  <c r="K72" i="59"/>
  <c r="AR137" i="60" s="1"/>
  <c r="BF17" i="50"/>
  <c r="AE21" i="42"/>
  <c r="AE20" i="42"/>
  <c r="AE17" i="52"/>
  <c r="R76" i="58" s="1"/>
  <c r="R85" i="58"/>
  <c r="AE81" i="64" s="1"/>
  <c r="R84" i="58"/>
  <c r="AE80" i="64" s="1"/>
  <c r="N99" i="58"/>
  <c r="P95" i="64" s="1"/>
  <c r="BG95" i="64" s="1"/>
  <c r="M99" i="58"/>
  <c r="O95" i="64" s="1"/>
  <c r="AV95" i="64" s="1"/>
  <c r="L99" i="58"/>
  <c r="N95" i="64" s="1"/>
  <c r="K99" i="58"/>
  <c r="M95" i="64" s="1"/>
  <c r="J99" i="58"/>
  <c r="L95" i="64" s="1"/>
  <c r="I99" i="58"/>
  <c r="K95" i="64" s="1"/>
  <c r="H99" i="58"/>
  <c r="G99" i="58"/>
  <c r="F99" i="58"/>
  <c r="J95" i="64" s="1"/>
  <c r="E99" i="58"/>
  <c r="I95" i="64" s="1"/>
  <c r="D99" i="58"/>
  <c r="H95" i="64" s="1"/>
  <c r="N98" i="58"/>
  <c r="P94" i="64" s="1"/>
  <c r="BG94" i="64" s="1"/>
  <c r="M98" i="58"/>
  <c r="O94" i="64"/>
  <c r="AV94" i="64" s="1"/>
  <c r="L98" i="58"/>
  <c r="N94" i="64" s="1"/>
  <c r="K98" i="58"/>
  <c r="M94" i="64" s="1"/>
  <c r="J98" i="58"/>
  <c r="L94" i="64" s="1"/>
  <c r="I98" i="58"/>
  <c r="K94" i="64" s="1"/>
  <c r="H98" i="58"/>
  <c r="G98" i="58"/>
  <c r="F98" i="58"/>
  <c r="J94" i="64" s="1"/>
  <c r="E98" i="58"/>
  <c r="I94" i="64" s="1"/>
  <c r="D98" i="58"/>
  <c r="H94" i="64" s="1"/>
  <c r="N96" i="58"/>
  <c r="P92" i="64" s="1"/>
  <c r="BG92" i="64" s="1"/>
  <c r="M96" i="58"/>
  <c r="O92" i="64"/>
  <c r="AV92" i="64" s="1"/>
  <c r="L96" i="58"/>
  <c r="N92" i="64" s="1"/>
  <c r="K96" i="58"/>
  <c r="M92" i="64"/>
  <c r="J96" i="58"/>
  <c r="L92" i="64" s="1"/>
  <c r="I96" i="58"/>
  <c r="K92" i="64" s="1"/>
  <c r="H96" i="58"/>
  <c r="G96" i="58"/>
  <c r="F96" i="58"/>
  <c r="J92" i="64" s="1"/>
  <c r="E96" i="58"/>
  <c r="I92" i="64" s="1"/>
  <c r="D96" i="58"/>
  <c r="H92" i="64" s="1"/>
  <c r="N95" i="58"/>
  <c r="P91" i="64" s="1"/>
  <c r="BG91" i="64" s="1"/>
  <c r="M95" i="58"/>
  <c r="O91" i="64" s="1"/>
  <c r="AV91" i="64" s="1"/>
  <c r="L95" i="58"/>
  <c r="N91" i="64" s="1"/>
  <c r="K95" i="58"/>
  <c r="M91" i="64" s="1"/>
  <c r="J95" i="58"/>
  <c r="L91" i="64"/>
  <c r="I95" i="58"/>
  <c r="K91" i="64" s="1"/>
  <c r="H95" i="58"/>
  <c r="G95" i="58"/>
  <c r="F95" i="58"/>
  <c r="J91" i="64" s="1"/>
  <c r="E95" i="58"/>
  <c r="I91" i="64"/>
  <c r="D95" i="58"/>
  <c r="H91" i="64" s="1"/>
  <c r="N94" i="58"/>
  <c r="P90" i="64" s="1"/>
  <c r="BG90" i="64" s="1"/>
  <c r="M94" i="58"/>
  <c r="O90" i="64" s="1"/>
  <c r="AV90" i="64" s="1"/>
  <c r="L94" i="58"/>
  <c r="N90" i="64" s="1"/>
  <c r="K94" i="58"/>
  <c r="M90" i="64" s="1"/>
  <c r="J94" i="58"/>
  <c r="L90" i="64" s="1"/>
  <c r="I94" i="58"/>
  <c r="K90" i="64"/>
  <c r="H94" i="58"/>
  <c r="G94" i="58"/>
  <c r="F94" i="58"/>
  <c r="J90" i="64" s="1"/>
  <c r="E94" i="58"/>
  <c r="I90" i="64" s="1"/>
  <c r="D94" i="58"/>
  <c r="H90" i="64" s="1"/>
  <c r="N93" i="58"/>
  <c r="P89" i="64"/>
  <c r="BG89" i="64" s="1"/>
  <c r="M93" i="58"/>
  <c r="O89" i="64" s="1"/>
  <c r="AV89" i="64" s="1"/>
  <c r="L93" i="58"/>
  <c r="N89" i="64" s="1"/>
  <c r="K93" i="58"/>
  <c r="M89" i="64"/>
  <c r="J93" i="58"/>
  <c r="L89" i="64"/>
  <c r="I93" i="58"/>
  <c r="K89" i="64" s="1"/>
  <c r="H93" i="58"/>
  <c r="G93" i="58"/>
  <c r="F93" i="58"/>
  <c r="E93" i="58"/>
  <c r="I89" i="64" s="1"/>
  <c r="D93" i="58"/>
  <c r="H89" i="64" s="1"/>
  <c r="N92" i="58"/>
  <c r="P88" i="64" s="1"/>
  <c r="BG88" i="64" s="1"/>
  <c r="M92" i="58"/>
  <c r="O88" i="64" s="1"/>
  <c r="AV88" i="64" s="1"/>
  <c r="L92" i="58"/>
  <c r="N88" i="64" s="1"/>
  <c r="K92" i="58"/>
  <c r="M88" i="64" s="1"/>
  <c r="J92" i="58"/>
  <c r="L88" i="64"/>
  <c r="I92" i="58"/>
  <c r="K88" i="64" s="1"/>
  <c r="H92" i="58"/>
  <c r="G92" i="58"/>
  <c r="F92" i="58"/>
  <c r="J88" i="64" s="1"/>
  <c r="E92" i="58"/>
  <c r="I88" i="64" s="1"/>
  <c r="D92" i="58"/>
  <c r="H88" i="64" s="1"/>
  <c r="N91" i="58"/>
  <c r="P87" i="64" s="1"/>
  <c r="BG87" i="64" s="1"/>
  <c r="M91" i="58"/>
  <c r="O87" i="64"/>
  <c r="AV87" i="64"/>
  <c r="L91" i="58"/>
  <c r="N87" i="64" s="1"/>
  <c r="K91" i="58"/>
  <c r="M87" i="64" s="1"/>
  <c r="J91" i="58"/>
  <c r="L87" i="64" s="1"/>
  <c r="I91" i="58"/>
  <c r="K87" i="64"/>
  <c r="H91" i="58"/>
  <c r="G91" i="58"/>
  <c r="F91" i="58"/>
  <c r="J87" i="64" s="1"/>
  <c r="E91" i="58"/>
  <c r="I87" i="64" s="1"/>
  <c r="D91" i="58"/>
  <c r="H87" i="64" s="1"/>
  <c r="N90" i="58"/>
  <c r="P86" i="64" s="1"/>
  <c r="BG86" i="64" s="1"/>
  <c r="M90" i="58"/>
  <c r="O86" i="64" s="1"/>
  <c r="AV86" i="64" s="1"/>
  <c r="L90" i="58"/>
  <c r="N86" i="64"/>
  <c r="K90" i="58"/>
  <c r="M86" i="64" s="1"/>
  <c r="J90" i="58"/>
  <c r="L86" i="64" s="1"/>
  <c r="I90" i="58"/>
  <c r="K86" i="64" s="1"/>
  <c r="H90" i="58"/>
  <c r="G90" i="58"/>
  <c r="F90" i="58"/>
  <c r="J86" i="64" s="1"/>
  <c r="E90" i="58"/>
  <c r="I86" i="64" s="1"/>
  <c r="D90" i="58"/>
  <c r="H86" i="64" s="1"/>
  <c r="N89" i="58"/>
  <c r="P85" i="64"/>
  <c r="BG85" i="64" s="1"/>
  <c r="M89" i="58"/>
  <c r="O85" i="64" s="1"/>
  <c r="AV85" i="64" s="1"/>
  <c r="L89" i="58"/>
  <c r="N85" i="64" s="1"/>
  <c r="K89" i="58"/>
  <c r="M85" i="64"/>
  <c r="J89" i="58"/>
  <c r="L85" i="64" s="1"/>
  <c r="I89" i="58"/>
  <c r="K85" i="64" s="1"/>
  <c r="H89" i="58"/>
  <c r="G89" i="58"/>
  <c r="E89" i="58"/>
  <c r="I85" i="64" s="1"/>
  <c r="D89" i="58"/>
  <c r="H85" i="64" s="1"/>
  <c r="N88" i="58"/>
  <c r="P84" i="64" s="1"/>
  <c r="BG84" i="64" s="1"/>
  <c r="M88" i="58"/>
  <c r="O84" i="64" s="1"/>
  <c r="AV84" i="64" s="1"/>
  <c r="L88" i="58"/>
  <c r="N84" i="64" s="1"/>
  <c r="K88" i="58"/>
  <c r="M84" i="64" s="1"/>
  <c r="J88" i="58"/>
  <c r="L84" i="64"/>
  <c r="I88" i="58"/>
  <c r="K84" i="64" s="1"/>
  <c r="H88" i="58"/>
  <c r="G88" i="58"/>
  <c r="E88" i="58"/>
  <c r="I84" i="64" s="1"/>
  <c r="D88" i="58"/>
  <c r="H84" i="64" s="1"/>
  <c r="N87" i="58"/>
  <c r="P83" i="64" s="1"/>
  <c r="BG83" i="64" s="1"/>
  <c r="M87" i="58"/>
  <c r="O83" i="64" s="1"/>
  <c r="AV83" i="64" s="1"/>
  <c r="L87" i="58"/>
  <c r="N83" i="64" s="1"/>
  <c r="K87" i="58"/>
  <c r="M83" i="64" s="1"/>
  <c r="J87" i="58"/>
  <c r="L83" i="64" s="1"/>
  <c r="I87" i="58"/>
  <c r="K83" i="64" s="1"/>
  <c r="H87" i="58"/>
  <c r="G87" i="58"/>
  <c r="E87" i="58"/>
  <c r="I83" i="64" s="1"/>
  <c r="D87" i="58"/>
  <c r="H83" i="64" s="1"/>
  <c r="J89" i="64"/>
  <c r="W86" i="58"/>
  <c r="W85" i="58"/>
  <c r="W84" i="58"/>
  <c r="Q85" i="58"/>
  <c r="AD81" i="64" s="1"/>
  <c r="Q86" i="58"/>
  <c r="Q84" i="58"/>
  <c r="P85" i="58"/>
  <c r="P86" i="58"/>
  <c r="I138" i="60" s="1"/>
  <c r="O85" i="58"/>
  <c r="O86" i="58"/>
  <c r="O84" i="58"/>
  <c r="F136" i="60" s="1"/>
  <c r="N86" i="58"/>
  <c r="P82" i="64" s="1"/>
  <c r="BG82" i="64" s="1"/>
  <c r="M86" i="58"/>
  <c r="O82" i="64"/>
  <c r="AV82" i="64" s="1"/>
  <c r="L86" i="58"/>
  <c r="N82" i="64" s="1"/>
  <c r="K86" i="58"/>
  <c r="M82" i="64" s="1"/>
  <c r="J86" i="58"/>
  <c r="L82" i="64" s="1"/>
  <c r="I86" i="58"/>
  <c r="K82" i="64" s="1"/>
  <c r="H86" i="58"/>
  <c r="G86" i="58"/>
  <c r="F86" i="58"/>
  <c r="J82" i="64" s="1"/>
  <c r="N85" i="58"/>
  <c r="P81" i="64" s="1"/>
  <c r="BG81" i="64" s="1"/>
  <c r="M85" i="58"/>
  <c r="O81" i="64" s="1"/>
  <c r="AV81" i="64" s="1"/>
  <c r="L85" i="58"/>
  <c r="N81" i="64" s="1"/>
  <c r="K85" i="58"/>
  <c r="M81" i="64" s="1"/>
  <c r="J85" i="58"/>
  <c r="L81" i="64"/>
  <c r="I85" i="58"/>
  <c r="K81" i="64" s="1"/>
  <c r="H85" i="58"/>
  <c r="G85" i="58"/>
  <c r="F85" i="58"/>
  <c r="J81" i="64" s="1"/>
  <c r="N84" i="58"/>
  <c r="P80" i="64" s="1"/>
  <c r="BG80" i="64" s="1"/>
  <c r="M84" i="58"/>
  <c r="O80" i="64" s="1"/>
  <c r="AV80" i="64" s="1"/>
  <c r="L84" i="58"/>
  <c r="N80" i="64" s="1"/>
  <c r="K84" i="58"/>
  <c r="M80" i="64" s="1"/>
  <c r="J84" i="58"/>
  <c r="L80" i="64"/>
  <c r="I84" i="58"/>
  <c r="K80" i="64"/>
  <c r="H84" i="58"/>
  <c r="G84" i="58"/>
  <c r="F84" i="58"/>
  <c r="J80" i="64" s="1"/>
  <c r="N83" i="58"/>
  <c r="P79" i="64"/>
  <c r="BG79" i="64" s="1"/>
  <c r="M83" i="58"/>
  <c r="O79" i="64" s="1"/>
  <c r="AV79" i="64" s="1"/>
  <c r="L83" i="58"/>
  <c r="N79" i="64"/>
  <c r="K83" i="58"/>
  <c r="M79" i="64"/>
  <c r="J83" i="58"/>
  <c r="L79" i="64" s="1"/>
  <c r="I83" i="58"/>
  <c r="K79" i="64" s="1"/>
  <c r="H83" i="58"/>
  <c r="G83" i="58"/>
  <c r="F83" i="58"/>
  <c r="N82" i="58"/>
  <c r="P78" i="64" s="1"/>
  <c r="BG78" i="64" s="1"/>
  <c r="M82" i="58"/>
  <c r="O78" i="64" s="1"/>
  <c r="AV78" i="64" s="1"/>
  <c r="L82" i="58"/>
  <c r="N78" i="64" s="1"/>
  <c r="K82" i="58"/>
  <c r="M78" i="64" s="1"/>
  <c r="J82" i="58"/>
  <c r="L78" i="64" s="1"/>
  <c r="I82" i="58"/>
  <c r="K78" i="64"/>
  <c r="H82" i="58"/>
  <c r="G82" i="58"/>
  <c r="F82" i="58"/>
  <c r="E82" i="58"/>
  <c r="I78" i="64"/>
  <c r="D82" i="58"/>
  <c r="H78" i="64" s="1"/>
  <c r="N78" i="58"/>
  <c r="P74" i="64" s="1"/>
  <c r="BG74" i="64" s="1"/>
  <c r="M78" i="58"/>
  <c r="O74" i="64" s="1"/>
  <c r="AV74" i="64" s="1"/>
  <c r="L78" i="58"/>
  <c r="N74" i="64"/>
  <c r="K78" i="58"/>
  <c r="M74" i="64"/>
  <c r="J78" i="58"/>
  <c r="L74" i="64" s="1"/>
  <c r="I78" i="58"/>
  <c r="K74" i="64" s="1"/>
  <c r="H78" i="58"/>
  <c r="G78" i="58"/>
  <c r="F78" i="58"/>
  <c r="J74" i="64"/>
  <c r="E78" i="58"/>
  <c r="I74" i="64" s="1"/>
  <c r="D78" i="58"/>
  <c r="H74" i="64" s="1"/>
  <c r="N77" i="58"/>
  <c r="P73" i="64"/>
  <c r="BG73" i="64" s="1"/>
  <c r="M77" i="58"/>
  <c r="O73" i="64" s="1"/>
  <c r="AV73" i="64" s="1"/>
  <c r="L77" i="58"/>
  <c r="N73" i="64" s="1"/>
  <c r="K77" i="58"/>
  <c r="M73" i="64" s="1"/>
  <c r="J77" i="58"/>
  <c r="L73" i="64"/>
  <c r="I77" i="58"/>
  <c r="K73" i="64"/>
  <c r="H77" i="58"/>
  <c r="G77" i="58"/>
  <c r="F77" i="58"/>
  <c r="J73" i="64" s="1"/>
  <c r="E77" i="58"/>
  <c r="I73" i="64"/>
  <c r="D77" i="58"/>
  <c r="H73" i="64"/>
  <c r="E84" i="58"/>
  <c r="I80" i="64" s="1"/>
  <c r="D84" i="58"/>
  <c r="H80" i="64" s="1"/>
  <c r="N81" i="58"/>
  <c r="P77" i="64"/>
  <c r="BG77" i="64" s="1"/>
  <c r="M81" i="58"/>
  <c r="O77" i="64" s="1"/>
  <c r="AV77" i="64" s="1"/>
  <c r="L81" i="58"/>
  <c r="N77" i="64"/>
  <c r="K81" i="58"/>
  <c r="M77" i="64"/>
  <c r="J81" i="58"/>
  <c r="L77" i="64" s="1"/>
  <c r="I81" i="58"/>
  <c r="K77" i="64" s="1"/>
  <c r="H81" i="58"/>
  <c r="G81" i="58"/>
  <c r="F81" i="58"/>
  <c r="E81" i="58"/>
  <c r="I77" i="64" s="1"/>
  <c r="D81" i="58"/>
  <c r="H77" i="64" s="1"/>
  <c r="N80" i="58"/>
  <c r="P76" i="64" s="1"/>
  <c r="BG76" i="64" s="1"/>
  <c r="M80" i="58"/>
  <c r="O76" i="64" s="1"/>
  <c r="AV76" i="64" s="1"/>
  <c r="L80" i="58"/>
  <c r="N76" i="64" s="1"/>
  <c r="K80" i="58"/>
  <c r="M76" i="64" s="1"/>
  <c r="J80" i="58"/>
  <c r="L76" i="64" s="1"/>
  <c r="I80" i="58"/>
  <c r="K76" i="64" s="1"/>
  <c r="H80" i="58"/>
  <c r="G80" i="58"/>
  <c r="F80" i="58"/>
  <c r="E80" i="58"/>
  <c r="I76" i="64"/>
  <c r="D80" i="58"/>
  <c r="H76" i="64" s="1"/>
  <c r="N79" i="58"/>
  <c r="P75" i="64" s="1"/>
  <c r="BG75" i="64" s="1"/>
  <c r="M79" i="58"/>
  <c r="O75" i="64" s="1"/>
  <c r="AV75" i="64" s="1"/>
  <c r="L79" i="58"/>
  <c r="N75" i="64" s="1"/>
  <c r="K79" i="58"/>
  <c r="M75" i="64"/>
  <c r="J79" i="58"/>
  <c r="L75" i="64"/>
  <c r="I79" i="58"/>
  <c r="K75" i="64" s="1"/>
  <c r="H79" i="58"/>
  <c r="G79" i="58"/>
  <c r="F79" i="58"/>
  <c r="J75" i="64" s="1"/>
  <c r="E79" i="58"/>
  <c r="I75" i="64" s="1"/>
  <c r="D79" i="58"/>
  <c r="H75" i="64" s="1"/>
  <c r="N76" i="58"/>
  <c r="P72" i="64" s="1"/>
  <c r="BG72" i="64" s="1"/>
  <c r="M76" i="58"/>
  <c r="O72" i="64" s="1"/>
  <c r="AV72" i="64" s="1"/>
  <c r="L76" i="58"/>
  <c r="N72" i="64" s="1"/>
  <c r="K76" i="58"/>
  <c r="M72" i="64" s="1"/>
  <c r="J76" i="58"/>
  <c r="L72" i="64" s="1"/>
  <c r="I76" i="58"/>
  <c r="K72" i="64" s="1"/>
  <c r="H76" i="58"/>
  <c r="F72" i="64" s="1"/>
  <c r="E39" i="69" s="1"/>
  <c r="G76" i="58"/>
  <c r="F76" i="58"/>
  <c r="E76" i="58"/>
  <c r="I72" i="64"/>
  <c r="D76" i="58"/>
  <c r="H72" i="64"/>
  <c r="N75" i="58"/>
  <c r="P71" i="64" s="1"/>
  <c r="BG71" i="64" s="1"/>
  <c r="M75" i="58"/>
  <c r="O71" i="64" s="1"/>
  <c r="AV71" i="64" s="1"/>
  <c r="L75" i="58"/>
  <c r="N71" i="64"/>
  <c r="K75" i="58"/>
  <c r="M71" i="64"/>
  <c r="J75" i="58"/>
  <c r="L71" i="64" s="1"/>
  <c r="I75" i="58"/>
  <c r="K71" i="64" s="1"/>
  <c r="H75" i="58"/>
  <c r="F71" i="64"/>
  <c r="E38" i="69" s="1"/>
  <c r="G75" i="58"/>
  <c r="F75" i="58"/>
  <c r="J71" i="64" s="1"/>
  <c r="E75" i="58"/>
  <c r="I71" i="64" s="1"/>
  <c r="D75" i="58"/>
  <c r="H71" i="64" s="1"/>
  <c r="N74" i="58"/>
  <c r="P70" i="64" s="1"/>
  <c r="BG70" i="64" s="1"/>
  <c r="M74" i="58"/>
  <c r="O70" i="64" s="1"/>
  <c r="AV70" i="64" s="1"/>
  <c r="L74" i="58"/>
  <c r="N70" i="64" s="1"/>
  <c r="K74" i="58"/>
  <c r="M70" i="64" s="1"/>
  <c r="J74" i="58"/>
  <c r="L70" i="64"/>
  <c r="I74" i="58"/>
  <c r="K70" i="64" s="1"/>
  <c r="H74" i="58"/>
  <c r="F70" i="64" s="1"/>
  <c r="E37" i="69" s="1"/>
  <c r="G74" i="58"/>
  <c r="F74" i="58"/>
  <c r="J70" i="64"/>
  <c r="BJ70" i="64" s="1"/>
  <c r="I37" i="69" s="1"/>
  <c r="E74" i="58"/>
  <c r="I70" i="64" s="1"/>
  <c r="D74" i="58"/>
  <c r="H70" i="64" s="1"/>
  <c r="N73" i="58"/>
  <c r="P69" i="64"/>
  <c r="BG69" i="64" s="1"/>
  <c r="M73" i="58"/>
  <c r="O69" i="64" s="1"/>
  <c r="AV69" i="64" s="1"/>
  <c r="L73" i="58"/>
  <c r="N69" i="64"/>
  <c r="K73" i="58"/>
  <c r="M69" i="64"/>
  <c r="J73" i="58"/>
  <c r="L69" i="64" s="1"/>
  <c r="I73" i="58"/>
  <c r="K69" i="64" s="1"/>
  <c r="H73" i="58"/>
  <c r="G73" i="58"/>
  <c r="F73" i="58"/>
  <c r="J69" i="64"/>
  <c r="BJ69" i="64" s="1"/>
  <c r="E73" i="58"/>
  <c r="I69" i="64" s="1"/>
  <c r="D73" i="58"/>
  <c r="H69" i="64" s="1"/>
  <c r="N72" i="58"/>
  <c r="P68" i="64" s="1"/>
  <c r="BG68" i="64" s="1"/>
  <c r="M72" i="58"/>
  <c r="O68" i="64"/>
  <c r="AV68" i="64" s="1"/>
  <c r="L72" i="58"/>
  <c r="N68" i="64" s="1"/>
  <c r="K72" i="58"/>
  <c r="M68" i="64" s="1"/>
  <c r="J72" i="58"/>
  <c r="L68" i="64" s="1"/>
  <c r="I72" i="58"/>
  <c r="K68" i="64" s="1"/>
  <c r="H72" i="58"/>
  <c r="G72" i="58"/>
  <c r="F72" i="58"/>
  <c r="J68" i="64" s="1"/>
  <c r="BJ68" i="64" s="1"/>
  <c r="E72" i="58"/>
  <c r="I68" i="64"/>
  <c r="D72" i="58"/>
  <c r="H68" i="64" s="1"/>
  <c r="N71" i="58"/>
  <c r="P67" i="64" s="1"/>
  <c r="BG67" i="64" s="1"/>
  <c r="M71" i="58"/>
  <c r="O67" i="64" s="1"/>
  <c r="AV67" i="64" s="1"/>
  <c r="L71" i="58"/>
  <c r="N67" i="64" s="1"/>
  <c r="K71" i="58"/>
  <c r="M67" i="64" s="1"/>
  <c r="J71" i="58"/>
  <c r="L67" i="64"/>
  <c r="I71" i="58"/>
  <c r="K67" i="64" s="1"/>
  <c r="H71" i="58"/>
  <c r="G71" i="58"/>
  <c r="F71" i="58"/>
  <c r="J67" i="64"/>
  <c r="BJ67" i="64" s="1"/>
  <c r="E71" i="58"/>
  <c r="I67" i="64" s="1"/>
  <c r="D71" i="58"/>
  <c r="H67" i="64" s="1"/>
  <c r="N70" i="58"/>
  <c r="P66" i="64" s="1"/>
  <c r="BG66" i="64" s="1"/>
  <c r="M70" i="58"/>
  <c r="O66" i="64"/>
  <c r="AV66" i="64" s="1"/>
  <c r="L70" i="58"/>
  <c r="N66" i="64" s="1"/>
  <c r="K70" i="58"/>
  <c r="M66" i="64" s="1"/>
  <c r="J70" i="58"/>
  <c r="L66" i="64" s="1"/>
  <c r="I70" i="58"/>
  <c r="K66" i="64"/>
  <c r="H70" i="58"/>
  <c r="G70" i="58"/>
  <c r="F70" i="58"/>
  <c r="J66" i="64" s="1"/>
  <c r="E70" i="58"/>
  <c r="I66" i="64"/>
  <c r="D70" i="58"/>
  <c r="H66" i="64" s="1"/>
  <c r="N69" i="58"/>
  <c r="P65" i="64" s="1"/>
  <c r="BG65" i="64" s="1"/>
  <c r="M69" i="58"/>
  <c r="O65" i="64" s="1"/>
  <c r="AV65" i="64"/>
  <c r="L69" i="58"/>
  <c r="N65" i="64"/>
  <c r="K69" i="58"/>
  <c r="M65" i="64" s="1"/>
  <c r="J69" i="58"/>
  <c r="L65" i="64"/>
  <c r="I69" i="58"/>
  <c r="K65" i="64"/>
  <c r="H69" i="58"/>
  <c r="G69" i="58"/>
  <c r="F69" i="58"/>
  <c r="J65" i="64" s="1"/>
  <c r="E69" i="58"/>
  <c r="I65" i="64" s="1"/>
  <c r="D69" i="58"/>
  <c r="H65" i="64" s="1"/>
  <c r="N68" i="58"/>
  <c r="P64" i="64" s="1"/>
  <c r="BG64" i="64" s="1"/>
  <c r="M68" i="58"/>
  <c r="O64" i="64" s="1"/>
  <c r="AV64" i="64" s="1"/>
  <c r="L68" i="58"/>
  <c r="N64" i="64" s="1"/>
  <c r="K68" i="58"/>
  <c r="M64" i="64" s="1"/>
  <c r="J68" i="58"/>
  <c r="L64" i="64"/>
  <c r="I68" i="58"/>
  <c r="K64" i="64" s="1"/>
  <c r="H68" i="58"/>
  <c r="F64" i="64" s="1"/>
  <c r="E34" i="69" s="1"/>
  <c r="G68" i="58"/>
  <c r="F68" i="58"/>
  <c r="J64" i="64" s="1"/>
  <c r="E68" i="58"/>
  <c r="I64" i="64" s="1"/>
  <c r="D68" i="58"/>
  <c r="H64" i="64" s="1"/>
  <c r="N67" i="58"/>
  <c r="P63" i="64" s="1"/>
  <c r="BG63" i="64" s="1"/>
  <c r="M67" i="58"/>
  <c r="O63" i="64" s="1"/>
  <c r="AV63" i="64" s="1"/>
  <c r="L67" i="58"/>
  <c r="N63" i="64" s="1"/>
  <c r="K67" i="58"/>
  <c r="M63" i="64" s="1"/>
  <c r="J67" i="58"/>
  <c r="L63" i="64" s="1"/>
  <c r="I67" i="58"/>
  <c r="K63" i="64" s="1"/>
  <c r="H67" i="58"/>
  <c r="G67" i="58"/>
  <c r="F67" i="58"/>
  <c r="J63" i="64" s="1"/>
  <c r="BJ63" i="64" s="1"/>
  <c r="E67" i="58"/>
  <c r="I63" i="64" s="1"/>
  <c r="D67" i="58"/>
  <c r="H63" i="64" s="1"/>
  <c r="N66" i="58"/>
  <c r="P62" i="64"/>
  <c r="BG62" i="64" s="1"/>
  <c r="M66" i="58"/>
  <c r="O62" i="64"/>
  <c r="AV62" i="64" s="1"/>
  <c r="L66" i="58"/>
  <c r="N62" i="64" s="1"/>
  <c r="K66" i="58"/>
  <c r="M62" i="64" s="1"/>
  <c r="J66" i="58"/>
  <c r="L62" i="64"/>
  <c r="I66" i="58"/>
  <c r="K62" i="64" s="1"/>
  <c r="H66" i="58"/>
  <c r="G66" i="58"/>
  <c r="F66" i="58"/>
  <c r="J62" i="64"/>
  <c r="BJ62" i="64" s="1"/>
  <c r="E66" i="58"/>
  <c r="I62" i="64" s="1"/>
  <c r="D66" i="58"/>
  <c r="H62" i="64" s="1"/>
  <c r="N65" i="58"/>
  <c r="P61" i="64" s="1"/>
  <c r="BG61" i="64" s="1"/>
  <c r="M65" i="58"/>
  <c r="O61" i="64"/>
  <c r="AV61" i="64" s="1"/>
  <c r="L65" i="58"/>
  <c r="N61" i="64" s="1"/>
  <c r="K65" i="58"/>
  <c r="M61" i="64" s="1"/>
  <c r="J65" i="58"/>
  <c r="L61" i="64" s="1"/>
  <c r="I65" i="58"/>
  <c r="K61" i="64" s="1"/>
  <c r="H65" i="58"/>
  <c r="G65" i="58"/>
  <c r="F65" i="58"/>
  <c r="J61" i="64" s="1"/>
  <c r="BJ61" i="64"/>
  <c r="E65" i="58"/>
  <c r="I61" i="64" s="1"/>
  <c r="D65" i="58"/>
  <c r="H61" i="64" s="1"/>
  <c r="N64" i="58"/>
  <c r="P60" i="64"/>
  <c r="BG60" i="64" s="1"/>
  <c r="M64" i="58"/>
  <c r="O60" i="64" s="1"/>
  <c r="AV60" i="64" s="1"/>
  <c r="L64" i="58"/>
  <c r="N60" i="64" s="1"/>
  <c r="K64" i="58"/>
  <c r="M60" i="64" s="1"/>
  <c r="J64" i="58"/>
  <c r="L60" i="64" s="1"/>
  <c r="I64" i="58"/>
  <c r="K60" i="64" s="1"/>
  <c r="H64" i="58"/>
  <c r="G64" i="58"/>
  <c r="F64" i="58"/>
  <c r="J60" i="64" s="1"/>
  <c r="BJ60" i="64" s="1"/>
  <c r="E64" i="58"/>
  <c r="I60" i="64" s="1"/>
  <c r="D64" i="58"/>
  <c r="H60" i="64" s="1"/>
  <c r="N63" i="58"/>
  <c r="P59" i="64" s="1"/>
  <c r="BG59" i="64" s="1"/>
  <c r="M63" i="58"/>
  <c r="O59" i="64"/>
  <c r="AV59" i="64" s="1"/>
  <c r="L63" i="58"/>
  <c r="N59" i="64"/>
  <c r="K63" i="58"/>
  <c r="M59" i="64" s="1"/>
  <c r="J63" i="58"/>
  <c r="L59" i="64" s="1"/>
  <c r="I63" i="58"/>
  <c r="K59" i="64" s="1"/>
  <c r="H63" i="58"/>
  <c r="F59" i="64"/>
  <c r="E32" i="69" s="1"/>
  <c r="G63" i="58"/>
  <c r="F63" i="58"/>
  <c r="E63" i="58"/>
  <c r="I59" i="64" s="1"/>
  <c r="D63" i="58"/>
  <c r="H59" i="64"/>
  <c r="N62" i="58"/>
  <c r="P58" i="64" s="1"/>
  <c r="BG58" i="64" s="1"/>
  <c r="M62" i="58"/>
  <c r="O58" i="64" s="1"/>
  <c r="AV58" i="64" s="1"/>
  <c r="L62" i="58"/>
  <c r="N58" i="64" s="1"/>
  <c r="K62" i="58"/>
  <c r="M58" i="64"/>
  <c r="J62" i="58"/>
  <c r="L58" i="64" s="1"/>
  <c r="I62" i="58"/>
  <c r="K58" i="64" s="1"/>
  <c r="H62" i="58"/>
  <c r="F58" i="64" s="1"/>
  <c r="E31" i="69" s="1"/>
  <c r="G62" i="58"/>
  <c r="F62" i="58"/>
  <c r="E62" i="58"/>
  <c r="I58" i="64" s="1"/>
  <c r="D62" i="58"/>
  <c r="H58" i="64" s="1"/>
  <c r="N61" i="58"/>
  <c r="P57" i="64" s="1"/>
  <c r="BG57" i="64" s="1"/>
  <c r="M61" i="58"/>
  <c r="O57" i="64" s="1"/>
  <c r="AV57" i="64" s="1"/>
  <c r="L61" i="58"/>
  <c r="N57" i="64"/>
  <c r="K61" i="58"/>
  <c r="M57" i="64"/>
  <c r="J61" i="58"/>
  <c r="L57" i="64" s="1"/>
  <c r="I61" i="58"/>
  <c r="K57" i="64" s="1"/>
  <c r="H61" i="58"/>
  <c r="F57" i="64" s="1"/>
  <c r="E30" i="69" s="1"/>
  <c r="G61" i="58"/>
  <c r="F61" i="58"/>
  <c r="E61" i="58"/>
  <c r="I57" i="64" s="1"/>
  <c r="D61" i="58"/>
  <c r="H57" i="64" s="1"/>
  <c r="N60" i="58"/>
  <c r="P56" i="64" s="1"/>
  <c r="BG56" i="64" s="1"/>
  <c r="M60" i="58"/>
  <c r="O56" i="64" s="1"/>
  <c r="AV56" i="64" s="1"/>
  <c r="L60" i="58"/>
  <c r="N56" i="64"/>
  <c r="K60" i="58"/>
  <c r="M56" i="64" s="1"/>
  <c r="J60" i="58"/>
  <c r="L56" i="64" s="1"/>
  <c r="I60" i="58"/>
  <c r="K56" i="64" s="1"/>
  <c r="H60" i="58"/>
  <c r="G60" i="58"/>
  <c r="F60" i="58"/>
  <c r="J56" i="64" s="1"/>
  <c r="E60" i="58"/>
  <c r="I56" i="64" s="1"/>
  <c r="D60" i="58"/>
  <c r="H56" i="64" s="1"/>
  <c r="N58" i="58"/>
  <c r="P54" i="64"/>
  <c r="BG54" i="64" s="1"/>
  <c r="M58" i="58"/>
  <c r="O54" i="64" s="1"/>
  <c r="AV54" i="64" s="1"/>
  <c r="L58" i="58"/>
  <c r="N54" i="64" s="1"/>
  <c r="K58" i="58"/>
  <c r="M54" i="64"/>
  <c r="J58" i="58"/>
  <c r="L54" i="64" s="1"/>
  <c r="I58" i="58"/>
  <c r="K54" i="64" s="1"/>
  <c r="H58" i="58"/>
  <c r="G58" i="58"/>
  <c r="F58" i="58"/>
  <c r="J54" i="64"/>
  <c r="E58" i="58"/>
  <c r="I54" i="64" s="1"/>
  <c r="D58" i="58"/>
  <c r="H54" i="64" s="1"/>
  <c r="N59" i="58"/>
  <c r="P55" i="64" s="1"/>
  <c r="BG55" i="64" s="1"/>
  <c r="M59" i="58"/>
  <c r="O55" i="64"/>
  <c r="AV55" i="64" s="1"/>
  <c r="L59" i="58"/>
  <c r="N55" i="64" s="1"/>
  <c r="K59" i="58"/>
  <c r="M55" i="64" s="1"/>
  <c r="J59" i="58"/>
  <c r="L55" i="64" s="1"/>
  <c r="I59" i="58"/>
  <c r="K55" i="64" s="1"/>
  <c r="H59" i="58"/>
  <c r="G59" i="58"/>
  <c r="F59" i="58"/>
  <c r="J55" i="64" s="1"/>
  <c r="E59" i="58"/>
  <c r="I55" i="64" s="1"/>
  <c r="D59" i="58"/>
  <c r="H55" i="64" s="1"/>
  <c r="N57" i="58"/>
  <c r="P53" i="64" s="1"/>
  <c r="BG53" i="64" s="1"/>
  <c r="M57" i="58"/>
  <c r="O53" i="64" s="1"/>
  <c r="AV53" i="64" s="1"/>
  <c r="L57" i="58"/>
  <c r="N53" i="64" s="1"/>
  <c r="K57" i="58"/>
  <c r="M53" i="64" s="1"/>
  <c r="J57" i="58"/>
  <c r="L53" i="64" s="1"/>
  <c r="I57" i="58"/>
  <c r="K53" i="64" s="1"/>
  <c r="H57" i="58"/>
  <c r="G57" i="58"/>
  <c r="F57" i="58"/>
  <c r="J53" i="64" s="1"/>
  <c r="E57" i="58"/>
  <c r="I53" i="64" s="1"/>
  <c r="D57" i="58"/>
  <c r="H53" i="64"/>
  <c r="N56" i="58"/>
  <c r="P52" i="64" s="1"/>
  <c r="BG52" i="64" s="1"/>
  <c r="M56" i="58"/>
  <c r="O52" i="64"/>
  <c r="AV52" i="64" s="1"/>
  <c r="L56" i="58"/>
  <c r="N52" i="64"/>
  <c r="K56" i="58"/>
  <c r="M52" i="64" s="1"/>
  <c r="J56" i="58"/>
  <c r="L52" i="64" s="1"/>
  <c r="I56" i="58"/>
  <c r="K52" i="64" s="1"/>
  <c r="H56" i="58"/>
  <c r="G56" i="58"/>
  <c r="F56" i="58"/>
  <c r="J52" i="64" s="1"/>
  <c r="E56" i="58"/>
  <c r="I52" i="64" s="1"/>
  <c r="D56" i="58"/>
  <c r="H52" i="64" s="1"/>
  <c r="N55" i="58"/>
  <c r="P51" i="64" s="1"/>
  <c r="BG51" i="64" s="1"/>
  <c r="M55" i="58"/>
  <c r="O51" i="64" s="1"/>
  <c r="AV51" i="64" s="1"/>
  <c r="L55" i="58"/>
  <c r="N51" i="64" s="1"/>
  <c r="K55" i="58"/>
  <c r="M51" i="64"/>
  <c r="J55" i="58"/>
  <c r="L51" i="64" s="1"/>
  <c r="I55" i="58"/>
  <c r="K51" i="64" s="1"/>
  <c r="H55" i="58"/>
  <c r="G55" i="58"/>
  <c r="F55" i="58"/>
  <c r="J51" i="64"/>
  <c r="BJ51" i="64" s="1"/>
  <c r="I24" i="69" s="1"/>
  <c r="E55" i="58"/>
  <c r="I51" i="64"/>
  <c r="D55" i="58"/>
  <c r="H51" i="64"/>
  <c r="J54" i="58"/>
  <c r="L50" i="64" s="1"/>
  <c r="I54" i="58"/>
  <c r="K50" i="64"/>
  <c r="H54" i="58"/>
  <c r="G54" i="58"/>
  <c r="F54" i="58"/>
  <c r="J50" i="64" s="1"/>
  <c r="E54" i="58"/>
  <c r="I50" i="64" s="1"/>
  <c r="D54" i="58"/>
  <c r="H50" i="64" s="1"/>
  <c r="J53" i="58"/>
  <c r="L49" i="64" s="1"/>
  <c r="I53" i="58"/>
  <c r="K49" i="64"/>
  <c r="H53" i="58"/>
  <c r="G53" i="58"/>
  <c r="F53" i="58"/>
  <c r="J49" i="64" s="1"/>
  <c r="E53" i="58"/>
  <c r="I49" i="64" s="1"/>
  <c r="D53" i="58"/>
  <c r="H49" i="64"/>
  <c r="J52" i="58"/>
  <c r="L48" i="64" s="1"/>
  <c r="I52" i="58"/>
  <c r="K48" i="64" s="1"/>
  <c r="H52" i="58"/>
  <c r="G52" i="58"/>
  <c r="F52" i="58"/>
  <c r="J48" i="64"/>
  <c r="E52" i="58"/>
  <c r="I48" i="64" s="1"/>
  <c r="D52" i="58"/>
  <c r="H48" i="64"/>
  <c r="J51" i="58"/>
  <c r="L47" i="64" s="1"/>
  <c r="I51" i="58"/>
  <c r="K47" i="64" s="1"/>
  <c r="H51" i="58"/>
  <c r="G51" i="58"/>
  <c r="F51" i="58"/>
  <c r="J47" i="64"/>
  <c r="E51" i="58"/>
  <c r="I47" i="64" s="1"/>
  <c r="D51" i="58"/>
  <c r="H47" i="64" s="1"/>
  <c r="J50" i="58"/>
  <c r="L46" i="64" s="1"/>
  <c r="I50" i="58"/>
  <c r="K46" i="64" s="1"/>
  <c r="H50" i="58"/>
  <c r="G50" i="58"/>
  <c r="F50" i="58"/>
  <c r="J46" i="64"/>
  <c r="E50" i="58"/>
  <c r="I46" i="64" s="1"/>
  <c r="D50" i="58"/>
  <c r="H46" i="64"/>
  <c r="J49" i="58"/>
  <c r="L45" i="64"/>
  <c r="I49" i="58"/>
  <c r="K45" i="64" s="1"/>
  <c r="H49" i="58"/>
  <c r="G49" i="58"/>
  <c r="F49" i="58"/>
  <c r="J45" i="64"/>
  <c r="E49" i="58"/>
  <c r="I45" i="64"/>
  <c r="D49" i="58"/>
  <c r="H45" i="64" s="1"/>
  <c r="K49" i="58"/>
  <c r="M45" i="64" s="1"/>
  <c r="L49" i="58"/>
  <c r="N45" i="64"/>
  <c r="M49" i="58"/>
  <c r="O45" i="64" s="1"/>
  <c r="AV45" i="64" s="1"/>
  <c r="N49" i="58"/>
  <c r="P45" i="64" s="1"/>
  <c r="BG45" i="64" s="1"/>
  <c r="K50" i="58"/>
  <c r="M46" i="64" s="1"/>
  <c r="L50" i="58"/>
  <c r="N46" i="64" s="1"/>
  <c r="M50" i="58"/>
  <c r="O46" i="64"/>
  <c r="AV46" i="64" s="1"/>
  <c r="N50" i="58"/>
  <c r="P46" i="64"/>
  <c r="BG46" i="64" s="1"/>
  <c r="K51" i="58"/>
  <c r="M47" i="64" s="1"/>
  <c r="L51" i="58"/>
  <c r="N47" i="64" s="1"/>
  <c r="M51" i="58"/>
  <c r="O47" i="64" s="1"/>
  <c r="AV47" i="64" s="1"/>
  <c r="N51" i="58"/>
  <c r="P47" i="64" s="1"/>
  <c r="BG47" i="64" s="1"/>
  <c r="K52" i="58"/>
  <c r="M48" i="64"/>
  <c r="L52" i="58"/>
  <c r="N48" i="64" s="1"/>
  <c r="M52" i="58"/>
  <c r="O48" i="64"/>
  <c r="AV48" i="64" s="1"/>
  <c r="N52" i="58"/>
  <c r="P48" i="64" s="1"/>
  <c r="BG48" i="64" s="1"/>
  <c r="K53" i="58"/>
  <c r="M49" i="64" s="1"/>
  <c r="L53" i="58"/>
  <c r="N49" i="64" s="1"/>
  <c r="M53" i="58"/>
  <c r="O49" i="64" s="1"/>
  <c r="AV49" i="64" s="1"/>
  <c r="N53" i="58"/>
  <c r="P49" i="64" s="1"/>
  <c r="BG49" i="64" s="1"/>
  <c r="K54" i="58"/>
  <c r="M50" i="64" s="1"/>
  <c r="L54" i="58"/>
  <c r="N50" i="64"/>
  <c r="M54" i="58"/>
  <c r="O50" i="64"/>
  <c r="AV50" i="64" s="1"/>
  <c r="N54" i="58"/>
  <c r="P50" i="64" s="1"/>
  <c r="BG50" i="64" s="1"/>
  <c r="L48" i="58"/>
  <c r="N44" i="64" s="1"/>
  <c r="M48" i="58"/>
  <c r="O44" i="64"/>
  <c r="AV44" i="64" s="1"/>
  <c r="N48" i="58"/>
  <c r="P44" i="64"/>
  <c r="BG44" i="64" s="1"/>
  <c r="K48" i="58"/>
  <c r="M44" i="64" s="1"/>
  <c r="J48" i="58"/>
  <c r="L44" i="64" s="1"/>
  <c r="I48" i="58"/>
  <c r="K44" i="64" s="1"/>
  <c r="H48" i="58"/>
  <c r="G48" i="58"/>
  <c r="F48" i="58"/>
  <c r="J44" i="64" s="1"/>
  <c r="E48" i="58"/>
  <c r="I44" i="64"/>
  <c r="D48" i="58"/>
  <c r="H44" i="64" s="1"/>
  <c r="N47" i="58"/>
  <c r="P43" i="64"/>
  <c r="BG43" i="64" s="1"/>
  <c r="M47" i="58"/>
  <c r="O43" i="64" s="1"/>
  <c r="AV43" i="64"/>
  <c r="L47" i="58"/>
  <c r="N43" i="64" s="1"/>
  <c r="K47" i="58"/>
  <c r="M43" i="64"/>
  <c r="J47" i="58"/>
  <c r="L43" i="64"/>
  <c r="I47" i="58"/>
  <c r="K43" i="64" s="1"/>
  <c r="H47" i="58"/>
  <c r="G47" i="58"/>
  <c r="F47" i="58"/>
  <c r="J43" i="64"/>
  <c r="E47" i="58"/>
  <c r="I43" i="64"/>
  <c r="D47" i="58"/>
  <c r="H43" i="64" s="1"/>
  <c r="N46" i="58"/>
  <c r="P42" i="64" s="1"/>
  <c r="BG42" i="64" s="1"/>
  <c r="M46" i="58"/>
  <c r="O42" i="64" s="1"/>
  <c r="AV42" i="64" s="1"/>
  <c r="L46" i="58"/>
  <c r="N42" i="64"/>
  <c r="K46" i="58"/>
  <c r="M42" i="64" s="1"/>
  <c r="J46" i="58"/>
  <c r="L42" i="64"/>
  <c r="I46" i="58"/>
  <c r="K42" i="64"/>
  <c r="H46" i="58"/>
  <c r="G46" i="58"/>
  <c r="F46" i="58"/>
  <c r="J42" i="64" s="1"/>
  <c r="E46" i="58"/>
  <c r="I42" i="64"/>
  <c r="D46" i="58"/>
  <c r="H42" i="64" s="1"/>
  <c r="N45" i="58"/>
  <c r="P41" i="64" s="1"/>
  <c r="BG41" i="64" s="1"/>
  <c r="M45" i="58"/>
  <c r="O41" i="64"/>
  <c r="AV41" i="64" s="1"/>
  <c r="L45" i="58"/>
  <c r="N41" i="64"/>
  <c r="K45" i="58"/>
  <c r="M41" i="64" s="1"/>
  <c r="J45" i="58"/>
  <c r="L41" i="64" s="1"/>
  <c r="I45" i="58"/>
  <c r="K41" i="64" s="1"/>
  <c r="H45" i="58"/>
  <c r="G45" i="58"/>
  <c r="F45" i="58"/>
  <c r="J41" i="64"/>
  <c r="E45" i="58"/>
  <c r="I41" i="64" s="1"/>
  <c r="D45" i="58"/>
  <c r="H41" i="64" s="1"/>
  <c r="N44" i="58"/>
  <c r="P40" i="64"/>
  <c r="BG40" i="64" s="1"/>
  <c r="M44" i="58"/>
  <c r="O40" i="64" s="1"/>
  <c r="AV40" i="64" s="1"/>
  <c r="L44" i="58"/>
  <c r="N40" i="64"/>
  <c r="K44" i="58"/>
  <c r="M40" i="64"/>
  <c r="J44" i="58"/>
  <c r="L40" i="64" s="1"/>
  <c r="I44" i="58"/>
  <c r="K40" i="64" s="1"/>
  <c r="H44" i="58"/>
  <c r="G44" i="58"/>
  <c r="F44" i="58"/>
  <c r="J40" i="64" s="1"/>
  <c r="E44" i="58"/>
  <c r="I40" i="64" s="1"/>
  <c r="D44" i="58"/>
  <c r="H40" i="64" s="1"/>
  <c r="N43" i="58"/>
  <c r="P39" i="64" s="1"/>
  <c r="BG39" i="64" s="1"/>
  <c r="M43" i="58"/>
  <c r="O39" i="64" s="1"/>
  <c r="AV39" i="64"/>
  <c r="L43" i="58"/>
  <c r="N39" i="64" s="1"/>
  <c r="K43" i="58"/>
  <c r="M39" i="64" s="1"/>
  <c r="J43" i="58"/>
  <c r="L39" i="64"/>
  <c r="I43" i="58"/>
  <c r="K39" i="64"/>
  <c r="H43" i="58"/>
  <c r="G43" i="58"/>
  <c r="F43" i="58"/>
  <c r="J39" i="64" s="1"/>
  <c r="E43" i="58"/>
  <c r="I39" i="64" s="1"/>
  <c r="D43" i="58"/>
  <c r="H39" i="64" s="1"/>
  <c r="N42" i="58"/>
  <c r="P38" i="64" s="1"/>
  <c r="BG38" i="64" s="1"/>
  <c r="M42" i="58"/>
  <c r="O38" i="64"/>
  <c r="AV38" i="64" s="1"/>
  <c r="L42" i="58"/>
  <c r="N38" i="64" s="1"/>
  <c r="K42" i="58"/>
  <c r="M38" i="64" s="1"/>
  <c r="J42" i="58"/>
  <c r="L38" i="64" s="1"/>
  <c r="I42" i="58"/>
  <c r="K38" i="64" s="1"/>
  <c r="H42" i="58"/>
  <c r="G42" i="58"/>
  <c r="F42" i="58"/>
  <c r="J38" i="64" s="1"/>
  <c r="E42" i="58"/>
  <c r="I38" i="64" s="1"/>
  <c r="D42" i="58"/>
  <c r="H38" i="64" s="1"/>
  <c r="N41" i="58"/>
  <c r="P37" i="64" s="1"/>
  <c r="BG37" i="64" s="1"/>
  <c r="M41" i="58"/>
  <c r="O37" i="64" s="1"/>
  <c r="AV37" i="64" s="1"/>
  <c r="L41" i="58"/>
  <c r="N37" i="64" s="1"/>
  <c r="K41" i="58"/>
  <c r="M37" i="64" s="1"/>
  <c r="J41" i="58"/>
  <c r="L37" i="64" s="1"/>
  <c r="I41" i="58"/>
  <c r="K37" i="64" s="1"/>
  <c r="H41" i="58"/>
  <c r="G41" i="58"/>
  <c r="F41" i="58"/>
  <c r="J37" i="64" s="1"/>
  <c r="E41" i="58"/>
  <c r="I37" i="64" s="1"/>
  <c r="D41" i="58"/>
  <c r="H37" i="64" s="1"/>
  <c r="N40" i="58"/>
  <c r="P36" i="64" s="1"/>
  <c r="BG36" i="64" s="1"/>
  <c r="M40" i="58"/>
  <c r="O36" i="64" s="1"/>
  <c r="AV36" i="64" s="1"/>
  <c r="L40" i="58"/>
  <c r="N36" i="64" s="1"/>
  <c r="K40" i="58"/>
  <c r="M36" i="64"/>
  <c r="J40" i="58"/>
  <c r="L36" i="64"/>
  <c r="I40" i="58"/>
  <c r="K36" i="64" s="1"/>
  <c r="H40" i="58"/>
  <c r="G40" i="58"/>
  <c r="F40" i="58"/>
  <c r="J36" i="64"/>
  <c r="E40" i="58"/>
  <c r="I36" i="64"/>
  <c r="D40" i="58"/>
  <c r="H36" i="64" s="1"/>
  <c r="N39" i="58"/>
  <c r="P35" i="64" s="1"/>
  <c r="BG35" i="64" s="1"/>
  <c r="M39" i="58"/>
  <c r="O35" i="64" s="1"/>
  <c r="AV35" i="64" s="1"/>
  <c r="L39" i="58"/>
  <c r="N35" i="64"/>
  <c r="K39" i="58"/>
  <c r="M35" i="64" s="1"/>
  <c r="J39" i="58"/>
  <c r="L35" i="64"/>
  <c r="I39" i="58"/>
  <c r="K35" i="64"/>
  <c r="H39" i="58"/>
  <c r="G39" i="58"/>
  <c r="F39" i="58"/>
  <c r="J35" i="64" s="1"/>
  <c r="D39" i="58"/>
  <c r="H35" i="64"/>
  <c r="N38" i="58"/>
  <c r="P34" i="64" s="1"/>
  <c r="BG34" i="64" s="1"/>
  <c r="M38" i="58"/>
  <c r="O34" i="64" s="1"/>
  <c r="AV34" i="64" s="1"/>
  <c r="L38" i="58"/>
  <c r="N34" i="64" s="1"/>
  <c r="K38" i="58"/>
  <c r="M34" i="64" s="1"/>
  <c r="J38" i="58"/>
  <c r="L34" i="64"/>
  <c r="I38" i="58"/>
  <c r="K34" i="64" s="1"/>
  <c r="H38" i="58"/>
  <c r="G38" i="58"/>
  <c r="F38" i="58"/>
  <c r="J34" i="64"/>
  <c r="D38" i="58"/>
  <c r="H34" i="64"/>
  <c r="N37" i="58"/>
  <c r="P33" i="64" s="1"/>
  <c r="BG33" i="64" s="1"/>
  <c r="M37" i="58"/>
  <c r="O33" i="64" s="1"/>
  <c r="AV33" i="64" s="1"/>
  <c r="L37" i="58"/>
  <c r="N33" i="64" s="1"/>
  <c r="K37" i="58"/>
  <c r="M33" i="64" s="1"/>
  <c r="J37" i="58"/>
  <c r="L33" i="64" s="1"/>
  <c r="I37" i="58"/>
  <c r="K33" i="64"/>
  <c r="H37" i="58"/>
  <c r="G37" i="58"/>
  <c r="F37" i="58"/>
  <c r="J33" i="64" s="1"/>
  <c r="D37" i="58"/>
  <c r="H33" i="64"/>
  <c r="N36" i="58"/>
  <c r="P32" i="64"/>
  <c r="BG32" i="64" s="1"/>
  <c r="M36" i="58"/>
  <c r="O32" i="64" s="1"/>
  <c r="AV32" i="64" s="1"/>
  <c r="L36" i="58"/>
  <c r="N32" i="64"/>
  <c r="K36" i="58"/>
  <c r="M32" i="64" s="1"/>
  <c r="J36" i="58"/>
  <c r="L32" i="64" s="1"/>
  <c r="I36" i="58"/>
  <c r="K32" i="64" s="1"/>
  <c r="H36" i="58"/>
  <c r="G36" i="58"/>
  <c r="F36" i="58"/>
  <c r="J32" i="64" s="1"/>
  <c r="D36" i="58"/>
  <c r="H32" i="64"/>
  <c r="N35" i="58"/>
  <c r="P31" i="64" s="1"/>
  <c r="BG31" i="64" s="1"/>
  <c r="M35" i="58"/>
  <c r="O31" i="64" s="1"/>
  <c r="AV31" i="64" s="1"/>
  <c r="L35" i="58"/>
  <c r="N31" i="64" s="1"/>
  <c r="K35" i="58"/>
  <c r="M31" i="64" s="1"/>
  <c r="J35" i="58"/>
  <c r="L31" i="64" s="1"/>
  <c r="I35" i="58"/>
  <c r="K31" i="64" s="1"/>
  <c r="H35" i="58"/>
  <c r="G35" i="58"/>
  <c r="F35" i="58"/>
  <c r="J31" i="64" s="1"/>
  <c r="D35" i="58"/>
  <c r="H31" i="64" s="1"/>
  <c r="N34" i="58"/>
  <c r="P30" i="64"/>
  <c r="BG30" i="64" s="1"/>
  <c r="M34" i="58"/>
  <c r="O30" i="64" s="1"/>
  <c r="AV30" i="64" s="1"/>
  <c r="L34" i="58"/>
  <c r="N30" i="64"/>
  <c r="K34" i="58"/>
  <c r="M30" i="64"/>
  <c r="J34" i="58"/>
  <c r="L30" i="64" s="1"/>
  <c r="I34" i="58"/>
  <c r="K30" i="64" s="1"/>
  <c r="H34" i="58"/>
  <c r="G34" i="58"/>
  <c r="F34" i="58"/>
  <c r="J30" i="64" s="1"/>
  <c r="D34" i="58"/>
  <c r="H30" i="64" s="1"/>
  <c r="N33" i="58"/>
  <c r="P29" i="64" s="1"/>
  <c r="BG29" i="64" s="1"/>
  <c r="M33" i="58"/>
  <c r="O29" i="64" s="1"/>
  <c r="AV29" i="64" s="1"/>
  <c r="L33" i="58"/>
  <c r="N29" i="64"/>
  <c r="K33" i="58"/>
  <c r="M29" i="64" s="1"/>
  <c r="J33" i="58"/>
  <c r="L29" i="64"/>
  <c r="I33" i="58"/>
  <c r="K29" i="64" s="1"/>
  <c r="H33" i="58"/>
  <c r="G33" i="58"/>
  <c r="F33" i="58"/>
  <c r="J29" i="64" s="1"/>
  <c r="D33" i="58"/>
  <c r="H29" i="64" s="1"/>
  <c r="K14" i="58"/>
  <c r="M10" i="64" s="1"/>
  <c r="L14" i="58"/>
  <c r="N10" i="64"/>
  <c r="M14" i="58"/>
  <c r="O10" i="64" s="1"/>
  <c r="AV10" i="64" s="1"/>
  <c r="N14" i="58"/>
  <c r="P10" i="64" s="1"/>
  <c r="BG10" i="64" s="1"/>
  <c r="K15" i="58"/>
  <c r="M11" i="64" s="1"/>
  <c r="L15" i="58"/>
  <c r="N11" i="64" s="1"/>
  <c r="M15" i="58"/>
  <c r="O11" i="64" s="1"/>
  <c r="AV11" i="64" s="1"/>
  <c r="N15" i="58"/>
  <c r="P11" i="64" s="1"/>
  <c r="BG11" i="64" s="1"/>
  <c r="K16" i="58"/>
  <c r="M12" i="64" s="1"/>
  <c r="L16" i="58"/>
  <c r="N12" i="64"/>
  <c r="M16" i="58"/>
  <c r="O12" i="64"/>
  <c r="AV12" i="64" s="1"/>
  <c r="N16" i="58"/>
  <c r="P12" i="64" s="1"/>
  <c r="BG12" i="64" s="1"/>
  <c r="K17" i="58"/>
  <c r="M13" i="64"/>
  <c r="L17" i="58"/>
  <c r="N13" i="64"/>
  <c r="M17" i="58"/>
  <c r="O13" i="64" s="1"/>
  <c r="AV13" i="64" s="1"/>
  <c r="N17" i="58"/>
  <c r="P13" i="64" s="1"/>
  <c r="BG13" i="64" s="1"/>
  <c r="K18" i="58"/>
  <c r="M14" i="64" s="1"/>
  <c r="L18" i="58"/>
  <c r="N14" i="64"/>
  <c r="M18" i="58"/>
  <c r="O14" i="64" s="1"/>
  <c r="AV14" i="64" s="1"/>
  <c r="N18" i="58"/>
  <c r="P14" i="64" s="1"/>
  <c r="BG14" i="64" s="1"/>
  <c r="K19" i="58"/>
  <c r="M19" i="64" s="1"/>
  <c r="L19" i="58"/>
  <c r="N19" i="64" s="1"/>
  <c r="M19" i="58"/>
  <c r="O19" i="64"/>
  <c r="AV19" i="64" s="1"/>
  <c r="N19" i="58"/>
  <c r="P19" i="64" s="1"/>
  <c r="BG19" i="64" s="1"/>
  <c r="K20" i="58"/>
  <c r="M15" i="64" s="1"/>
  <c r="L20" i="58"/>
  <c r="N15" i="64" s="1"/>
  <c r="M20" i="58"/>
  <c r="O15" i="64"/>
  <c r="AV15" i="64" s="1"/>
  <c r="N20" i="58"/>
  <c r="P15" i="64" s="1"/>
  <c r="BG15" i="64" s="1"/>
  <c r="K21" i="58"/>
  <c r="M16" i="64"/>
  <c r="L21" i="58"/>
  <c r="N16" i="64"/>
  <c r="M21" i="58"/>
  <c r="O16" i="64" s="1"/>
  <c r="AV16" i="64" s="1"/>
  <c r="N21" i="58"/>
  <c r="P16" i="64" s="1"/>
  <c r="BG16" i="64" s="1"/>
  <c r="K22" i="58"/>
  <c r="M17" i="64" s="1"/>
  <c r="L22" i="58"/>
  <c r="N17" i="64" s="1"/>
  <c r="M22" i="58"/>
  <c r="O17" i="64" s="1"/>
  <c r="AV17" i="64" s="1"/>
  <c r="N22" i="58"/>
  <c r="P17" i="64" s="1"/>
  <c r="BG17" i="64" s="1"/>
  <c r="K23" i="58"/>
  <c r="M18" i="64"/>
  <c r="L23" i="58"/>
  <c r="N18" i="64" s="1"/>
  <c r="M23" i="58"/>
  <c r="O18" i="64"/>
  <c r="AV18" i="64" s="1"/>
  <c r="N23" i="58"/>
  <c r="P18" i="64" s="1"/>
  <c r="BG18" i="64" s="1"/>
  <c r="K24" i="58"/>
  <c r="M20" i="64"/>
  <c r="L24" i="58"/>
  <c r="N20" i="64"/>
  <c r="M24" i="58"/>
  <c r="O20" i="64" s="1"/>
  <c r="AV20" i="64" s="1"/>
  <c r="N24" i="58"/>
  <c r="P20" i="64" s="1"/>
  <c r="BG20" i="64" s="1"/>
  <c r="K25" i="58"/>
  <c r="M21" i="64" s="1"/>
  <c r="L25" i="58"/>
  <c r="N21" i="64" s="1"/>
  <c r="M25" i="58"/>
  <c r="O21" i="64"/>
  <c r="AV21" i="64" s="1"/>
  <c r="N25" i="58"/>
  <c r="P21" i="64" s="1"/>
  <c r="BG21" i="64" s="1"/>
  <c r="K26" i="58"/>
  <c r="M22" i="64" s="1"/>
  <c r="L26" i="58"/>
  <c r="N22" i="64"/>
  <c r="M26" i="58"/>
  <c r="O22" i="64"/>
  <c r="AV22" i="64" s="1"/>
  <c r="N26" i="58"/>
  <c r="P22" i="64" s="1"/>
  <c r="BG22" i="64" s="1"/>
  <c r="K27" i="58"/>
  <c r="M23" i="64" s="1"/>
  <c r="L27" i="58"/>
  <c r="N23" i="64"/>
  <c r="M27" i="58"/>
  <c r="O23" i="64"/>
  <c r="AV23" i="64" s="1"/>
  <c r="N27" i="58"/>
  <c r="P23" i="64" s="1"/>
  <c r="BG23" i="64" s="1"/>
  <c r="K28" i="58"/>
  <c r="M24" i="64"/>
  <c r="L28" i="58"/>
  <c r="N24" i="64" s="1"/>
  <c r="M28" i="58"/>
  <c r="O24" i="64" s="1"/>
  <c r="AV24" i="64" s="1"/>
  <c r="N28" i="58"/>
  <c r="P24" i="64" s="1"/>
  <c r="BG24" i="64" s="1"/>
  <c r="K29" i="58"/>
  <c r="M25" i="64" s="1"/>
  <c r="L29" i="58"/>
  <c r="N25" i="64" s="1"/>
  <c r="M29" i="58"/>
  <c r="O25" i="64"/>
  <c r="AV25" i="64" s="1"/>
  <c r="N29" i="58"/>
  <c r="P25" i="64" s="1"/>
  <c r="BG25" i="64" s="1"/>
  <c r="K30" i="58"/>
  <c r="M26" i="64"/>
  <c r="L30" i="58"/>
  <c r="N26" i="64"/>
  <c r="M30" i="58"/>
  <c r="O26" i="64" s="1"/>
  <c r="AV26" i="64" s="1"/>
  <c r="N30" i="58"/>
  <c r="P26" i="64" s="1"/>
  <c r="BG26" i="64" s="1"/>
  <c r="K31" i="58"/>
  <c r="M27" i="64"/>
  <c r="L31" i="58"/>
  <c r="N27" i="64" s="1"/>
  <c r="M31" i="58"/>
  <c r="O27" i="64" s="1"/>
  <c r="AV27" i="64" s="1"/>
  <c r="N31" i="58"/>
  <c r="P27" i="64" s="1"/>
  <c r="BG27" i="64" s="1"/>
  <c r="K32" i="58"/>
  <c r="M28" i="64" s="1"/>
  <c r="L32" i="58"/>
  <c r="N28" i="64"/>
  <c r="M32" i="58"/>
  <c r="O28" i="64"/>
  <c r="AV28" i="64" s="1"/>
  <c r="N32" i="58"/>
  <c r="P28" i="64" s="1"/>
  <c r="BG28" i="64" s="1"/>
  <c r="L13" i="58"/>
  <c r="N9" i="64"/>
  <c r="M13" i="58"/>
  <c r="O9" i="64"/>
  <c r="AV9" i="64" s="1"/>
  <c r="N13" i="58"/>
  <c r="P9" i="64" s="1"/>
  <c r="BG9" i="64" s="1"/>
  <c r="K13" i="58"/>
  <c r="M9" i="64"/>
  <c r="D30" i="58"/>
  <c r="H26" i="64" s="1"/>
  <c r="E30" i="58"/>
  <c r="I26" i="64" s="1"/>
  <c r="F30" i="58"/>
  <c r="J26" i="64"/>
  <c r="G30" i="58"/>
  <c r="H30" i="58"/>
  <c r="I30" i="58"/>
  <c r="K26" i="64" s="1"/>
  <c r="J30" i="58"/>
  <c r="L26" i="64" s="1"/>
  <c r="D31" i="58"/>
  <c r="H27" i="64"/>
  <c r="E31" i="58"/>
  <c r="I27" i="64"/>
  <c r="F31" i="58"/>
  <c r="J27" i="64" s="1"/>
  <c r="G31" i="58"/>
  <c r="H31" i="58"/>
  <c r="I31" i="58"/>
  <c r="K27" i="64"/>
  <c r="J31" i="58"/>
  <c r="L27" i="64"/>
  <c r="D32" i="58"/>
  <c r="H28" i="64" s="1"/>
  <c r="E32" i="58"/>
  <c r="I28" i="64" s="1"/>
  <c r="F32" i="58"/>
  <c r="J28" i="64"/>
  <c r="G32" i="58"/>
  <c r="H32" i="58"/>
  <c r="I32" i="58"/>
  <c r="K28" i="64" s="1"/>
  <c r="J32" i="58"/>
  <c r="L28" i="64" s="1"/>
  <c r="D27" i="58"/>
  <c r="H23" i="64"/>
  <c r="E27" i="58"/>
  <c r="I23" i="64"/>
  <c r="F27" i="58"/>
  <c r="J23" i="64" s="1"/>
  <c r="G27" i="58"/>
  <c r="H27" i="58"/>
  <c r="I27" i="58"/>
  <c r="K23" i="64"/>
  <c r="J27" i="58"/>
  <c r="L23" i="64"/>
  <c r="D28" i="58"/>
  <c r="H24" i="64" s="1"/>
  <c r="E28" i="58"/>
  <c r="I24" i="64" s="1"/>
  <c r="F28" i="58"/>
  <c r="J24" i="64"/>
  <c r="G28" i="58"/>
  <c r="H28" i="58"/>
  <c r="I28" i="58"/>
  <c r="K24" i="64" s="1"/>
  <c r="J28" i="58"/>
  <c r="L24" i="64" s="1"/>
  <c r="D29" i="58"/>
  <c r="H25" i="64"/>
  <c r="E29" i="58"/>
  <c r="I25" i="64"/>
  <c r="F29" i="58"/>
  <c r="J25" i="64" s="1"/>
  <c r="G29" i="58"/>
  <c r="H29" i="58"/>
  <c r="I29" i="58"/>
  <c r="K25" i="64"/>
  <c r="J29" i="58"/>
  <c r="L25" i="64"/>
  <c r="D25" i="58"/>
  <c r="H21" i="64" s="1"/>
  <c r="E25" i="58"/>
  <c r="I21" i="64" s="1"/>
  <c r="F25" i="58"/>
  <c r="J21" i="64"/>
  <c r="G25" i="58"/>
  <c r="H25" i="58"/>
  <c r="I25" i="58"/>
  <c r="K21" i="64" s="1"/>
  <c r="J25" i="58"/>
  <c r="L21" i="64" s="1"/>
  <c r="D26" i="58"/>
  <c r="H22" i="64"/>
  <c r="E26" i="58"/>
  <c r="I22" i="64"/>
  <c r="F26" i="58"/>
  <c r="J22" i="64" s="1"/>
  <c r="G26" i="58"/>
  <c r="H26" i="58"/>
  <c r="I26" i="58"/>
  <c r="K22" i="64"/>
  <c r="J26" i="58"/>
  <c r="L22" i="64"/>
  <c r="D24" i="58"/>
  <c r="H20" i="64"/>
  <c r="E24" i="58"/>
  <c r="I20" i="64" s="1"/>
  <c r="F24" i="58"/>
  <c r="J20" i="64"/>
  <c r="G24" i="58"/>
  <c r="H24" i="58"/>
  <c r="I24" i="58"/>
  <c r="K20" i="64"/>
  <c r="J24" i="58"/>
  <c r="L20" i="64" s="1"/>
  <c r="D21" i="58"/>
  <c r="H16" i="64"/>
  <c r="E21" i="58"/>
  <c r="I16" i="64"/>
  <c r="F21" i="58"/>
  <c r="J16" i="64"/>
  <c r="G21" i="58"/>
  <c r="H21" i="58"/>
  <c r="I21" i="58"/>
  <c r="K16" i="64"/>
  <c r="J21" i="58"/>
  <c r="L16" i="64"/>
  <c r="D22" i="58"/>
  <c r="H17" i="64"/>
  <c r="E22" i="58"/>
  <c r="I17" i="64" s="1"/>
  <c r="F22" i="58"/>
  <c r="J17" i="64"/>
  <c r="G22" i="58"/>
  <c r="H22" i="58"/>
  <c r="I22" i="58"/>
  <c r="K17" i="64"/>
  <c r="J22" i="58"/>
  <c r="L17" i="64" s="1"/>
  <c r="D23" i="58"/>
  <c r="H18" i="64"/>
  <c r="E23" i="58"/>
  <c r="I18" i="64"/>
  <c r="F23" i="58"/>
  <c r="J18" i="64"/>
  <c r="G23" i="58"/>
  <c r="H23" i="58"/>
  <c r="I23" i="58"/>
  <c r="K18" i="64"/>
  <c r="J23" i="58"/>
  <c r="L18" i="64"/>
  <c r="D20" i="58"/>
  <c r="H15" i="64"/>
  <c r="E20" i="58"/>
  <c r="I15" i="64" s="1"/>
  <c r="F20" i="58"/>
  <c r="J15" i="64"/>
  <c r="G20" i="58"/>
  <c r="H20" i="58"/>
  <c r="I20" i="58"/>
  <c r="K15" i="64"/>
  <c r="J20" i="58"/>
  <c r="L15" i="64" s="1"/>
  <c r="D18" i="58"/>
  <c r="H14" i="64"/>
  <c r="E18" i="58"/>
  <c r="I14" i="64"/>
  <c r="F18" i="58"/>
  <c r="J14" i="64"/>
  <c r="G18" i="58"/>
  <c r="H18" i="58"/>
  <c r="I18" i="58"/>
  <c r="K14" i="64"/>
  <c r="J18" i="58"/>
  <c r="L14" i="64"/>
  <c r="D19" i="58"/>
  <c r="H19" i="64"/>
  <c r="E19" i="58"/>
  <c r="I19" i="64" s="1"/>
  <c r="F19" i="58"/>
  <c r="J19" i="64"/>
  <c r="G19" i="58"/>
  <c r="H19" i="58"/>
  <c r="I19" i="58"/>
  <c r="K19" i="64"/>
  <c r="J19" i="58"/>
  <c r="L19" i="64" s="1"/>
  <c r="J17" i="58"/>
  <c r="L13" i="64"/>
  <c r="I17" i="58"/>
  <c r="K13" i="64"/>
  <c r="H17" i="58"/>
  <c r="G17" i="58"/>
  <c r="F17" i="58"/>
  <c r="J13" i="64" s="1"/>
  <c r="E17" i="58"/>
  <c r="I13" i="64"/>
  <c r="D17" i="58"/>
  <c r="H13" i="64"/>
  <c r="J16" i="58"/>
  <c r="L12" i="64"/>
  <c r="I16" i="58"/>
  <c r="K12" i="64" s="1"/>
  <c r="H16" i="58"/>
  <c r="G16" i="58"/>
  <c r="F16" i="58"/>
  <c r="J12" i="64"/>
  <c r="E16" i="58"/>
  <c r="I12" i="64"/>
  <c r="D16" i="58"/>
  <c r="H12" i="64" s="1"/>
  <c r="D14" i="58"/>
  <c r="H10" i="64"/>
  <c r="E14" i="58"/>
  <c r="I10" i="64"/>
  <c r="F14" i="58"/>
  <c r="J10" i="64"/>
  <c r="G14" i="58"/>
  <c r="H14" i="58"/>
  <c r="I14" i="58"/>
  <c r="K10" i="64"/>
  <c r="J14" i="58"/>
  <c r="L10" i="64"/>
  <c r="D15" i="58"/>
  <c r="H11" i="64"/>
  <c r="E15" i="58"/>
  <c r="I11" i="64" s="1"/>
  <c r="F15" i="58"/>
  <c r="J11" i="64"/>
  <c r="G15" i="58"/>
  <c r="H15" i="58"/>
  <c r="I15" i="58"/>
  <c r="K11" i="64"/>
  <c r="J15" i="58"/>
  <c r="L11" i="64" s="1"/>
  <c r="J13" i="58"/>
  <c r="L9" i="64"/>
  <c r="I13" i="58"/>
  <c r="K9" i="64"/>
  <c r="H13" i="58"/>
  <c r="G13" i="58"/>
  <c r="F13" i="58"/>
  <c r="J9" i="64" s="1"/>
  <c r="E13" i="58"/>
  <c r="I9" i="64" s="1"/>
  <c r="D13" i="58"/>
  <c r="H9" i="64" s="1"/>
  <c r="AD82" i="64"/>
  <c r="O138" i="60"/>
  <c r="AB80" i="64"/>
  <c r="BJ80" i="64" s="1"/>
  <c r="G136" i="60"/>
  <c r="AB81" i="64"/>
  <c r="F137" i="60"/>
  <c r="K137" i="60" s="1"/>
  <c r="G137" i="60"/>
  <c r="L137" i="60" s="1"/>
  <c r="AC82" i="64"/>
  <c r="BK82" i="64" s="1"/>
  <c r="H138" i="60"/>
  <c r="AC81" i="64"/>
  <c r="I137" i="60"/>
  <c r="J137" i="60" s="1"/>
  <c r="H137" i="60"/>
  <c r="AC80" i="64"/>
  <c r="BK80" i="64" s="1"/>
  <c r="I136" i="60"/>
  <c r="J136" i="60" s="1"/>
  <c r="H136" i="60"/>
  <c r="AD80" i="64"/>
  <c r="O136" i="60"/>
  <c r="T136" i="60" s="1"/>
  <c r="AB82" i="64"/>
  <c r="BJ82" i="64" s="1"/>
  <c r="F138" i="60"/>
  <c r="G138" i="60"/>
  <c r="J59" i="64"/>
  <c r="J79" i="64"/>
  <c r="J72" i="64"/>
  <c r="J77" i="64"/>
  <c r="J58" i="64"/>
  <c r="J57" i="64"/>
  <c r="J76" i="64"/>
  <c r="J78" i="64"/>
  <c r="AK80" i="64"/>
  <c r="AJ80" i="64"/>
  <c r="AJ81" i="64"/>
  <c r="AJ82" i="64"/>
  <c r="G121" i="59"/>
  <c r="F74" i="63" s="1"/>
  <c r="F121" i="59"/>
  <c r="E74" i="75" s="1"/>
  <c r="E121" i="59"/>
  <c r="D74" i="75" s="1"/>
  <c r="R73" i="59"/>
  <c r="R72" i="59"/>
  <c r="R71" i="59"/>
  <c r="N73" i="59"/>
  <c r="AU138" i="60" s="1"/>
  <c r="N72" i="59"/>
  <c r="AU137" i="60" s="1"/>
  <c r="N71" i="59"/>
  <c r="AU136" i="60" s="1"/>
  <c r="L73" i="59"/>
  <c r="AS138" i="60" s="1"/>
  <c r="L72" i="59"/>
  <c r="AS137" i="60" s="1"/>
  <c r="L71" i="59"/>
  <c r="AS136" i="60" s="1"/>
  <c r="J73" i="59"/>
  <c r="AQ138" i="60" s="1"/>
  <c r="J72" i="59"/>
  <c r="AQ137" i="60" s="1"/>
  <c r="J71" i="59"/>
  <c r="AQ136" i="60" s="1"/>
  <c r="C136" i="60"/>
  <c r="C137" i="60"/>
  <c r="C138" i="60"/>
  <c r="D137" i="60"/>
  <c r="D136" i="60"/>
  <c r="D138" i="60"/>
  <c r="E74" i="63"/>
  <c r="E74" i="77"/>
  <c r="L136" i="60"/>
  <c r="BA17" i="50"/>
  <c r="AX19" i="50"/>
  <c r="BF19" i="50" s="1"/>
  <c r="AW19" i="50"/>
  <c r="AT19" i="50"/>
  <c r="U86" i="58"/>
  <c r="AL19" i="50"/>
  <c r="S86" i="58" s="1"/>
  <c r="AT18" i="50"/>
  <c r="U85" i="58"/>
  <c r="AG137" i="60" s="1"/>
  <c r="AL18" i="50"/>
  <c r="S85" i="58"/>
  <c r="AT17" i="50"/>
  <c r="U84" i="58"/>
  <c r="AH80" i="64" s="1"/>
  <c r="AL17" i="50"/>
  <c r="S84" i="58" s="1"/>
  <c r="H18" i="50"/>
  <c r="I18" i="50"/>
  <c r="H19" i="50"/>
  <c r="I19" i="50"/>
  <c r="I17" i="50"/>
  <c r="H17" i="50"/>
  <c r="Q72" i="59"/>
  <c r="E137" i="60" s="1"/>
  <c r="N137" i="60" s="1"/>
  <c r="Q73" i="59"/>
  <c r="E138" i="60"/>
  <c r="N138" i="60" s="1"/>
  <c r="Q71" i="59"/>
  <c r="E136" i="60"/>
  <c r="F18" i="50"/>
  <c r="P72" i="59" s="1"/>
  <c r="F19" i="50"/>
  <c r="F17" i="50"/>
  <c r="BH17" i="50" s="1"/>
  <c r="AG84" i="58" s="1"/>
  <c r="E17" i="50"/>
  <c r="D17" i="50"/>
  <c r="E16" i="50"/>
  <c r="O86" i="38"/>
  <c r="O85" i="38"/>
  <c r="O84" i="38"/>
  <c r="N136" i="60"/>
  <c r="AH81" i="64"/>
  <c r="P71" i="59"/>
  <c r="BC18" i="50"/>
  <c r="AW18" i="50"/>
  <c r="BE18" i="50" s="1"/>
  <c r="BB17" i="50"/>
  <c r="AX18" i="50"/>
  <c r="BB19" i="50"/>
  <c r="BC17" i="50"/>
  <c r="B5" i="62"/>
  <c r="B5" i="77" s="1"/>
  <c r="G126" i="59"/>
  <c r="G125" i="59"/>
  <c r="G124" i="59"/>
  <c r="F77" i="75" s="1"/>
  <c r="G123" i="59"/>
  <c r="G122" i="59"/>
  <c r="F75" i="63" s="1"/>
  <c r="G120" i="59"/>
  <c r="G119" i="59"/>
  <c r="G118" i="59"/>
  <c r="F71" i="63" s="1"/>
  <c r="G117" i="59"/>
  <c r="F70" i="76" s="1"/>
  <c r="G116" i="59"/>
  <c r="F69" i="63" s="1"/>
  <c r="G115" i="59"/>
  <c r="G114" i="59"/>
  <c r="G113" i="59"/>
  <c r="F66" i="77" s="1"/>
  <c r="G112" i="59"/>
  <c r="F126" i="59"/>
  <c r="F125" i="59"/>
  <c r="E78" i="63" s="1"/>
  <c r="F124" i="59"/>
  <c r="E77" i="75" s="1"/>
  <c r="F123" i="59"/>
  <c r="E76" i="76" s="1"/>
  <c r="F122" i="59"/>
  <c r="E75" i="75" s="1"/>
  <c r="F120" i="59"/>
  <c r="F119" i="59"/>
  <c r="E72" i="75" s="1"/>
  <c r="F118" i="59"/>
  <c r="F117" i="59"/>
  <c r="E70" i="76" s="1"/>
  <c r="F116" i="59"/>
  <c r="E69" i="63" s="1"/>
  <c r="F115" i="59"/>
  <c r="E68" i="76" s="1"/>
  <c r="F114" i="59"/>
  <c r="E67" i="63" s="1"/>
  <c r="F113" i="59"/>
  <c r="E66" i="76" s="1"/>
  <c r="F112" i="59"/>
  <c r="E126" i="59"/>
  <c r="D79" i="77" s="1"/>
  <c r="E125" i="59"/>
  <c r="E124" i="59"/>
  <c r="E123" i="59"/>
  <c r="D76" i="63" s="1"/>
  <c r="E122" i="59"/>
  <c r="D75" i="76" s="1"/>
  <c r="E120" i="59"/>
  <c r="D73" i="76" s="1"/>
  <c r="E119" i="59"/>
  <c r="D72" i="63" s="1"/>
  <c r="E118" i="59"/>
  <c r="E117" i="59"/>
  <c r="E116" i="59"/>
  <c r="E115" i="59"/>
  <c r="D68" i="75" s="1"/>
  <c r="E114" i="59"/>
  <c r="D67" i="63" s="1"/>
  <c r="E113" i="59"/>
  <c r="D66" i="75" s="1"/>
  <c r="E112" i="59"/>
  <c r="D65" i="63" s="1"/>
  <c r="G111" i="59"/>
  <c r="F111" i="59"/>
  <c r="E64" i="77" s="1"/>
  <c r="E111" i="59"/>
  <c r="D64" i="77" s="1"/>
  <c r="D67" i="77"/>
  <c r="D67" i="76"/>
  <c r="E70" i="63"/>
  <c r="E70" i="77"/>
  <c r="E70" i="75"/>
  <c r="E71" i="63"/>
  <c r="E71" i="77"/>
  <c r="E71" i="76"/>
  <c r="E71" i="75"/>
  <c r="F73" i="63"/>
  <c r="F73" i="77"/>
  <c r="F73" i="76"/>
  <c r="F73" i="75"/>
  <c r="D70" i="76"/>
  <c r="E72" i="63"/>
  <c r="E72" i="77"/>
  <c r="E72" i="76"/>
  <c r="F75" i="77"/>
  <c r="F75" i="75"/>
  <c r="E64" i="63"/>
  <c r="E64" i="75"/>
  <c r="E64" i="76"/>
  <c r="D71" i="63"/>
  <c r="D71" i="77"/>
  <c r="D71" i="76"/>
  <c r="D71" i="75"/>
  <c r="E65" i="63"/>
  <c r="E65" i="77"/>
  <c r="E65" i="76"/>
  <c r="E65" i="75"/>
  <c r="E73" i="63"/>
  <c r="E73" i="77"/>
  <c r="E73" i="76"/>
  <c r="E73" i="75"/>
  <c r="F67" i="63"/>
  <c r="F67" i="77"/>
  <c r="F67" i="76"/>
  <c r="F67" i="75"/>
  <c r="F76" i="63"/>
  <c r="F76" i="77"/>
  <c r="F76" i="76"/>
  <c r="F76" i="75"/>
  <c r="W138" i="60"/>
  <c r="AF138" i="60" s="1"/>
  <c r="D69" i="63"/>
  <c r="D69" i="77"/>
  <c r="D69" i="75"/>
  <c r="D69" i="76"/>
  <c r="D78" i="63"/>
  <c r="D78" i="77"/>
  <c r="D78" i="75"/>
  <c r="D78" i="76"/>
  <c r="F65" i="63"/>
  <c r="F65" i="77"/>
  <c r="F65" i="76"/>
  <c r="F65" i="75"/>
  <c r="D64" i="75"/>
  <c r="D64" i="76"/>
  <c r="D79" i="63"/>
  <c r="D79" i="76"/>
  <c r="F66" i="63"/>
  <c r="F66" i="76"/>
  <c r="F66" i="75"/>
  <c r="D72" i="76"/>
  <c r="D72" i="75"/>
  <c r="F77" i="63"/>
  <c r="F77" i="77"/>
  <c r="D76" i="75"/>
  <c r="D77" i="63"/>
  <c r="D77" i="77"/>
  <c r="D77" i="76"/>
  <c r="D77" i="75"/>
  <c r="D65" i="77"/>
  <c r="D73" i="63"/>
  <c r="D73" i="77"/>
  <c r="D73" i="75"/>
  <c r="E67" i="77"/>
  <c r="E67" i="75"/>
  <c r="E76" i="63"/>
  <c r="E76" i="77"/>
  <c r="E76" i="75"/>
  <c r="F69" i="77"/>
  <c r="F69" i="75"/>
  <c r="F78" i="63"/>
  <c r="F78" i="77"/>
  <c r="F78" i="76"/>
  <c r="F78" i="75"/>
  <c r="E77" i="77"/>
  <c r="F70" i="77"/>
  <c r="F79" i="77"/>
  <c r="F79" i="75"/>
  <c r="E69" i="75"/>
  <c r="E78" i="77"/>
  <c r="F71" i="75"/>
  <c r="B5" i="76"/>
  <c r="D68" i="63"/>
  <c r="D68" i="77"/>
  <c r="D68" i="76"/>
  <c r="E79" i="63"/>
  <c r="E79" i="77"/>
  <c r="E79" i="76"/>
  <c r="E79" i="75"/>
  <c r="F72" i="63"/>
  <c r="F72" i="77"/>
  <c r="F72" i="76"/>
  <c r="F72" i="75"/>
  <c r="BA18" i="50"/>
  <c r="B37" i="62"/>
  <c r="AV171" i="60"/>
  <c r="AV172" i="60"/>
  <c r="AV173" i="60"/>
  <c r="AO172" i="60"/>
  <c r="AP172" i="60"/>
  <c r="AO173" i="60"/>
  <c r="AP173" i="60"/>
  <c r="AP171" i="60"/>
  <c r="AO171" i="60"/>
  <c r="C172" i="60"/>
  <c r="C173" i="60"/>
  <c r="C171" i="60"/>
  <c r="AV163" i="60"/>
  <c r="AV164" i="60"/>
  <c r="AV165" i="60"/>
  <c r="AO164" i="60"/>
  <c r="AP164" i="60"/>
  <c r="AO165" i="60"/>
  <c r="AP165" i="60"/>
  <c r="AP163" i="60"/>
  <c r="AO163" i="60"/>
  <c r="C164" i="60"/>
  <c r="C165" i="60"/>
  <c r="C163" i="60"/>
  <c r="AV153" i="60"/>
  <c r="AV154" i="60"/>
  <c r="AV155" i="60"/>
  <c r="AV157" i="60"/>
  <c r="AO154" i="60"/>
  <c r="AP154" i="60"/>
  <c r="AO155" i="60"/>
  <c r="AP155" i="60"/>
  <c r="AO157" i="60"/>
  <c r="AP157" i="60"/>
  <c r="AP153" i="60"/>
  <c r="AO153" i="60"/>
  <c r="C154" i="60"/>
  <c r="C155" i="60"/>
  <c r="C157" i="60"/>
  <c r="C153" i="60"/>
  <c r="AV144" i="60"/>
  <c r="AV145" i="60"/>
  <c r="AV146" i="60"/>
  <c r="AV147" i="60"/>
  <c r="AO145" i="60"/>
  <c r="AP145" i="60"/>
  <c r="AO146" i="60"/>
  <c r="AP146" i="60"/>
  <c r="AO147" i="60"/>
  <c r="AP147" i="60"/>
  <c r="AP144" i="60"/>
  <c r="AO144" i="60"/>
  <c r="C145" i="60"/>
  <c r="C146" i="60"/>
  <c r="C147" i="60"/>
  <c r="C144" i="60"/>
  <c r="AV135" i="60"/>
  <c r="AP135" i="60"/>
  <c r="AO135" i="60"/>
  <c r="C135" i="60"/>
  <c r="AV127" i="60"/>
  <c r="AV128" i="60"/>
  <c r="AV129" i="60"/>
  <c r="AO128" i="60"/>
  <c r="AP128" i="60"/>
  <c r="AO129" i="60"/>
  <c r="AP129" i="60"/>
  <c r="AP127" i="60"/>
  <c r="AO127" i="60"/>
  <c r="C128" i="60"/>
  <c r="C129" i="60"/>
  <c r="C127" i="60"/>
  <c r="AV120" i="60"/>
  <c r="AV121" i="60"/>
  <c r="AO121" i="60"/>
  <c r="AP121" i="60"/>
  <c r="AP120" i="60"/>
  <c r="AO120" i="60"/>
  <c r="C121" i="60"/>
  <c r="C120" i="60"/>
  <c r="AV107" i="60"/>
  <c r="AV108" i="60"/>
  <c r="AV109" i="60"/>
  <c r="AV110" i="60"/>
  <c r="AV111" i="60"/>
  <c r="AV112" i="60"/>
  <c r="AV113" i="60"/>
  <c r="AV114" i="60"/>
  <c r="AO108" i="60"/>
  <c r="AP108" i="60"/>
  <c r="AO109" i="60"/>
  <c r="AP109" i="60"/>
  <c r="AO110" i="60"/>
  <c r="AP110" i="60"/>
  <c r="AO111" i="60"/>
  <c r="AP111" i="60"/>
  <c r="AO112" i="60"/>
  <c r="AP112" i="60"/>
  <c r="AO113" i="60"/>
  <c r="AP113" i="60"/>
  <c r="AO114" i="60"/>
  <c r="AP114" i="60"/>
  <c r="AP107" i="60"/>
  <c r="AO107" i="60"/>
  <c r="C108" i="60"/>
  <c r="C109" i="60"/>
  <c r="C110" i="60"/>
  <c r="C111" i="60"/>
  <c r="C112" i="60"/>
  <c r="C113" i="60"/>
  <c r="C114" i="60"/>
  <c r="C107" i="60"/>
  <c r="AV94" i="60"/>
  <c r="AV95" i="60"/>
  <c r="AV96" i="60"/>
  <c r="AV97" i="60"/>
  <c r="AV98" i="60"/>
  <c r="AV99" i="60"/>
  <c r="AV100" i="60"/>
  <c r="AV101" i="60"/>
  <c r="AO100" i="60"/>
  <c r="AP100" i="60"/>
  <c r="AO101" i="60"/>
  <c r="AP101" i="60"/>
  <c r="AO95" i="60"/>
  <c r="AP95" i="60"/>
  <c r="AO96" i="60"/>
  <c r="AP96" i="60"/>
  <c r="AO97" i="60"/>
  <c r="AP97" i="60"/>
  <c r="AO98" i="60"/>
  <c r="AP98" i="60"/>
  <c r="AO99" i="60"/>
  <c r="AP99" i="60"/>
  <c r="AP94" i="60"/>
  <c r="AO94" i="60"/>
  <c r="C95" i="60"/>
  <c r="C96" i="60"/>
  <c r="C97" i="60"/>
  <c r="C98" i="60"/>
  <c r="C99" i="60"/>
  <c r="C100" i="60"/>
  <c r="C101" i="60"/>
  <c r="C94" i="60"/>
  <c r="AV82" i="60"/>
  <c r="AV83" i="60"/>
  <c r="AV84" i="60"/>
  <c r="AV85" i="60"/>
  <c r="AV86" i="60"/>
  <c r="AV87" i="60"/>
  <c r="AV88" i="60"/>
  <c r="AP83" i="60"/>
  <c r="AP84" i="60"/>
  <c r="AP85" i="60"/>
  <c r="AP86" i="60"/>
  <c r="AP87" i="60"/>
  <c r="AP88" i="60"/>
  <c r="AO83" i="60"/>
  <c r="AO84" i="60"/>
  <c r="AO85" i="60"/>
  <c r="AO86" i="60"/>
  <c r="AO87" i="60"/>
  <c r="AO88" i="60"/>
  <c r="AP82" i="60"/>
  <c r="AO82" i="60"/>
  <c r="C83" i="60"/>
  <c r="C84" i="60"/>
  <c r="C85" i="60"/>
  <c r="C86" i="60"/>
  <c r="C87" i="60"/>
  <c r="C88" i="60"/>
  <c r="C82" i="60"/>
  <c r="AV57" i="60"/>
  <c r="AV58" i="60"/>
  <c r="AV59" i="60"/>
  <c r="AV60" i="60"/>
  <c r="AV61" i="60"/>
  <c r="AV62" i="60"/>
  <c r="AV63" i="60"/>
  <c r="AV64" i="60"/>
  <c r="AV65" i="60"/>
  <c r="AV66" i="60"/>
  <c r="AV67" i="60"/>
  <c r="AV68" i="60"/>
  <c r="AV69" i="60"/>
  <c r="AV70" i="60"/>
  <c r="AV71" i="60"/>
  <c r="AV72" i="60"/>
  <c r="AV73" i="60"/>
  <c r="AV74" i="60"/>
  <c r="AV75" i="60"/>
  <c r="AV76" i="60"/>
  <c r="AO58" i="60"/>
  <c r="AP58" i="60"/>
  <c r="AO59" i="60"/>
  <c r="AP59" i="60"/>
  <c r="AO60" i="60"/>
  <c r="AP60" i="60"/>
  <c r="AO61" i="60"/>
  <c r="AP61" i="60"/>
  <c r="AO62" i="60"/>
  <c r="AP62" i="60"/>
  <c r="AO63" i="60"/>
  <c r="AP63" i="60"/>
  <c r="AO64" i="60"/>
  <c r="AP64" i="60"/>
  <c r="AO65" i="60"/>
  <c r="AP65" i="60"/>
  <c r="AO66" i="60"/>
  <c r="AP66" i="60"/>
  <c r="AO67" i="60"/>
  <c r="AP67" i="60"/>
  <c r="AO68" i="60"/>
  <c r="AP68" i="60"/>
  <c r="AO69" i="60"/>
  <c r="AP69" i="60"/>
  <c r="AO70" i="60"/>
  <c r="AP70" i="60"/>
  <c r="AO71" i="60"/>
  <c r="AP71" i="60"/>
  <c r="AO72" i="60"/>
  <c r="AP72" i="60"/>
  <c r="AO73" i="60"/>
  <c r="AP73" i="60"/>
  <c r="AO74" i="60"/>
  <c r="AP74" i="60"/>
  <c r="AO75" i="60"/>
  <c r="AP75" i="60"/>
  <c r="AO76" i="60"/>
  <c r="AP76" i="60"/>
  <c r="AP57" i="60"/>
  <c r="AO57" i="60"/>
  <c r="C74" i="60"/>
  <c r="C75" i="60"/>
  <c r="C76" i="60"/>
  <c r="C58" i="60"/>
  <c r="C59" i="60"/>
  <c r="C60" i="60"/>
  <c r="C61" i="60"/>
  <c r="C62" i="60"/>
  <c r="C63" i="60"/>
  <c r="C64" i="60"/>
  <c r="C65" i="60"/>
  <c r="C66" i="60"/>
  <c r="C67" i="60"/>
  <c r="C68" i="60"/>
  <c r="C69" i="60"/>
  <c r="C70" i="60"/>
  <c r="C71" i="60"/>
  <c r="C72" i="60"/>
  <c r="C73" i="60"/>
  <c r="C57" i="60"/>
  <c r="AV49" i="60"/>
  <c r="AV50" i="60"/>
  <c r="AV51" i="60"/>
  <c r="AO50" i="60"/>
  <c r="AP50" i="60"/>
  <c r="AO51" i="60"/>
  <c r="AP51" i="60"/>
  <c r="AP49" i="60"/>
  <c r="AO49" i="60"/>
  <c r="C50" i="60"/>
  <c r="C51" i="60"/>
  <c r="C49" i="60"/>
  <c r="AV42" i="60"/>
  <c r="AV43" i="60"/>
  <c r="AP43" i="60"/>
  <c r="AO43" i="60"/>
  <c r="AP42" i="60"/>
  <c r="AO42" i="60"/>
  <c r="C43" i="60"/>
  <c r="C42" i="60"/>
  <c r="AO31" i="60"/>
  <c r="AP31" i="60"/>
  <c r="AV31" i="60"/>
  <c r="AO32" i="60"/>
  <c r="AP32" i="60"/>
  <c r="AV32" i="60"/>
  <c r="AO33" i="60"/>
  <c r="AP33" i="60"/>
  <c r="AV33" i="60"/>
  <c r="AO34" i="60"/>
  <c r="AP34" i="60"/>
  <c r="AV34" i="60"/>
  <c r="AO35" i="60"/>
  <c r="AP35" i="60"/>
  <c r="AV35" i="60"/>
  <c r="AO36" i="60"/>
  <c r="AP36" i="60"/>
  <c r="AV36" i="60"/>
  <c r="AV30" i="60"/>
  <c r="AP30" i="60"/>
  <c r="AO30" i="60"/>
  <c r="AP21" i="60"/>
  <c r="AV21" i="60"/>
  <c r="AP23" i="60"/>
  <c r="AV23" i="60"/>
  <c r="AP24" i="60"/>
  <c r="AV24" i="60"/>
  <c r="AO23" i="60"/>
  <c r="AO24" i="60"/>
  <c r="AO21" i="60"/>
  <c r="C36" i="60"/>
  <c r="C34" i="60"/>
  <c r="C35" i="60"/>
  <c r="C31" i="60"/>
  <c r="C32" i="60"/>
  <c r="C33" i="60"/>
  <c r="C30" i="60"/>
  <c r="C23" i="60"/>
  <c r="C24" i="60"/>
  <c r="C21" i="60"/>
  <c r="AP13" i="60"/>
  <c r="AV13" i="60"/>
  <c r="AP14" i="60"/>
  <c r="AV14" i="60"/>
  <c r="AP15" i="60"/>
  <c r="AV15" i="60"/>
  <c r="AV12" i="60"/>
  <c r="AP12" i="60"/>
  <c r="AO13" i="60"/>
  <c r="AO14" i="60"/>
  <c r="AO15" i="60"/>
  <c r="AO12" i="60"/>
  <c r="C169" i="60"/>
  <c r="C161" i="60"/>
  <c r="C151" i="60"/>
  <c r="C142" i="60"/>
  <c r="C133" i="60"/>
  <c r="C125" i="60"/>
  <c r="C118" i="60"/>
  <c r="C105" i="60"/>
  <c r="C92" i="60"/>
  <c r="C80" i="60"/>
  <c r="C55" i="60"/>
  <c r="C47" i="60"/>
  <c r="C40" i="60"/>
  <c r="C19" i="60"/>
  <c r="C28" i="60"/>
  <c r="C13" i="60"/>
  <c r="C14" i="60"/>
  <c r="C15" i="60"/>
  <c r="C12" i="60"/>
  <c r="B12" i="60"/>
  <c r="B13" i="60" s="1"/>
  <c r="B14" i="60" s="1"/>
  <c r="B15" i="60" s="1"/>
  <c r="B21" i="60" s="1"/>
  <c r="B22" i="60" s="1"/>
  <c r="B23" i="60" s="1"/>
  <c r="B24" i="60" s="1"/>
  <c r="B30" i="60" s="1"/>
  <c r="B31" i="60" s="1"/>
  <c r="B32" i="60" s="1"/>
  <c r="B33" i="60" s="1"/>
  <c r="B34" i="60" s="1"/>
  <c r="B35" i="60" s="1"/>
  <c r="B36" i="60" s="1"/>
  <c r="B42" i="60" s="1"/>
  <c r="B43" i="60" s="1"/>
  <c r="B49" i="60" s="1"/>
  <c r="B50" i="60" s="1"/>
  <c r="B51"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82" i="60" s="1"/>
  <c r="B83" i="60" s="1"/>
  <c r="B84" i="60" s="1"/>
  <c r="B85" i="60" s="1"/>
  <c r="B86" i="60" s="1"/>
  <c r="B87" i="60" s="1"/>
  <c r="B88" i="60" s="1"/>
  <c r="B94" i="60" s="1"/>
  <c r="B95" i="60" s="1"/>
  <c r="B96" i="60" s="1"/>
  <c r="B97" i="60" s="1"/>
  <c r="B98" i="60" s="1"/>
  <c r="B99" i="60" s="1"/>
  <c r="B100" i="60" s="1"/>
  <c r="B101" i="60" s="1"/>
  <c r="B107" i="60" s="1"/>
  <c r="B108" i="60" s="1"/>
  <c r="B109" i="60" s="1"/>
  <c r="B110" i="60" s="1"/>
  <c r="B111" i="60" s="1"/>
  <c r="B112" i="60" s="1"/>
  <c r="B113" i="60" s="1"/>
  <c r="B114" i="60" s="1"/>
  <c r="B120" i="60" s="1"/>
  <c r="B121" i="60" s="1"/>
  <c r="B127" i="60" s="1"/>
  <c r="B128" i="60" s="1"/>
  <c r="B129" i="60" s="1"/>
  <c r="B135" i="60" s="1"/>
  <c r="B136" i="60" s="1"/>
  <c r="B137" i="60" s="1"/>
  <c r="B138" i="60" s="1"/>
  <c r="B144" i="60" s="1"/>
  <c r="B145" i="60" s="1"/>
  <c r="B146" i="60" s="1"/>
  <c r="B147" i="60" s="1"/>
  <c r="B153" i="60" s="1"/>
  <c r="B154" i="60" s="1"/>
  <c r="B155" i="60" s="1"/>
  <c r="B156" i="60" s="1"/>
  <c r="B157" i="60" s="1"/>
  <c r="B163" i="60" s="1"/>
  <c r="B164" i="60" s="1"/>
  <c r="B165" i="60" s="1"/>
  <c r="B171" i="60" s="1"/>
  <c r="B172" i="60" s="1"/>
  <c r="B173" i="60" s="1"/>
  <c r="Q90" i="59"/>
  <c r="E172" i="60" s="1"/>
  <c r="N172" i="60" s="1"/>
  <c r="Q91" i="59"/>
  <c r="E173" i="60" s="1"/>
  <c r="N173" i="60" s="1"/>
  <c r="Q89" i="59"/>
  <c r="E171" i="60" s="1"/>
  <c r="N171" i="60" s="1"/>
  <c r="F90" i="59"/>
  <c r="F91" i="59"/>
  <c r="F89" i="59"/>
  <c r="F87" i="59"/>
  <c r="F88" i="59"/>
  <c r="F86" i="59"/>
  <c r="F83" i="59"/>
  <c r="F84" i="59"/>
  <c r="F85" i="59"/>
  <c r="F79" i="59"/>
  <c r="F80" i="59"/>
  <c r="F81" i="59"/>
  <c r="F82" i="59"/>
  <c r="F78" i="59"/>
  <c r="F75" i="59"/>
  <c r="F76" i="59"/>
  <c r="F77" i="59"/>
  <c r="F74" i="59"/>
  <c r="F70" i="59"/>
  <c r="F68" i="59"/>
  <c r="F69" i="59"/>
  <c r="F67" i="59"/>
  <c r="F66" i="59"/>
  <c r="F65" i="59"/>
  <c r="O17" i="56"/>
  <c r="O16" i="56"/>
  <c r="O20" i="44"/>
  <c r="O21" i="44"/>
  <c r="O22" i="44"/>
  <c r="O17" i="44"/>
  <c r="O18" i="44"/>
  <c r="R15" i="59" s="1"/>
  <c r="O19" i="44"/>
  <c r="R16" i="59" s="1"/>
  <c r="O16" i="44"/>
  <c r="O18" i="45"/>
  <c r="O19" i="45"/>
  <c r="O16" i="45"/>
  <c r="O20" i="47"/>
  <c r="R61" i="59" s="1"/>
  <c r="O21" i="47"/>
  <c r="R62" i="59" s="1"/>
  <c r="O22" i="47"/>
  <c r="R63" i="59" s="1"/>
  <c r="O23" i="47"/>
  <c r="R64" i="59" s="1"/>
  <c r="O18" i="47"/>
  <c r="R59" i="59" s="1"/>
  <c r="O19" i="47"/>
  <c r="R60" i="59" s="1"/>
  <c r="O17" i="47"/>
  <c r="R58" i="59" s="1"/>
  <c r="O16" i="47"/>
  <c r="R57" i="59"/>
  <c r="F58" i="59"/>
  <c r="F59" i="59"/>
  <c r="F60" i="59"/>
  <c r="F61" i="59"/>
  <c r="F62" i="59"/>
  <c r="F63" i="59"/>
  <c r="F64" i="59"/>
  <c r="F57" i="59"/>
  <c r="F56" i="59"/>
  <c r="F55" i="59"/>
  <c r="F50" i="59"/>
  <c r="F51" i="59"/>
  <c r="F52" i="59"/>
  <c r="F53" i="59"/>
  <c r="F54" i="59"/>
  <c r="F49" i="59"/>
  <c r="F48" i="59"/>
  <c r="F43" i="59"/>
  <c r="F44" i="59"/>
  <c r="F45" i="59"/>
  <c r="F46" i="59"/>
  <c r="F47" i="59"/>
  <c r="F42" i="59"/>
  <c r="M23" i="59"/>
  <c r="AT58" i="60" s="1"/>
  <c r="O22" i="42"/>
  <c r="R48" i="59" s="1"/>
  <c r="O21" i="42"/>
  <c r="R47" i="59" s="1"/>
  <c r="O19" i="42"/>
  <c r="R45" i="59" s="1"/>
  <c r="O20" i="42"/>
  <c r="R46" i="59" s="1"/>
  <c r="O17" i="42"/>
  <c r="R43" i="59" s="1"/>
  <c r="O18" i="42"/>
  <c r="R44" i="59" s="1"/>
  <c r="O16" i="42"/>
  <c r="R42" i="59" s="1"/>
  <c r="O35" i="41"/>
  <c r="O32" i="41"/>
  <c r="O33" i="41"/>
  <c r="O34" i="41"/>
  <c r="O30" i="41"/>
  <c r="O31" i="41"/>
  <c r="O29" i="41"/>
  <c r="O28" i="41"/>
  <c r="O27" i="41"/>
  <c r="O26" i="41"/>
  <c r="O25" i="41"/>
  <c r="O24" i="41"/>
  <c r="O22" i="41"/>
  <c r="O23" i="41"/>
  <c r="O21" i="41"/>
  <c r="O20" i="41"/>
  <c r="O19" i="41"/>
  <c r="O17" i="41"/>
  <c r="O18" i="41"/>
  <c r="O16" i="41"/>
  <c r="R33" i="59"/>
  <c r="R17" i="59"/>
  <c r="R18" i="59"/>
  <c r="R19" i="59"/>
  <c r="F22" i="59"/>
  <c r="F23" i="59"/>
  <c r="F24" i="59"/>
  <c r="F25" i="59"/>
  <c r="F26" i="59"/>
  <c r="F27" i="59"/>
  <c r="F28" i="59"/>
  <c r="F29" i="59"/>
  <c r="F30" i="59"/>
  <c r="F31" i="59"/>
  <c r="F32" i="59"/>
  <c r="F33" i="59"/>
  <c r="F34" i="59"/>
  <c r="F35" i="59"/>
  <c r="F36" i="59"/>
  <c r="F37" i="59"/>
  <c r="F38" i="59"/>
  <c r="F39" i="59"/>
  <c r="F40" i="59"/>
  <c r="F41" i="59"/>
  <c r="F20" i="59"/>
  <c r="F21" i="59"/>
  <c r="F13" i="59"/>
  <c r="F14" i="59"/>
  <c r="F15" i="59"/>
  <c r="F16" i="59"/>
  <c r="F17" i="59"/>
  <c r="F18" i="59"/>
  <c r="F19" i="59"/>
  <c r="F9" i="59"/>
  <c r="F11" i="59"/>
  <c r="F12" i="59"/>
  <c r="F6" i="59"/>
  <c r="F7" i="59"/>
  <c r="F8" i="59"/>
  <c r="F5" i="59"/>
  <c r="N106" i="59"/>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AU173" i="60" s="1"/>
  <c r="M91" i="59"/>
  <c r="AT173" i="60" s="1"/>
  <c r="L91" i="59"/>
  <c r="AS173" i="60" s="1"/>
  <c r="K91" i="59"/>
  <c r="AR173" i="60" s="1"/>
  <c r="J91" i="59"/>
  <c r="AQ173" i="60" s="1"/>
  <c r="N90" i="59"/>
  <c r="AU172" i="60" s="1"/>
  <c r="M90" i="59"/>
  <c r="AT172" i="60" s="1"/>
  <c r="L90" i="59"/>
  <c r="AS172" i="60" s="1"/>
  <c r="K90" i="59"/>
  <c r="AR172" i="60" s="1"/>
  <c r="J90" i="59"/>
  <c r="AQ172" i="60" s="1"/>
  <c r="N89" i="59"/>
  <c r="AU171" i="60" s="1"/>
  <c r="M89" i="59"/>
  <c r="AT171" i="60" s="1"/>
  <c r="L89" i="59"/>
  <c r="AS171" i="60" s="1"/>
  <c r="K89" i="59"/>
  <c r="AR171" i="60"/>
  <c r="J89" i="59"/>
  <c r="AQ171" i="60" s="1"/>
  <c r="N88" i="59"/>
  <c r="AU165" i="60" s="1"/>
  <c r="M88" i="59"/>
  <c r="AT165" i="60"/>
  <c r="L88" i="59"/>
  <c r="AS165" i="60"/>
  <c r="K88" i="59"/>
  <c r="AR165" i="60" s="1"/>
  <c r="J88" i="59"/>
  <c r="AQ165" i="60" s="1"/>
  <c r="N87" i="59"/>
  <c r="AU164" i="60" s="1"/>
  <c r="M87" i="59"/>
  <c r="AT164" i="60"/>
  <c r="L87" i="59"/>
  <c r="AS164" i="60" s="1"/>
  <c r="K87" i="59"/>
  <c r="AR164" i="60" s="1"/>
  <c r="J87" i="59"/>
  <c r="AQ164" i="60"/>
  <c r="N86" i="59"/>
  <c r="AU163" i="60" s="1"/>
  <c r="M86" i="59"/>
  <c r="AT163" i="60" s="1"/>
  <c r="L86" i="59"/>
  <c r="AS163" i="60" s="1"/>
  <c r="K86" i="59"/>
  <c r="AR163" i="60" s="1"/>
  <c r="J86" i="59"/>
  <c r="AQ163" i="60" s="1"/>
  <c r="N85" i="59"/>
  <c r="AU51" i="60" s="1"/>
  <c r="M85" i="59"/>
  <c r="AT51" i="60" s="1"/>
  <c r="L85" i="59"/>
  <c r="AS51" i="60" s="1"/>
  <c r="K85" i="59"/>
  <c r="AR51" i="60" s="1"/>
  <c r="J85" i="59"/>
  <c r="AQ51" i="60" s="1"/>
  <c r="N84" i="59"/>
  <c r="AU50" i="60" s="1"/>
  <c r="M84" i="59"/>
  <c r="AT50" i="60" s="1"/>
  <c r="L84" i="59"/>
  <c r="AS50" i="60" s="1"/>
  <c r="K84" i="59"/>
  <c r="AR50" i="60" s="1"/>
  <c r="J84" i="59"/>
  <c r="AQ50" i="60" s="1"/>
  <c r="N83" i="59"/>
  <c r="AU49" i="60" s="1"/>
  <c r="M83" i="59"/>
  <c r="AT49" i="60" s="1"/>
  <c r="L83" i="59"/>
  <c r="AS49" i="60" s="1"/>
  <c r="K83" i="59"/>
  <c r="AR49" i="60" s="1"/>
  <c r="J83" i="59"/>
  <c r="AQ49" i="60" s="1"/>
  <c r="N82" i="59"/>
  <c r="AU157" i="60"/>
  <c r="M82" i="59"/>
  <c r="AT157" i="60" s="1"/>
  <c r="L82" i="59"/>
  <c r="AS157" i="60" s="1"/>
  <c r="K82" i="59"/>
  <c r="AR157" i="60" s="1"/>
  <c r="J82" i="59"/>
  <c r="AQ157" i="60"/>
  <c r="N81" i="59"/>
  <c r="AU156" i="60" s="1"/>
  <c r="M81" i="59"/>
  <c r="AT156" i="60" s="1"/>
  <c r="L81" i="59"/>
  <c r="AS156" i="60"/>
  <c r="K81" i="59"/>
  <c r="AR156" i="60" s="1"/>
  <c r="J81" i="59"/>
  <c r="AQ156" i="60" s="1"/>
  <c r="N80" i="59"/>
  <c r="AU155" i="60" s="1"/>
  <c r="M80" i="59"/>
  <c r="AT155" i="60"/>
  <c r="L80" i="59"/>
  <c r="AS155" i="60"/>
  <c r="K80" i="59"/>
  <c r="AR155" i="60" s="1"/>
  <c r="J80" i="59"/>
  <c r="AQ155" i="60" s="1"/>
  <c r="N79" i="59"/>
  <c r="AU154" i="60" s="1"/>
  <c r="M79" i="59"/>
  <c r="AT154" i="60" s="1"/>
  <c r="L79" i="59"/>
  <c r="AS154" i="60" s="1"/>
  <c r="K79" i="59"/>
  <c r="AR154" i="60" s="1"/>
  <c r="J79" i="59"/>
  <c r="AQ154" i="60" s="1"/>
  <c r="N78" i="59"/>
  <c r="AU153" i="60" s="1"/>
  <c r="M78" i="59"/>
  <c r="AT153" i="60" s="1"/>
  <c r="L78" i="59"/>
  <c r="AS153" i="60" s="1"/>
  <c r="K78" i="59"/>
  <c r="AR153" i="60" s="1"/>
  <c r="J78" i="59"/>
  <c r="AQ153" i="60" s="1"/>
  <c r="N77" i="59"/>
  <c r="AU147" i="60" s="1"/>
  <c r="M77" i="59"/>
  <c r="AT147" i="60" s="1"/>
  <c r="L77" i="59"/>
  <c r="AS147" i="60" s="1"/>
  <c r="K77" i="59"/>
  <c r="AR147" i="60" s="1"/>
  <c r="J77" i="59"/>
  <c r="AQ147" i="60" s="1"/>
  <c r="N76" i="59"/>
  <c r="AU146" i="60" s="1"/>
  <c r="M76" i="59"/>
  <c r="AT146" i="60" s="1"/>
  <c r="L76" i="59"/>
  <c r="AS146" i="60"/>
  <c r="K76" i="59"/>
  <c r="AR146" i="60" s="1"/>
  <c r="J76" i="59"/>
  <c r="AQ146" i="60" s="1"/>
  <c r="N75" i="59"/>
  <c r="AU145" i="60"/>
  <c r="M75" i="59"/>
  <c r="AT145" i="60" s="1"/>
  <c r="L75" i="59"/>
  <c r="AS145" i="60" s="1"/>
  <c r="K75" i="59"/>
  <c r="AR145" i="60" s="1"/>
  <c r="J75" i="59"/>
  <c r="AQ145" i="60"/>
  <c r="N74" i="59"/>
  <c r="M74" i="59"/>
  <c r="L74" i="59"/>
  <c r="K74" i="59"/>
  <c r="J74" i="59"/>
  <c r="N70" i="59"/>
  <c r="AU135" i="60" s="1"/>
  <c r="M70" i="59"/>
  <c r="AT135" i="60" s="1"/>
  <c r="L70" i="59"/>
  <c r="AS135" i="60" s="1"/>
  <c r="K70" i="59"/>
  <c r="AR135" i="60" s="1"/>
  <c r="J70" i="59"/>
  <c r="AQ135" i="60"/>
  <c r="N69" i="59"/>
  <c r="M69" i="59"/>
  <c r="L69" i="59"/>
  <c r="K69" i="59"/>
  <c r="J69" i="59"/>
  <c r="AQ121" i="60" s="1"/>
  <c r="N68" i="59"/>
  <c r="M68" i="59"/>
  <c r="L68" i="59"/>
  <c r="K68" i="59"/>
  <c r="J68" i="59"/>
  <c r="N67" i="59"/>
  <c r="AU127" i="60" s="1"/>
  <c r="M67" i="59"/>
  <c r="AT127" i="60"/>
  <c r="L67" i="59"/>
  <c r="AS127" i="60" s="1"/>
  <c r="K67" i="59"/>
  <c r="AR127" i="60" s="1"/>
  <c r="J67" i="59"/>
  <c r="AQ127" i="60" s="1"/>
  <c r="N66" i="59"/>
  <c r="M66" i="59"/>
  <c r="L66" i="59"/>
  <c r="K66" i="59"/>
  <c r="J66" i="59"/>
  <c r="N65" i="59"/>
  <c r="M65" i="59"/>
  <c r="L65" i="59"/>
  <c r="K65" i="59"/>
  <c r="J65" i="59"/>
  <c r="N64" i="59"/>
  <c r="AU114" i="60"/>
  <c r="M64" i="59"/>
  <c r="AT114" i="60" s="1"/>
  <c r="L64" i="59"/>
  <c r="AS114" i="60" s="1"/>
  <c r="K64" i="59"/>
  <c r="AR114" i="60"/>
  <c r="J64" i="59"/>
  <c r="AQ114" i="60"/>
  <c r="N63" i="59"/>
  <c r="AU113" i="60" s="1"/>
  <c r="M63" i="59"/>
  <c r="AT113" i="60" s="1"/>
  <c r="L63" i="59"/>
  <c r="AS113" i="60" s="1"/>
  <c r="K63" i="59"/>
  <c r="AR113" i="60"/>
  <c r="J63" i="59"/>
  <c r="AQ113" i="60" s="1"/>
  <c r="N62" i="59"/>
  <c r="AU112" i="60" s="1"/>
  <c r="M62" i="59"/>
  <c r="AT112" i="60"/>
  <c r="L62" i="59"/>
  <c r="AS112" i="60" s="1"/>
  <c r="K62" i="59"/>
  <c r="AR112" i="60" s="1"/>
  <c r="J62" i="59"/>
  <c r="AQ112" i="60" s="1"/>
  <c r="N61" i="59"/>
  <c r="AU111" i="60"/>
  <c r="M61" i="59"/>
  <c r="AT111" i="60"/>
  <c r="L61" i="59"/>
  <c r="AS111" i="60" s="1"/>
  <c r="K61" i="59"/>
  <c r="AR111" i="60" s="1"/>
  <c r="J61" i="59"/>
  <c r="AQ111" i="60"/>
  <c r="N60" i="59"/>
  <c r="AU110" i="60"/>
  <c r="M60" i="59"/>
  <c r="AT110" i="60" s="1"/>
  <c r="L60" i="59"/>
  <c r="AS110" i="60" s="1"/>
  <c r="K60" i="59"/>
  <c r="AR110" i="60" s="1"/>
  <c r="J60" i="59"/>
  <c r="AQ110" i="60"/>
  <c r="N59" i="59"/>
  <c r="AU109" i="60" s="1"/>
  <c r="M59" i="59"/>
  <c r="AT109" i="60" s="1"/>
  <c r="L59" i="59"/>
  <c r="AS109" i="60"/>
  <c r="K59" i="59"/>
  <c r="AR109" i="60" s="1"/>
  <c r="J59" i="59"/>
  <c r="AQ109" i="60" s="1"/>
  <c r="N58" i="59"/>
  <c r="AU108" i="60" s="1"/>
  <c r="M58" i="59"/>
  <c r="AT108" i="60"/>
  <c r="L58" i="59"/>
  <c r="AS108" i="60"/>
  <c r="K58" i="59"/>
  <c r="AR108" i="60" s="1"/>
  <c r="J58" i="59"/>
  <c r="AQ108" i="60" s="1"/>
  <c r="N57" i="59"/>
  <c r="AU107" i="60"/>
  <c r="M57" i="59"/>
  <c r="AT107" i="60"/>
  <c r="L57" i="59"/>
  <c r="AS107" i="60" s="1"/>
  <c r="K57" i="59"/>
  <c r="AR107" i="60" s="1"/>
  <c r="J57" i="59"/>
  <c r="AQ107" i="60" s="1"/>
  <c r="N56" i="59"/>
  <c r="AU101" i="60"/>
  <c r="M56" i="59"/>
  <c r="AT101" i="60" s="1"/>
  <c r="L56" i="59"/>
  <c r="AS101" i="60" s="1"/>
  <c r="K56" i="59"/>
  <c r="AR101" i="60"/>
  <c r="J56" i="59"/>
  <c r="AQ101" i="60" s="1"/>
  <c r="N55" i="59"/>
  <c r="AU100" i="60" s="1"/>
  <c r="M55" i="59"/>
  <c r="AT100" i="60" s="1"/>
  <c r="L55" i="59"/>
  <c r="AS100" i="60"/>
  <c r="K55" i="59"/>
  <c r="AR100" i="60"/>
  <c r="J55" i="59"/>
  <c r="AQ100" i="60" s="1"/>
  <c r="N54" i="59"/>
  <c r="AU99" i="60" s="1"/>
  <c r="M54" i="59"/>
  <c r="AT99" i="60"/>
  <c r="L54" i="59"/>
  <c r="AS99" i="60"/>
  <c r="K54" i="59"/>
  <c r="AR99" i="60" s="1"/>
  <c r="J54" i="59"/>
  <c r="AQ99" i="60" s="1"/>
  <c r="N53" i="59"/>
  <c r="AU98" i="60" s="1"/>
  <c r="M53" i="59"/>
  <c r="AT98" i="60"/>
  <c r="L53" i="59"/>
  <c r="AS98" i="60" s="1"/>
  <c r="K53" i="59"/>
  <c r="AR98" i="60" s="1"/>
  <c r="J53" i="59"/>
  <c r="AQ98" i="60"/>
  <c r="N52" i="59"/>
  <c r="AU97" i="60" s="1"/>
  <c r="M52" i="59"/>
  <c r="AT97" i="60" s="1"/>
  <c r="L52" i="59"/>
  <c r="AS97" i="60" s="1"/>
  <c r="K52" i="59"/>
  <c r="AR97" i="60"/>
  <c r="J52" i="59"/>
  <c r="AQ97" i="60"/>
  <c r="N51" i="59"/>
  <c r="AU96" i="60" s="1"/>
  <c r="M51" i="59"/>
  <c r="AT96" i="60" s="1"/>
  <c r="L51" i="59"/>
  <c r="AS96" i="60"/>
  <c r="K51" i="59"/>
  <c r="AR96" i="60"/>
  <c r="J51" i="59"/>
  <c r="AQ96" i="60" s="1"/>
  <c r="N50" i="59"/>
  <c r="AU95" i="60" s="1"/>
  <c r="M50" i="59"/>
  <c r="AT95" i="60" s="1"/>
  <c r="L50" i="59"/>
  <c r="AS95" i="60"/>
  <c r="K50" i="59"/>
  <c r="AR95" i="60" s="1"/>
  <c r="J50" i="59"/>
  <c r="AQ95" i="60" s="1"/>
  <c r="N49" i="59"/>
  <c r="AU94" i="60"/>
  <c r="M49" i="59"/>
  <c r="AT94" i="60" s="1"/>
  <c r="L49" i="59"/>
  <c r="AS94" i="60"/>
  <c r="K49" i="59"/>
  <c r="AR94" i="60" s="1"/>
  <c r="J49" i="59"/>
  <c r="AQ94" i="60" s="1"/>
  <c r="N48" i="59"/>
  <c r="AU88" i="60" s="1"/>
  <c r="M48" i="59"/>
  <c r="AT88" i="60"/>
  <c r="L48" i="59"/>
  <c r="AS88" i="60" s="1"/>
  <c r="K48" i="59"/>
  <c r="AR88" i="60"/>
  <c r="J48" i="59"/>
  <c r="AQ88" i="60"/>
  <c r="N47" i="59"/>
  <c r="AU87" i="60" s="1"/>
  <c r="M47" i="59"/>
  <c r="AT87" i="60" s="1"/>
  <c r="L47" i="59"/>
  <c r="AS87" i="60"/>
  <c r="K47" i="59"/>
  <c r="AR87" i="60"/>
  <c r="J47" i="59"/>
  <c r="AQ87" i="60" s="1"/>
  <c r="N46" i="59"/>
  <c r="AU86" i="60" s="1"/>
  <c r="M46" i="59"/>
  <c r="AT86" i="60" s="1"/>
  <c r="L46" i="59"/>
  <c r="AS86" i="60"/>
  <c r="K46" i="59"/>
  <c r="AR86" i="60"/>
  <c r="J46" i="59"/>
  <c r="AQ86" i="60" s="1"/>
  <c r="N45" i="59"/>
  <c r="AU85" i="60" s="1"/>
  <c r="M45" i="59"/>
  <c r="AT85" i="60"/>
  <c r="L45" i="59"/>
  <c r="AS85" i="60" s="1"/>
  <c r="K45" i="59"/>
  <c r="AR85" i="60" s="1"/>
  <c r="J45" i="59"/>
  <c r="AQ85" i="60" s="1"/>
  <c r="N44" i="59"/>
  <c r="AU84" i="60" s="1"/>
  <c r="M44" i="59"/>
  <c r="AT84" i="60"/>
  <c r="L44" i="59"/>
  <c r="AS84" i="60" s="1"/>
  <c r="K44" i="59"/>
  <c r="AR84" i="60"/>
  <c r="J44" i="59"/>
  <c r="AQ84" i="60"/>
  <c r="N43" i="59"/>
  <c r="AU83" i="60" s="1"/>
  <c r="M43" i="59"/>
  <c r="AT83" i="60" s="1"/>
  <c r="L43" i="59"/>
  <c r="AS83" i="60"/>
  <c r="K43" i="59"/>
  <c r="AR83" i="60"/>
  <c r="J43" i="59"/>
  <c r="AQ83" i="60"/>
  <c r="N42" i="59"/>
  <c r="AU82" i="60" s="1"/>
  <c r="M42" i="59"/>
  <c r="AT82" i="60"/>
  <c r="L42" i="59"/>
  <c r="AS82" i="60" s="1"/>
  <c r="K42" i="59"/>
  <c r="AR82" i="60" s="1"/>
  <c r="J42" i="59"/>
  <c r="AQ82" i="60" s="1"/>
  <c r="N41" i="59"/>
  <c r="AU76" i="60" s="1"/>
  <c r="M41" i="59"/>
  <c r="AT76" i="60"/>
  <c r="L41" i="59"/>
  <c r="AS76" i="60" s="1"/>
  <c r="K41" i="59"/>
  <c r="AR76" i="60" s="1"/>
  <c r="J41" i="59"/>
  <c r="AQ76" i="60"/>
  <c r="N40" i="59"/>
  <c r="AU75" i="60" s="1"/>
  <c r="M40" i="59"/>
  <c r="AT75" i="60" s="1"/>
  <c r="L40" i="59"/>
  <c r="AS75" i="60" s="1"/>
  <c r="K40" i="59"/>
  <c r="AR75" i="60"/>
  <c r="J40" i="59"/>
  <c r="AQ75" i="60"/>
  <c r="N39" i="59"/>
  <c r="AU74" i="60" s="1"/>
  <c r="M39" i="59"/>
  <c r="AT74" i="60" s="1"/>
  <c r="L39" i="59"/>
  <c r="AS74" i="60" s="1"/>
  <c r="K39" i="59"/>
  <c r="AR74" i="60" s="1"/>
  <c r="J39" i="59"/>
  <c r="AQ74" i="60" s="1"/>
  <c r="N38" i="59"/>
  <c r="AU73" i="60" s="1"/>
  <c r="M38" i="59"/>
  <c r="AT73" i="60"/>
  <c r="L38" i="59"/>
  <c r="AS73" i="60" s="1"/>
  <c r="K38" i="59"/>
  <c r="AR73" i="60" s="1"/>
  <c r="J38" i="59"/>
  <c r="AQ73" i="60" s="1"/>
  <c r="N37" i="59"/>
  <c r="AU72" i="60" s="1"/>
  <c r="M37" i="59"/>
  <c r="AT72" i="60"/>
  <c r="L37" i="59"/>
  <c r="AS72" i="60" s="1"/>
  <c r="K37" i="59"/>
  <c r="AR72" i="60" s="1"/>
  <c r="J37" i="59"/>
  <c r="AQ72" i="60"/>
  <c r="N36" i="59"/>
  <c r="AU71" i="60" s="1"/>
  <c r="M36" i="59"/>
  <c r="AT71" i="60"/>
  <c r="L36" i="59"/>
  <c r="AS71" i="60" s="1"/>
  <c r="K36" i="59"/>
  <c r="AR71" i="60"/>
  <c r="J36" i="59"/>
  <c r="AQ71" i="60" s="1"/>
  <c r="N35" i="59"/>
  <c r="AU70" i="60" s="1"/>
  <c r="M35" i="59"/>
  <c r="AT70" i="60" s="1"/>
  <c r="L35" i="59"/>
  <c r="AS70" i="60"/>
  <c r="K35" i="59"/>
  <c r="AR70" i="60"/>
  <c r="J35" i="59"/>
  <c r="AQ70" i="60" s="1"/>
  <c r="N34" i="59"/>
  <c r="AU69" i="60" s="1"/>
  <c r="M34" i="59"/>
  <c r="AT69" i="60" s="1"/>
  <c r="L34" i="59"/>
  <c r="AS69" i="60" s="1"/>
  <c r="K34" i="59"/>
  <c r="AR69" i="60" s="1"/>
  <c r="J34" i="59"/>
  <c r="AQ69" i="60" s="1"/>
  <c r="N33" i="59"/>
  <c r="AU68" i="60" s="1"/>
  <c r="M33" i="59"/>
  <c r="AT68" i="60" s="1"/>
  <c r="L33" i="59"/>
  <c r="AS68" i="60"/>
  <c r="K33" i="59"/>
  <c r="AR68" i="60" s="1"/>
  <c r="J33" i="59"/>
  <c r="AQ68" i="60"/>
  <c r="N32" i="59"/>
  <c r="AU67" i="60" s="1"/>
  <c r="M32" i="59"/>
  <c r="AT67" i="60" s="1"/>
  <c r="L32" i="59"/>
  <c r="AS67" i="60" s="1"/>
  <c r="K32" i="59"/>
  <c r="AR67" i="60"/>
  <c r="J32" i="59"/>
  <c r="AQ67" i="60" s="1"/>
  <c r="N31" i="59"/>
  <c r="AU66" i="60" s="1"/>
  <c r="M31" i="59"/>
  <c r="AT66" i="60" s="1"/>
  <c r="L31" i="59"/>
  <c r="AS66" i="60" s="1"/>
  <c r="K31" i="59"/>
  <c r="AR66" i="60"/>
  <c r="J31" i="59"/>
  <c r="AQ66" i="60" s="1"/>
  <c r="N30" i="59"/>
  <c r="AU65" i="60" s="1"/>
  <c r="M30" i="59"/>
  <c r="AT65" i="60"/>
  <c r="L30" i="59"/>
  <c r="AS65" i="60" s="1"/>
  <c r="K30" i="59"/>
  <c r="AR65" i="60"/>
  <c r="J30" i="59"/>
  <c r="AQ65" i="60" s="1"/>
  <c r="N29" i="59"/>
  <c r="AU64" i="60"/>
  <c r="M29" i="59"/>
  <c r="AT64" i="60" s="1"/>
  <c r="L29" i="59"/>
  <c r="AS64" i="60" s="1"/>
  <c r="K29" i="59"/>
  <c r="AR64" i="60" s="1"/>
  <c r="J29" i="59"/>
  <c r="AQ64" i="60"/>
  <c r="N28" i="59"/>
  <c r="AU63" i="60"/>
  <c r="M28" i="59"/>
  <c r="AT63" i="60" s="1"/>
  <c r="L28" i="59"/>
  <c r="AS63" i="60" s="1"/>
  <c r="K28" i="59"/>
  <c r="AR63" i="60" s="1"/>
  <c r="J28" i="59"/>
  <c r="AQ63" i="60" s="1"/>
  <c r="N27" i="59"/>
  <c r="AU62" i="60" s="1"/>
  <c r="M27" i="59"/>
  <c r="AT62" i="60" s="1"/>
  <c r="L27" i="59"/>
  <c r="AS62" i="60" s="1"/>
  <c r="K27" i="59"/>
  <c r="AR62" i="60" s="1"/>
  <c r="J27" i="59"/>
  <c r="AQ62" i="60"/>
  <c r="N26" i="59"/>
  <c r="AU61" i="60" s="1"/>
  <c r="M26" i="59"/>
  <c r="AT61" i="60"/>
  <c r="L26" i="59"/>
  <c r="AS61" i="60" s="1"/>
  <c r="K26" i="59"/>
  <c r="AR61" i="60" s="1"/>
  <c r="J26" i="59"/>
  <c r="AQ61" i="60" s="1"/>
  <c r="N25" i="59"/>
  <c r="AU60" i="60"/>
  <c r="M25" i="59"/>
  <c r="AT60" i="60" s="1"/>
  <c r="L25" i="59"/>
  <c r="AS60" i="60" s="1"/>
  <c r="K25" i="59"/>
  <c r="AR60" i="60" s="1"/>
  <c r="J25" i="59"/>
  <c r="AQ60" i="60" s="1"/>
  <c r="N24" i="59"/>
  <c r="AU59" i="60"/>
  <c r="M24" i="59"/>
  <c r="AT59" i="60" s="1"/>
  <c r="L24" i="59"/>
  <c r="AS59" i="60" s="1"/>
  <c r="K24" i="59"/>
  <c r="AR59" i="60"/>
  <c r="J24" i="59"/>
  <c r="AQ59" i="60" s="1"/>
  <c r="N23" i="59"/>
  <c r="AU58" i="60"/>
  <c r="L23" i="59"/>
  <c r="AS58" i="60" s="1"/>
  <c r="K23" i="59"/>
  <c r="AR58" i="60"/>
  <c r="J23" i="59"/>
  <c r="AQ58" i="60" s="1"/>
  <c r="N22" i="59"/>
  <c r="AU57" i="60" s="1"/>
  <c r="M22" i="59"/>
  <c r="AT57" i="60" s="1"/>
  <c r="L22" i="59"/>
  <c r="AS57" i="60"/>
  <c r="K22" i="59"/>
  <c r="AR57" i="60"/>
  <c r="J22" i="59"/>
  <c r="AQ57" i="60" s="1"/>
  <c r="N21" i="59"/>
  <c r="AU43" i="60" s="1"/>
  <c r="M21" i="59"/>
  <c r="AT43" i="60" s="1"/>
  <c r="L21" i="59"/>
  <c r="AS43" i="60" s="1"/>
  <c r="K21" i="59"/>
  <c r="AR43" i="60" s="1"/>
  <c r="J21" i="59"/>
  <c r="AQ43" i="60" s="1"/>
  <c r="N20" i="59"/>
  <c r="AU42" i="60" s="1"/>
  <c r="M20" i="59"/>
  <c r="AT42" i="60" s="1"/>
  <c r="L20" i="59"/>
  <c r="AS42" i="60"/>
  <c r="K20" i="59"/>
  <c r="AR42" i="60" s="1"/>
  <c r="J20" i="59"/>
  <c r="AQ42" i="60"/>
  <c r="N19" i="59"/>
  <c r="AU36" i="60" s="1"/>
  <c r="M19" i="59"/>
  <c r="AT36" i="60" s="1"/>
  <c r="L19" i="59"/>
  <c r="AS36" i="60" s="1"/>
  <c r="K19" i="59"/>
  <c r="AR36" i="60"/>
  <c r="J19" i="59"/>
  <c r="AQ36" i="60" s="1"/>
  <c r="N18" i="59"/>
  <c r="AU35" i="60" s="1"/>
  <c r="M18" i="59"/>
  <c r="AT35" i="60" s="1"/>
  <c r="L18" i="59"/>
  <c r="AS35" i="60"/>
  <c r="K18" i="59"/>
  <c r="AR35" i="60" s="1"/>
  <c r="J18" i="59"/>
  <c r="AQ35" i="60" s="1"/>
  <c r="N17" i="59"/>
  <c r="AU34" i="60" s="1"/>
  <c r="M17" i="59"/>
  <c r="AT34" i="60"/>
  <c r="L17" i="59"/>
  <c r="AS34" i="60" s="1"/>
  <c r="K17" i="59"/>
  <c r="AR34" i="60" s="1"/>
  <c r="J17" i="59"/>
  <c r="AQ34" i="60" s="1"/>
  <c r="N16" i="59"/>
  <c r="AU33" i="60"/>
  <c r="M16" i="59"/>
  <c r="AT33" i="60" s="1"/>
  <c r="L16" i="59"/>
  <c r="AS33" i="60" s="1"/>
  <c r="K16" i="59"/>
  <c r="AR33" i="60" s="1"/>
  <c r="J16" i="59"/>
  <c r="AQ33" i="60" s="1"/>
  <c r="N15" i="59"/>
  <c r="AU32" i="60"/>
  <c r="M15" i="59"/>
  <c r="AT32" i="60"/>
  <c r="L15" i="59"/>
  <c r="AS32" i="60" s="1"/>
  <c r="K15" i="59"/>
  <c r="AR32" i="60" s="1"/>
  <c r="J15" i="59"/>
  <c r="AQ32" i="60"/>
  <c r="N14" i="59"/>
  <c r="AU31" i="60" s="1"/>
  <c r="M14" i="59"/>
  <c r="AT31" i="60" s="1"/>
  <c r="L14" i="59"/>
  <c r="AS31" i="60"/>
  <c r="K14" i="59"/>
  <c r="AR31" i="60" s="1"/>
  <c r="J14" i="59"/>
  <c r="AQ31" i="60"/>
  <c r="N13" i="59"/>
  <c r="AU30" i="60" s="1"/>
  <c r="M13" i="59"/>
  <c r="AT30" i="60" s="1"/>
  <c r="L13" i="59"/>
  <c r="AS30" i="60" s="1"/>
  <c r="K13" i="59"/>
  <c r="AR30" i="60"/>
  <c r="J13" i="59"/>
  <c r="AQ30" i="60" s="1"/>
  <c r="N12" i="59"/>
  <c r="AU24" i="60"/>
  <c r="M12" i="59"/>
  <c r="AT24" i="60"/>
  <c r="L12" i="59"/>
  <c r="AS24" i="60" s="1"/>
  <c r="K12" i="59"/>
  <c r="AR24" i="60" s="1"/>
  <c r="J12" i="59"/>
  <c r="AQ24" i="60" s="1"/>
  <c r="N11" i="59"/>
  <c r="AU23" i="60"/>
  <c r="M11" i="59"/>
  <c r="AT23" i="60"/>
  <c r="L11" i="59"/>
  <c r="AS23" i="60" s="1"/>
  <c r="K11" i="59"/>
  <c r="AR23" i="60" s="1"/>
  <c r="J11" i="59"/>
  <c r="AQ23" i="60" s="1"/>
  <c r="N9" i="59"/>
  <c r="AU21" i="60" s="1"/>
  <c r="M9" i="59"/>
  <c r="AT21" i="60" s="1"/>
  <c r="L9" i="59"/>
  <c r="AS21" i="60" s="1"/>
  <c r="K9" i="59"/>
  <c r="AR21" i="60"/>
  <c r="J9" i="59"/>
  <c r="AQ21" i="60" s="1"/>
  <c r="N8" i="59"/>
  <c r="AU15" i="60" s="1"/>
  <c r="M8" i="59"/>
  <c r="AT15" i="60" s="1"/>
  <c r="L8" i="59"/>
  <c r="AS15" i="60" s="1"/>
  <c r="K8" i="59"/>
  <c r="AR15" i="60"/>
  <c r="J8" i="59"/>
  <c r="AQ15" i="60" s="1"/>
  <c r="N7" i="59"/>
  <c r="AU14" i="60" s="1"/>
  <c r="M7" i="59"/>
  <c r="AT14" i="60"/>
  <c r="L7" i="59"/>
  <c r="AS14" i="60" s="1"/>
  <c r="K7" i="59"/>
  <c r="AR14" i="60"/>
  <c r="J7" i="59"/>
  <c r="AQ14" i="60" s="1"/>
  <c r="N6" i="59"/>
  <c r="AU13" i="60" s="1"/>
  <c r="M6" i="59"/>
  <c r="AT13" i="60" s="1"/>
  <c r="L6" i="59"/>
  <c r="AS13" i="60" s="1"/>
  <c r="K6" i="59"/>
  <c r="AR13" i="60" s="1"/>
  <c r="J6" i="59"/>
  <c r="AQ13" i="60" s="1"/>
  <c r="B6" i="59"/>
  <c r="N5" i="59"/>
  <c r="AU12" i="60" s="1"/>
  <c r="M5" i="59"/>
  <c r="AT12" i="60" s="1"/>
  <c r="L5" i="59"/>
  <c r="AS12" i="60" s="1"/>
  <c r="K5" i="59"/>
  <c r="AR12" i="60" s="1"/>
  <c r="J5" i="59"/>
  <c r="AQ12" i="60" s="1"/>
  <c r="AS144" i="60"/>
  <c r="AT144" i="60"/>
  <c r="AU144" i="60"/>
  <c r="AQ144" i="60"/>
  <c r="AR144" i="60"/>
  <c r="AR121" i="60"/>
  <c r="AR129" i="60"/>
  <c r="AU128" i="60"/>
  <c r="AU120" i="60"/>
  <c r="AQ120" i="60"/>
  <c r="AQ128" i="60"/>
  <c r="AT129" i="60"/>
  <c r="AT121" i="60"/>
  <c r="AR128" i="60"/>
  <c r="AR120" i="60"/>
  <c r="AU129" i="60"/>
  <c r="AU121" i="60"/>
  <c r="AS128" i="60"/>
  <c r="AS120" i="60"/>
  <c r="AT128" i="60"/>
  <c r="AT120" i="60"/>
  <c r="U47" i="58"/>
  <c r="AG101" i="60" s="1"/>
  <c r="AH43" i="64"/>
  <c r="R37" i="58"/>
  <c r="R38" i="58"/>
  <c r="F18" i="55"/>
  <c r="P91" i="59"/>
  <c r="F17" i="55"/>
  <c r="P90" i="59" s="1"/>
  <c r="F16" i="55"/>
  <c r="P89" i="59" s="1"/>
  <c r="F17" i="54"/>
  <c r="P87" i="59" s="1"/>
  <c r="F18" i="54"/>
  <c r="P88" i="59" s="1"/>
  <c r="F17" i="53"/>
  <c r="P79" i="59"/>
  <c r="F18" i="53"/>
  <c r="P80" i="59" s="1"/>
  <c r="F19" i="53"/>
  <c r="P81" i="59" s="1"/>
  <c r="F20" i="53"/>
  <c r="P82" i="59" s="1"/>
  <c r="F16" i="53"/>
  <c r="P78" i="59" s="1"/>
  <c r="F19" i="52"/>
  <c r="P77" i="59" s="1"/>
  <c r="F17" i="52"/>
  <c r="P75" i="59" s="1"/>
  <c r="F18" i="52"/>
  <c r="P76" i="59" s="1"/>
  <c r="F16" i="52"/>
  <c r="P74" i="59"/>
  <c r="F16" i="50"/>
  <c r="P70" i="59" s="1"/>
  <c r="F18" i="51"/>
  <c r="P69" i="59"/>
  <c r="F17" i="51"/>
  <c r="P68" i="59" s="1"/>
  <c r="F16" i="51"/>
  <c r="P67" i="59"/>
  <c r="F17" i="48"/>
  <c r="F16" i="48"/>
  <c r="F22" i="47"/>
  <c r="P63" i="59" s="1"/>
  <c r="F23" i="47"/>
  <c r="P64" i="59" s="1"/>
  <c r="F20" i="47"/>
  <c r="P61" i="59" s="1"/>
  <c r="F21" i="47"/>
  <c r="P62" i="59" s="1"/>
  <c r="F18" i="47"/>
  <c r="P59" i="59" s="1"/>
  <c r="F19" i="47"/>
  <c r="P60" i="59" s="1"/>
  <c r="F17" i="47"/>
  <c r="P58" i="59" s="1"/>
  <c r="F16" i="47"/>
  <c r="P57" i="59" s="1"/>
  <c r="AD17" i="43"/>
  <c r="Q41" i="58"/>
  <c r="O95" i="60" s="1"/>
  <c r="F17" i="43"/>
  <c r="P50" i="59" s="1"/>
  <c r="F18" i="43"/>
  <c r="P51" i="59" s="1"/>
  <c r="F19" i="43"/>
  <c r="P52" i="59" s="1"/>
  <c r="F20" i="43"/>
  <c r="P53" i="59" s="1"/>
  <c r="F21" i="43"/>
  <c r="P54" i="59" s="1"/>
  <c r="F22" i="43"/>
  <c r="P55" i="59" s="1"/>
  <c r="F23" i="43"/>
  <c r="P56" i="59" s="1"/>
  <c r="F16" i="43"/>
  <c r="AD37" i="64"/>
  <c r="P49" i="59"/>
  <c r="F22" i="42"/>
  <c r="P48" i="59" s="1"/>
  <c r="F20" i="42"/>
  <c r="P46" i="59"/>
  <c r="F21" i="42"/>
  <c r="P47" i="59" s="1"/>
  <c r="F19" i="42"/>
  <c r="P45" i="59" s="1"/>
  <c r="F17" i="42"/>
  <c r="P43" i="59" s="1"/>
  <c r="F18" i="42"/>
  <c r="P44" i="59" s="1"/>
  <c r="F16" i="42"/>
  <c r="P42" i="59" s="1"/>
  <c r="F33" i="41"/>
  <c r="F34" i="41"/>
  <c r="F35" i="41"/>
  <c r="P41" i="59" s="1"/>
  <c r="F29" i="41"/>
  <c r="F30" i="41"/>
  <c r="P36" i="59" s="1"/>
  <c r="F31" i="41"/>
  <c r="P37" i="59" s="1"/>
  <c r="F32" i="41"/>
  <c r="F26" i="41"/>
  <c r="P32" i="59"/>
  <c r="F27" i="41"/>
  <c r="P33" i="59" s="1"/>
  <c r="F28" i="41"/>
  <c r="P34" i="59" s="1"/>
  <c r="F24" i="41"/>
  <c r="P30" i="59" s="1"/>
  <c r="F25" i="41"/>
  <c r="P31" i="59" s="1"/>
  <c r="F22" i="41"/>
  <c r="P28" i="59" s="1"/>
  <c r="F21" i="41"/>
  <c r="P27" i="59"/>
  <c r="F23" i="41"/>
  <c r="P29" i="59" s="1"/>
  <c r="F17" i="41"/>
  <c r="P23" i="59" s="1"/>
  <c r="F18" i="41"/>
  <c r="P24" i="59" s="1"/>
  <c r="F19" i="41"/>
  <c r="P25" i="59"/>
  <c r="F20" i="41"/>
  <c r="P26" i="59" s="1"/>
  <c r="F16" i="41"/>
  <c r="P22" i="59" s="1"/>
  <c r="P40" i="59"/>
  <c r="P38" i="59"/>
  <c r="P39" i="59"/>
  <c r="P35" i="59"/>
  <c r="F17" i="56"/>
  <c r="P21" i="59"/>
  <c r="F16" i="56"/>
  <c r="P20" i="59" s="1"/>
  <c r="F7" i="39"/>
  <c r="AU23" i="47"/>
  <c r="V68" i="58"/>
  <c r="AT23" i="47"/>
  <c r="U68" i="58" s="1"/>
  <c r="AM23" i="47"/>
  <c r="T68" i="58" s="1"/>
  <c r="AL23" i="47"/>
  <c r="S68" i="58"/>
  <c r="AF64" i="64" s="1"/>
  <c r="AE23" i="47"/>
  <c r="AX23" i="47" s="1"/>
  <c r="R68" i="58"/>
  <c r="AD23" i="47"/>
  <c r="Q68" i="58"/>
  <c r="V23" i="47"/>
  <c r="W23" i="47"/>
  <c r="P68" i="58"/>
  <c r="AC64" i="64"/>
  <c r="H114" i="60"/>
  <c r="I114" i="60"/>
  <c r="J114" i="60" s="1"/>
  <c r="X114" i="60"/>
  <c r="O68" i="58"/>
  <c r="AW23" i="47"/>
  <c r="BE23" i="47" s="1"/>
  <c r="W19" i="43"/>
  <c r="P43" i="58" s="1"/>
  <c r="W17" i="43"/>
  <c r="P41" i="58" s="1"/>
  <c r="H95" i="60" s="1"/>
  <c r="I95" i="60"/>
  <c r="J95" i="60" s="1"/>
  <c r="AC37" i="64"/>
  <c r="AE16" i="46"/>
  <c r="R59" i="58" s="1"/>
  <c r="AD16" i="46"/>
  <c r="Q59" i="58" s="1"/>
  <c r="AU16" i="46"/>
  <c r="V59" i="58" s="1"/>
  <c r="AT16" i="46"/>
  <c r="U59" i="58"/>
  <c r="AH55" i="64" s="1"/>
  <c r="V16" i="46"/>
  <c r="O59" i="58"/>
  <c r="AB55" i="64" s="1"/>
  <c r="BJ55" i="64" s="1"/>
  <c r="I28" i="69" s="1"/>
  <c r="AL16" i="46"/>
  <c r="S59" i="58" s="1"/>
  <c r="AM16" i="46"/>
  <c r="T59" i="58" s="1"/>
  <c r="W16" i="46"/>
  <c r="P59" i="58" s="1"/>
  <c r="AA49" i="60" s="1"/>
  <c r="F18" i="46"/>
  <c r="P85" i="59" s="1"/>
  <c r="F17" i="46"/>
  <c r="P84" i="59" s="1"/>
  <c r="F16" i="46"/>
  <c r="P83" i="59" s="1"/>
  <c r="P11" i="59"/>
  <c r="F19" i="45"/>
  <c r="P12" i="59" s="1"/>
  <c r="F16" i="45"/>
  <c r="P9" i="59" s="1"/>
  <c r="AG49" i="60"/>
  <c r="AL49" i="60" s="1"/>
  <c r="F17" i="37"/>
  <c r="P6" i="59" s="1"/>
  <c r="F18" i="37"/>
  <c r="P7" i="59"/>
  <c r="F19" i="37"/>
  <c r="P8" i="59" s="1"/>
  <c r="F16" i="37"/>
  <c r="P5" i="59"/>
  <c r="F17" i="44"/>
  <c r="P14" i="59"/>
  <c r="F18" i="44"/>
  <c r="P15" i="59" s="1"/>
  <c r="F19" i="44"/>
  <c r="P16" i="59" s="1"/>
  <c r="F20" i="44"/>
  <c r="P17" i="59"/>
  <c r="F21" i="44"/>
  <c r="P18" i="59"/>
  <c r="F22" i="44"/>
  <c r="P19" i="59"/>
  <c r="F16" i="44"/>
  <c r="P13" i="59" s="1"/>
  <c r="W21" i="42"/>
  <c r="P38" i="58"/>
  <c r="AC34" i="64"/>
  <c r="H87" i="60"/>
  <c r="I87" i="60"/>
  <c r="J87" i="60" s="1"/>
  <c r="W20" i="42"/>
  <c r="P37" i="58"/>
  <c r="V19" i="37"/>
  <c r="O58" i="58" s="1"/>
  <c r="AB54" i="64"/>
  <c r="O18" i="46"/>
  <c r="R85" i="59" s="1"/>
  <c r="O17" i="46"/>
  <c r="R84" i="59"/>
  <c r="O16" i="46"/>
  <c r="R83" i="59"/>
  <c r="AU17" i="46"/>
  <c r="V60" i="58" s="1"/>
  <c r="AT17" i="46"/>
  <c r="U60" i="58" s="1"/>
  <c r="AM17" i="46"/>
  <c r="T60" i="58" s="1"/>
  <c r="Z50" i="60" s="1"/>
  <c r="AL17" i="46"/>
  <c r="S60" i="58"/>
  <c r="AE17" i="46"/>
  <c r="R60" i="58" s="1"/>
  <c r="AD17" i="46"/>
  <c r="Q60" i="58"/>
  <c r="W17" i="46"/>
  <c r="P60" i="58" s="1"/>
  <c r="I50" i="60" s="1"/>
  <c r="J50" i="60" s="1"/>
  <c r="V17" i="46"/>
  <c r="O60" i="58" s="1"/>
  <c r="F50" i="60" s="1"/>
  <c r="I17" i="46"/>
  <c r="E84" i="59" s="1"/>
  <c r="D50" i="60" s="1"/>
  <c r="I16" i="46"/>
  <c r="E83" i="59"/>
  <c r="D49" i="60" s="1"/>
  <c r="H17" i="46"/>
  <c r="H16" i="46"/>
  <c r="Q84" i="59"/>
  <c r="E50" i="60"/>
  <c r="Q83" i="59"/>
  <c r="E49" i="60" s="1"/>
  <c r="N49" i="60" s="1"/>
  <c r="E17" i="46"/>
  <c r="E16" i="46"/>
  <c r="D17" i="46"/>
  <c r="D16" i="46"/>
  <c r="B16" i="46"/>
  <c r="C16" i="46"/>
  <c r="G50" i="60"/>
  <c r="AC56" i="64"/>
  <c r="H50" i="60"/>
  <c r="AB56" i="64"/>
  <c r="AW17" i="46"/>
  <c r="BE17" i="46" s="1"/>
  <c r="D22" i="47"/>
  <c r="D23" i="47"/>
  <c r="D20" i="47"/>
  <c r="D21" i="47"/>
  <c r="D19" i="47"/>
  <c r="D18" i="47"/>
  <c r="D17" i="47"/>
  <c r="I18" i="45"/>
  <c r="E11" i="59" s="1"/>
  <c r="D23" i="60"/>
  <c r="I19" i="45"/>
  <c r="E12" i="59" s="1"/>
  <c r="D24" i="60" s="1"/>
  <c r="I16" i="45"/>
  <c r="E9" i="59" s="1"/>
  <c r="D21" i="60" s="1"/>
  <c r="H18" i="45"/>
  <c r="H19" i="45"/>
  <c r="H16" i="45"/>
  <c r="Q11" i="59"/>
  <c r="E23" i="60" s="1"/>
  <c r="Q12" i="59"/>
  <c r="E24" i="60" s="1"/>
  <c r="E21" i="60"/>
  <c r="N21" i="60" s="1"/>
  <c r="E18" i="45"/>
  <c r="E19" i="45"/>
  <c r="E16" i="45"/>
  <c r="D18" i="45"/>
  <c r="D19" i="45"/>
  <c r="D16" i="45"/>
  <c r="C18" i="45"/>
  <c r="C19" i="45"/>
  <c r="C16" i="45"/>
  <c r="B16" i="45"/>
  <c r="AU19" i="45"/>
  <c r="V99" i="58" s="1"/>
  <c r="AI95" i="64" s="1"/>
  <c r="AT19" i="45"/>
  <c r="U99" i="58" s="1"/>
  <c r="AH95" i="64" s="1"/>
  <c r="AM19" i="45"/>
  <c r="T99" i="58" s="1"/>
  <c r="AG95" i="64" s="1"/>
  <c r="AL19" i="45"/>
  <c r="S99" i="58"/>
  <c r="AE19" i="45"/>
  <c r="AD19" i="45"/>
  <c r="Q99" i="58" s="1"/>
  <c r="W19" i="45"/>
  <c r="P99" i="58" s="1"/>
  <c r="V19" i="45"/>
  <c r="O99" i="58"/>
  <c r="R12" i="59"/>
  <c r="AU18" i="45"/>
  <c r="V98" i="58"/>
  <c r="AI23" i="60" s="1"/>
  <c r="AT18" i="45"/>
  <c r="U98" i="58"/>
  <c r="AG23" i="60" s="1"/>
  <c r="AM18" i="45"/>
  <c r="T98" i="58"/>
  <c r="Z23" i="60" s="1"/>
  <c r="AL18" i="45"/>
  <c r="S98" i="58" s="1"/>
  <c r="AE18" i="45"/>
  <c r="AD18" i="45"/>
  <c r="Q98" i="58" s="1"/>
  <c r="W18" i="45"/>
  <c r="AW18" i="45" s="1"/>
  <c r="BE18" i="45" s="1"/>
  <c r="V18" i="45"/>
  <c r="R11" i="59"/>
  <c r="AU16" i="45"/>
  <c r="V96" i="58" s="1"/>
  <c r="AT16" i="45"/>
  <c r="U96" i="58"/>
  <c r="AM16" i="45"/>
  <c r="T96" i="58" s="1"/>
  <c r="AG92" i="64" s="1"/>
  <c r="AL16" i="45"/>
  <c r="S96" i="58" s="1"/>
  <c r="AF92" i="64" s="1"/>
  <c r="AE16" i="45"/>
  <c r="R96" i="58"/>
  <c r="R21" i="60" s="1"/>
  <c r="AD16" i="45"/>
  <c r="Q96" i="58"/>
  <c r="W16" i="45"/>
  <c r="P96" i="58" s="1"/>
  <c r="AC92" i="64" s="1"/>
  <c r="V16" i="45"/>
  <c r="O96" i="58" s="1"/>
  <c r="R9" i="59"/>
  <c r="AG94" i="64"/>
  <c r="AD92" i="64"/>
  <c r="O21" i="60"/>
  <c r="T21" i="60" s="1"/>
  <c r="G24" i="60"/>
  <c r="N24" i="60"/>
  <c r="AH94" i="64"/>
  <c r="AG21" i="60"/>
  <c r="AH92" i="64"/>
  <c r="AI24" i="60"/>
  <c r="AW16" i="45"/>
  <c r="BE16" i="45" s="1"/>
  <c r="AV17" i="56"/>
  <c r="AU17" i="56"/>
  <c r="V94" i="58" s="1"/>
  <c r="AT17" i="56"/>
  <c r="U94" i="58" s="1"/>
  <c r="AG43" i="60" s="1"/>
  <c r="AL43" i="60" s="1"/>
  <c r="AM17" i="56"/>
  <c r="T94" i="58" s="1"/>
  <c r="Z43" i="60" s="1"/>
  <c r="AL17" i="56"/>
  <c r="S94" i="58" s="1"/>
  <c r="AE17" i="56"/>
  <c r="R94" i="58" s="1"/>
  <c r="AD17" i="56"/>
  <c r="Q94" i="58" s="1"/>
  <c r="W17" i="56"/>
  <c r="P94" i="58"/>
  <c r="I43" i="60" s="1"/>
  <c r="J43" i="60" s="1"/>
  <c r="V17" i="56"/>
  <c r="O94" i="58" s="1"/>
  <c r="AV16" i="56"/>
  <c r="AU16" i="56"/>
  <c r="V93" i="58" s="1"/>
  <c r="AT16" i="56"/>
  <c r="U93" i="58" s="1"/>
  <c r="AM16" i="56"/>
  <c r="T93" i="58" s="1"/>
  <c r="AL16" i="56"/>
  <c r="S93" i="58" s="1"/>
  <c r="AE16" i="56"/>
  <c r="R93" i="58" s="1"/>
  <c r="Q42" i="60" s="1"/>
  <c r="AD16" i="56"/>
  <c r="Q93" i="58" s="1"/>
  <c r="W16" i="56"/>
  <c r="P93" i="58"/>
  <c r="AC89" i="64" s="1"/>
  <c r="V16" i="56"/>
  <c r="O93" i="58"/>
  <c r="I17" i="56"/>
  <c r="E21" i="59" s="1"/>
  <c r="D43" i="60" s="1"/>
  <c r="I16" i="56"/>
  <c r="E20" i="59"/>
  <c r="D42" i="60" s="1"/>
  <c r="H17" i="56"/>
  <c r="H16" i="56"/>
  <c r="Q21" i="59"/>
  <c r="E43" i="60" s="1"/>
  <c r="N43" i="60" s="1"/>
  <c r="Q20" i="59"/>
  <c r="E42" i="60" s="1"/>
  <c r="N42" i="60" s="1"/>
  <c r="E17" i="56"/>
  <c r="E16" i="56"/>
  <c r="D17" i="56"/>
  <c r="D16" i="56"/>
  <c r="C16" i="56"/>
  <c r="B16" i="56"/>
  <c r="R21" i="59"/>
  <c r="R20" i="59"/>
  <c r="O94" i="38"/>
  <c r="O93" i="38"/>
  <c r="H43" i="60"/>
  <c r="I42" i="60"/>
  <c r="J42" i="60" s="1"/>
  <c r="M42" i="60" s="1"/>
  <c r="AI43" i="60"/>
  <c r="AI90" i="64"/>
  <c r="AI42" i="60"/>
  <c r="AI89" i="64"/>
  <c r="AZ16" i="56"/>
  <c r="W94" i="58"/>
  <c r="AJ90" i="64" s="1"/>
  <c r="AX16" i="56"/>
  <c r="AZ17" i="56"/>
  <c r="BH17" i="56" s="1"/>
  <c r="AG94" i="58" s="1"/>
  <c r="AX17" i="56"/>
  <c r="AY17" i="56"/>
  <c r="BC17" i="56" s="1"/>
  <c r="AW17" i="56"/>
  <c r="I17" i="55"/>
  <c r="E90" i="59" s="1"/>
  <c r="D172" i="60" s="1"/>
  <c r="I18" i="55"/>
  <c r="E91" i="59" s="1"/>
  <c r="D173" i="60" s="1"/>
  <c r="I16" i="55"/>
  <c r="E89" i="59" s="1"/>
  <c r="D171" i="60" s="1"/>
  <c r="E17" i="55"/>
  <c r="E18" i="55"/>
  <c r="E16" i="55"/>
  <c r="D17" i="55"/>
  <c r="D18" i="55"/>
  <c r="D16" i="55"/>
  <c r="C16" i="55"/>
  <c r="B16" i="55"/>
  <c r="AU18" i="55"/>
  <c r="V92" i="58" s="1"/>
  <c r="AI88" i="64" s="1"/>
  <c r="AT18" i="55"/>
  <c r="U92" i="58"/>
  <c r="AG173" i="60" s="1"/>
  <c r="AM18" i="55"/>
  <c r="T92" i="58" s="1"/>
  <c r="AG88" i="64" s="1"/>
  <c r="AL18" i="55"/>
  <c r="S92" i="58" s="1"/>
  <c r="AE18" i="55"/>
  <c r="AD18" i="55"/>
  <c r="Q92" i="58" s="1"/>
  <c r="W18" i="55"/>
  <c r="AW18" i="55" s="1"/>
  <c r="P92" i="58"/>
  <c r="V18" i="55"/>
  <c r="O92" i="58"/>
  <c r="O18" i="55"/>
  <c r="R91" i="59" s="1"/>
  <c r="AU17" i="55"/>
  <c r="V91" i="58"/>
  <c r="AT17" i="55"/>
  <c r="U91" i="58"/>
  <c r="AM17" i="55"/>
  <c r="AL17" i="55"/>
  <c r="S91" i="58" s="1"/>
  <c r="AF87" i="64" s="1"/>
  <c r="AE17" i="55"/>
  <c r="AD17" i="55"/>
  <c r="Q91" i="58" s="1"/>
  <c r="AD87" i="64" s="1"/>
  <c r="W17" i="55"/>
  <c r="V17" i="55"/>
  <c r="O91" i="58"/>
  <c r="AB87" i="64" s="1"/>
  <c r="O17" i="55"/>
  <c r="R90" i="59" s="1"/>
  <c r="AU16" i="55"/>
  <c r="V90" i="58" s="1"/>
  <c r="AT16" i="55"/>
  <c r="U90" i="58"/>
  <c r="AG171" i="60" s="1"/>
  <c r="AM16" i="55"/>
  <c r="T90" i="58"/>
  <c r="Z171" i="60" s="1"/>
  <c r="AL16" i="55"/>
  <c r="AE16" i="55"/>
  <c r="R90" i="58"/>
  <c r="Q171" i="60" s="1"/>
  <c r="AD16" i="55"/>
  <c r="Q90" i="58"/>
  <c r="O171" i="60" s="1"/>
  <c r="W16" i="55"/>
  <c r="AW16" i="55" s="1"/>
  <c r="V16" i="55"/>
  <c r="O90" i="58"/>
  <c r="O16" i="55"/>
  <c r="R89" i="59" s="1"/>
  <c r="O90" i="38"/>
  <c r="O91" i="38"/>
  <c r="O92" i="38"/>
  <c r="AD86" i="64"/>
  <c r="P173" i="60"/>
  <c r="O172" i="60"/>
  <c r="T172" i="60" s="1"/>
  <c r="AH86" i="64"/>
  <c r="AB86" i="64"/>
  <c r="AH88" i="64"/>
  <c r="AI173" i="60"/>
  <c r="P90" i="58"/>
  <c r="AC86" i="64" s="1"/>
  <c r="AL173" i="60"/>
  <c r="O17" i="54"/>
  <c r="R87" i="59" s="1"/>
  <c r="O18" i="54"/>
  <c r="R88" i="59"/>
  <c r="O16" i="54"/>
  <c r="R86" i="59"/>
  <c r="I17" i="54"/>
  <c r="E87" i="59" s="1"/>
  <c r="D164" i="60" s="1"/>
  <c r="I18" i="54"/>
  <c r="E88" i="59"/>
  <c r="D165" i="60" s="1"/>
  <c r="I16" i="54"/>
  <c r="E86" i="59"/>
  <c r="D163" i="60" s="1"/>
  <c r="H17" i="54"/>
  <c r="H18" i="54"/>
  <c r="H16" i="54"/>
  <c r="Q87" i="59"/>
  <c r="E164" i="60"/>
  <c r="Q88" i="59"/>
  <c r="E165" i="60" s="1"/>
  <c r="N165" i="60" s="1"/>
  <c r="E17" i="54"/>
  <c r="E18" i="54"/>
  <c r="E16" i="54"/>
  <c r="D17" i="54"/>
  <c r="D18" i="54"/>
  <c r="D16" i="54"/>
  <c r="C16" i="54"/>
  <c r="B16" i="54"/>
  <c r="AU18" i="54"/>
  <c r="V89" i="58" s="1"/>
  <c r="AI85" i="64" s="1"/>
  <c r="AT18" i="54"/>
  <c r="U89" i="58" s="1"/>
  <c r="AM18" i="54"/>
  <c r="T89" i="58" s="1"/>
  <c r="AG85" i="64" s="1"/>
  <c r="AL18" i="54"/>
  <c r="S89" i="58"/>
  <c r="X165" i="60" s="1"/>
  <c r="AE18" i="54"/>
  <c r="AX18" i="54" s="1"/>
  <c r="AD18" i="54"/>
  <c r="Q89" i="58"/>
  <c r="W18" i="54"/>
  <c r="V18" i="54"/>
  <c r="O89" i="58" s="1"/>
  <c r="AU17" i="54"/>
  <c r="V88" i="58" s="1"/>
  <c r="AT17" i="54"/>
  <c r="U88" i="58" s="1"/>
  <c r="AM17" i="54"/>
  <c r="T88" i="58" s="1"/>
  <c r="AG84" i="64" s="1"/>
  <c r="AL17" i="54"/>
  <c r="S88" i="58" s="1"/>
  <c r="X164" i="60" s="1"/>
  <c r="AE17" i="54"/>
  <c r="R88" i="58" s="1"/>
  <c r="AD17" i="54"/>
  <c r="Q88" i="58"/>
  <c r="W17" i="54"/>
  <c r="AW17" i="54" s="1"/>
  <c r="V17" i="54"/>
  <c r="O88" i="58" s="1"/>
  <c r="AU16" i="54"/>
  <c r="V87" i="58"/>
  <c r="AI163" i="60" s="1"/>
  <c r="AT16" i="54"/>
  <c r="U87" i="58"/>
  <c r="AH83" i="64" s="1"/>
  <c r="AM16" i="54"/>
  <c r="T87" i="58" s="1"/>
  <c r="AL16" i="54"/>
  <c r="S87" i="58" s="1"/>
  <c r="AE16" i="54"/>
  <c r="R87" i="58" s="1"/>
  <c r="AD16" i="54"/>
  <c r="Q87" i="58"/>
  <c r="W16" i="54"/>
  <c r="V16" i="54"/>
  <c r="O87" i="58" s="1"/>
  <c r="AB83" i="64" s="1"/>
  <c r="O89" i="38"/>
  <c r="F89" i="38" s="1"/>
  <c r="F89" i="58" s="1"/>
  <c r="J85" i="64" s="1"/>
  <c r="O88" i="38"/>
  <c r="F88" i="38" s="1"/>
  <c r="F88" i="58" s="1"/>
  <c r="J84" i="64" s="1"/>
  <c r="O87" i="38"/>
  <c r="O83" i="38"/>
  <c r="O82" i="38"/>
  <c r="O81" i="38"/>
  <c r="O80" i="38"/>
  <c r="O79" i="38"/>
  <c r="AF84" i="64"/>
  <c r="AI165" i="60"/>
  <c r="AV20" i="53"/>
  <c r="W83" i="58" s="1"/>
  <c r="AJ79" i="64" s="1"/>
  <c r="AU20" i="53"/>
  <c r="V83" i="58" s="1"/>
  <c r="AI79" i="64" s="1"/>
  <c r="AT20" i="53"/>
  <c r="U83" i="58" s="1"/>
  <c r="AG157" i="60" s="1"/>
  <c r="AM20" i="53"/>
  <c r="T83" i="58" s="1"/>
  <c r="AL20" i="53"/>
  <c r="S83" i="58"/>
  <c r="AF79" i="64" s="1"/>
  <c r="AE20" i="53"/>
  <c r="R83" i="58"/>
  <c r="AE79" i="64" s="1"/>
  <c r="AD20" i="53"/>
  <c r="Q83" i="58" s="1"/>
  <c r="P83" i="58"/>
  <c r="H157" i="60" s="1"/>
  <c r="V20" i="53"/>
  <c r="O83" i="58"/>
  <c r="O17" i="53"/>
  <c r="R79" i="59" s="1"/>
  <c r="O18" i="53"/>
  <c r="R80" i="59" s="1"/>
  <c r="O19" i="53"/>
  <c r="R81" i="59"/>
  <c r="O20" i="53"/>
  <c r="R82" i="59"/>
  <c r="O16" i="53"/>
  <c r="R78" i="59" s="1"/>
  <c r="I17" i="53"/>
  <c r="E79" i="59"/>
  <c r="D154" i="60" s="1"/>
  <c r="I18" i="53"/>
  <c r="E80" i="59" s="1"/>
  <c r="D155" i="60" s="1"/>
  <c r="I19" i="53"/>
  <c r="E81" i="59" s="1"/>
  <c r="D156" i="60" s="1"/>
  <c r="I20" i="53"/>
  <c r="E82" i="59" s="1"/>
  <c r="D157" i="60" s="1"/>
  <c r="I16" i="53"/>
  <c r="E78" i="59"/>
  <c r="D153" i="60"/>
  <c r="H17" i="53"/>
  <c r="H18" i="53"/>
  <c r="H19" i="53"/>
  <c r="H20" i="53"/>
  <c r="H16" i="53"/>
  <c r="Q79" i="59"/>
  <c r="E154" i="60"/>
  <c r="Q80" i="59"/>
  <c r="E155" i="60" s="1"/>
  <c r="Q81" i="59"/>
  <c r="E156" i="60"/>
  <c r="Q82" i="59"/>
  <c r="E157" i="60"/>
  <c r="Q78" i="59"/>
  <c r="E153" i="60" s="1"/>
  <c r="N153" i="60" s="1"/>
  <c r="E17" i="53"/>
  <c r="E18" i="53"/>
  <c r="E19" i="53"/>
  <c r="E16" i="53"/>
  <c r="D18" i="53"/>
  <c r="D19" i="53"/>
  <c r="D17" i="53"/>
  <c r="D16" i="53"/>
  <c r="C16" i="53"/>
  <c r="B16" i="53"/>
  <c r="AV19" i="53"/>
  <c r="W82" i="58"/>
  <c r="AJ78" i="64" s="1"/>
  <c r="AU19" i="53"/>
  <c r="V82" i="58" s="1"/>
  <c r="AI78" i="64" s="1"/>
  <c r="AT19" i="53"/>
  <c r="U82" i="58"/>
  <c r="AM19" i="53"/>
  <c r="T82" i="58" s="1"/>
  <c r="Z156" i="60" s="1"/>
  <c r="AL19" i="53"/>
  <c r="S82" i="58" s="1"/>
  <c r="AE19" i="53"/>
  <c r="R82" i="58" s="1"/>
  <c r="AD19" i="53"/>
  <c r="Q82" i="58"/>
  <c r="P82" i="58"/>
  <c r="AC78" i="64" s="1"/>
  <c r="V19" i="53"/>
  <c r="O82" i="58"/>
  <c r="AV18" i="53"/>
  <c r="W81" i="58" s="1"/>
  <c r="AJ77" i="64" s="1"/>
  <c r="AU18" i="53"/>
  <c r="V81" i="58"/>
  <c r="AI155" i="60" s="1"/>
  <c r="AT18" i="53"/>
  <c r="U81" i="58" s="1"/>
  <c r="AH77" i="64" s="1"/>
  <c r="AG155" i="60"/>
  <c r="AL155" i="60" s="1"/>
  <c r="AM18" i="53"/>
  <c r="T81" i="58" s="1"/>
  <c r="AL18" i="53"/>
  <c r="S81" i="58"/>
  <c r="X155" i="60" s="1"/>
  <c r="AE18" i="53"/>
  <c r="R81" i="58" s="1"/>
  <c r="AD18" i="53"/>
  <c r="Q81" i="58" s="1"/>
  <c r="W18" i="53"/>
  <c r="P81" i="58" s="1"/>
  <c r="V18" i="53"/>
  <c r="O81" i="58"/>
  <c r="AV17" i="53"/>
  <c r="AU17" i="53"/>
  <c r="V80" i="58"/>
  <c r="AT17" i="53"/>
  <c r="U80" i="58"/>
  <c r="AM17" i="53"/>
  <c r="T80" i="58" s="1"/>
  <c r="AL17" i="53"/>
  <c r="S80" i="58" s="1"/>
  <c r="AF76" i="64" s="1"/>
  <c r="AE17" i="53"/>
  <c r="R80" i="58" s="1"/>
  <c r="AD17" i="53"/>
  <c r="Q80" i="58"/>
  <c r="W17" i="53"/>
  <c r="P80" i="58"/>
  <c r="V17" i="53"/>
  <c r="O80" i="58" s="1"/>
  <c r="AV16" i="53"/>
  <c r="AU16" i="53"/>
  <c r="AT16" i="53"/>
  <c r="U79" i="58" s="1"/>
  <c r="AG153" i="60" s="1"/>
  <c r="AM16" i="53"/>
  <c r="T79" i="58" s="1"/>
  <c r="AG75" i="64" s="1"/>
  <c r="AL16" i="53"/>
  <c r="S79" i="58" s="1"/>
  <c r="AF75" i="64" s="1"/>
  <c r="AE16" i="53"/>
  <c r="R79" i="58" s="1"/>
  <c r="R153" i="60" s="1"/>
  <c r="AD16" i="53"/>
  <c r="Q79" i="58" s="1"/>
  <c r="W16" i="53"/>
  <c r="P79" i="58"/>
  <c r="AC75" i="64" s="1"/>
  <c r="V16" i="53"/>
  <c r="O79" i="58"/>
  <c r="G153" i="60" s="1"/>
  <c r="X153" i="60"/>
  <c r="N154" i="60"/>
  <c r="AC79" i="64"/>
  <c r="AF77" i="64"/>
  <c r="X157" i="60"/>
  <c r="F153" i="60"/>
  <c r="G155" i="60"/>
  <c r="X156" i="60"/>
  <c r="AB75" i="64"/>
  <c r="AH79" i="64"/>
  <c r="AB79" i="64"/>
  <c r="AI156" i="60"/>
  <c r="AI77" i="64"/>
  <c r="AY19" i="53"/>
  <c r="BC19" i="53" s="1"/>
  <c r="AW17" i="53"/>
  <c r="AW16" i="53"/>
  <c r="BE16" i="53" s="1"/>
  <c r="AZ19" i="53"/>
  <c r="W80" i="58"/>
  <c r="AX19" i="53"/>
  <c r="AX17" i="53"/>
  <c r="BB17" i="53" s="1"/>
  <c r="AX20" i="53"/>
  <c r="BF20" i="53" s="1"/>
  <c r="AX18" i="53"/>
  <c r="AX16" i="53"/>
  <c r="AJ76" i="64"/>
  <c r="BA16" i="53"/>
  <c r="AV17" i="52"/>
  <c r="AU17" i="52"/>
  <c r="V76" i="58" s="1"/>
  <c r="AT17" i="52"/>
  <c r="U76" i="58"/>
  <c r="AU16" i="52"/>
  <c r="V75" i="58" s="1"/>
  <c r="AI144" i="60" s="1"/>
  <c r="AT16" i="52"/>
  <c r="U75" i="58" s="1"/>
  <c r="AH71" i="64" s="1"/>
  <c r="AM17" i="52"/>
  <c r="T76" i="58" s="1"/>
  <c r="AL17" i="52"/>
  <c r="S76" i="58" s="1"/>
  <c r="AM16" i="52"/>
  <c r="T75" i="58" s="1"/>
  <c r="AL16" i="52"/>
  <c r="S75" i="58" s="1"/>
  <c r="AD17" i="52"/>
  <c r="Q76" i="58" s="1"/>
  <c r="AE16" i="52"/>
  <c r="R75" i="58" s="1"/>
  <c r="AD16" i="52"/>
  <c r="Q75" i="58"/>
  <c r="O144" i="60" s="1"/>
  <c r="W17" i="52"/>
  <c r="P76" i="58" s="1"/>
  <c r="V17" i="52"/>
  <c r="O76" i="58"/>
  <c r="W16" i="52"/>
  <c r="P75" i="58" s="1"/>
  <c r="AC71" i="64" s="1"/>
  <c r="V16" i="52"/>
  <c r="O75" i="58" s="1"/>
  <c r="F144" i="60" s="1"/>
  <c r="AB72" i="64"/>
  <c r="AI71" i="64"/>
  <c r="AY16" i="52"/>
  <c r="BG16" i="52" s="1"/>
  <c r="AY17" i="52"/>
  <c r="BG17" i="52" s="1"/>
  <c r="AW16" i="52"/>
  <c r="BE16" i="52" s="1"/>
  <c r="Q77" i="59"/>
  <c r="E147" i="60" s="1"/>
  <c r="N147" i="60" s="1"/>
  <c r="Q75" i="59"/>
  <c r="E145" i="60" s="1"/>
  <c r="Q76" i="59"/>
  <c r="E146" i="60" s="1"/>
  <c r="Q74" i="59"/>
  <c r="E144" i="60" s="1"/>
  <c r="N144" i="60" s="1"/>
  <c r="O19" i="52"/>
  <c r="R77" i="59" s="1"/>
  <c r="O17" i="52"/>
  <c r="R75" i="59"/>
  <c r="O18" i="52"/>
  <c r="R76" i="59" s="1"/>
  <c r="O16" i="52"/>
  <c r="R74" i="59"/>
  <c r="I17" i="52"/>
  <c r="E75" i="59" s="1"/>
  <c r="D145" i="60" s="1"/>
  <c r="I18" i="52"/>
  <c r="E76" i="59" s="1"/>
  <c r="D146" i="60" s="1"/>
  <c r="I19" i="52"/>
  <c r="E77" i="59"/>
  <c r="D147" i="60"/>
  <c r="I16" i="52"/>
  <c r="E74" i="59"/>
  <c r="H17" i="52"/>
  <c r="H18" i="52"/>
  <c r="H19" i="52"/>
  <c r="H16" i="52"/>
  <c r="E17" i="52"/>
  <c r="E18" i="52"/>
  <c r="E19" i="52"/>
  <c r="E16" i="52"/>
  <c r="D18" i="52"/>
  <c r="D19" i="52"/>
  <c r="D17" i="52"/>
  <c r="D16" i="52"/>
  <c r="C16" i="52"/>
  <c r="B16" i="52"/>
  <c r="AU19" i="52"/>
  <c r="V78" i="58"/>
  <c r="AI147" i="60" s="1"/>
  <c r="AT19" i="52"/>
  <c r="U78" i="58" s="1"/>
  <c r="AM19" i="52"/>
  <c r="T78" i="58" s="1"/>
  <c r="AG74" i="64" s="1"/>
  <c r="AL19" i="52"/>
  <c r="S78" i="58" s="1"/>
  <c r="AE19" i="52"/>
  <c r="R78" i="58"/>
  <c r="Q147" i="60" s="1"/>
  <c r="AD19" i="52"/>
  <c r="Q78" i="58" s="1"/>
  <c r="W19" i="52"/>
  <c r="P78" i="58" s="1"/>
  <c r="H147" i="60" s="1"/>
  <c r="V19" i="52"/>
  <c r="AU18" i="52"/>
  <c r="V77" i="58" s="1"/>
  <c r="AT18" i="52"/>
  <c r="U77" i="58" s="1"/>
  <c r="AM18" i="52"/>
  <c r="T77" i="58" s="1"/>
  <c r="AG73" i="64" s="1"/>
  <c r="AL18" i="52"/>
  <c r="S77" i="58"/>
  <c r="AF73" i="64" s="1"/>
  <c r="AE18" i="52"/>
  <c r="R77" i="58" s="1"/>
  <c r="AD18" i="52"/>
  <c r="Q77" i="58"/>
  <c r="AD73" i="64" s="1"/>
  <c r="W18" i="52"/>
  <c r="P77" i="58"/>
  <c r="V18" i="52"/>
  <c r="AV16" i="52"/>
  <c r="W75" i="58" s="1"/>
  <c r="O78" i="38"/>
  <c r="O77" i="38"/>
  <c r="O75" i="38"/>
  <c r="O76" i="38"/>
  <c r="N145" i="60"/>
  <c r="AD74" i="64"/>
  <c r="O147" i="60"/>
  <c r="D144" i="60"/>
  <c r="AJ71" i="64"/>
  <c r="F38" i="69" s="1"/>
  <c r="AI74" i="64"/>
  <c r="AW18" i="52"/>
  <c r="BE18" i="52" s="1"/>
  <c r="W147" i="60"/>
  <c r="AF147" i="60" s="1"/>
  <c r="O17" i="51"/>
  <c r="R68" i="59" s="1"/>
  <c r="O18" i="51"/>
  <c r="R69" i="59"/>
  <c r="O16" i="51"/>
  <c r="R67" i="59"/>
  <c r="I17" i="51"/>
  <c r="E68" i="59" s="1"/>
  <c r="D128" i="60" s="1"/>
  <c r="I18" i="51"/>
  <c r="E69" i="59" s="1"/>
  <c r="D129" i="60" s="1"/>
  <c r="I16" i="51"/>
  <c r="E67" i="59" s="1"/>
  <c r="D127" i="60"/>
  <c r="H18" i="51"/>
  <c r="H17" i="51"/>
  <c r="H16" i="51"/>
  <c r="Q68" i="59"/>
  <c r="Q69" i="59"/>
  <c r="Q67" i="59"/>
  <c r="E127" i="60" s="1"/>
  <c r="E17" i="51"/>
  <c r="E18" i="51"/>
  <c r="E16" i="51"/>
  <c r="D17" i="51"/>
  <c r="D18" i="51"/>
  <c r="D16" i="51"/>
  <c r="C16" i="51"/>
  <c r="B16" i="51"/>
  <c r="AU18" i="51"/>
  <c r="V73" i="58" s="1"/>
  <c r="AI69" i="64" s="1"/>
  <c r="AT18" i="51"/>
  <c r="U73" i="58" s="1"/>
  <c r="AG129" i="60" s="1"/>
  <c r="AM18" i="51"/>
  <c r="T73" i="58" s="1"/>
  <c r="Z129" i="60" s="1"/>
  <c r="AL18" i="51"/>
  <c r="S73" i="58" s="1"/>
  <c r="AF69" i="64" s="1"/>
  <c r="AE18" i="51"/>
  <c r="AD18" i="51"/>
  <c r="Q73" i="58"/>
  <c r="W18" i="51"/>
  <c r="AW18" i="51" s="1"/>
  <c r="BE18" i="51" s="1"/>
  <c r="V18" i="51"/>
  <c r="AV18" i="51" s="1"/>
  <c r="W73" i="58" s="1"/>
  <c r="AJ69" i="64" s="1"/>
  <c r="O73" i="58"/>
  <c r="AU17" i="51"/>
  <c r="V72" i="58" s="1"/>
  <c r="AI68" i="64" s="1"/>
  <c r="AT17" i="51"/>
  <c r="U72" i="58"/>
  <c r="AH68" i="64" s="1"/>
  <c r="AM17" i="51"/>
  <c r="T72" i="58" s="1"/>
  <c r="AL17" i="51"/>
  <c r="S72" i="58" s="1"/>
  <c r="AF68" i="64" s="1"/>
  <c r="AE17" i="51"/>
  <c r="AD17" i="51"/>
  <c r="Q72" i="58" s="1"/>
  <c r="O128" i="60" s="1"/>
  <c r="W17" i="51"/>
  <c r="P72" i="58" s="1"/>
  <c r="V17" i="51"/>
  <c r="AU16" i="51"/>
  <c r="V71" i="58" s="1"/>
  <c r="AT16" i="51"/>
  <c r="U71" i="58" s="1"/>
  <c r="AM16" i="51"/>
  <c r="T71" i="58" s="1"/>
  <c r="AL16" i="51"/>
  <c r="S71" i="58" s="1"/>
  <c r="AF67" i="64" s="1"/>
  <c r="AE16" i="51"/>
  <c r="AD16" i="51"/>
  <c r="Q71" i="58"/>
  <c r="O127" i="60" s="1"/>
  <c r="W16" i="51"/>
  <c r="AW16" i="51" s="1"/>
  <c r="BE16" i="51" s="1"/>
  <c r="V16" i="51"/>
  <c r="O71" i="58"/>
  <c r="G127" i="60" s="1"/>
  <c r="O72" i="38"/>
  <c r="O73" i="38"/>
  <c r="X128" i="60"/>
  <c r="X127" i="60"/>
  <c r="X129" i="60"/>
  <c r="AD68" i="64"/>
  <c r="E129" i="60"/>
  <c r="N129" i="60" s="1"/>
  <c r="E128" i="60"/>
  <c r="P71" i="58"/>
  <c r="P73" i="58"/>
  <c r="AV16" i="51"/>
  <c r="N128" i="60"/>
  <c r="W128" i="60" s="1"/>
  <c r="AF128" i="60" s="1"/>
  <c r="AI128" i="60"/>
  <c r="AC69" i="64"/>
  <c r="O16" i="50"/>
  <c r="R70" i="59"/>
  <c r="I16" i="50"/>
  <c r="E70" i="59" s="1"/>
  <c r="D135" i="60" s="1"/>
  <c r="H16" i="50"/>
  <c r="Q70" i="59"/>
  <c r="E135" i="60" s="1"/>
  <c r="D16" i="50"/>
  <c r="O74" i="38"/>
  <c r="AU17" i="37"/>
  <c r="V56" i="58"/>
  <c r="AT17" i="37"/>
  <c r="U56" i="58" s="1"/>
  <c r="AM17" i="37"/>
  <c r="T56" i="58" s="1"/>
  <c r="AL17" i="37"/>
  <c r="S56" i="58"/>
  <c r="AE17" i="37"/>
  <c r="R56" i="58" s="1"/>
  <c r="AD17" i="37"/>
  <c r="Q56" i="58" s="1"/>
  <c r="W17" i="37"/>
  <c r="V17" i="37"/>
  <c r="O56" i="58" s="1"/>
  <c r="G13" i="60" s="1"/>
  <c r="F13" i="60"/>
  <c r="C16" i="50"/>
  <c r="B16" i="50"/>
  <c r="AU16" i="50"/>
  <c r="V74" i="58"/>
  <c r="AT16" i="50"/>
  <c r="U74" i="58"/>
  <c r="AM16" i="50"/>
  <c r="T74" i="58" s="1"/>
  <c r="AL16" i="50"/>
  <c r="S74" i="58"/>
  <c r="AF70" i="64" s="1"/>
  <c r="AE16" i="50"/>
  <c r="AD16" i="50"/>
  <c r="W16" i="50"/>
  <c r="AW16" i="50" s="1"/>
  <c r="BE16" i="50" s="1"/>
  <c r="V16" i="50"/>
  <c r="O74" i="58" s="1"/>
  <c r="AB70" i="64" s="1"/>
  <c r="O71" i="38"/>
  <c r="P74" i="58"/>
  <c r="H135" i="60" s="1"/>
  <c r="G135" i="60"/>
  <c r="BD17" i="50"/>
  <c r="AD84" i="58" s="1"/>
  <c r="O17" i="48"/>
  <c r="R66" i="59" s="1"/>
  <c r="O16" i="48"/>
  <c r="R65" i="59" s="1"/>
  <c r="H17" i="48"/>
  <c r="H16" i="48"/>
  <c r="E17" i="48"/>
  <c r="E16" i="48"/>
  <c r="D17" i="48"/>
  <c r="D16" i="48"/>
  <c r="C16" i="48"/>
  <c r="B16" i="48"/>
  <c r="AV17" i="48"/>
  <c r="AY17" i="48" s="1"/>
  <c r="BG17" i="48" s="1"/>
  <c r="AU17" i="48"/>
  <c r="V70" i="58" s="1"/>
  <c r="AI121" i="60" s="1"/>
  <c r="AT17" i="48"/>
  <c r="U70" i="58" s="1"/>
  <c r="AM17" i="48"/>
  <c r="T70" i="58"/>
  <c r="Z121" i="60" s="1"/>
  <c r="AL17" i="48"/>
  <c r="S70" i="58" s="1"/>
  <c r="AF66" i="64" s="1"/>
  <c r="AE17" i="48"/>
  <c r="R70" i="58" s="1"/>
  <c r="AD17" i="48"/>
  <c r="Q70" i="58" s="1"/>
  <c r="O121" i="60" s="1"/>
  <c r="W17" i="48"/>
  <c r="P70" i="58" s="1"/>
  <c r="V17" i="48"/>
  <c r="O70" i="58" s="1"/>
  <c r="I17" i="48"/>
  <c r="E66" i="59" s="1"/>
  <c r="D121" i="60" s="1"/>
  <c r="AV16" i="48"/>
  <c r="AW16" i="48" s="1"/>
  <c r="AU16" i="48"/>
  <c r="V69" i="58" s="1"/>
  <c r="AT16" i="48"/>
  <c r="U69" i="58"/>
  <c r="AM16" i="48"/>
  <c r="T69" i="58" s="1"/>
  <c r="AL16" i="48"/>
  <c r="S69" i="58" s="1"/>
  <c r="AE16" i="48"/>
  <c r="R69" i="58" s="1"/>
  <c r="AD16" i="48"/>
  <c r="Q69" i="58" s="1"/>
  <c r="W16" i="48"/>
  <c r="P69" i="58" s="1"/>
  <c r="V16" i="48"/>
  <c r="O69" i="58" s="1"/>
  <c r="I16" i="48"/>
  <c r="E65" i="59" s="1"/>
  <c r="D120" i="60" s="1"/>
  <c r="O70" i="38"/>
  <c r="O69" i="38"/>
  <c r="I121" i="60"/>
  <c r="J121" i="60" s="1"/>
  <c r="X121" i="60"/>
  <c r="P65" i="59"/>
  <c r="Q65" i="59"/>
  <c r="E120" i="60"/>
  <c r="N120" i="60" s="1"/>
  <c r="P66" i="59"/>
  <c r="Q66" i="59"/>
  <c r="E121" i="60" s="1"/>
  <c r="AX17" i="48"/>
  <c r="BF17" i="48" s="1"/>
  <c r="AT18" i="47"/>
  <c r="U63" i="58" s="1"/>
  <c r="AH59" i="64" s="1"/>
  <c r="AL18" i="47"/>
  <c r="S63" i="58"/>
  <c r="AF59" i="64" s="1"/>
  <c r="AD18" i="47"/>
  <c r="Q63" i="58"/>
  <c r="W63" i="58"/>
  <c r="AJ59" i="64" s="1"/>
  <c r="F32" i="69" s="1"/>
  <c r="AV17" i="47"/>
  <c r="AX16" i="47" s="1"/>
  <c r="BB16" i="47" s="1"/>
  <c r="AU17" i="47"/>
  <c r="V62" i="58"/>
  <c r="AI108" i="60" s="1"/>
  <c r="AT17" i="47"/>
  <c r="U62" i="58"/>
  <c r="AH58" i="64" s="1"/>
  <c r="AG108" i="60"/>
  <c r="AM17" i="47"/>
  <c r="T62" i="58" s="1"/>
  <c r="AL17" i="47"/>
  <c r="S62" i="58" s="1"/>
  <c r="AE17" i="47"/>
  <c r="R62" i="58" s="1"/>
  <c r="AD17" i="47"/>
  <c r="Q62" i="58" s="1"/>
  <c r="AU22" i="47"/>
  <c r="V67" i="58" s="1"/>
  <c r="AT22" i="47"/>
  <c r="U67" i="58" s="1"/>
  <c r="AU21" i="47"/>
  <c r="V66" i="58"/>
  <c r="AI112" i="60" s="1"/>
  <c r="AT21" i="47"/>
  <c r="U66" i="58" s="1"/>
  <c r="AG112" i="60" s="1"/>
  <c r="AU20" i="47"/>
  <c r="V65" i="58" s="1"/>
  <c r="AI61" i="64" s="1"/>
  <c r="AT20" i="47"/>
  <c r="U65" i="58" s="1"/>
  <c r="AU19" i="47"/>
  <c r="V64" i="58"/>
  <c r="AI60" i="64" s="1"/>
  <c r="AT19" i="47"/>
  <c r="U64" i="58" s="1"/>
  <c r="AM22" i="47"/>
  <c r="T67" i="58" s="1"/>
  <c r="AG63" i="64" s="1"/>
  <c r="AL22" i="47"/>
  <c r="S67" i="58" s="1"/>
  <c r="AM21" i="47"/>
  <c r="T66" i="58" s="1"/>
  <c r="AL21" i="47"/>
  <c r="S66" i="58" s="1"/>
  <c r="X112" i="60" s="1"/>
  <c r="AM20" i="47"/>
  <c r="AL20" i="47"/>
  <c r="S65" i="58" s="1"/>
  <c r="AM19" i="47"/>
  <c r="T64" i="58" s="1"/>
  <c r="AG60" i="64" s="1"/>
  <c r="AL19" i="47"/>
  <c r="S64" i="58" s="1"/>
  <c r="AE22" i="47"/>
  <c r="AD22" i="47"/>
  <c r="AE21" i="47"/>
  <c r="R66" i="58" s="1"/>
  <c r="AD21" i="47"/>
  <c r="Q66" i="58" s="1"/>
  <c r="O112" i="60" s="1"/>
  <c r="AE20" i="47"/>
  <c r="R65" i="58" s="1"/>
  <c r="AD20" i="47"/>
  <c r="Q65" i="58" s="1"/>
  <c r="AE19" i="47"/>
  <c r="AD19" i="47"/>
  <c r="V20" i="47"/>
  <c r="O65" i="58" s="1"/>
  <c r="G111" i="60" s="1"/>
  <c r="W20" i="47"/>
  <c r="V21" i="47"/>
  <c r="O66" i="58" s="1"/>
  <c r="W21" i="47"/>
  <c r="V22" i="47"/>
  <c r="O67" i="58"/>
  <c r="W22" i="47"/>
  <c r="W19" i="47"/>
  <c r="V19" i="47"/>
  <c r="O64" i="58" s="1"/>
  <c r="V18" i="47"/>
  <c r="O63" i="58" s="1"/>
  <c r="G109" i="60" s="1"/>
  <c r="P63" i="58"/>
  <c r="H109" i="60" s="1"/>
  <c r="W17" i="47"/>
  <c r="P62" i="58" s="1"/>
  <c r="V17" i="47"/>
  <c r="O62" i="58" s="1"/>
  <c r="AV16" i="47"/>
  <c r="AU16" i="47"/>
  <c r="V61" i="58"/>
  <c r="AT16" i="47"/>
  <c r="U61" i="58" s="1"/>
  <c r="AG107" i="60" s="1"/>
  <c r="AM16" i="47"/>
  <c r="T61" i="58" s="1"/>
  <c r="AL16" i="47"/>
  <c r="S61" i="58"/>
  <c r="AE16" i="47"/>
  <c r="R61" i="58" s="1"/>
  <c r="AE57" i="64" s="1"/>
  <c r="AD16" i="47"/>
  <c r="Q61" i="58"/>
  <c r="AD57" i="64" s="1"/>
  <c r="W16" i="47"/>
  <c r="P61" i="58" s="1"/>
  <c r="I107" i="60" s="1"/>
  <c r="J107" i="60" s="1"/>
  <c r="V16" i="47"/>
  <c r="O61" i="58"/>
  <c r="F107" i="60" s="1"/>
  <c r="I17" i="47"/>
  <c r="E58" i="59"/>
  <c r="D108" i="60" s="1"/>
  <c r="I18" i="47"/>
  <c r="E59" i="59" s="1"/>
  <c r="D109" i="60" s="1"/>
  <c r="I19" i="47"/>
  <c r="E60" i="59" s="1"/>
  <c r="D110" i="60" s="1"/>
  <c r="I20" i="47"/>
  <c r="E61" i="59" s="1"/>
  <c r="D111" i="60" s="1"/>
  <c r="I21" i="47"/>
  <c r="E62" i="59"/>
  <c r="D112" i="60" s="1"/>
  <c r="I22" i="47"/>
  <c r="E63" i="59" s="1"/>
  <c r="D113" i="60" s="1"/>
  <c r="I23" i="47"/>
  <c r="E64" i="59" s="1"/>
  <c r="D114" i="60" s="1"/>
  <c r="I16" i="47"/>
  <c r="E57" i="59" s="1"/>
  <c r="D107" i="60" s="1"/>
  <c r="H23" i="47"/>
  <c r="H22" i="47"/>
  <c r="H17" i="47"/>
  <c r="H18" i="47"/>
  <c r="H19" i="47"/>
  <c r="H20" i="47"/>
  <c r="H21" i="47"/>
  <c r="H16" i="47"/>
  <c r="Q63" i="59"/>
  <c r="E113" i="60" s="1"/>
  <c r="N113" i="60" s="1"/>
  <c r="Q64" i="59"/>
  <c r="E114" i="60" s="1"/>
  <c r="N114" i="60" s="1"/>
  <c r="Q60" i="59"/>
  <c r="E110" i="60" s="1"/>
  <c r="N110" i="60" s="1"/>
  <c r="Q61" i="59"/>
  <c r="E111" i="60"/>
  <c r="N111" i="60" s="1"/>
  <c r="Q62" i="59"/>
  <c r="E112" i="60" s="1"/>
  <c r="Q59" i="59"/>
  <c r="E109" i="60" s="1"/>
  <c r="N109" i="60" s="1"/>
  <c r="Q58" i="59"/>
  <c r="E108" i="60" s="1"/>
  <c r="Q57" i="59"/>
  <c r="E107" i="60"/>
  <c r="E17" i="47"/>
  <c r="E18" i="47"/>
  <c r="E19" i="47"/>
  <c r="E20" i="47"/>
  <c r="E21" i="47"/>
  <c r="E22" i="47"/>
  <c r="E23" i="47"/>
  <c r="E16" i="47"/>
  <c r="D16" i="47"/>
  <c r="C16" i="47"/>
  <c r="B16" i="47"/>
  <c r="O66" i="38"/>
  <c r="O67" i="38"/>
  <c r="O64" i="38"/>
  <c r="O65" i="38"/>
  <c r="O62" i="38"/>
  <c r="O63" i="38"/>
  <c r="O61" i="38"/>
  <c r="N112" i="60"/>
  <c r="I109" i="60"/>
  <c r="AB59" i="64"/>
  <c r="AB58" i="64"/>
  <c r="AH62" i="64"/>
  <c r="AH57" i="64"/>
  <c r="AI58" i="64"/>
  <c r="AD62" i="64"/>
  <c r="AZ18" i="47"/>
  <c r="BH18" i="47" s="1"/>
  <c r="AG63" i="58" s="1"/>
  <c r="AW22" i="47"/>
  <c r="P67" i="58"/>
  <c r="AW18" i="47"/>
  <c r="BE18" i="47" s="1"/>
  <c r="AZ16" i="47"/>
  <c r="P66" i="58"/>
  <c r="AC62" i="64" s="1"/>
  <c r="AV21" i="47"/>
  <c r="AX17" i="47"/>
  <c r="BF17" i="47" s="1"/>
  <c r="AW21" i="47"/>
  <c r="G112" i="60"/>
  <c r="I112" i="60"/>
  <c r="H112" i="60"/>
  <c r="AC63" i="64"/>
  <c r="BE21" i="47"/>
  <c r="O68" i="38"/>
  <c r="I18" i="46"/>
  <c r="E85" i="59" s="1"/>
  <c r="D51" i="60"/>
  <c r="H18" i="46"/>
  <c r="Q85" i="59"/>
  <c r="E51" i="60"/>
  <c r="E18" i="46"/>
  <c r="D18" i="46"/>
  <c r="C18" i="46"/>
  <c r="AU18" i="46"/>
  <c r="V95" i="58"/>
  <c r="AI51" i="60" s="1"/>
  <c r="AT18" i="46"/>
  <c r="U95" i="58" s="1"/>
  <c r="AH91" i="64" s="1"/>
  <c r="AM18" i="46"/>
  <c r="T95" i="58" s="1"/>
  <c r="Z51" i="60" s="1"/>
  <c r="AL18" i="46"/>
  <c r="S95" i="58" s="1"/>
  <c r="AE18" i="46"/>
  <c r="R95" i="58" s="1"/>
  <c r="AD18" i="46"/>
  <c r="Q95" i="58" s="1"/>
  <c r="W18" i="46"/>
  <c r="AW18" i="46" s="1"/>
  <c r="P95" i="58"/>
  <c r="AC91" i="64" s="1"/>
  <c r="V18" i="46"/>
  <c r="O95" i="58" s="1"/>
  <c r="O95" i="38"/>
  <c r="Q7" i="59"/>
  <c r="E14" i="60"/>
  <c r="Q8" i="59"/>
  <c r="E15" i="60" s="1"/>
  <c r="N15" i="60" s="1"/>
  <c r="Q6" i="59"/>
  <c r="E13" i="60" s="1"/>
  <c r="Q5" i="59"/>
  <c r="E12" i="60"/>
  <c r="O59" i="38"/>
  <c r="N51" i="60"/>
  <c r="BE18" i="46"/>
  <c r="AU19" i="37"/>
  <c r="V58" i="58" s="1"/>
  <c r="AI54" i="64" s="1"/>
  <c r="AT19" i="37"/>
  <c r="U58" i="58" s="1"/>
  <c r="AG15" i="60" s="1"/>
  <c r="AL15" i="60" s="1"/>
  <c r="AM19" i="37"/>
  <c r="T58" i="58" s="1"/>
  <c r="AG54" i="64" s="1"/>
  <c r="AL19" i="37"/>
  <c r="S58" i="58" s="1"/>
  <c r="AF54" i="64" s="1"/>
  <c r="AE19" i="37"/>
  <c r="AD19" i="37"/>
  <c r="Q58" i="58" s="1"/>
  <c r="P15" i="60" s="1"/>
  <c r="W19" i="37"/>
  <c r="O19" i="37"/>
  <c r="R8" i="59"/>
  <c r="AW19" i="37"/>
  <c r="BE19" i="37" s="1"/>
  <c r="P58" i="58"/>
  <c r="W18" i="37"/>
  <c r="P57" i="58"/>
  <c r="AC53" i="64" s="1"/>
  <c r="V18" i="37"/>
  <c r="O57" i="58" s="1"/>
  <c r="F14" i="60" s="1"/>
  <c r="AE18" i="37"/>
  <c r="AD18" i="37"/>
  <c r="Q57" i="58" s="1"/>
  <c r="AM18" i="37"/>
  <c r="T57" i="58" s="1"/>
  <c r="AG53" i="64" s="1"/>
  <c r="AL18" i="37"/>
  <c r="S57" i="58" s="1"/>
  <c r="X14" i="60" s="1"/>
  <c r="AV17" i="37"/>
  <c r="W56" i="58" s="1"/>
  <c r="AJ52" i="64" s="1"/>
  <c r="F25" i="69" s="1"/>
  <c r="AT18" i="37"/>
  <c r="U57" i="58" s="1"/>
  <c r="AU18" i="37"/>
  <c r="V57" i="58"/>
  <c r="AI53" i="64" s="1"/>
  <c r="O18" i="37"/>
  <c r="R7" i="59" s="1"/>
  <c r="AI14" i="60"/>
  <c r="AW18" i="37"/>
  <c r="BE18" i="37" s="1"/>
  <c r="O17" i="37"/>
  <c r="R6" i="59" s="1"/>
  <c r="C16" i="37"/>
  <c r="B16" i="37"/>
  <c r="I22" i="44"/>
  <c r="E19" i="59"/>
  <c r="D36" i="60" s="1"/>
  <c r="I17" i="44"/>
  <c r="E14" i="59" s="1"/>
  <c r="D31" i="60" s="1"/>
  <c r="I18" i="44"/>
  <c r="E15" i="59"/>
  <c r="D32" i="60" s="1"/>
  <c r="I19" i="44"/>
  <c r="E16" i="59" s="1"/>
  <c r="D33" i="60"/>
  <c r="I20" i="44"/>
  <c r="E17" i="59" s="1"/>
  <c r="D34" i="60" s="1"/>
  <c r="I21" i="44"/>
  <c r="E18" i="59" s="1"/>
  <c r="D35" i="60" s="1"/>
  <c r="I16" i="44"/>
  <c r="E13" i="59"/>
  <c r="D30" i="60" s="1"/>
  <c r="H17" i="44"/>
  <c r="H18" i="44"/>
  <c r="H19" i="44"/>
  <c r="H20" i="44"/>
  <c r="H21" i="44"/>
  <c r="H22" i="44"/>
  <c r="H16" i="44"/>
  <c r="Q14" i="59"/>
  <c r="E31" i="60" s="1"/>
  <c r="W31" i="60" s="1"/>
  <c r="AF31" i="60" s="1"/>
  <c r="Q15" i="59"/>
  <c r="E32" i="60" s="1"/>
  <c r="Q16" i="59"/>
  <c r="E33" i="60"/>
  <c r="Q17" i="59"/>
  <c r="E34" i="60" s="1"/>
  <c r="N34" i="60" s="1"/>
  <c r="Q18" i="59"/>
  <c r="E35" i="60" s="1"/>
  <c r="W35" i="60" s="1"/>
  <c r="AF35" i="60" s="1"/>
  <c r="Q19" i="59"/>
  <c r="E36" i="60" s="1"/>
  <c r="N36" i="60" s="1"/>
  <c r="Q13" i="59"/>
  <c r="E30" i="60"/>
  <c r="E17" i="44"/>
  <c r="E18" i="44"/>
  <c r="E19" i="44"/>
  <c r="E20" i="44"/>
  <c r="E21" i="44"/>
  <c r="E22" i="44"/>
  <c r="E16" i="44"/>
  <c r="D22" i="44"/>
  <c r="D17" i="44"/>
  <c r="D18" i="44"/>
  <c r="D19" i="44"/>
  <c r="D20" i="44"/>
  <c r="D21" i="44"/>
  <c r="D16" i="44"/>
  <c r="C16" i="44"/>
  <c r="B16" i="44"/>
  <c r="AU22" i="44"/>
  <c r="V54" i="58" s="1"/>
  <c r="AT22" i="44"/>
  <c r="U54" i="58" s="1"/>
  <c r="AG36" i="60" s="1"/>
  <c r="AM22" i="44"/>
  <c r="T54" i="58" s="1"/>
  <c r="AG50" i="64" s="1"/>
  <c r="AL22" i="44"/>
  <c r="S54" i="58" s="1"/>
  <c r="AE22" i="44"/>
  <c r="R54" i="58" s="1"/>
  <c r="AE50" i="64" s="1"/>
  <c r="AD22" i="44"/>
  <c r="Q54" i="58"/>
  <c r="AD50" i="64" s="1"/>
  <c r="W22" i="44"/>
  <c r="P54" i="58" s="1"/>
  <c r="V22" i="44"/>
  <c r="O54" i="58" s="1"/>
  <c r="P36" i="60" s="1"/>
  <c r="AU21" i="44"/>
  <c r="V53" i="58" s="1"/>
  <c r="AI49" i="64" s="1"/>
  <c r="AT21" i="44"/>
  <c r="U53" i="58"/>
  <c r="AG35" i="60" s="1"/>
  <c r="AM21" i="44"/>
  <c r="T53" i="58" s="1"/>
  <c r="AG49" i="64" s="1"/>
  <c r="AL21" i="44"/>
  <c r="S53" i="58" s="1"/>
  <c r="AF49" i="64" s="1"/>
  <c r="AE21" i="44"/>
  <c r="R53" i="58" s="1"/>
  <c r="AD21" i="44"/>
  <c r="Q53" i="58" s="1"/>
  <c r="AD49" i="64" s="1"/>
  <c r="W21" i="44"/>
  <c r="V21" i="44"/>
  <c r="AU20" i="44"/>
  <c r="V52" i="58" s="1"/>
  <c r="AT20" i="44"/>
  <c r="U52" i="58" s="1"/>
  <c r="AM20" i="44"/>
  <c r="AL20" i="44"/>
  <c r="S52" i="58"/>
  <c r="AE20" i="44"/>
  <c r="R52" i="58" s="1"/>
  <c r="AD20" i="44"/>
  <c r="Q52" i="58" s="1"/>
  <c r="O34" i="60" s="1"/>
  <c r="W20" i="44"/>
  <c r="P52" i="58" s="1"/>
  <c r="V20" i="44"/>
  <c r="O52" i="58" s="1"/>
  <c r="P34" i="60" s="1"/>
  <c r="AU19" i="44"/>
  <c r="V51" i="58"/>
  <c r="AI33" i="60" s="1"/>
  <c r="AT19" i="44"/>
  <c r="U51" i="58" s="1"/>
  <c r="AH47" i="64" s="1"/>
  <c r="AM19" i="44"/>
  <c r="T51" i="58" s="1"/>
  <c r="AL19" i="44"/>
  <c r="S51" i="58" s="1"/>
  <c r="AE19" i="44"/>
  <c r="AX19" i="44" s="1"/>
  <c r="R51" i="58"/>
  <c r="AE47" i="64" s="1"/>
  <c r="AD19" i="44"/>
  <c r="Q51" i="58" s="1"/>
  <c r="O33" i="60" s="1"/>
  <c r="W19" i="44"/>
  <c r="P51" i="58"/>
  <c r="I33" i="60" s="1"/>
  <c r="J33" i="60" s="1"/>
  <c r="V19" i="44"/>
  <c r="AU18" i="44"/>
  <c r="V50" i="58" s="1"/>
  <c r="AT18" i="44"/>
  <c r="U50" i="58" s="1"/>
  <c r="AM18" i="44"/>
  <c r="T50" i="58" s="1"/>
  <c r="AG46" i="64" s="1"/>
  <c r="AL18" i="44"/>
  <c r="S50" i="58" s="1"/>
  <c r="AE18" i="44"/>
  <c r="R50" i="58" s="1"/>
  <c r="AD18" i="44"/>
  <c r="Q50" i="58" s="1"/>
  <c r="W18" i="44"/>
  <c r="V18" i="44"/>
  <c r="AU17" i="44"/>
  <c r="V49" i="58" s="1"/>
  <c r="AT17" i="44"/>
  <c r="AM17" i="44"/>
  <c r="AL17" i="44"/>
  <c r="S49" i="58"/>
  <c r="AF45" i="64" s="1"/>
  <c r="AE17" i="44"/>
  <c r="R49" i="58" s="1"/>
  <c r="AD17" i="44"/>
  <c r="Q49" i="58" s="1"/>
  <c r="W17" i="44"/>
  <c r="V17" i="44"/>
  <c r="O49" i="58" s="1"/>
  <c r="AB45" i="64" s="1"/>
  <c r="R14" i="59"/>
  <c r="AU16" i="44"/>
  <c r="V48" i="58"/>
  <c r="AI44" i="64" s="1"/>
  <c r="AT16" i="44"/>
  <c r="U48" i="58" s="1"/>
  <c r="AM16" i="44"/>
  <c r="T48" i="58" s="1"/>
  <c r="AL16" i="44"/>
  <c r="S48" i="58" s="1"/>
  <c r="X30" i="60" s="1"/>
  <c r="AE16" i="44"/>
  <c r="R48" i="58"/>
  <c r="Q30" i="60" s="1"/>
  <c r="AD16" i="44"/>
  <c r="Q48" i="58" s="1"/>
  <c r="W16" i="44"/>
  <c r="P48" i="58" s="1"/>
  <c r="V16" i="44"/>
  <c r="R13" i="59"/>
  <c r="Y34" i="60"/>
  <c r="AD48" i="64"/>
  <c r="AF44" i="64"/>
  <c r="AH34" i="60"/>
  <c r="AG33" i="60"/>
  <c r="AH49" i="64"/>
  <c r="AI30" i="60"/>
  <c r="AI35" i="60"/>
  <c r="AW18" i="44"/>
  <c r="BE18" i="44" s="1"/>
  <c r="P50" i="58"/>
  <c r="H32" i="60" s="1"/>
  <c r="AW22" i="44"/>
  <c r="BE22" i="44" s="1"/>
  <c r="AW20" i="44"/>
  <c r="BE20" i="44" s="1"/>
  <c r="AW19" i="44"/>
  <c r="BE19" i="44" s="1"/>
  <c r="I32" i="60"/>
  <c r="J32" i="60" s="1"/>
  <c r="AU19" i="43"/>
  <c r="V43" i="58" s="1"/>
  <c r="AT19" i="43"/>
  <c r="U43" i="58"/>
  <c r="AM19" i="43"/>
  <c r="T43" i="58" s="1"/>
  <c r="AL19" i="43"/>
  <c r="S43" i="58" s="1"/>
  <c r="AF39" i="64" s="1"/>
  <c r="AD19" i="43"/>
  <c r="Q43" i="58" s="1"/>
  <c r="V19" i="43"/>
  <c r="O43" i="58"/>
  <c r="F97" i="60" s="1"/>
  <c r="AV19" i="43"/>
  <c r="AV17" i="43"/>
  <c r="W41" i="58" s="1"/>
  <c r="AJ37" i="64" s="1"/>
  <c r="F18" i="69" s="1"/>
  <c r="AU17" i="43"/>
  <c r="V41" i="58" s="1"/>
  <c r="AI95" i="60" s="1"/>
  <c r="AT17" i="43"/>
  <c r="U41" i="58" s="1"/>
  <c r="AG95" i="60" s="1"/>
  <c r="AL95" i="60" s="1"/>
  <c r="AM17" i="43"/>
  <c r="T41" i="58" s="1"/>
  <c r="AG37" i="64" s="1"/>
  <c r="AL17" i="43"/>
  <c r="S41" i="58"/>
  <c r="V17" i="43"/>
  <c r="O41" i="58"/>
  <c r="F95" i="60" s="1"/>
  <c r="O17" i="43"/>
  <c r="R50" i="59" s="1"/>
  <c r="O18" i="43"/>
  <c r="R51" i="59" s="1"/>
  <c r="O19" i="43"/>
  <c r="R52" i="59" s="1"/>
  <c r="O20" i="43"/>
  <c r="R53" i="59"/>
  <c r="O21" i="43"/>
  <c r="R54" i="59" s="1"/>
  <c r="O22" i="43"/>
  <c r="R55" i="59" s="1"/>
  <c r="O23" i="43"/>
  <c r="R56" i="59" s="1"/>
  <c r="O16" i="43"/>
  <c r="R49" i="59"/>
  <c r="I21" i="43"/>
  <c r="E54" i="59" s="1"/>
  <c r="D99" i="60" s="1"/>
  <c r="I22" i="43"/>
  <c r="E55" i="59" s="1"/>
  <c r="D100" i="60" s="1"/>
  <c r="I23" i="43"/>
  <c r="E56" i="59"/>
  <c r="D101" i="60" s="1"/>
  <c r="I20" i="43"/>
  <c r="E53" i="59" s="1"/>
  <c r="D98" i="60" s="1"/>
  <c r="I17" i="43"/>
  <c r="E50" i="59" s="1"/>
  <c r="D95" i="60" s="1"/>
  <c r="I18" i="43"/>
  <c r="E51" i="59"/>
  <c r="D96" i="60" s="1"/>
  <c r="I19" i="43"/>
  <c r="E52" i="59" s="1"/>
  <c r="D97" i="60" s="1"/>
  <c r="I16" i="43"/>
  <c r="E49" i="59"/>
  <c r="D94" i="60" s="1"/>
  <c r="H21" i="43"/>
  <c r="H22" i="43"/>
  <c r="H23" i="43"/>
  <c r="H17" i="43"/>
  <c r="H18" i="43"/>
  <c r="H19" i="43"/>
  <c r="H20" i="43"/>
  <c r="H16" i="43"/>
  <c r="Q56" i="59"/>
  <c r="E101" i="60" s="1"/>
  <c r="Q55" i="59"/>
  <c r="E100" i="60" s="1"/>
  <c r="N100" i="60" s="1"/>
  <c r="Q54" i="59"/>
  <c r="E99" i="60"/>
  <c r="N99" i="60" s="1"/>
  <c r="Q53" i="59"/>
  <c r="E98" i="60" s="1"/>
  <c r="N98" i="60" s="1"/>
  <c r="Q50" i="59"/>
  <c r="E95" i="60" s="1"/>
  <c r="Q51" i="59"/>
  <c r="E96" i="60"/>
  <c r="N96" i="60" s="1"/>
  <c r="Q52" i="59"/>
  <c r="E97" i="60" s="1"/>
  <c r="Q49" i="59"/>
  <c r="E94" i="60" s="1"/>
  <c r="N94" i="60" s="1"/>
  <c r="E17" i="43"/>
  <c r="E18" i="43"/>
  <c r="E19" i="43"/>
  <c r="E20" i="43"/>
  <c r="E21" i="43"/>
  <c r="E22" i="43"/>
  <c r="E23" i="43"/>
  <c r="E16" i="43"/>
  <c r="D21" i="43"/>
  <c r="D22" i="43"/>
  <c r="D23" i="43"/>
  <c r="D17" i="43"/>
  <c r="D18" i="43"/>
  <c r="D19" i="43"/>
  <c r="D20" i="43"/>
  <c r="D16" i="43"/>
  <c r="C21" i="43"/>
  <c r="C20" i="43"/>
  <c r="C18" i="43"/>
  <c r="C16" i="43"/>
  <c r="B16" i="43"/>
  <c r="AU23" i="43"/>
  <c r="V47" i="58" s="1"/>
  <c r="AI101" i="60" s="1"/>
  <c r="AL101" i="60" s="1"/>
  <c r="AM23" i="43"/>
  <c r="T47" i="58" s="1"/>
  <c r="AL23" i="43"/>
  <c r="S47" i="58" s="1"/>
  <c r="X101" i="60" s="1"/>
  <c r="AD23" i="43"/>
  <c r="W23" i="43"/>
  <c r="AW23" i="43" s="1"/>
  <c r="BE23" i="43" s="1"/>
  <c r="V23" i="43"/>
  <c r="O47" i="58" s="1"/>
  <c r="AU22" i="43"/>
  <c r="V46" i="58" s="1"/>
  <c r="AI42" i="64" s="1"/>
  <c r="AT22" i="43"/>
  <c r="U46" i="58" s="1"/>
  <c r="AH42" i="64" s="1"/>
  <c r="AG100" i="60"/>
  <c r="AM22" i="43"/>
  <c r="T46" i="58" s="1"/>
  <c r="AG42" i="64" s="1"/>
  <c r="AL22" i="43"/>
  <c r="S46" i="58"/>
  <c r="X100" i="60" s="1"/>
  <c r="AD22" i="43"/>
  <c r="Q46" i="58" s="1"/>
  <c r="W22" i="43"/>
  <c r="P46" i="58" s="1"/>
  <c r="V22" i="43"/>
  <c r="O46" i="58"/>
  <c r="AU21" i="43"/>
  <c r="V45" i="58" s="1"/>
  <c r="AI99" i="60" s="1"/>
  <c r="AT21" i="43"/>
  <c r="U45" i="58" s="1"/>
  <c r="AM21" i="43"/>
  <c r="T45" i="58" s="1"/>
  <c r="AL21" i="43"/>
  <c r="S45" i="58" s="1"/>
  <c r="X99" i="60" s="1"/>
  <c r="AD21" i="43"/>
  <c r="Q45" i="58" s="1"/>
  <c r="W21" i="43"/>
  <c r="P45" i="58" s="1"/>
  <c r="V21" i="43"/>
  <c r="O45" i="58"/>
  <c r="AU20" i="43"/>
  <c r="V44" i="58" s="1"/>
  <c r="AT20" i="43"/>
  <c r="U44" i="58" s="1"/>
  <c r="AG98" i="60"/>
  <c r="AM20" i="43"/>
  <c r="T44" i="58" s="1"/>
  <c r="Z98" i="60" s="1"/>
  <c r="AL20" i="43"/>
  <c r="S44" i="58"/>
  <c r="AD20" i="43"/>
  <c r="Q44" i="58" s="1"/>
  <c r="AD40" i="64" s="1"/>
  <c r="W20" i="43"/>
  <c r="P44" i="58" s="1"/>
  <c r="H98" i="60" s="1"/>
  <c r="V20" i="43"/>
  <c r="AU18" i="43"/>
  <c r="V42" i="58" s="1"/>
  <c r="AT18" i="43"/>
  <c r="U42" i="58"/>
  <c r="AG96" i="60" s="1"/>
  <c r="AL96" i="60" s="1"/>
  <c r="AM18" i="43"/>
  <c r="T42" i="58" s="1"/>
  <c r="Z96" i="60" s="1"/>
  <c r="AL18" i="43"/>
  <c r="S42" i="58" s="1"/>
  <c r="X96" i="60" s="1"/>
  <c r="AD18" i="43"/>
  <c r="Q42" i="58" s="1"/>
  <c r="AD38" i="64" s="1"/>
  <c r="W18" i="43"/>
  <c r="V18" i="43"/>
  <c r="O42" i="58" s="1"/>
  <c r="AU16" i="43"/>
  <c r="V40" i="58" s="1"/>
  <c r="AI94" i="60" s="1"/>
  <c r="AT16" i="43"/>
  <c r="U40" i="58" s="1"/>
  <c r="AG94" i="60" s="1"/>
  <c r="AM16" i="43"/>
  <c r="T40" i="58" s="1"/>
  <c r="AL16" i="43"/>
  <c r="S40" i="58" s="1"/>
  <c r="X94" i="60" s="1"/>
  <c r="AD16" i="43"/>
  <c r="Q40" i="58"/>
  <c r="W16" i="43"/>
  <c r="P40" i="58" s="1"/>
  <c r="AC36" i="64" s="1"/>
  <c r="V16" i="43"/>
  <c r="O40" i="58"/>
  <c r="F94" i="60" s="1"/>
  <c r="O43" i="38"/>
  <c r="O41" i="38"/>
  <c r="O42" i="38"/>
  <c r="O44" i="38"/>
  <c r="O45" i="38"/>
  <c r="O46" i="38"/>
  <c r="O47" i="38"/>
  <c r="AF36" i="64"/>
  <c r="AF42" i="64"/>
  <c r="AF43" i="64"/>
  <c r="N97" i="60"/>
  <c r="X97" i="60"/>
  <c r="W98" i="60"/>
  <c r="AF98" i="60" s="1"/>
  <c r="O96" i="60"/>
  <c r="W100" i="60"/>
  <c r="AF100" i="60" s="1"/>
  <c r="W96" i="60"/>
  <c r="AF96" i="60" s="1"/>
  <c r="I94" i="60"/>
  <c r="J94" i="60" s="1"/>
  <c r="AI37" i="64"/>
  <c r="AH38" i="64"/>
  <c r="AH40" i="64"/>
  <c r="AB37" i="64"/>
  <c r="AB36" i="64"/>
  <c r="AI43" i="64"/>
  <c r="AI41" i="64"/>
  <c r="AW22" i="43"/>
  <c r="AX17" i="43"/>
  <c r="BB17" i="43" s="1"/>
  <c r="AW17" i="43"/>
  <c r="AV21" i="43"/>
  <c r="W45" i="58" s="1"/>
  <c r="AJ41" i="64" s="1"/>
  <c r="AX16" i="43"/>
  <c r="AW21" i="43"/>
  <c r="BE21" i="43" s="1"/>
  <c r="P96" i="60"/>
  <c r="K95" i="60"/>
  <c r="F96" i="60"/>
  <c r="G96" i="60"/>
  <c r="L96" i="60"/>
  <c r="AB38" i="64"/>
  <c r="I21" i="42"/>
  <c r="E47" i="59" s="1"/>
  <c r="D87" i="60" s="1"/>
  <c r="I22" i="42"/>
  <c r="E48" i="59" s="1"/>
  <c r="D88" i="60" s="1"/>
  <c r="I20" i="42"/>
  <c r="E46" i="59" s="1"/>
  <c r="D86" i="60" s="1"/>
  <c r="I17" i="42"/>
  <c r="E43" i="59" s="1"/>
  <c r="D83" i="60" s="1"/>
  <c r="I18" i="42"/>
  <c r="E44" i="59" s="1"/>
  <c r="D84" i="60" s="1"/>
  <c r="I19" i="42"/>
  <c r="E45" i="59" s="1"/>
  <c r="D85" i="60" s="1"/>
  <c r="I16" i="42"/>
  <c r="E42" i="59"/>
  <c r="D82" i="60" s="1"/>
  <c r="H17" i="42"/>
  <c r="H18" i="42"/>
  <c r="H19" i="42"/>
  <c r="H20" i="42"/>
  <c r="H21" i="42"/>
  <c r="H22" i="42"/>
  <c r="H16" i="42"/>
  <c r="Q43" i="59"/>
  <c r="E83" i="60" s="1"/>
  <c r="Q44" i="59"/>
  <c r="E84" i="60" s="1"/>
  <c r="Q45" i="59"/>
  <c r="E85" i="60" s="1"/>
  <c r="Q46" i="59"/>
  <c r="E86" i="60" s="1"/>
  <c r="Q47" i="59"/>
  <c r="E87" i="60" s="1"/>
  <c r="Q48" i="59"/>
  <c r="E88" i="60" s="1"/>
  <c r="Q42" i="59"/>
  <c r="E82" i="60" s="1"/>
  <c r="D22" i="42"/>
  <c r="D21" i="42"/>
  <c r="D20" i="42"/>
  <c r="D17" i="42"/>
  <c r="D18" i="42"/>
  <c r="D19" i="42"/>
  <c r="D16" i="42"/>
  <c r="C20" i="42"/>
  <c r="C18" i="42"/>
  <c r="C16" i="42"/>
  <c r="B16" i="42"/>
  <c r="AU22" i="42"/>
  <c r="V39" i="58" s="1"/>
  <c r="AT22" i="42"/>
  <c r="U39" i="58" s="1"/>
  <c r="AM22" i="42"/>
  <c r="T39" i="58" s="1"/>
  <c r="AL22" i="42"/>
  <c r="S39" i="58" s="1"/>
  <c r="AE22" i="42"/>
  <c r="AX22" i="42" s="1"/>
  <c r="R39" i="58"/>
  <c r="AE35" i="64" s="1"/>
  <c r="AD22" i="42"/>
  <c r="W22" i="42"/>
  <c r="AW22" i="42" s="1"/>
  <c r="BE22" i="42" s="1"/>
  <c r="V22" i="42"/>
  <c r="O39" i="58" s="1"/>
  <c r="AW21" i="42"/>
  <c r="BE21" i="42" s="1"/>
  <c r="AU21" i="42"/>
  <c r="V38" i="58" s="1"/>
  <c r="AT21" i="42"/>
  <c r="U38" i="58"/>
  <c r="AG87" i="60" s="1"/>
  <c r="AL21" i="42"/>
  <c r="S38" i="58" s="1"/>
  <c r="AD21" i="42"/>
  <c r="Q38" i="58" s="1"/>
  <c r="O87" i="60" s="1"/>
  <c r="V21" i="42"/>
  <c r="O38" i="58" s="1"/>
  <c r="AX20" i="42"/>
  <c r="BF20" i="42" s="1"/>
  <c r="AW20" i="42"/>
  <c r="BE20" i="42" s="1"/>
  <c r="AU20" i="42"/>
  <c r="AT20" i="42"/>
  <c r="U37" i="58" s="1"/>
  <c r="AG86" i="60" s="1"/>
  <c r="AL20" i="42"/>
  <c r="AV20" i="42" s="1"/>
  <c r="S37" i="58"/>
  <c r="X86" i="60" s="1"/>
  <c r="AD20" i="42"/>
  <c r="Q37" i="58" s="1"/>
  <c r="AD33" i="64" s="1"/>
  <c r="BJ33" i="64" s="1"/>
  <c r="V20" i="42"/>
  <c r="O37" i="58"/>
  <c r="F86" i="60" s="1"/>
  <c r="AU19" i="42"/>
  <c r="V36" i="58"/>
  <c r="AI32" i="64" s="1"/>
  <c r="AM19" i="42"/>
  <c r="AE19" i="42"/>
  <c r="R36" i="58" s="1"/>
  <c r="W19" i="42"/>
  <c r="P36" i="58" s="1"/>
  <c r="AC32" i="64" s="1"/>
  <c r="V19" i="42"/>
  <c r="O36" i="58"/>
  <c r="AB32" i="64" s="1"/>
  <c r="AU18" i="42"/>
  <c r="V35" i="58"/>
  <c r="AM18" i="42"/>
  <c r="AE18" i="42"/>
  <c r="W18" i="42"/>
  <c r="P35" i="58" s="1"/>
  <c r="AU17" i="42"/>
  <c r="V34" i="58"/>
  <c r="AT17" i="42"/>
  <c r="U34" i="58" s="1"/>
  <c r="AM17" i="42"/>
  <c r="T34" i="58" s="1"/>
  <c r="AL17" i="42"/>
  <c r="S34" i="58" s="1"/>
  <c r="AF30" i="64" s="1"/>
  <c r="AE17" i="42"/>
  <c r="AD17" i="42"/>
  <c r="Q34" i="58"/>
  <c r="W17" i="42"/>
  <c r="P34" i="58" s="1"/>
  <c r="V17" i="42"/>
  <c r="O34" i="58"/>
  <c r="AU16" i="42"/>
  <c r="V33" i="58" s="1"/>
  <c r="AI82" i="60" s="1"/>
  <c r="AT16" i="42"/>
  <c r="U33" i="58" s="1"/>
  <c r="AM16" i="42"/>
  <c r="T33" i="58" s="1"/>
  <c r="AL16" i="42"/>
  <c r="AE16" i="42"/>
  <c r="R33" i="58"/>
  <c r="AE29" i="64" s="1"/>
  <c r="AD16" i="42"/>
  <c r="Q33" i="58" s="1"/>
  <c r="O82" i="60" s="1"/>
  <c r="W16" i="42"/>
  <c r="P33" i="58" s="1"/>
  <c r="V16" i="42"/>
  <c r="O33" i="58"/>
  <c r="AB29" i="64" s="1"/>
  <c r="E39" i="38"/>
  <c r="E38" i="38"/>
  <c r="E21" i="42" s="1"/>
  <c r="E37" i="38"/>
  <c r="E37" i="58" s="1"/>
  <c r="I33" i="64" s="1"/>
  <c r="E36" i="38"/>
  <c r="E36" i="58" s="1"/>
  <c r="I32" i="64" s="1"/>
  <c r="E35" i="38"/>
  <c r="E18" i="42" s="1"/>
  <c r="E34" i="38"/>
  <c r="E33" i="38"/>
  <c r="N88" i="60"/>
  <c r="AC31" i="64"/>
  <c r="N85" i="60"/>
  <c r="AF35" i="64"/>
  <c r="X88" i="60"/>
  <c r="AC30" i="64"/>
  <c r="AD34" i="64"/>
  <c r="AH33" i="64"/>
  <c r="AB33" i="64"/>
  <c r="E38" i="58"/>
  <c r="I34" i="64" s="1"/>
  <c r="E16" i="42"/>
  <c r="E33" i="58"/>
  <c r="I29" i="64" s="1"/>
  <c r="E35" i="58"/>
  <c r="I31" i="64"/>
  <c r="P39" i="58"/>
  <c r="I88" i="60" s="1"/>
  <c r="J88" i="60" s="1"/>
  <c r="M88" i="60" s="1"/>
  <c r="AW19" i="42"/>
  <c r="BE19" i="42" s="1"/>
  <c r="V37" i="58"/>
  <c r="AI33" i="64" s="1"/>
  <c r="V18" i="42"/>
  <c r="O35" i="58" s="1"/>
  <c r="AT19" i="42"/>
  <c r="U36" i="58" s="1"/>
  <c r="AH32" i="64" s="1"/>
  <c r="AL18" i="42"/>
  <c r="AD18" i="42"/>
  <c r="Q35" i="58" s="1"/>
  <c r="AL19" i="42"/>
  <c r="S36" i="58" s="1"/>
  <c r="AD19" i="42"/>
  <c r="Q36" i="58" s="1"/>
  <c r="AT18" i="42"/>
  <c r="U35" i="58" s="1"/>
  <c r="AW17" i="42"/>
  <c r="AW18" i="42"/>
  <c r="AW16" i="42"/>
  <c r="BE16" i="42" s="1"/>
  <c r="AC35" i="64"/>
  <c r="H88" i="60"/>
  <c r="AV22" i="41"/>
  <c r="AT22" i="41"/>
  <c r="U19" i="58" s="1"/>
  <c r="AH19" i="64" s="1"/>
  <c r="AU22" i="41"/>
  <c r="V19" i="58" s="1"/>
  <c r="AM22" i="41"/>
  <c r="T19" i="58" s="1"/>
  <c r="AL22" i="41"/>
  <c r="S19" i="58" s="1"/>
  <c r="AF19" i="64" s="1"/>
  <c r="AE22" i="41"/>
  <c r="R19" i="58" s="1"/>
  <c r="AD22" i="41"/>
  <c r="Q19" i="58"/>
  <c r="AD19" i="64" s="1"/>
  <c r="W22" i="41"/>
  <c r="P19" i="58" s="1"/>
  <c r="V22" i="41"/>
  <c r="O19" i="58"/>
  <c r="F63" i="60" s="1"/>
  <c r="X63" i="60"/>
  <c r="AG63" i="60"/>
  <c r="AW22" i="41"/>
  <c r="BE22" i="41" s="1"/>
  <c r="AX22" i="41"/>
  <c r="BF22" i="41" s="1"/>
  <c r="I17" i="41"/>
  <c r="E23" i="59" s="1"/>
  <c r="D58" i="60" s="1"/>
  <c r="I18" i="41"/>
  <c r="E24" i="59"/>
  <c r="D59" i="60" s="1"/>
  <c r="I19" i="41"/>
  <c r="E25" i="59" s="1"/>
  <c r="D60" i="60" s="1"/>
  <c r="I20" i="41"/>
  <c r="E26" i="59" s="1"/>
  <c r="D61" i="60" s="1"/>
  <c r="I21" i="41"/>
  <c r="E27" i="59" s="1"/>
  <c r="D62" i="60" s="1"/>
  <c r="I22" i="41"/>
  <c r="E28" i="59"/>
  <c r="D63" i="60" s="1"/>
  <c r="I23" i="41"/>
  <c r="E29" i="59" s="1"/>
  <c r="D64" i="60"/>
  <c r="I24" i="41"/>
  <c r="E30" i="59"/>
  <c r="D65" i="60" s="1"/>
  <c r="I25" i="41"/>
  <c r="E31" i="59" s="1"/>
  <c r="D66" i="60" s="1"/>
  <c r="I26" i="41"/>
  <c r="E32" i="59"/>
  <c r="D67" i="60" s="1"/>
  <c r="I27" i="41"/>
  <c r="E33" i="59" s="1"/>
  <c r="D68" i="60" s="1"/>
  <c r="I28" i="41"/>
  <c r="E34" i="59"/>
  <c r="D69" i="60" s="1"/>
  <c r="I29" i="41"/>
  <c r="E35" i="59" s="1"/>
  <c r="D70" i="60" s="1"/>
  <c r="I30" i="41"/>
  <c r="E36" i="59" s="1"/>
  <c r="D71" i="60" s="1"/>
  <c r="I31" i="41"/>
  <c r="E37" i="59" s="1"/>
  <c r="D72" i="60" s="1"/>
  <c r="I32" i="41"/>
  <c r="E38" i="59"/>
  <c r="D73" i="60" s="1"/>
  <c r="I33" i="41"/>
  <c r="E39" i="59" s="1"/>
  <c r="D74" i="60" s="1"/>
  <c r="I34" i="41"/>
  <c r="E40" i="59" s="1"/>
  <c r="D75" i="60" s="1"/>
  <c r="I35" i="41"/>
  <c r="E41" i="59" s="1"/>
  <c r="D76" i="60" s="1"/>
  <c r="I16" i="41"/>
  <c r="E22" i="59" s="1"/>
  <c r="D57" i="60" s="1"/>
  <c r="H17" i="41"/>
  <c r="H18" i="41"/>
  <c r="H19" i="41"/>
  <c r="H20" i="41"/>
  <c r="H21" i="41"/>
  <c r="H22" i="41"/>
  <c r="H23" i="41"/>
  <c r="H24" i="41"/>
  <c r="H25" i="41"/>
  <c r="H26" i="41"/>
  <c r="H27" i="41"/>
  <c r="H28" i="41"/>
  <c r="H29" i="41"/>
  <c r="H30" i="41"/>
  <c r="H31" i="41"/>
  <c r="H32" i="41"/>
  <c r="H33" i="41"/>
  <c r="H34" i="41"/>
  <c r="H35" i="41"/>
  <c r="H16" i="41"/>
  <c r="Q23" i="59"/>
  <c r="E58" i="60" s="1"/>
  <c r="N58" i="60" s="1"/>
  <c r="Q24" i="59"/>
  <c r="E59" i="60" s="1"/>
  <c r="Q25" i="59"/>
  <c r="E60" i="60" s="1"/>
  <c r="N60" i="60" s="1"/>
  <c r="Q26" i="59"/>
  <c r="E61" i="60" s="1"/>
  <c r="N61" i="60" s="1"/>
  <c r="Q27" i="59"/>
  <c r="E62" i="60" s="1"/>
  <c r="N62" i="60" s="1"/>
  <c r="Q28" i="59"/>
  <c r="E63" i="60" s="1"/>
  <c r="Q29" i="59"/>
  <c r="E64" i="60" s="1"/>
  <c r="N64" i="60" s="1"/>
  <c r="Q30" i="59"/>
  <c r="E65" i="60" s="1"/>
  <c r="N65" i="60" s="1"/>
  <c r="Q31" i="59"/>
  <c r="E66" i="60" s="1"/>
  <c r="Q32" i="59"/>
  <c r="E67" i="60"/>
  <c r="Q33" i="59"/>
  <c r="E68" i="60" s="1"/>
  <c r="N68" i="60" s="1"/>
  <c r="Q34" i="59"/>
  <c r="E69" i="60"/>
  <c r="N69" i="60" s="1"/>
  <c r="Q35" i="59"/>
  <c r="E70" i="60" s="1"/>
  <c r="Q36" i="59"/>
  <c r="E71" i="60"/>
  <c r="N71" i="60" s="1"/>
  <c r="Q37" i="59"/>
  <c r="E72" i="60" s="1"/>
  <c r="N72" i="60" s="1"/>
  <c r="Q38" i="59"/>
  <c r="E73" i="60"/>
  <c r="N73" i="60" s="1"/>
  <c r="W73" i="60" s="1"/>
  <c r="AF73" i="60" s="1"/>
  <c r="Q39" i="59"/>
  <c r="E74" i="60" s="1"/>
  <c r="N74" i="60" s="1"/>
  <c r="Q40" i="59"/>
  <c r="E75" i="60" s="1"/>
  <c r="N75" i="60" s="1"/>
  <c r="Q41" i="59"/>
  <c r="E76" i="60" s="1"/>
  <c r="N76" i="60" s="1"/>
  <c r="Q22" i="59"/>
  <c r="E57" i="60" s="1"/>
  <c r="N57" i="60" s="1"/>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N63" i="60"/>
  <c r="N67" i="60"/>
  <c r="AU35" i="41"/>
  <c r="V32" i="58" s="1"/>
  <c r="AT35" i="41"/>
  <c r="U32" i="58" s="1"/>
  <c r="AM35" i="41"/>
  <c r="T32" i="58" s="1"/>
  <c r="Z76" i="60" s="1"/>
  <c r="AL35" i="41"/>
  <c r="S32" i="58" s="1"/>
  <c r="AE35" i="41"/>
  <c r="AD35" i="41"/>
  <c r="W35" i="41"/>
  <c r="AW35" i="41" s="1"/>
  <c r="V35" i="41"/>
  <c r="O32" i="58"/>
  <c r="F76" i="60" s="1"/>
  <c r="R41" i="59"/>
  <c r="AU34" i="41"/>
  <c r="V31" i="58" s="1"/>
  <c r="AI75" i="60" s="1"/>
  <c r="AT34" i="41"/>
  <c r="U31" i="58" s="1"/>
  <c r="AM34" i="41"/>
  <c r="T31" i="58" s="1"/>
  <c r="AG27" i="64" s="1"/>
  <c r="AL34" i="41"/>
  <c r="S31" i="58" s="1"/>
  <c r="AE34" i="41"/>
  <c r="R31" i="58" s="1"/>
  <c r="AD34" i="41"/>
  <c r="Q31" i="58"/>
  <c r="W34" i="41"/>
  <c r="P31" i="58" s="1"/>
  <c r="V34" i="41"/>
  <c r="O31" i="58" s="1"/>
  <c r="AB27" i="64" s="1"/>
  <c r="BJ27" i="64" s="1"/>
  <c r="R40" i="59"/>
  <c r="AU33" i="41"/>
  <c r="V30" i="58"/>
  <c r="AT33" i="41"/>
  <c r="U30" i="58" s="1"/>
  <c r="AG74" i="60" s="1"/>
  <c r="AM33" i="41"/>
  <c r="AL33" i="41"/>
  <c r="S30" i="58"/>
  <c r="AE33" i="41"/>
  <c r="R30" i="58" s="1"/>
  <c r="AD33" i="41"/>
  <c r="Q30" i="58" s="1"/>
  <c r="W33" i="41"/>
  <c r="V33" i="41"/>
  <c r="O30" i="58" s="1"/>
  <c r="AB26" i="64" s="1"/>
  <c r="R39" i="59"/>
  <c r="AU32" i="41"/>
  <c r="V29" i="58"/>
  <c r="AM32" i="41"/>
  <c r="T29" i="58" s="1"/>
  <c r="AG25" i="64" s="1"/>
  <c r="AL32" i="41"/>
  <c r="S29" i="58" s="1"/>
  <c r="AE32" i="41"/>
  <c r="R29" i="58" s="1"/>
  <c r="R73" i="60" s="1"/>
  <c r="W32" i="41"/>
  <c r="R38" i="59"/>
  <c r="AU31" i="41"/>
  <c r="V28" i="58" s="1"/>
  <c r="AM31" i="41"/>
  <c r="T28" i="58" s="1"/>
  <c r="AE31" i="41"/>
  <c r="W31" i="41"/>
  <c r="P28" i="58" s="1"/>
  <c r="R37" i="59"/>
  <c r="AU30" i="41"/>
  <c r="V27" i="58" s="1"/>
  <c r="AI71" i="60" s="1"/>
  <c r="AL71" i="60" s="1"/>
  <c r="AT30" i="41"/>
  <c r="U27" i="58" s="1"/>
  <c r="AG71" i="60" s="1"/>
  <c r="AM30" i="41"/>
  <c r="T27" i="58" s="1"/>
  <c r="Z71" i="60" s="1"/>
  <c r="AL30" i="41"/>
  <c r="S27" i="58" s="1"/>
  <c r="AF23" i="64" s="1"/>
  <c r="AE30" i="41"/>
  <c r="R27" i="58" s="1"/>
  <c r="AD30" i="41"/>
  <c r="Q27" i="58" s="1"/>
  <c r="W30" i="41"/>
  <c r="V30" i="41"/>
  <c r="O27" i="58" s="1"/>
  <c r="R36" i="59"/>
  <c r="AU29" i="41"/>
  <c r="V26" i="58"/>
  <c r="AM29" i="41"/>
  <c r="T26" i="58" s="1"/>
  <c r="AE29" i="41"/>
  <c r="R26" i="58" s="1"/>
  <c r="AE22" i="64" s="1"/>
  <c r="W29" i="41"/>
  <c r="AW29" i="41" s="1"/>
  <c r="R35" i="59"/>
  <c r="AU28" i="41"/>
  <c r="V25" i="58" s="1"/>
  <c r="AM28" i="41"/>
  <c r="T25" i="58" s="1"/>
  <c r="AE28" i="41"/>
  <c r="R25" i="58" s="1"/>
  <c r="W28" i="41"/>
  <c r="R34" i="59"/>
  <c r="AU27" i="41"/>
  <c r="V24" i="58" s="1"/>
  <c r="AM27" i="41"/>
  <c r="T24" i="58" s="1"/>
  <c r="AG20" i="64" s="1"/>
  <c r="AE27" i="41"/>
  <c r="W27" i="41"/>
  <c r="P24" i="58" s="1"/>
  <c r="I68" i="60" s="1"/>
  <c r="J68" i="60" s="1"/>
  <c r="V27" i="41"/>
  <c r="O24" i="58" s="1"/>
  <c r="AU26" i="41"/>
  <c r="V23" i="58" s="1"/>
  <c r="AT26" i="41"/>
  <c r="U23" i="58" s="1"/>
  <c r="AG67" i="60" s="1"/>
  <c r="AL67" i="60" s="1"/>
  <c r="AM26" i="41"/>
  <c r="T23" i="58" s="1"/>
  <c r="AG18" i="64" s="1"/>
  <c r="AL26" i="41"/>
  <c r="S23" i="58" s="1"/>
  <c r="X67" i="60" s="1"/>
  <c r="AC67" i="60" s="1"/>
  <c r="AE26" i="41"/>
  <c r="AD26" i="41"/>
  <c r="Q23" i="58" s="1"/>
  <c r="O67" i="60" s="1"/>
  <c r="W26" i="41"/>
  <c r="P23" i="58" s="1"/>
  <c r="V26" i="41"/>
  <c r="O23" i="58" s="1"/>
  <c r="R32" i="59"/>
  <c r="AU25" i="41"/>
  <c r="V22" i="58" s="1"/>
  <c r="AI66" i="60" s="1"/>
  <c r="AT25" i="41"/>
  <c r="U22" i="58" s="1"/>
  <c r="AM25" i="41"/>
  <c r="T22" i="58" s="1"/>
  <c r="AL25" i="41"/>
  <c r="S22" i="58" s="1"/>
  <c r="AF17" i="64" s="1"/>
  <c r="AE25" i="41"/>
  <c r="R22" i="58" s="1"/>
  <c r="AD25" i="41"/>
  <c r="Q22" i="58" s="1"/>
  <c r="AD17" i="64" s="1"/>
  <c r="W25" i="41"/>
  <c r="P22" i="58" s="1"/>
  <c r="H66" i="60" s="1"/>
  <c r="V25" i="41"/>
  <c r="O22" i="58" s="1"/>
  <c r="R31" i="59"/>
  <c r="AU24" i="41"/>
  <c r="V21" i="58" s="1"/>
  <c r="AT24" i="41"/>
  <c r="U21" i="58" s="1"/>
  <c r="AH16" i="64" s="1"/>
  <c r="AM24" i="41"/>
  <c r="T21" i="58" s="1"/>
  <c r="AL24" i="41"/>
  <c r="S21" i="58" s="1"/>
  <c r="AE24" i="41"/>
  <c r="AD24" i="41"/>
  <c r="Q21" i="58" s="1"/>
  <c r="AD16" i="64" s="1"/>
  <c r="W24" i="41"/>
  <c r="AW24" i="41" s="1"/>
  <c r="V24" i="41"/>
  <c r="O21" i="58" s="1"/>
  <c r="R30" i="59"/>
  <c r="AU23" i="41"/>
  <c r="V20" i="58" s="1"/>
  <c r="AT23" i="41"/>
  <c r="U20" i="58" s="1"/>
  <c r="AG64" i="60" s="1"/>
  <c r="AM23" i="41"/>
  <c r="T20" i="58" s="1"/>
  <c r="AG15" i="64" s="1"/>
  <c r="AL23" i="41"/>
  <c r="S20" i="58" s="1"/>
  <c r="AE23" i="41"/>
  <c r="R20" i="58" s="1"/>
  <c r="AD23" i="41"/>
  <c r="Q20" i="58" s="1"/>
  <c r="AD15" i="64" s="1"/>
  <c r="W23" i="41"/>
  <c r="AW23" i="41" s="1"/>
  <c r="V23" i="41"/>
  <c r="O20" i="58" s="1"/>
  <c r="R29" i="59"/>
  <c r="R28" i="59"/>
  <c r="AU21" i="41"/>
  <c r="V18" i="58" s="1"/>
  <c r="AT21" i="41"/>
  <c r="U18" i="58" s="1"/>
  <c r="AG62" i="60" s="1"/>
  <c r="AL62" i="60" s="1"/>
  <c r="AM21" i="41"/>
  <c r="T18" i="58" s="1"/>
  <c r="AG14" i="64" s="1"/>
  <c r="AL21" i="41"/>
  <c r="S18" i="58" s="1"/>
  <c r="AF14" i="64" s="1"/>
  <c r="AE21" i="41"/>
  <c r="AD21" i="41"/>
  <c r="Q18" i="58" s="1"/>
  <c r="AD14" i="64" s="1"/>
  <c r="W21" i="41"/>
  <c r="V21" i="41"/>
  <c r="O18" i="58" s="1"/>
  <c r="G62" i="60" s="1"/>
  <c r="R27" i="59"/>
  <c r="AU20" i="41"/>
  <c r="V17" i="58" s="1"/>
  <c r="AM20" i="41"/>
  <c r="T17" i="58" s="1"/>
  <c r="AE20" i="41"/>
  <c r="R17" i="58" s="1"/>
  <c r="W20" i="41"/>
  <c r="P17" i="58" s="1"/>
  <c r="R26" i="59"/>
  <c r="AU19" i="41"/>
  <c r="V16" i="58" s="1"/>
  <c r="AT19" i="41"/>
  <c r="U16" i="58" s="1"/>
  <c r="AH12" i="64" s="1"/>
  <c r="AM19" i="41"/>
  <c r="T16" i="58" s="1"/>
  <c r="AL19" i="41"/>
  <c r="S16" i="58" s="1"/>
  <c r="AE19" i="41"/>
  <c r="AD19" i="41"/>
  <c r="Q16" i="58" s="1"/>
  <c r="W19" i="41"/>
  <c r="P16" i="58" s="1"/>
  <c r="H60" i="60" s="1"/>
  <c r="V19" i="41"/>
  <c r="O16" i="58"/>
  <c r="F60" i="60" s="1"/>
  <c r="R25" i="59"/>
  <c r="AU18" i="41"/>
  <c r="V15" i="58" s="1"/>
  <c r="AM18" i="41"/>
  <c r="T15" i="58" s="1"/>
  <c r="AE18" i="41"/>
  <c r="R15" i="58"/>
  <c r="W18" i="41"/>
  <c r="P15" i="58" s="1"/>
  <c r="R24" i="59"/>
  <c r="AU17" i="41"/>
  <c r="V14" i="58" s="1"/>
  <c r="AI10" i="64" s="1"/>
  <c r="AM17" i="41"/>
  <c r="T14" i="58" s="1"/>
  <c r="AE17" i="41"/>
  <c r="R14" i="58" s="1"/>
  <c r="W17" i="41"/>
  <c r="AW17" i="41" s="1"/>
  <c r="BE17" i="41" s="1"/>
  <c r="R23" i="59"/>
  <c r="AU16" i="41"/>
  <c r="V13" i="58" s="1"/>
  <c r="AI57" i="60" s="1"/>
  <c r="AL57" i="60" s="1"/>
  <c r="AM16" i="41"/>
  <c r="T13" i="58" s="1"/>
  <c r="Z57" i="60" s="1"/>
  <c r="AE16" i="41"/>
  <c r="R13" i="58" s="1"/>
  <c r="W16" i="41"/>
  <c r="R22" i="59"/>
  <c r="B16" i="41" a="1"/>
  <c r="B16" i="41" s="1"/>
  <c r="X62" i="60"/>
  <c r="AD27" i="64"/>
  <c r="O75" i="60"/>
  <c r="W76" i="60"/>
  <c r="O65" i="60"/>
  <c r="AC17" i="64"/>
  <c r="I66" i="60"/>
  <c r="J66" i="60" s="1"/>
  <c r="AF16" i="64"/>
  <c r="X65" i="60"/>
  <c r="AD18" i="64"/>
  <c r="AD23" i="64"/>
  <c r="O71" i="60"/>
  <c r="X66" i="60"/>
  <c r="W74" i="60"/>
  <c r="X71" i="60"/>
  <c r="F74" i="60"/>
  <c r="K74" i="60" s="1"/>
  <c r="O62" i="60"/>
  <c r="AG22" i="64"/>
  <c r="Z70" i="60"/>
  <c r="AG23" i="64"/>
  <c r="AF18" i="64"/>
  <c r="I60" i="60"/>
  <c r="J60" i="60" s="1"/>
  <c r="M60" i="60" s="1"/>
  <c r="AH15" i="64"/>
  <c r="AG60" i="60"/>
  <c r="AG65" i="60"/>
  <c r="AB12" i="64"/>
  <c r="AH65" i="60"/>
  <c r="AH18" i="64"/>
  <c r="AH26" i="64"/>
  <c r="AH23" i="64"/>
  <c r="AB23" i="64"/>
  <c r="AI74" i="60"/>
  <c r="AI26" i="64"/>
  <c r="AI70" i="60"/>
  <c r="AI22" i="64"/>
  <c r="AI67" i="60"/>
  <c r="AI18" i="64"/>
  <c r="AI62" i="60"/>
  <c r="AI14" i="64"/>
  <c r="AI13" i="64"/>
  <c r="AI61" i="60"/>
  <c r="AI58" i="60"/>
  <c r="AI9" i="64"/>
  <c r="AT16" i="41"/>
  <c r="U13" i="58" s="1"/>
  <c r="AD29" i="41"/>
  <c r="Q26" i="58" s="1"/>
  <c r="AT32" i="41"/>
  <c r="U29" i="58" s="1"/>
  <c r="AW16" i="41"/>
  <c r="BE16" i="41" s="1"/>
  <c r="P13" i="58"/>
  <c r="AC9" i="64" s="1"/>
  <c r="P25" i="58"/>
  <c r="AW30" i="41"/>
  <c r="BA30" i="41" s="1"/>
  <c r="P27" i="58"/>
  <c r="AC23" i="64" s="1"/>
  <c r="AW21" i="41"/>
  <c r="BE21" i="41" s="1"/>
  <c r="P18" i="58"/>
  <c r="I62" i="60" s="1"/>
  <c r="J62" i="60" s="1"/>
  <c r="M62" i="60" s="1"/>
  <c r="AW32" i="41"/>
  <c r="P29" i="58"/>
  <c r="AW33" i="41"/>
  <c r="P30" i="58"/>
  <c r="AC26" i="64" s="1"/>
  <c r="AL16" i="41"/>
  <c r="S13" i="58"/>
  <c r="AF9" i="64" s="1"/>
  <c r="AW20" i="41"/>
  <c r="BE20" i="41" s="1"/>
  <c r="AW34" i="41"/>
  <c r="BE34" i="41" s="1"/>
  <c r="P32" i="58"/>
  <c r="H76" i="60" s="1"/>
  <c r="AT17" i="41"/>
  <c r="U14" i="58" s="1"/>
  <c r="AL27" i="41"/>
  <c r="S24" i="58" s="1"/>
  <c r="X68" i="60" s="1"/>
  <c r="V28" i="41"/>
  <c r="O25" i="58" s="1"/>
  <c r="AL28" i="41"/>
  <c r="S25" i="58" s="1"/>
  <c r="V29" i="41"/>
  <c r="O26" i="58" s="1"/>
  <c r="AD18" i="41"/>
  <c r="Q15" i="58"/>
  <c r="O59" i="60" s="1"/>
  <c r="AL29" i="41"/>
  <c r="S26" i="58" s="1"/>
  <c r="V31" i="41"/>
  <c r="O28" i="58"/>
  <c r="AD27" i="41"/>
  <c r="Q24" i="58"/>
  <c r="O68" i="60" s="1"/>
  <c r="AT27" i="41"/>
  <c r="U24" i="58" s="1"/>
  <c r="AT20" i="41"/>
  <c r="U17" i="58"/>
  <c r="AG61" i="60" s="1"/>
  <c r="AL61" i="60" s="1"/>
  <c r="AD28" i="41"/>
  <c r="Q25" i="58" s="1"/>
  <c r="AT31" i="41"/>
  <c r="U28" i="58"/>
  <c r="AG72" i="60" s="1"/>
  <c r="AD32" i="41"/>
  <c r="Q29" i="58"/>
  <c r="O73" i="60" s="1"/>
  <c r="AX17" i="41"/>
  <c r="BF17" i="41" s="1"/>
  <c r="AD17" i="41"/>
  <c r="Q14" i="58" s="1"/>
  <c r="AL20" i="41"/>
  <c r="S17" i="58" s="1"/>
  <c r="AL31" i="41"/>
  <c r="S28" i="58" s="1"/>
  <c r="V16" i="41"/>
  <c r="O13" i="58" s="1"/>
  <c r="V20" i="41"/>
  <c r="O17" i="58"/>
  <c r="G61" i="60" s="1"/>
  <c r="AT29" i="41"/>
  <c r="U26" i="58" s="1"/>
  <c r="V32" i="41"/>
  <c r="AD16" i="41"/>
  <c r="Q13" i="58"/>
  <c r="V17" i="41"/>
  <c r="AV17" i="41" s="1"/>
  <c r="W14" i="58" s="1"/>
  <c r="AJ10" i="64" s="1"/>
  <c r="AD20" i="41"/>
  <c r="Q17" i="58"/>
  <c r="O61" i="60" s="1"/>
  <c r="AV25" i="41"/>
  <c r="W22" i="58" s="1"/>
  <c r="AJ17" i="64" s="1"/>
  <c r="V18" i="41"/>
  <c r="O15" i="58" s="1"/>
  <c r="AV26" i="41"/>
  <c r="W23" i="58"/>
  <c r="AJ18" i="64" s="1"/>
  <c r="AT28" i="41"/>
  <c r="U25" i="58" s="1"/>
  <c r="AV30" i="41"/>
  <c r="W27" i="58"/>
  <c r="AJ23" i="64" s="1"/>
  <c r="AD31" i="41"/>
  <c r="AV31" i="41" s="1"/>
  <c r="W28" i="58" s="1"/>
  <c r="AJ24" i="64" s="1"/>
  <c r="AW18" i="41"/>
  <c r="BE18" i="41" s="1"/>
  <c r="AW19" i="41"/>
  <c r="AX30" i="41"/>
  <c r="BB30" i="41" s="1"/>
  <c r="AT18" i="41"/>
  <c r="U15" i="58" s="1"/>
  <c r="AV21" i="41"/>
  <c r="W18" i="58" s="1"/>
  <c r="AJ14" i="64" s="1"/>
  <c r="AL17" i="41"/>
  <c r="S14" i="58" s="1"/>
  <c r="AL18" i="41"/>
  <c r="S15" i="58" s="1"/>
  <c r="AX20" i="41"/>
  <c r="BF20" i="41" s="1"/>
  <c r="AW26" i="41"/>
  <c r="BA26" i="41" s="1"/>
  <c r="AW25" i="41"/>
  <c r="BA25" i="41" s="1"/>
  <c r="AW28" i="41"/>
  <c r="AW31" i="41"/>
  <c r="AX28" i="41"/>
  <c r="BF28" i="41" s="1"/>
  <c r="AX31" i="41"/>
  <c r="BF31" i="41" s="1"/>
  <c r="I71" i="60"/>
  <c r="J71" i="60"/>
  <c r="M71" i="60" s="1"/>
  <c r="AD20" i="64"/>
  <c r="AF74" i="60"/>
  <c r="G72" i="60"/>
  <c r="AC21" i="64"/>
  <c r="I69" i="60"/>
  <c r="J69" i="60" s="1"/>
  <c r="M69" i="60" s="1"/>
  <c r="H69" i="60"/>
  <c r="X57" i="60"/>
  <c r="AD13" i="64"/>
  <c r="AF76" i="60"/>
  <c r="AC25" i="64"/>
  <c r="H73" i="60"/>
  <c r="I73" i="60"/>
  <c r="J73" i="60" s="1"/>
  <c r="AD9" i="64"/>
  <c r="O57" i="60"/>
  <c r="AD25" i="64"/>
  <c r="AD11" i="64"/>
  <c r="I76" i="60"/>
  <c r="J76" i="60" s="1"/>
  <c r="AC14" i="64"/>
  <c r="AC20" i="64"/>
  <c r="AH13" i="64"/>
  <c r="AB24" i="64"/>
  <c r="AH9" i="64"/>
  <c r="AG57" i="60"/>
  <c r="BE33" i="41"/>
  <c r="BE32" i="41"/>
  <c r="BE19" i="41"/>
  <c r="AV29" i="41"/>
  <c r="W26" i="58" s="1"/>
  <c r="AJ22" i="64" s="1"/>
  <c r="BE30" i="41"/>
  <c r="BE31" i="41"/>
  <c r="BE28" i="41"/>
  <c r="BE25" i="41"/>
  <c r="AV32" i="41"/>
  <c r="W29" i="58" s="1"/>
  <c r="AJ25" i="64" s="1"/>
  <c r="O29" i="58"/>
  <c r="F73" i="60" s="1"/>
  <c r="K73" i="60" s="1"/>
  <c r="BE23" i="41"/>
  <c r="G73" i="60"/>
  <c r="L73" i="60" s="1"/>
  <c r="BA32" i="41"/>
  <c r="O39" i="38"/>
  <c r="O38" i="38"/>
  <c r="O35" i="38"/>
  <c r="O36" i="38"/>
  <c r="O37" i="38"/>
  <c r="O40" i="38"/>
  <c r="O34" i="38"/>
  <c r="O33" i="38"/>
  <c r="O32" i="38"/>
  <c r="O30" i="38"/>
  <c r="O31" i="38"/>
  <c r="O24" i="38"/>
  <c r="O25" i="38"/>
  <c r="O26" i="38"/>
  <c r="O27" i="38"/>
  <c r="O28" i="38"/>
  <c r="O29" i="38"/>
  <c r="O23" i="38"/>
  <c r="O21" i="38"/>
  <c r="O22" i="38"/>
  <c r="O20" i="38"/>
  <c r="O17" i="38"/>
  <c r="O18" i="38"/>
  <c r="O14" i="38"/>
  <c r="O15" i="38"/>
  <c r="O16" i="38"/>
  <c r="O13" i="38"/>
  <c r="O16" i="37"/>
  <c r="R5" i="59" s="1"/>
  <c r="I19" i="37"/>
  <c r="E8" i="59"/>
  <c r="D15" i="60" s="1"/>
  <c r="I17" i="37"/>
  <c r="E6" i="59" s="1"/>
  <c r="D13" i="60" s="1"/>
  <c r="I18" i="37"/>
  <c r="E7" i="59"/>
  <c r="D14" i="60" s="1"/>
  <c r="I16" i="37"/>
  <c r="E5" i="59" s="1"/>
  <c r="D12" i="60" s="1"/>
  <c r="H17" i="37"/>
  <c r="H18" i="37"/>
  <c r="H19" i="37"/>
  <c r="H16" i="37"/>
  <c r="E17" i="37"/>
  <c r="E18" i="37"/>
  <c r="E19" i="37"/>
  <c r="E16" i="37"/>
  <c r="D19" i="37"/>
  <c r="D17" i="37"/>
  <c r="D18" i="37"/>
  <c r="D16" i="37"/>
  <c r="O58" i="38"/>
  <c r="O57" i="38"/>
  <c r="O56" i="38"/>
  <c r="O55" i="38"/>
  <c r="O96" i="38"/>
  <c r="O98" i="38"/>
  <c r="O99" i="38"/>
  <c r="AU16" i="37"/>
  <c r="V55" i="58" s="1"/>
  <c r="AT16" i="37"/>
  <c r="U55" i="58" s="1"/>
  <c r="AG12" i="60" s="1"/>
  <c r="AM16" i="37"/>
  <c r="T55" i="58" s="1"/>
  <c r="AL16" i="37"/>
  <c r="S55" i="58" s="1"/>
  <c r="AE16" i="37"/>
  <c r="AD16" i="37"/>
  <c r="Q55" i="58"/>
  <c r="W16" i="37"/>
  <c r="AW16" i="37" s="1"/>
  <c r="P55" i="58"/>
  <c r="AC51" i="64" s="1"/>
  <c r="V16" i="37"/>
  <c r="O55" i="58" s="1"/>
  <c r="W68" i="60" l="1"/>
  <c r="AF68" i="60" s="1"/>
  <c r="AH21" i="64"/>
  <c r="AG69" i="60"/>
  <c r="P59" i="60"/>
  <c r="O70" i="60"/>
  <c r="AD22" i="64"/>
  <c r="BE35" i="41"/>
  <c r="H59" i="60"/>
  <c r="I59" i="60"/>
  <c r="J59" i="60" s="1"/>
  <c r="AG68" i="60"/>
  <c r="AH20" i="64"/>
  <c r="BE24" i="41"/>
  <c r="G66" i="60"/>
  <c r="L66" i="60" s="1"/>
  <c r="AB17" i="64"/>
  <c r="F84" i="60"/>
  <c r="G84" i="60"/>
  <c r="AB31" i="64"/>
  <c r="AG99" i="60"/>
  <c r="AH41" i="64"/>
  <c r="I75" i="60"/>
  <c r="J75" i="60" s="1"/>
  <c r="M75" i="60" s="1"/>
  <c r="AC27" i="64"/>
  <c r="H75" i="60"/>
  <c r="G12" i="60"/>
  <c r="P12" i="60"/>
  <c r="AB51" i="64"/>
  <c r="F12" i="60"/>
  <c r="K12" i="60" s="1"/>
  <c r="F59" i="60"/>
  <c r="G59" i="60"/>
  <c r="AB11" i="64"/>
  <c r="G67" i="60"/>
  <c r="L67" i="60" s="1"/>
  <c r="AB18" i="64"/>
  <c r="Y67" i="60"/>
  <c r="AD67" i="60" s="1"/>
  <c r="AD26" i="64"/>
  <c r="AH74" i="60"/>
  <c r="Y74" i="60"/>
  <c r="O74" i="60"/>
  <c r="BA31" i="41"/>
  <c r="AD10" i="64"/>
  <c r="O58" i="60"/>
  <c r="G69" i="60"/>
  <c r="L69" i="60" s="1"/>
  <c r="F69" i="60"/>
  <c r="AB21" i="64"/>
  <c r="AC18" i="64"/>
  <c r="I67" i="60"/>
  <c r="J67" i="60" s="1"/>
  <c r="M67" i="60" s="1"/>
  <c r="H67" i="60"/>
  <c r="X73" i="60"/>
  <c r="AF25" i="64"/>
  <c r="BA29" i="41"/>
  <c r="BE29" i="41"/>
  <c r="AB43" i="64"/>
  <c r="F101" i="60"/>
  <c r="AF10" i="64"/>
  <c r="X58" i="60"/>
  <c r="AD21" i="64"/>
  <c r="O69" i="60"/>
  <c r="X70" i="60"/>
  <c r="AF22" i="64"/>
  <c r="W72" i="60"/>
  <c r="AF72" i="60" s="1"/>
  <c r="AD31" i="64"/>
  <c r="O84" i="60"/>
  <c r="L62" i="60"/>
  <c r="BB17" i="41"/>
  <c r="BE26" i="41"/>
  <c r="AF20" i="64"/>
  <c r="AV24" i="41"/>
  <c r="W21" i="58" s="1"/>
  <c r="AJ16" i="64" s="1"/>
  <c r="AI17" i="64"/>
  <c r="AV18" i="41"/>
  <c r="W15" i="58" s="1"/>
  <c r="AJ11" i="64" s="1"/>
  <c r="AH24" i="64"/>
  <c r="H62" i="60"/>
  <c r="F61" i="60"/>
  <c r="P61" i="60" s="1"/>
  <c r="AV23" i="41"/>
  <c r="P14" i="58"/>
  <c r="AH75" i="60"/>
  <c r="G60" i="60"/>
  <c r="L60" i="60" s="1"/>
  <c r="T75" i="60"/>
  <c r="P26" i="58"/>
  <c r="I70" i="60" s="1"/>
  <c r="J70" i="60" s="1"/>
  <c r="W57" i="60"/>
  <c r="AF57" i="60" s="1"/>
  <c r="E19" i="42"/>
  <c r="E20" i="42"/>
  <c r="AD29" i="64"/>
  <c r="BJ29" i="64" s="1"/>
  <c r="W88" i="60"/>
  <c r="AF88" i="60" s="1"/>
  <c r="E39" i="58"/>
  <c r="I35" i="64" s="1"/>
  <c r="E22" i="42"/>
  <c r="AV16" i="42"/>
  <c r="AD30" i="64"/>
  <c r="O83" i="60"/>
  <c r="Q39" i="58"/>
  <c r="AH88" i="60" s="1"/>
  <c r="AV22" i="42"/>
  <c r="BA21" i="43"/>
  <c r="AC40" i="64"/>
  <c r="BA17" i="43"/>
  <c r="BE17" i="43"/>
  <c r="AH37" i="64"/>
  <c r="AW18" i="43"/>
  <c r="BE18" i="43" s="1"/>
  <c r="P42" i="58"/>
  <c r="H96" i="60" s="1"/>
  <c r="W94" i="60"/>
  <c r="AF94" i="60" s="1"/>
  <c r="AI107" i="60"/>
  <c r="AI57" i="64"/>
  <c r="AG135" i="60"/>
  <c r="AH70" i="64"/>
  <c r="AH72" i="64"/>
  <c r="AG145" i="60"/>
  <c r="G43" i="60"/>
  <c r="P43" i="60"/>
  <c r="R59" i="60"/>
  <c r="F99" i="60"/>
  <c r="AB41" i="64"/>
  <c r="AL99" i="60"/>
  <c r="AD46" i="64"/>
  <c r="O32" i="60"/>
  <c r="AG34" i="60"/>
  <c r="AH48" i="64"/>
  <c r="W110" i="60"/>
  <c r="AF110" i="60" s="1"/>
  <c r="AC73" i="64"/>
  <c r="I146" i="60"/>
  <c r="J146" i="60" s="1"/>
  <c r="H146" i="60"/>
  <c r="AH73" i="64"/>
  <c r="AG146" i="60"/>
  <c r="AH145" i="60"/>
  <c r="O145" i="60"/>
  <c r="AC76" i="64"/>
  <c r="I154" i="60"/>
  <c r="J154" i="60" s="1"/>
  <c r="H154" i="60"/>
  <c r="W153" i="60"/>
  <c r="AF153" i="60" s="1"/>
  <c r="BF17" i="56"/>
  <c r="BB17" i="56"/>
  <c r="AI25" i="64"/>
  <c r="AI73" i="60"/>
  <c r="AY17" i="42"/>
  <c r="R34" i="58"/>
  <c r="AE30" i="64" s="1"/>
  <c r="G100" i="60"/>
  <c r="AH100" i="60"/>
  <c r="AG30" i="60"/>
  <c r="AL30" i="60" s="1"/>
  <c r="AH44" i="64"/>
  <c r="G34" i="60"/>
  <c r="F34" i="60"/>
  <c r="AI34" i="60"/>
  <c r="AI48" i="64"/>
  <c r="AH51" i="60"/>
  <c r="W114" i="60"/>
  <c r="AF114" i="60" s="1"/>
  <c r="H121" i="60"/>
  <c r="AC66" i="64"/>
  <c r="AZ17" i="48"/>
  <c r="BH17" i="48" s="1"/>
  <c r="AG70" i="58" s="1"/>
  <c r="AY16" i="48"/>
  <c r="BG16" i="48" s="1"/>
  <c r="W70" i="58"/>
  <c r="AJ66" i="64" s="1"/>
  <c r="AW17" i="48"/>
  <c r="BE17" i="48" s="1"/>
  <c r="AZ16" i="48"/>
  <c r="BH16" i="48" s="1"/>
  <c r="AG69" i="58" s="1"/>
  <c r="AX16" i="48"/>
  <c r="BB16" i="48" s="1"/>
  <c r="AB69" i="64"/>
  <c r="F129" i="60"/>
  <c r="AH129" i="60"/>
  <c r="G129" i="60"/>
  <c r="P129" i="60"/>
  <c r="W145" i="60"/>
  <c r="AF145" i="60" s="1"/>
  <c r="H85" i="60"/>
  <c r="AI85" i="60"/>
  <c r="AV18" i="43"/>
  <c r="O98" i="60"/>
  <c r="X98" i="60"/>
  <c r="AC98" i="60" s="1"/>
  <c r="AF40" i="64"/>
  <c r="H99" i="60"/>
  <c r="AC41" i="64"/>
  <c r="I99" i="60"/>
  <c r="O97" i="60"/>
  <c r="AD39" i="64"/>
  <c r="O35" i="60"/>
  <c r="AV21" i="44"/>
  <c r="O53" i="58"/>
  <c r="AG14" i="60"/>
  <c r="AH53" i="64"/>
  <c r="W12" i="60"/>
  <c r="AF12" i="60" s="1"/>
  <c r="N12" i="60"/>
  <c r="M114" i="60"/>
  <c r="W113" i="60"/>
  <c r="AF113" i="60" s="1"/>
  <c r="W154" i="60"/>
  <c r="AF154" i="60" s="1"/>
  <c r="AD90" i="64"/>
  <c r="O43" i="60"/>
  <c r="BA21" i="41"/>
  <c r="H12" i="60"/>
  <c r="AH68" i="60"/>
  <c r="AC28" i="64"/>
  <c r="I57" i="60"/>
  <c r="J57" i="60" s="1"/>
  <c r="M57" i="60" s="1"/>
  <c r="AY30" i="41"/>
  <c r="BC30" i="41" s="1"/>
  <c r="AV34" i="41"/>
  <c r="P21" i="58"/>
  <c r="O64" i="60"/>
  <c r="AV16" i="37"/>
  <c r="W55" i="58" s="1"/>
  <c r="AJ51" i="64" s="1"/>
  <c r="F24" i="69" s="1"/>
  <c r="AV27" i="41"/>
  <c r="AB13" i="64"/>
  <c r="H68" i="60"/>
  <c r="M73" i="60"/>
  <c r="H57" i="60"/>
  <c r="BF30" i="41"/>
  <c r="Q28" i="58"/>
  <c r="O14" i="58"/>
  <c r="AI23" i="64"/>
  <c r="G68" i="60"/>
  <c r="L68" i="60" s="1"/>
  <c r="AB20" i="64"/>
  <c r="AC71" i="60"/>
  <c r="AZ33" i="41"/>
  <c r="BH33" i="41" s="1"/>
  <c r="AG30" i="58" s="1"/>
  <c r="W67" i="60"/>
  <c r="AF67" i="60" s="1"/>
  <c r="AN67" i="60" s="1"/>
  <c r="W58" i="60"/>
  <c r="AF58" i="60" s="1"/>
  <c r="AZ22" i="41"/>
  <c r="BD22" i="41" s="1"/>
  <c r="AD19" i="58" s="1"/>
  <c r="AY22" i="41"/>
  <c r="BG22" i="41" s="1"/>
  <c r="AV21" i="42"/>
  <c r="BA21" i="42" s="1"/>
  <c r="AH34" i="64"/>
  <c r="O99" i="60"/>
  <c r="AD41" i="64"/>
  <c r="BJ41" i="64" s="1"/>
  <c r="M95" i="60"/>
  <c r="N95" i="60"/>
  <c r="AL35" i="60"/>
  <c r="W34" i="60"/>
  <c r="AF34" i="60" s="1"/>
  <c r="AW21" i="44"/>
  <c r="BE21" i="44" s="1"/>
  <c r="AX21" i="44"/>
  <c r="BF21" i="44" s="1"/>
  <c r="P53" i="58"/>
  <c r="AL36" i="60"/>
  <c r="AC54" i="64"/>
  <c r="I15" i="60"/>
  <c r="J15" i="60" s="1"/>
  <c r="H15" i="60"/>
  <c r="BJ59" i="64"/>
  <c r="I32" i="69" s="1"/>
  <c r="AF57" i="64"/>
  <c r="X107" i="60"/>
  <c r="R74" i="58"/>
  <c r="AX16" i="50"/>
  <c r="BF16" i="50" s="1"/>
  <c r="X145" i="60"/>
  <c r="AF72" i="64"/>
  <c r="M68" i="60"/>
  <c r="W69" i="60"/>
  <c r="AF69" i="60" s="1"/>
  <c r="W65" i="60"/>
  <c r="AF65" i="60" s="1"/>
  <c r="W85" i="60"/>
  <c r="AF85" i="60" s="1"/>
  <c r="AH35" i="64"/>
  <c r="AG88" i="60"/>
  <c r="N86" i="60"/>
  <c r="O100" i="60"/>
  <c r="AD42" i="64"/>
  <c r="AD44" i="64"/>
  <c r="O30" i="60"/>
  <c r="AG32" i="60"/>
  <c r="AH46" i="64"/>
  <c r="H36" i="60"/>
  <c r="I36" i="60"/>
  <c r="J36" i="60" s="1"/>
  <c r="M36" i="60" s="1"/>
  <c r="AI50" i="64"/>
  <c r="AI36" i="60"/>
  <c r="N32" i="60"/>
  <c r="W32" i="60"/>
  <c r="AF32" i="60" s="1"/>
  <c r="AD91" i="64"/>
  <c r="O51" i="60"/>
  <c r="T51" i="60" s="1"/>
  <c r="W109" i="60"/>
  <c r="AF109" i="60" s="1"/>
  <c r="F112" i="60"/>
  <c r="AB62" i="64"/>
  <c r="AD59" i="64"/>
  <c r="O109" i="60"/>
  <c r="W120" i="60"/>
  <c r="AF120" i="60" s="1"/>
  <c r="I127" i="60"/>
  <c r="J127" i="60" s="1"/>
  <c r="H127" i="60"/>
  <c r="Y129" i="60"/>
  <c r="O129" i="60"/>
  <c r="F155" i="60"/>
  <c r="AB77" i="64"/>
  <c r="AD78" i="64"/>
  <c r="O156" i="60"/>
  <c r="G157" i="60"/>
  <c r="F157" i="60"/>
  <c r="BD16" i="56"/>
  <c r="BH16" i="56"/>
  <c r="AG93" i="58" s="1"/>
  <c r="Y23" i="58"/>
  <c r="Y73" i="60"/>
  <c r="AX29" i="41"/>
  <c r="BF29" i="41" s="1"/>
  <c r="Q32" i="58"/>
  <c r="AV35" i="41"/>
  <c r="W32" i="58" s="1"/>
  <c r="AJ28" i="64" s="1"/>
  <c r="F85" i="60"/>
  <c r="G85" i="60"/>
  <c r="W99" i="60"/>
  <c r="AF99" i="60" s="1"/>
  <c r="T30" i="60"/>
  <c r="F31" i="60"/>
  <c r="G31" i="60"/>
  <c r="AI32" i="60"/>
  <c r="AI46" i="64"/>
  <c r="AF48" i="64"/>
  <c r="X34" i="60"/>
  <c r="W66" i="58"/>
  <c r="AJ62" i="64" s="1"/>
  <c r="BA21" i="47"/>
  <c r="W112" i="60"/>
  <c r="AF112" i="60" s="1"/>
  <c r="P65" i="58"/>
  <c r="AW20" i="47"/>
  <c r="BE20" i="47" s="1"/>
  <c r="Q67" i="58"/>
  <c r="AV22" i="47"/>
  <c r="W67" i="58" s="1"/>
  <c r="AJ63" i="64" s="1"/>
  <c r="AI65" i="64"/>
  <c r="AI120" i="60"/>
  <c r="AI172" i="60"/>
  <c r="AI87" i="64"/>
  <c r="BJ11" i="64"/>
  <c r="Y68" i="60"/>
  <c r="Y62" i="60"/>
  <c r="W63" i="60"/>
  <c r="AF63" i="60" s="1"/>
  <c r="AI86" i="60"/>
  <c r="AL86" i="60" s="1"/>
  <c r="AV16" i="41"/>
  <c r="W13" i="58" s="1"/>
  <c r="AJ9" i="64" s="1"/>
  <c r="H71" i="60"/>
  <c r="AV33" i="41"/>
  <c r="W30" i="58" s="1"/>
  <c r="AJ26" i="64" s="1"/>
  <c r="P20" i="58"/>
  <c r="AW27" i="41"/>
  <c r="BE27" i="41" s="1"/>
  <c r="AB14" i="64"/>
  <c r="F62" i="60"/>
  <c r="AC57" i="60"/>
  <c r="AV19" i="41"/>
  <c r="W19" i="58"/>
  <c r="AJ19" i="64" s="1"/>
  <c r="F11" i="69" s="1"/>
  <c r="G82" i="60"/>
  <c r="S33" i="58"/>
  <c r="W97" i="60"/>
  <c r="AF97" i="60" s="1"/>
  <c r="AV16" i="43"/>
  <c r="W40" i="58" s="1"/>
  <c r="AJ36" i="64" s="1"/>
  <c r="F17" i="69" s="1"/>
  <c r="H94" i="60"/>
  <c r="G99" i="60"/>
  <c r="P99" i="60" s="1"/>
  <c r="AI38" i="64"/>
  <c r="AI96" i="60"/>
  <c r="AV20" i="44"/>
  <c r="W36" i="60"/>
  <c r="AF36" i="60" s="1"/>
  <c r="AV19" i="44"/>
  <c r="W51" i="58" s="1"/>
  <c r="AJ47" i="64" s="1"/>
  <c r="O51" i="58"/>
  <c r="N14" i="60"/>
  <c r="W14" i="60"/>
  <c r="AF14" i="60" s="1"/>
  <c r="AI62" i="64"/>
  <c r="AB60" i="64"/>
  <c r="G110" i="60"/>
  <c r="W111" i="60"/>
  <c r="AF111" i="60" s="1"/>
  <c r="X13" i="60"/>
  <c r="AF52" i="64"/>
  <c r="L127" i="60"/>
  <c r="Y156" i="60"/>
  <c r="AB78" i="64"/>
  <c r="AH78" i="64"/>
  <c r="AG156" i="60"/>
  <c r="F171" i="60"/>
  <c r="P171" i="60"/>
  <c r="AW17" i="55"/>
  <c r="BE17" i="55" s="1"/>
  <c r="AX17" i="55"/>
  <c r="BF17" i="55" s="1"/>
  <c r="AH89" i="64"/>
  <c r="AG42" i="60"/>
  <c r="AL42" i="60" s="1"/>
  <c r="D12" i="63" s="1"/>
  <c r="AF56" i="64"/>
  <c r="X50" i="60"/>
  <c r="AC50" i="60" s="1"/>
  <c r="B7" i="59"/>
  <c r="B8" i="59" s="1"/>
  <c r="B9" i="59" s="1"/>
  <c r="D111" i="59"/>
  <c r="W71" i="60"/>
  <c r="AF71" i="60" s="1"/>
  <c r="W61" i="60"/>
  <c r="AF61" i="60" s="1"/>
  <c r="AV18" i="42"/>
  <c r="W35" i="58" s="1"/>
  <c r="AJ31" i="64" s="1"/>
  <c r="AW16" i="43"/>
  <c r="BA16" i="43" s="1"/>
  <c r="AY17" i="43"/>
  <c r="BC17" i="43" s="1"/>
  <c r="P47" i="58"/>
  <c r="AW16" i="44"/>
  <c r="BE16" i="44" s="1"/>
  <c r="AX16" i="44"/>
  <c r="AH111" i="60"/>
  <c r="AB57" i="64"/>
  <c r="F109" i="60"/>
  <c r="O107" i="60"/>
  <c r="P107" i="60" s="1"/>
  <c r="AZ107" i="60" s="1"/>
  <c r="AW16" i="47"/>
  <c r="AW17" i="47"/>
  <c r="AV19" i="47"/>
  <c r="W64" i="58" s="1"/>
  <c r="AJ60" i="64" s="1"/>
  <c r="W69" i="58"/>
  <c r="AJ65" i="64" s="1"/>
  <c r="F35" i="69" s="1"/>
  <c r="AC121" i="60"/>
  <c r="AB52" i="64"/>
  <c r="W129" i="60"/>
  <c r="AF129" i="60" s="1"/>
  <c r="Y145" i="60"/>
  <c r="F145" i="60"/>
  <c r="AI72" i="64"/>
  <c r="AI145" i="60"/>
  <c r="BF19" i="53"/>
  <c r="AL156" i="60"/>
  <c r="AD76" i="64"/>
  <c r="O154" i="60"/>
  <c r="AX18" i="55"/>
  <c r="BF18" i="55" s="1"/>
  <c r="W42" i="60"/>
  <c r="AF42" i="60" s="1"/>
  <c r="H21" i="60"/>
  <c r="P21" i="60"/>
  <c r="U21" i="60" s="1"/>
  <c r="AH21" i="60"/>
  <c r="T67" i="60"/>
  <c r="AX27" i="41"/>
  <c r="W60" i="60"/>
  <c r="AF60" i="60" s="1"/>
  <c r="R85" i="60"/>
  <c r="AZ17" i="43"/>
  <c r="G95" i="60"/>
  <c r="L95" i="60" s="1"/>
  <c r="O36" i="60"/>
  <c r="W15" i="60"/>
  <c r="AF62" i="64"/>
  <c r="Y113" i="60"/>
  <c r="AX19" i="47"/>
  <c r="BB19" i="47" s="1"/>
  <c r="AD66" i="64"/>
  <c r="X135" i="60"/>
  <c r="AB67" i="64"/>
  <c r="O72" i="58"/>
  <c r="AV17" i="51"/>
  <c r="W72" i="58" s="1"/>
  <c r="AJ68" i="64" s="1"/>
  <c r="O146" i="60"/>
  <c r="O77" i="58"/>
  <c r="AV18" i="52"/>
  <c r="W77" i="58" s="1"/>
  <c r="AJ73" i="64" s="1"/>
  <c r="AF74" i="64"/>
  <c r="X147" i="60"/>
  <c r="W144" i="60"/>
  <c r="AF144" i="60" s="1"/>
  <c r="AX17" i="52"/>
  <c r="BB17" i="52" s="1"/>
  <c r="AZ17" i="52"/>
  <c r="BH17" i="52" s="1"/>
  <c r="AG76" i="58" s="1"/>
  <c r="AZ16" i="52"/>
  <c r="BH16" i="52" s="1"/>
  <c r="AG75" i="58" s="1"/>
  <c r="W76" i="58"/>
  <c r="AJ72" i="64" s="1"/>
  <c r="F39" i="69" s="1"/>
  <c r="AW17" i="52"/>
  <c r="AI157" i="60"/>
  <c r="AV18" i="54"/>
  <c r="O163" i="60"/>
  <c r="AD83" i="64"/>
  <c r="P91" i="58"/>
  <c r="AC87" i="64" s="1"/>
  <c r="W43" i="60"/>
  <c r="AF43" i="60" s="1"/>
  <c r="AY16" i="56"/>
  <c r="W93" i="58"/>
  <c r="AJ89" i="64" s="1"/>
  <c r="AW19" i="45"/>
  <c r="AF94" i="64"/>
  <c r="X23" i="60"/>
  <c r="AC23" i="60" s="1"/>
  <c r="F24" i="60"/>
  <c r="K24" i="60" s="1"/>
  <c r="AB95" i="64"/>
  <c r="W171" i="60"/>
  <c r="AF171" i="60" s="1"/>
  <c r="E12" i="63"/>
  <c r="AV16" i="45"/>
  <c r="W96" i="58" s="1"/>
  <c r="AJ92" i="64" s="1"/>
  <c r="F46" i="69" s="1"/>
  <c r="W24" i="60"/>
  <c r="AF24" i="60" s="1"/>
  <c r="AV19" i="45"/>
  <c r="W99" i="58" s="1"/>
  <c r="AJ95" i="64" s="1"/>
  <c r="F48" i="69" s="1"/>
  <c r="W173" i="60"/>
  <c r="AF173" i="60" s="1"/>
  <c r="AV20" i="43"/>
  <c r="W44" i="58" s="1"/>
  <c r="AJ40" i="64" s="1"/>
  <c r="F21" i="69" s="1"/>
  <c r="AV22" i="43"/>
  <c r="W46" i="58" s="1"/>
  <c r="AJ42" i="64" s="1"/>
  <c r="AC46" i="64"/>
  <c r="AV18" i="44"/>
  <c r="W62" i="58"/>
  <c r="AJ58" i="64" s="1"/>
  <c r="F31" i="69" s="1"/>
  <c r="BF18" i="47"/>
  <c r="Y13" i="60"/>
  <c r="AI13" i="60"/>
  <c r="AI52" i="64"/>
  <c r="AI73" i="64"/>
  <c r="AI146" i="60"/>
  <c r="AH74" i="64"/>
  <c r="AG147" i="60"/>
  <c r="AL147" i="60" s="1"/>
  <c r="G165" i="60"/>
  <c r="Y165" i="60"/>
  <c r="H24" i="60"/>
  <c r="I24" i="60"/>
  <c r="J24" i="60" s="1"/>
  <c r="AC95" i="64"/>
  <c r="AC33" i="64"/>
  <c r="H86" i="60"/>
  <c r="I86" i="60"/>
  <c r="J86" i="60" s="1"/>
  <c r="M86" i="60" s="1"/>
  <c r="AI114" i="60"/>
  <c r="AI64" i="64"/>
  <c r="W172" i="60"/>
  <c r="AF172" i="60" s="1"/>
  <c r="P95" i="60"/>
  <c r="W51" i="60"/>
  <c r="Y107" i="60"/>
  <c r="AH107" i="60"/>
  <c r="Y109" i="60"/>
  <c r="AG128" i="60"/>
  <c r="AL128" i="60" s="1"/>
  <c r="BA18" i="52"/>
  <c r="AV19" i="52"/>
  <c r="W78" i="58" s="1"/>
  <c r="AJ74" i="64" s="1"/>
  <c r="O78" i="58"/>
  <c r="BA17" i="53"/>
  <c r="BE17" i="53"/>
  <c r="H153" i="60"/>
  <c r="K153" i="60" s="1"/>
  <c r="I153" i="60"/>
  <c r="J153" i="60" s="1"/>
  <c r="M153" i="60" s="1"/>
  <c r="W79" i="58"/>
  <c r="AZ17" i="53"/>
  <c r="BH17" i="53" s="1"/>
  <c r="AG80" i="58" s="1"/>
  <c r="AY16" i="53"/>
  <c r="BC16" i="53" s="1"/>
  <c r="AY20" i="53"/>
  <c r="BG20" i="53" s="1"/>
  <c r="AZ16" i="53"/>
  <c r="BD16" i="53" s="1"/>
  <c r="AD79" i="58" s="1"/>
  <c r="AW20" i="53"/>
  <c r="AY17" i="53"/>
  <c r="BG17" i="53" s="1"/>
  <c r="F87" i="38"/>
  <c r="F87" i="58" s="1"/>
  <c r="J83" i="64" s="1"/>
  <c r="F16" i="54"/>
  <c r="P86" i="59" s="1"/>
  <c r="X163" i="60"/>
  <c r="AF83" i="64"/>
  <c r="O164" i="60"/>
  <c r="AD84" i="64"/>
  <c r="AW18" i="54"/>
  <c r="BE18" i="54" s="1"/>
  <c r="P89" i="58"/>
  <c r="AG172" i="60"/>
  <c r="AL172" i="60" s="1"/>
  <c r="AH87" i="64"/>
  <c r="G74" i="60"/>
  <c r="L74" i="60" s="1"/>
  <c r="W64" i="60"/>
  <c r="AF64" i="60" s="1"/>
  <c r="Y85" i="60"/>
  <c r="AZ16" i="42"/>
  <c r="BD16" i="42" s="1"/>
  <c r="AD33" i="58" s="1"/>
  <c r="AX22" i="43"/>
  <c r="BF22" i="43" s="1"/>
  <c r="AC96" i="60"/>
  <c r="X15" i="60"/>
  <c r="F111" i="60"/>
  <c r="AY17" i="47"/>
  <c r="BC17" i="47" s="1"/>
  <c r="AI110" i="60"/>
  <c r="AL107" i="60"/>
  <c r="R112" i="60"/>
  <c r="AL112" i="60"/>
  <c r="I129" i="60"/>
  <c r="J129" i="60" s="1"/>
  <c r="M129" i="60" s="1"/>
  <c r="H129" i="60"/>
  <c r="K129" i="60" s="1"/>
  <c r="AX16" i="52"/>
  <c r="BF16" i="52" s="1"/>
  <c r="AZ20" i="53"/>
  <c r="BD20" i="53" s="1"/>
  <c r="AD83" i="58" s="1"/>
  <c r="G156" i="60"/>
  <c r="AG154" i="60"/>
  <c r="AH76" i="64"/>
  <c r="AF85" i="64"/>
  <c r="AV17" i="54"/>
  <c r="W88" i="58" s="1"/>
  <c r="AJ84" i="64" s="1"/>
  <c r="W165" i="60"/>
  <c r="AF165" i="60" s="1"/>
  <c r="AZ16" i="45"/>
  <c r="O98" i="58"/>
  <c r="AV18" i="45"/>
  <c r="W98" i="58" s="1"/>
  <c r="AJ94" i="64" s="1"/>
  <c r="F47" i="69" s="1"/>
  <c r="W21" i="60"/>
  <c r="AF21" i="60" s="1"/>
  <c r="P98" i="58"/>
  <c r="F71" i="76"/>
  <c r="E69" i="76"/>
  <c r="D75" i="77"/>
  <c r="D76" i="77"/>
  <c r="D70" i="63"/>
  <c r="D70" i="77"/>
  <c r="BB16" i="56"/>
  <c r="AL23" i="60"/>
  <c r="F71" i="77"/>
  <c r="E69" i="77"/>
  <c r="D66" i="77"/>
  <c r="D76" i="76"/>
  <c r="AI138" i="60"/>
  <c r="AI82" i="64"/>
  <c r="AI129" i="60"/>
  <c r="AL129" i="60" s="1"/>
  <c r="AL157" i="60"/>
  <c r="AV18" i="55"/>
  <c r="W92" i="58" s="1"/>
  <c r="AJ88" i="64" s="1"/>
  <c r="AH90" i="64"/>
  <c r="AQ129" i="60"/>
  <c r="D66" i="63"/>
  <c r="Y138" i="60"/>
  <c r="AF82" i="64"/>
  <c r="X138" i="60"/>
  <c r="N13" i="60"/>
  <c r="W13" i="60"/>
  <c r="AF13" i="60" s="1"/>
  <c r="BF16" i="53"/>
  <c r="AI94" i="64"/>
  <c r="AX18" i="45"/>
  <c r="R87" i="60"/>
  <c r="E78" i="75"/>
  <c r="X136" i="60"/>
  <c r="AF80" i="64"/>
  <c r="B5" i="75"/>
  <c r="E78" i="76"/>
  <c r="W137" i="60"/>
  <c r="AF137" i="60" s="1"/>
  <c r="P136" i="60"/>
  <c r="K136" i="60"/>
  <c r="AI136" i="60"/>
  <c r="AI80" i="64"/>
  <c r="B5" i="63"/>
  <c r="F70" i="63"/>
  <c r="D64" i="63"/>
  <c r="D67" i="75"/>
  <c r="W136" i="60"/>
  <c r="AF136" i="60" s="1"/>
  <c r="C89" i="64"/>
  <c r="C30" i="69"/>
  <c r="AG59" i="64"/>
  <c r="C38" i="64"/>
  <c r="C23" i="67"/>
  <c r="AH84" i="58"/>
  <c r="C40" i="64"/>
  <c r="C92" i="64"/>
  <c r="C10" i="69"/>
  <c r="X22" i="60"/>
  <c r="AC22" i="60" s="1"/>
  <c r="AF93" i="64"/>
  <c r="E14" i="66"/>
  <c r="C19" i="69"/>
  <c r="C44" i="69"/>
  <c r="AJ138" i="60"/>
  <c r="M136" i="60"/>
  <c r="M137" i="60"/>
  <c r="C20" i="64"/>
  <c r="C21" i="69"/>
  <c r="C45" i="69"/>
  <c r="AZ21" i="42"/>
  <c r="BH21" i="42" s="1"/>
  <c r="AG38" i="58" s="1"/>
  <c r="U97" i="58"/>
  <c r="E11" i="66"/>
  <c r="AI22" i="60"/>
  <c r="BJ93" i="64"/>
  <c r="BL93" i="64" s="1"/>
  <c r="C37" i="62"/>
  <c r="E12" i="66"/>
  <c r="E15" i="66"/>
  <c r="D33" i="64" s="1"/>
  <c r="BG17" i="50"/>
  <c r="E10" i="66"/>
  <c r="AZ27" i="41"/>
  <c r="BH27" i="41" s="1"/>
  <c r="AG24" i="58" s="1"/>
  <c r="AY21" i="41"/>
  <c r="BG21" i="41" s="1"/>
  <c r="BH20" i="53"/>
  <c r="AG83" i="58" s="1"/>
  <c r="BD17" i="56"/>
  <c r="AD94" i="58" s="1"/>
  <c r="Z42" i="60"/>
  <c r="AG89" i="64"/>
  <c r="AZ17" i="54"/>
  <c r="BH17" i="54" s="1"/>
  <c r="AG88" i="58" s="1"/>
  <c r="AY17" i="51"/>
  <c r="BC17" i="51" s="1"/>
  <c r="BC16" i="48"/>
  <c r="Z113" i="60"/>
  <c r="Z112" i="60"/>
  <c r="AG62" i="64"/>
  <c r="AZ22" i="43"/>
  <c r="BH22" i="43" s="1"/>
  <c r="AG46" i="58" s="1"/>
  <c r="Z100" i="60"/>
  <c r="AC100" i="60" s="1"/>
  <c r="AG40" i="64"/>
  <c r="AG38" i="64"/>
  <c r="T30" i="58"/>
  <c r="AA74" i="60" s="1"/>
  <c r="AD74" i="60" s="1"/>
  <c r="Z73" i="60"/>
  <c r="AC73" i="60" s="1"/>
  <c r="AC70" i="60"/>
  <c r="AZ29" i="41"/>
  <c r="BH29" i="41" s="1"/>
  <c r="AG26" i="58" s="1"/>
  <c r="Z64" i="60"/>
  <c r="AZ17" i="41"/>
  <c r="BH17" i="41" s="1"/>
  <c r="AG14" i="58" s="1"/>
  <c r="AY17" i="41"/>
  <c r="AG90" i="64"/>
  <c r="AJ33" i="60"/>
  <c r="Z22" i="60"/>
  <c r="AG93" i="64"/>
  <c r="Z173" i="60"/>
  <c r="AG56" i="64"/>
  <c r="AG55" i="64"/>
  <c r="AJ49" i="60"/>
  <c r="Z49" i="60"/>
  <c r="AC156" i="60"/>
  <c r="AG78" i="64"/>
  <c r="AG76" i="64"/>
  <c r="Z154" i="60"/>
  <c r="Z146" i="60"/>
  <c r="Z145" i="60"/>
  <c r="AC145" i="60" s="1"/>
  <c r="AG72" i="64"/>
  <c r="AG82" i="64"/>
  <c r="AC138" i="60"/>
  <c r="Z137" i="60"/>
  <c r="AG81" i="64"/>
  <c r="BG18" i="50"/>
  <c r="AC136" i="60"/>
  <c r="AJ136" i="60"/>
  <c r="AL80" i="64"/>
  <c r="AG80" i="64"/>
  <c r="AZ16" i="50"/>
  <c r="AC129" i="60"/>
  <c r="Z128" i="60"/>
  <c r="AC128" i="60" s="1"/>
  <c r="AG68" i="64"/>
  <c r="AG67" i="64"/>
  <c r="Z127" i="60"/>
  <c r="AC127" i="60" s="1"/>
  <c r="F19" i="77" s="1"/>
  <c r="AG66" i="64"/>
  <c r="AG65" i="64"/>
  <c r="Z120" i="60"/>
  <c r="AC112" i="60"/>
  <c r="AA97" i="60"/>
  <c r="AD97" i="60" s="1"/>
  <c r="Z95" i="60"/>
  <c r="AK95" i="60" s="1"/>
  <c r="AA95" i="60"/>
  <c r="T38" i="58"/>
  <c r="AJ87" i="60" s="1"/>
  <c r="AG28" i="64"/>
  <c r="Z75" i="60"/>
  <c r="AG24" i="64"/>
  <c r="Z72" i="60"/>
  <c r="AY31" i="41"/>
  <c r="BG31" i="41" s="1"/>
  <c r="AZ30" i="41"/>
  <c r="Z68" i="60"/>
  <c r="AC68" i="60" s="1"/>
  <c r="Z62" i="60"/>
  <c r="AC62" i="60" s="1"/>
  <c r="AY19" i="41"/>
  <c r="BC19" i="41" s="1"/>
  <c r="Z59" i="60"/>
  <c r="AG11" i="64"/>
  <c r="AZ18" i="41"/>
  <c r="BH18" i="41" s="1"/>
  <c r="AG15" i="58" s="1"/>
  <c r="AG9" i="64"/>
  <c r="Z24" i="60"/>
  <c r="Z15" i="60"/>
  <c r="AC15" i="60"/>
  <c r="Z14" i="60"/>
  <c r="AC14" i="60" s="1"/>
  <c r="AZ17" i="37"/>
  <c r="BH17" i="37" s="1"/>
  <c r="AG56" i="58" s="1"/>
  <c r="W37" i="58"/>
  <c r="AJ33" i="64" s="1"/>
  <c r="BA20" i="42"/>
  <c r="AF33" i="64"/>
  <c r="AV17" i="42"/>
  <c r="W34" i="58" s="1"/>
  <c r="AJ30" i="64" s="1"/>
  <c r="F14" i="69" s="1"/>
  <c r="X83" i="60"/>
  <c r="BA17" i="42"/>
  <c r="AG82" i="60"/>
  <c r="AL82" i="60" s="1"/>
  <c r="AH29" i="64"/>
  <c r="BA16" i="42"/>
  <c r="W33" i="58"/>
  <c r="AJ29" i="64" s="1"/>
  <c r="AG163" i="60"/>
  <c r="AL163" i="60" s="1"/>
  <c r="W163" i="60"/>
  <c r="AF163" i="60" s="1"/>
  <c r="I33" i="69"/>
  <c r="BJ20" i="64"/>
  <c r="BJ23" i="64"/>
  <c r="I36" i="69"/>
  <c r="BJ17" i="64"/>
  <c r="BJ26" i="64"/>
  <c r="BL80" i="64"/>
  <c r="I42" i="69"/>
  <c r="BJ21" i="64"/>
  <c r="BJ86" i="64"/>
  <c r="BJ18" i="64"/>
  <c r="BL18" i="64" s="1"/>
  <c r="BM81" i="64"/>
  <c r="BJ38" i="64"/>
  <c r="I19" i="69" s="1"/>
  <c r="F44" i="69"/>
  <c r="BM80" i="64"/>
  <c r="C5" i="67"/>
  <c r="BJ31" i="64"/>
  <c r="BJ37" i="64"/>
  <c r="I18" i="69" s="1"/>
  <c r="F42" i="69"/>
  <c r="J42" i="69"/>
  <c r="BM82" i="64"/>
  <c r="BJ78" i="64"/>
  <c r="BK35" i="64"/>
  <c r="BM35" i="64" s="1"/>
  <c r="BN35" i="64" s="1"/>
  <c r="BL82" i="64"/>
  <c r="BJ13" i="64"/>
  <c r="AY34" i="41"/>
  <c r="AZ34" i="41"/>
  <c r="AX34" i="41"/>
  <c r="BF34" i="41" s="1"/>
  <c r="Q74" i="60"/>
  <c r="AE26" i="64"/>
  <c r="BK26" i="64" s="1"/>
  <c r="BB31" i="41"/>
  <c r="AJ70" i="60"/>
  <c r="AM70" i="60" s="1"/>
  <c r="AY29" i="41"/>
  <c r="BG29" i="41" s="1"/>
  <c r="R70" i="60"/>
  <c r="AZ28" i="41"/>
  <c r="BH28" i="41" s="1"/>
  <c r="AG25" i="58" s="1"/>
  <c r="AY28" i="41"/>
  <c r="BG28" i="41" s="1"/>
  <c r="R24" i="58"/>
  <c r="AX25" i="41"/>
  <c r="AY25" i="41"/>
  <c r="AZ25" i="41"/>
  <c r="BC22" i="41"/>
  <c r="AY16" i="41"/>
  <c r="BG16" i="41" s="1"/>
  <c r="AX16" i="41"/>
  <c r="BB16" i="41" s="1"/>
  <c r="AZ16" i="41"/>
  <c r="BH16" i="41" s="1"/>
  <c r="AG13" i="58" s="1"/>
  <c r="BC17" i="52"/>
  <c r="AE74" i="64"/>
  <c r="BB16" i="53"/>
  <c r="O137" i="60"/>
  <c r="P137" i="60" s="1"/>
  <c r="R136" i="60"/>
  <c r="U136" i="60" s="1"/>
  <c r="AA136" i="60"/>
  <c r="AB136" i="60"/>
  <c r="Q136" i="60"/>
  <c r="AX20" i="47"/>
  <c r="BF20" i="47" s="1"/>
  <c r="R64" i="58"/>
  <c r="AY22" i="43"/>
  <c r="BG22" i="43" s="1"/>
  <c r="BB22" i="43"/>
  <c r="AZ20" i="43"/>
  <c r="AX20" i="43"/>
  <c r="AY20" i="43"/>
  <c r="BG20" i="43" s="1"/>
  <c r="AJ95" i="60"/>
  <c r="BB20" i="42"/>
  <c r="AY18" i="42"/>
  <c r="Q82" i="60"/>
  <c r="S82" i="60" s="1"/>
  <c r="AY16" i="42"/>
  <c r="BG16" i="42" s="1"/>
  <c r="AX16" i="42"/>
  <c r="BB16" i="42" s="1"/>
  <c r="AK89" i="64"/>
  <c r="R42" i="60"/>
  <c r="AA36" i="60"/>
  <c r="AZ21" i="44"/>
  <c r="BH21" i="44" s="1"/>
  <c r="AG53" i="58" s="1"/>
  <c r="AY21" i="44"/>
  <c r="BG21" i="44" s="1"/>
  <c r="AX20" i="44"/>
  <c r="BB20" i="44" s="1"/>
  <c r="AY19" i="44"/>
  <c r="BG19" i="44" s="1"/>
  <c r="R30" i="60"/>
  <c r="AY16" i="45"/>
  <c r="BC16" i="45" s="1"/>
  <c r="Q13" i="60"/>
  <c r="AE52" i="64"/>
  <c r="BG17" i="47"/>
  <c r="X60" i="60"/>
  <c r="AH60" i="60"/>
  <c r="Y60" i="60"/>
  <c r="AF12" i="64"/>
  <c r="BE16" i="37"/>
  <c r="BA16" i="37"/>
  <c r="AI12" i="60"/>
  <c r="AI51" i="64"/>
  <c r="AG58" i="60"/>
  <c r="AL58" i="60" s="1"/>
  <c r="AH58" i="60"/>
  <c r="AH10" i="64"/>
  <c r="Y12" i="60"/>
  <c r="AH73" i="60"/>
  <c r="BJ14" i="64"/>
  <c r="H72" i="60"/>
  <c r="I72" i="60"/>
  <c r="AC24" i="64"/>
  <c r="K76" i="60"/>
  <c r="W62" i="60"/>
  <c r="AF21" i="64"/>
  <c r="AH69" i="60"/>
  <c r="X69" i="60"/>
  <c r="Y69" i="60"/>
  <c r="AH22" i="64"/>
  <c r="AG70" i="60"/>
  <c r="AL70" i="60" s="1"/>
  <c r="AH11" i="64"/>
  <c r="AG59" i="60"/>
  <c r="AJ61" i="60"/>
  <c r="AC13" i="64"/>
  <c r="H61" i="60"/>
  <c r="I61" i="60"/>
  <c r="J61" i="60" s="1"/>
  <c r="M61" i="60" s="1"/>
  <c r="W75" i="60"/>
  <c r="AN76" i="60"/>
  <c r="M76" i="60"/>
  <c r="Y61" i="60"/>
  <c r="AF13" i="64"/>
  <c r="X61" i="60"/>
  <c r="AH59" i="60"/>
  <c r="AF11" i="64"/>
  <c r="X59" i="60"/>
  <c r="AC59" i="60" s="1"/>
  <c r="Y59" i="60"/>
  <c r="AB22" i="64"/>
  <c r="BJ22" i="64" s="1"/>
  <c r="Y70" i="60"/>
  <c r="AH70" i="60"/>
  <c r="F70" i="60"/>
  <c r="G70" i="60"/>
  <c r="L70" i="60" s="1"/>
  <c r="AH61" i="60"/>
  <c r="AF51" i="64"/>
  <c r="X12" i="60"/>
  <c r="K60" i="60"/>
  <c r="AH12" i="60"/>
  <c r="AG51" i="64"/>
  <c r="Z12" i="60"/>
  <c r="Y57" i="60"/>
  <c r="G57" i="60"/>
  <c r="L57" i="60" s="1"/>
  <c r="AH57" i="60"/>
  <c r="AB9" i="64"/>
  <c r="BJ9" i="64" s="1"/>
  <c r="F57" i="60"/>
  <c r="AH25" i="64"/>
  <c r="AG73" i="60"/>
  <c r="AL73" i="60" s="1"/>
  <c r="AL12" i="60"/>
  <c r="AH72" i="60"/>
  <c r="AF24" i="64"/>
  <c r="X72" i="60"/>
  <c r="O12" i="60"/>
  <c r="AD51" i="64"/>
  <c r="BA18" i="41"/>
  <c r="AB25" i="64"/>
  <c r="BJ25" i="64" s="1"/>
  <c r="AV20" i="41"/>
  <c r="F72" i="60"/>
  <c r="AH14" i="64"/>
  <c r="AL74" i="60"/>
  <c r="Z67" i="60"/>
  <c r="AC22" i="64"/>
  <c r="BK22" i="64" s="1"/>
  <c r="BM22" i="64" s="1"/>
  <c r="BN22" i="64" s="1"/>
  <c r="F68" i="60"/>
  <c r="AD12" i="64"/>
  <c r="BJ12" i="64" s="1"/>
  <c r="O60" i="60"/>
  <c r="F64" i="60"/>
  <c r="AH64" i="60"/>
  <c r="Y64" i="60"/>
  <c r="AB15" i="64"/>
  <c r="BJ15" i="64" s="1"/>
  <c r="G64" i="60"/>
  <c r="AF27" i="64"/>
  <c r="X75" i="60"/>
  <c r="AH63" i="60"/>
  <c r="L82" i="60"/>
  <c r="P82" i="60"/>
  <c r="T36" i="58"/>
  <c r="X36" i="58" s="1"/>
  <c r="AZ19" i="42"/>
  <c r="AD35" i="64"/>
  <c r="O88" i="60"/>
  <c r="N87" i="60"/>
  <c r="M87" i="60"/>
  <c r="O94" i="60"/>
  <c r="AD36" i="64"/>
  <c r="BJ36" i="64" s="1"/>
  <c r="I17" i="69" s="1"/>
  <c r="P100" i="60"/>
  <c r="Q47" i="58"/>
  <c r="Y101" i="60" s="1"/>
  <c r="AV23" i="43"/>
  <c r="I12" i="60"/>
  <c r="J12" i="60" s="1"/>
  <c r="M12" i="60" s="1"/>
  <c r="AX16" i="37"/>
  <c r="BB34" i="41"/>
  <c r="AX19" i="41"/>
  <c r="BF19" i="41" s="1"/>
  <c r="R16" i="58"/>
  <c r="R60" i="60" s="1"/>
  <c r="X17" i="58"/>
  <c r="AK13" i="64" s="1"/>
  <c r="AE13" i="64"/>
  <c r="AA61" i="60"/>
  <c r="Q61" i="60"/>
  <c r="AX21" i="41"/>
  <c r="R18" i="58"/>
  <c r="R62" i="60" s="1"/>
  <c r="F65" i="60"/>
  <c r="AB16" i="64"/>
  <c r="BJ16" i="64" s="1"/>
  <c r="Y65" i="60"/>
  <c r="G65" i="60"/>
  <c r="AI65" i="60"/>
  <c r="AL65" i="60" s="1"/>
  <c r="AI16" i="64"/>
  <c r="AG21" i="64"/>
  <c r="Z69" i="60"/>
  <c r="AI24" i="64"/>
  <c r="AI72" i="60"/>
  <c r="AL72" i="60" s="1"/>
  <c r="AX35" i="41"/>
  <c r="BB35" i="41" s="1"/>
  <c r="R32" i="58"/>
  <c r="AF32" i="64"/>
  <c r="X85" i="60"/>
  <c r="BC18" i="42"/>
  <c r="BG18" i="42"/>
  <c r="AF34" i="64"/>
  <c r="X87" i="60"/>
  <c r="AI35" i="64"/>
  <c r="AI88" i="60"/>
  <c r="W86" i="60"/>
  <c r="P73" i="60"/>
  <c r="U73" i="60" s="1"/>
  <c r="BA17" i="41"/>
  <c r="AV28" i="41"/>
  <c r="BB28" i="41" s="1"/>
  <c r="AB10" i="64"/>
  <c r="BJ10" i="64" s="1"/>
  <c r="BB29" i="41"/>
  <c r="AI27" i="64"/>
  <c r="AH66" i="60"/>
  <c r="AC11" i="64"/>
  <c r="AG10" i="64"/>
  <c r="Z58" i="60"/>
  <c r="AC58" i="60" s="1"/>
  <c r="AG13" i="64"/>
  <c r="Z61" i="60"/>
  <c r="AG17" i="64"/>
  <c r="Z66" i="60"/>
  <c r="AC66" i="60" s="1"/>
  <c r="AZ26" i="41"/>
  <c r="BH26" i="41" s="1"/>
  <c r="AG23" i="58" s="1"/>
  <c r="R23" i="58"/>
  <c r="AE18" i="64" s="1"/>
  <c r="BK18" i="64" s="1"/>
  <c r="BM18" i="64" s="1"/>
  <c r="BN18" i="64" s="1"/>
  <c r="AI21" i="64"/>
  <c r="AI69" i="60"/>
  <c r="AL69" i="60" s="1"/>
  <c r="AF26" i="64"/>
  <c r="X74" i="60"/>
  <c r="AG75" i="60"/>
  <c r="AL75" i="60" s="1"/>
  <c r="AH27" i="64"/>
  <c r="AF28" i="64"/>
  <c r="X76" i="60"/>
  <c r="AC76" i="60" s="1"/>
  <c r="BB22" i="42"/>
  <c r="BF22" i="42"/>
  <c r="AB30" i="64"/>
  <c r="BJ30" i="64" s="1"/>
  <c r="Y83" i="60"/>
  <c r="AH83" i="60"/>
  <c r="F83" i="60"/>
  <c r="G83" i="60"/>
  <c r="AI84" i="60"/>
  <c r="AI31" i="64"/>
  <c r="BB16" i="43"/>
  <c r="BF16" i="43"/>
  <c r="AG41" i="64"/>
  <c r="Z99" i="60"/>
  <c r="AC42" i="64"/>
  <c r="I100" i="60"/>
  <c r="J100" i="60" s="1"/>
  <c r="AN100" i="60" s="1"/>
  <c r="H100" i="60"/>
  <c r="AG43" i="64"/>
  <c r="Z101" i="60"/>
  <c r="AC101" i="60" s="1"/>
  <c r="AE48" i="64"/>
  <c r="BB21" i="44"/>
  <c r="W53" i="58"/>
  <c r="AJ49" i="64" s="1"/>
  <c r="AI11" i="64"/>
  <c r="AI59" i="60"/>
  <c r="AG66" i="60"/>
  <c r="AL66" i="60" s="1"/>
  <c r="AH17" i="64"/>
  <c r="F75" i="60"/>
  <c r="Y75" i="60"/>
  <c r="G75" i="60"/>
  <c r="L75" i="60" s="1"/>
  <c r="P84" i="60"/>
  <c r="AG84" i="60"/>
  <c r="AH31" i="64"/>
  <c r="AH82" i="60"/>
  <c r="AG30" i="64"/>
  <c r="Z83" i="60"/>
  <c r="AC83" i="60" s="1"/>
  <c r="M84" i="60"/>
  <c r="N84" i="60"/>
  <c r="BD17" i="43"/>
  <c r="AD41" i="58" s="1"/>
  <c r="BH17" i="43"/>
  <c r="AG41" i="58" s="1"/>
  <c r="J99" i="60"/>
  <c r="M99" i="60" s="1"/>
  <c r="L99" i="60"/>
  <c r="AG36" i="64"/>
  <c r="Z94" i="60"/>
  <c r="AC94" i="60" s="1"/>
  <c r="AI40" i="64"/>
  <c r="AI98" i="60"/>
  <c r="AL98" i="60" s="1"/>
  <c r="AX19" i="43"/>
  <c r="BB19" i="43" s="1"/>
  <c r="AZ19" i="43"/>
  <c r="AY19" i="43"/>
  <c r="AW19" i="43"/>
  <c r="W43" i="58"/>
  <c r="AJ39" i="64" s="1"/>
  <c r="F20" i="69" s="1"/>
  <c r="AG97" i="60"/>
  <c r="AH39" i="64"/>
  <c r="BD29" i="41"/>
  <c r="AD26" i="58" s="1"/>
  <c r="AG12" i="64"/>
  <c r="Z60" i="60"/>
  <c r="AF15" i="64"/>
  <c r="X64" i="60"/>
  <c r="AI68" i="60"/>
  <c r="AL68" i="60" s="1"/>
  <c r="AI20" i="64"/>
  <c r="F71" i="60"/>
  <c r="Y71" i="60"/>
  <c r="G71" i="60"/>
  <c r="L71" i="60" s="1"/>
  <c r="AH71" i="60"/>
  <c r="AA73" i="60"/>
  <c r="AD73" i="60" s="1"/>
  <c r="AG76" i="60"/>
  <c r="AH28" i="64"/>
  <c r="AG19" i="64"/>
  <c r="Z63" i="60"/>
  <c r="AC63" i="60" s="1"/>
  <c r="AG29" i="64"/>
  <c r="Z82" i="60"/>
  <c r="H83" i="60"/>
  <c r="I83" i="60"/>
  <c r="J83" i="60" s="1"/>
  <c r="M83" i="60" s="1"/>
  <c r="AG83" i="60"/>
  <c r="AL83" i="60" s="1"/>
  <c r="AH30" i="64"/>
  <c r="K86" i="60"/>
  <c r="AI34" i="64"/>
  <c r="AI87" i="60"/>
  <c r="AL87" i="60" s="1"/>
  <c r="K94" i="60"/>
  <c r="Y58" i="60"/>
  <c r="Y66" i="60"/>
  <c r="AH62" i="60"/>
  <c r="AZ24" i="41"/>
  <c r="BH24" i="41" s="1"/>
  <c r="AG21" i="58" s="1"/>
  <c r="R21" i="58"/>
  <c r="G76" i="60"/>
  <c r="L76" i="60" s="1"/>
  <c r="AH76" i="60"/>
  <c r="AB28" i="64"/>
  <c r="AI76" i="60"/>
  <c r="AI28" i="64"/>
  <c r="AI63" i="60"/>
  <c r="AL63" i="60" s="1"/>
  <c r="AI19" i="64"/>
  <c r="E17" i="42"/>
  <c r="E34" i="58"/>
  <c r="I30" i="64" s="1"/>
  <c r="AC29" i="64"/>
  <c r="BK29" i="64" s="1"/>
  <c r="R82" i="60"/>
  <c r="U82" i="60" s="1"/>
  <c r="X33" i="58"/>
  <c r="Z33" i="58" s="1"/>
  <c r="AA33" i="58" s="1"/>
  <c r="AJ82" i="60"/>
  <c r="I82" i="60"/>
  <c r="J82" i="60" s="1"/>
  <c r="M82" i="60" s="1"/>
  <c r="H82" i="60"/>
  <c r="AI83" i="60"/>
  <c r="AI30" i="64"/>
  <c r="AJ88" i="60"/>
  <c r="AM88" i="60" s="1"/>
  <c r="AG35" i="64"/>
  <c r="Z88" i="60"/>
  <c r="AC88" i="60" s="1"/>
  <c r="N82" i="60"/>
  <c r="N83" i="60"/>
  <c r="AI97" i="60"/>
  <c r="AI39" i="64"/>
  <c r="AH51" i="64"/>
  <c r="BC17" i="41"/>
  <c r="H70" i="60"/>
  <c r="O66" i="60"/>
  <c r="F66" i="60"/>
  <c r="AI60" i="60"/>
  <c r="AL60" i="60" s="1"/>
  <c r="AI12" i="64"/>
  <c r="AH67" i="60"/>
  <c r="AM67" i="60" s="1"/>
  <c r="F67" i="60"/>
  <c r="BA22" i="41"/>
  <c r="M70" i="60"/>
  <c r="N70" i="60"/>
  <c r="N66" i="60"/>
  <c r="M66" i="60"/>
  <c r="N59" i="60"/>
  <c r="M59" i="60"/>
  <c r="AC19" i="64"/>
  <c r="I63" i="60"/>
  <c r="J63" i="60" s="1"/>
  <c r="M63" i="60" s="1"/>
  <c r="H63" i="60"/>
  <c r="K63" i="60" s="1"/>
  <c r="AH85" i="60"/>
  <c r="AD32" i="64"/>
  <c r="BJ32" i="64" s="1"/>
  <c r="O85" i="60"/>
  <c r="BH16" i="42"/>
  <c r="AG33" i="58" s="1"/>
  <c r="AH86" i="60"/>
  <c r="Y86" i="60"/>
  <c r="Y87" i="60"/>
  <c r="AH87" i="60"/>
  <c r="F87" i="60"/>
  <c r="G87" i="60"/>
  <c r="AB34" i="64"/>
  <c r="BJ34" i="64" s="1"/>
  <c r="G88" i="60"/>
  <c r="Y88" i="60"/>
  <c r="F88" i="60"/>
  <c r="AB35" i="64"/>
  <c r="AL88" i="60"/>
  <c r="W42" i="58"/>
  <c r="AJ38" i="64" s="1"/>
  <c r="F19" i="69" s="1"/>
  <c r="BA18" i="43"/>
  <c r="U59" i="60"/>
  <c r="AC12" i="64"/>
  <c r="AI64" i="60"/>
  <c r="AL64" i="60" s="1"/>
  <c r="AI15" i="64"/>
  <c r="AG16" i="64"/>
  <c r="Z65" i="60"/>
  <c r="AC65" i="60" s="1"/>
  <c r="BE18" i="42"/>
  <c r="BA18" i="42"/>
  <c r="BK30" i="64"/>
  <c r="R84" i="60"/>
  <c r="U84" i="60" s="1"/>
  <c r="H84" i="60"/>
  <c r="I84" i="60"/>
  <c r="J84" i="60" s="1"/>
  <c r="K96" i="60"/>
  <c r="AC38" i="64"/>
  <c r="I96" i="60"/>
  <c r="J96" i="60" s="1"/>
  <c r="N101" i="60"/>
  <c r="O63" i="60"/>
  <c r="I85" i="60"/>
  <c r="BE17" i="42"/>
  <c r="S35" i="58"/>
  <c r="AG85" i="60"/>
  <c r="AL85" i="60" s="1"/>
  <c r="Y82" i="60"/>
  <c r="AI36" i="64"/>
  <c r="F100" i="60"/>
  <c r="AH94" i="60"/>
  <c r="AF41" i="64"/>
  <c r="AH99" i="60"/>
  <c r="Y99" i="60"/>
  <c r="X95" i="60"/>
  <c r="Y95" i="60"/>
  <c r="AF37" i="64"/>
  <c r="AB39" i="64"/>
  <c r="BJ39" i="64" s="1"/>
  <c r="AH97" i="60"/>
  <c r="G97" i="60"/>
  <c r="G86" i="60"/>
  <c r="F82" i="60"/>
  <c r="BE22" i="43"/>
  <c r="AH36" i="64"/>
  <c r="AH95" i="60"/>
  <c r="AM95" i="60" s="1"/>
  <c r="AF38" i="64"/>
  <c r="AI100" i="60"/>
  <c r="AL100" i="60" s="1"/>
  <c r="BA21" i="44"/>
  <c r="BA19" i="44"/>
  <c r="AL33" i="60"/>
  <c r="AF46" i="64"/>
  <c r="X32" i="60"/>
  <c r="X36" i="60"/>
  <c r="AF50" i="64"/>
  <c r="N30" i="60"/>
  <c r="W30" i="60"/>
  <c r="AF30" i="60" s="1"/>
  <c r="W33" i="60"/>
  <c r="AF33" i="60" s="1"/>
  <c r="N33" i="60"/>
  <c r="M33" i="60"/>
  <c r="AX18" i="41"/>
  <c r="BB18" i="41" s="1"/>
  <c r="AZ31" i="41"/>
  <c r="BH31" i="41" s="1"/>
  <c r="AG28" i="58" s="1"/>
  <c r="AY32" i="41"/>
  <c r="BG32" i="41" s="1"/>
  <c r="G63" i="60"/>
  <c r="L63" i="60" s="1"/>
  <c r="AV19" i="42"/>
  <c r="W38" i="58"/>
  <c r="AJ34" i="64" s="1"/>
  <c r="BF16" i="42"/>
  <c r="AZ18" i="42"/>
  <c r="AI29" i="64"/>
  <c r="O86" i="60"/>
  <c r="I98" i="60"/>
  <c r="J98" i="60" s="1"/>
  <c r="O44" i="58"/>
  <c r="BA20" i="44"/>
  <c r="W52" i="58"/>
  <c r="AJ48" i="64" s="1"/>
  <c r="AV17" i="44"/>
  <c r="W49" i="58" s="1"/>
  <c r="AJ45" i="64" s="1"/>
  <c r="U49" i="58"/>
  <c r="AH31" i="60" s="1"/>
  <c r="AZ20" i="44"/>
  <c r="BH20" i="44" s="1"/>
  <c r="AG52" i="58" s="1"/>
  <c r="T52" i="58"/>
  <c r="AA34" i="60" s="1"/>
  <c r="AD34" i="60" s="1"/>
  <c r="AZ20" i="41"/>
  <c r="BH20" i="41" s="1"/>
  <c r="AG17" i="58" s="1"/>
  <c r="AA68" i="60"/>
  <c r="AD68" i="60" s="1"/>
  <c r="Y63" i="60"/>
  <c r="AX18" i="42"/>
  <c r="BB18" i="42" s="1"/>
  <c r="R35" i="58"/>
  <c r="BF17" i="43"/>
  <c r="Y94" i="60"/>
  <c r="G94" i="60"/>
  <c r="AZ16" i="43"/>
  <c r="BH16" i="43" s="1"/>
  <c r="AG40" i="58" s="1"/>
  <c r="AY16" i="43"/>
  <c r="AH101" i="60"/>
  <c r="AI45" i="64"/>
  <c r="AI31" i="60"/>
  <c r="AH36" i="60"/>
  <c r="AB50" i="64"/>
  <c r="BJ50" i="64" s="1"/>
  <c r="Y36" i="60"/>
  <c r="F36" i="60"/>
  <c r="K36" i="60" s="1"/>
  <c r="G36" i="60"/>
  <c r="L36" i="60" s="1"/>
  <c r="AB19" i="64"/>
  <c r="BJ19" i="64" s="1"/>
  <c r="I11" i="69" s="1"/>
  <c r="K85" i="60"/>
  <c r="T35" i="58"/>
  <c r="BE16" i="43"/>
  <c r="AD95" i="60"/>
  <c r="AL94" i="60"/>
  <c r="O48" i="58"/>
  <c r="AV16" i="44"/>
  <c r="Z30" i="60"/>
  <c r="AG44" i="64"/>
  <c r="P49" i="58"/>
  <c r="AX17" i="44"/>
  <c r="AW17" i="44"/>
  <c r="W50" i="58"/>
  <c r="AJ46" i="64" s="1"/>
  <c r="BA18" i="44"/>
  <c r="H34" i="60"/>
  <c r="K34" i="60" s="1"/>
  <c r="R34" i="60"/>
  <c r="U34" i="60" s="1"/>
  <c r="I34" i="60"/>
  <c r="J34" i="60" s="1"/>
  <c r="M34" i="60" s="1"/>
  <c r="AC48" i="64"/>
  <c r="AA83" i="60"/>
  <c r="AD83" i="60" s="1"/>
  <c r="AY19" i="42"/>
  <c r="BG19" i="42" s="1"/>
  <c r="AC99" i="60"/>
  <c r="Y100" i="60"/>
  <c r="AB42" i="64"/>
  <c r="BJ42" i="64" s="1"/>
  <c r="AG39" i="64"/>
  <c r="Z97" i="60"/>
  <c r="AC97" i="60" s="1"/>
  <c r="I30" i="60"/>
  <c r="J30" i="60" s="1"/>
  <c r="M30" i="60" s="1"/>
  <c r="AC44" i="64"/>
  <c r="H30" i="60"/>
  <c r="S30" i="60" s="1"/>
  <c r="Y31" i="60"/>
  <c r="AD45" i="64"/>
  <c r="BJ45" i="64" s="1"/>
  <c r="P31" i="60"/>
  <c r="O31" i="60"/>
  <c r="AF47" i="64"/>
  <c r="X33" i="60"/>
  <c r="AA88" i="60"/>
  <c r="G101" i="60"/>
  <c r="AH96" i="60"/>
  <c r="Y96" i="60"/>
  <c r="G33" i="60"/>
  <c r="L33" i="60" s="1"/>
  <c r="Y33" i="60"/>
  <c r="AH33" i="60"/>
  <c r="P33" i="60"/>
  <c r="AB47" i="64"/>
  <c r="F33" i="60"/>
  <c r="AG47" i="64"/>
  <c r="Z33" i="60"/>
  <c r="AW20" i="43"/>
  <c r="AH50" i="64"/>
  <c r="AH35" i="60"/>
  <c r="X31" i="60"/>
  <c r="AD47" i="64"/>
  <c r="AY17" i="44"/>
  <c r="BG17" i="44" s="1"/>
  <c r="T49" i="58"/>
  <c r="AA31" i="60" s="1"/>
  <c r="AD31" i="60" s="1"/>
  <c r="H113" i="60"/>
  <c r="I113" i="60"/>
  <c r="J113" i="60" s="1"/>
  <c r="M113" i="60" s="1"/>
  <c r="L109" i="60"/>
  <c r="J109" i="60"/>
  <c r="M107" i="60"/>
  <c r="AW19" i="47"/>
  <c r="P64" i="58"/>
  <c r="AB61" i="64"/>
  <c r="Y111" i="60"/>
  <c r="AZ20" i="47"/>
  <c r="AY20" i="47"/>
  <c r="BG20" i="47" s="1"/>
  <c r="T65" i="58"/>
  <c r="AA111" i="60" s="1"/>
  <c r="AD58" i="64"/>
  <c r="BJ58" i="64" s="1"/>
  <c r="I31" i="69" s="1"/>
  <c r="O108" i="60"/>
  <c r="AH121" i="60"/>
  <c r="Y121" i="60"/>
  <c r="F121" i="60"/>
  <c r="AB66" i="64"/>
  <c r="BJ66" i="64" s="1"/>
  <c r="G121" i="60"/>
  <c r="L121" i="60" s="1"/>
  <c r="AH66" i="64"/>
  <c r="AG121" i="60"/>
  <c r="AL121" i="60" s="1"/>
  <c r="AI67" i="64"/>
  <c r="AI127" i="60"/>
  <c r="AY22" i="42"/>
  <c r="BG22" i="42" s="1"/>
  <c r="M94" i="60"/>
  <c r="M32" i="60"/>
  <c r="X54" i="58"/>
  <c r="Z54" i="58" s="1"/>
  <c r="AV22" i="44"/>
  <c r="W54" i="58" s="1"/>
  <c r="AJ50" i="64" s="1"/>
  <c r="AB48" i="64"/>
  <c r="BJ48" i="64" s="1"/>
  <c r="AC47" i="64"/>
  <c r="BK47" i="64" s="1"/>
  <c r="BM47" i="64" s="1"/>
  <c r="BN47" i="64" s="1"/>
  <c r="X35" i="60"/>
  <c r="AF53" i="64"/>
  <c r="M15" i="60"/>
  <c r="AG51" i="60"/>
  <c r="AL51" i="60" s="1"/>
  <c r="I51" i="60"/>
  <c r="J51" i="60" s="1"/>
  <c r="M51" i="60" s="1"/>
  <c r="AF91" i="64"/>
  <c r="X51" i="60"/>
  <c r="AC51" i="60" s="1"/>
  <c r="K112" i="60"/>
  <c r="BA22" i="47"/>
  <c r="BE22" i="47"/>
  <c r="AI111" i="60"/>
  <c r="K109" i="60"/>
  <c r="F108" i="60"/>
  <c r="Y108" i="60"/>
  <c r="G108" i="60"/>
  <c r="L108" i="60" s="1"/>
  <c r="AH108" i="60"/>
  <c r="AH61" i="64"/>
  <c r="AG111" i="60"/>
  <c r="N135" i="60"/>
  <c r="AD53" i="64"/>
  <c r="O14" i="60"/>
  <c r="O15" i="60"/>
  <c r="AD54" i="64"/>
  <c r="BJ54" i="64" s="1"/>
  <c r="I27" i="69" s="1"/>
  <c r="Y15" i="60"/>
  <c r="G51" i="60"/>
  <c r="L51" i="60" s="1"/>
  <c r="F51" i="60"/>
  <c r="K51" i="60" s="1"/>
  <c r="Y51" i="60"/>
  <c r="AD51" i="60" s="1"/>
  <c r="P51" i="60"/>
  <c r="U51" i="60" s="1"/>
  <c r="AB91" i="64"/>
  <c r="BJ91" i="64" s="1"/>
  <c r="I45" i="69" s="1"/>
  <c r="L112" i="60"/>
  <c r="J112" i="60"/>
  <c r="M112" i="60" s="1"/>
  <c r="N108" i="60"/>
  <c r="M108" i="60"/>
  <c r="AJ107" i="60"/>
  <c r="AC57" i="64"/>
  <c r="BK57" i="64" s="1"/>
  <c r="H107" i="60"/>
  <c r="AG57" i="64"/>
  <c r="Z107" i="60"/>
  <c r="AC107" i="60" s="1"/>
  <c r="I108" i="60"/>
  <c r="J108" i="60" s="1"/>
  <c r="AC58" i="64"/>
  <c r="H108" i="60"/>
  <c r="P113" i="60"/>
  <c r="O113" i="60"/>
  <c r="AG120" i="60"/>
  <c r="AL120" i="60" s="1"/>
  <c r="AH65" i="64"/>
  <c r="Z135" i="60"/>
  <c r="AC135" i="60" s="1"/>
  <c r="AG70" i="64"/>
  <c r="L129" i="60"/>
  <c r="AX16" i="51"/>
  <c r="R71" i="58"/>
  <c r="AJ127" i="60" s="1"/>
  <c r="H128" i="60"/>
  <c r="AC68" i="64"/>
  <c r="I128" i="60"/>
  <c r="J128" i="60" s="1"/>
  <c r="M128" i="60" s="1"/>
  <c r="BA22" i="44"/>
  <c r="AC50" i="64"/>
  <c r="BK50" i="64" s="1"/>
  <c r="BC19" i="44"/>
  <c r="AI47" i="64"/>
  <c r="H33" i="60"/>
  <c r="Z36" i="60"/>
  <c r="AE44" i="64"/>
  <c r="AX18" i="37"/>
  <c r="BF18" i="37" s="1"/>
  <c r="AZ18" i="37"/>
  <c r="R57" i="58"/>
  <c r="X57" i="58" s="1"/>
  <c r="AF51" i="60"/>
  <c r="AI15" i="60"/>
  <c r="AZ19" i="37"/>
  <c r="R58" i="58"/>
  <c r="K107" i="60"/>
  <c r="AZ22" i="47"/>
  <c r="BD22" i="47" s="1"/>
  <c r="AD67" i="58" s="1"/>
  <c r="R67" i="58"/>
  <c r="AJ113" i="60" s="1"/>
  <c r="AF58" i="64"/>
  <c r="X108" i="60"/>
  <c r="F120" i="60"/>
  <c r="AH120" i="60"/>
  <c r="AB65" i="64"/>
  <c r="G120" i="60"/>
  <c r="Y120" i="60"/>
  <c r="Z13" i="60"/>
  <c r="AC13" i="60" s="1"/>
  <c r="AG52" i="64"/>
  <c r="AY20" i="44"/>
  <c r="Z35" i="60"/>
  <c r="N31" i="60"/>
  <c r="N35" i="60"/>
  <c r="G35" i="60"/>
  <c r="Y14" i="60"/>
  <c r="P14" i="60"/>
  <c r="AH14" i="60"/>
  <c r="G14" i="60"/>
  <c r="L14" i="60" s="1"/>
  <c r="AB53" i="64"/>
  <c r="AV19" i="37"/>
  <c r="W58" i="58" s="1"/>
  <c r="AJ54" i="64" s="1"/>
  <c r="F27" i="69" s="1"/>
  <c r="AH15" i="60"/>
  <c r="BH16" i="47"/>
  <c r="AG61" i="58" s="1"/>
  <c r="BD16" i="47"/>
  <c r="AD61" i="58" s="1"/>
  <c r="AH113" i="60"/>
  <c r="M109" i="60"/>
  <c r="AD61" i="64"/>
  <c r="O111" i="60"/>
  <c r="AF60" i="64"/>
  <c r="X110" i="60"/>
  <c r="X113" i="60"/>
  <c r="AF63" i="64"/>
  <c r="AG58" i="64"/>
  <c r="Z108" i="60"/>
  <c r="I120" i="60"/>
  <c r="J120" i="60" s="1"/>
  <c r="M120" i="60" s="1"/>
  <c r="H120" i="60"/>
  <c r="AC65" i="64"/>
  <c r="Q121" i="60"/>
  <c r="AH52" i="64"/>
  <c r="AG13" i="60"/>
  <c r="AL13" i="60" s="1"/>
  <c r="W71" i="58"/>
  <c r="AJ67" i="64" s="1"/>
  <c r="F36" i="69" s="1"/>
  <c r="BA16" i="51"/>
  <c r="M127" i="60"/>
  <c r="N127" i="60"/>
  <c r="P35" i="60"/>
  <c r="O50" i="58"/>
  <c r="AL14" i="60"/>
  <c r="I14" i="60"/>
  <c r="J14" i="60" s="1"/>
  <c r="M14" i="60" s="1"/>
  <c r="H14" i="60"/>
  <c r="AX19" i="37"/>
  <c r="BF19" i="37" s="1"/>
  <c r="AH54" i="64"/>
  <c r="AF15" i="60"/>
  <c r="BA18" i="46"/>
  <c r="P111" i="60"/>
  <c r="AV20" i="47"/>
  <c r="W65" i="58" s="1"/>
  <c r="AJ61" i="64" s="1"/>
  <c r="F33" i="69" s="1"/>
  <c r="BJ57" i="64"/>
  <c r="I30" i="69" s="1"/>
  <c r="AL108" i="60"/>
  <c r="M121" i="60"/>
  <c r="N121" i="60"/>
  <c r="AD65" i="64"/>
  <c r="O120" i="60"/>
  <c r="AI70" i="64"/>
  <c r="AI135" i="60"/>
  <c r="AL135" i="60" s="1"/>
  <c r="AW17" i="37"/>
  <c r="P56" i="58"/>
  <c r="AA13" i="60" s="1"/>
  <c r="AD13" i="60" s="1"/>
  <c r="F40" i="69"/>
  <c r="AJ30" i="60"/>
  <c r="AV18" i="46"/>
  <c r="W95" i="58" s="1"/>
  <c r="AJ91" i="64" s="1"/>
  <c r="F45" i="69" s="1"/>
  <c r="AG91" i="64"/>
  <c r="AD63" i="64"/>
  <c r="AG110" i="60"/>
  <c r="AL110" i="60" s="1"/>
  <c r="AH60" i="64"/>
  <c r="AH63" i="64"/>
  <c r="AG113" i="60"/>
  <c r="BA16" i="48"/>
  <c r="BE16" i="48"/>
  <c r="AV16" i="50"/>
  <c r="Q74" i="58"/>
  <c r="AD52" i="64"/>
  <c r="BJ52" i="64" s="1"/>
  <c r="I25" i="69" s="1"/>
  <c r="O13" i="60"/>
  <c r="P13" i="60"/>
  <c r="AH13" i="60"/>
  <c r="AB49" i="64"/>
  <c r="BJ49" i="64" s="1"/>
  <c r="AV18" i="37"/>
  <c r="W57" i="58" s="1"/>
  <c r="AJ53" i="64" s="1"/>
  <c r="F26" i="69" s="1"/>
  <c r="H51" i="60"/>
  <c r="AH112" i="60"/>
  <c r="P112" i="60"/>
  <c r="U112" i="60" s="1"/>
  <c r="AF61" i="64"/>
  <c r="X111" i="60"/>
  <c r="AI63" i="64"/>
  <c r="AI113" i="60"/>
  <c r="AF65" i="64"/>
  <c r="X120" i="60"/>
  <c r="AC120" i="60" s="1"/>
  <c r="AH67" i="64"/>
  <c r="AG127" i="60"/>
  <c r="AL127" i="60" s="1"/>
  <c r="P127" i="60"/>
  <c r="AX17" i="51"/>
  <c r="X154" i="60"/>
  <c r="AJ154" i="60"/>
  <c r="AA154" i="60"/>
  <c r="R154" i="60"/>
  <c r="AH156" i="60"/>
  <c r="AF78" i="64"/>
  <c r="Z157" i="60"/>
  <c r="AC157" i="60" s="1"/>
  <c r="AJ157" i="60"/>
  <c r="AG79" i="64"/>
  <c r="Z163" i="60"/>
  <c r="AG83" i="64"/>
  <c r="AI84" i="64"/>
  <c r="AI164" i="60"/>
  <c r="S90" i="58"/>
  <c r="AV16" i="55"/>
  <c r="W90" i="58" s="1"/>
  <c r="AJ86" i="64" s="1"/>
  <c r="AD88" i="64"/>
  <c r="O173" i="60"/>
  <c r="AF89" i="64"/>
  <c r="X42" i="60"/>
  <c r="AC42" i="60" s="1"/>
  <c r="AZ22" i="44"/>
  <c r="BD22" i="44" s="1"/>
  <c r="AD54" i="58" s="1"/>
  <c r="W61" i="58"/>
  <c r="AJ57" i="64" s="1"/>
  <c r="F30" i="69" s="1"/>
  <c r="BC18" i="47"/>
  <c r="AB63" i="64"/>
  <c r="G107" i="60"/>
  <c r="L107" i="60" s="1"/>
  <c r="P135" i="60"/>
  <c r="I135" i="60"/>
  <c r="J135" i="60" s="1"/>
  <c r="M135" i="60" s="1"/>
  <c r="AH135" i="60"/>
  <c r="AZ17" i="51"/>
  <c r="BD17" i="51" s="1"/>
  <c r="AD72" i="58" s="1"/>
  <c r="AH146" i="60"/>
  <c r="Z147" i="60"/>
  <c r="AC147" i="60" s="1"/>
  <c r="AF71" i="64"/>
  <c r="X144" i="60"/>
  <c r="AI153" i="60"/>
  <c r="AL153" i="60" s="1"/>
  <c r="AI75" i="64"/>
  <c r="M154" i="60"/>
  <c r="Y163" i="60"/>
  <c r="F163" i="60"/>
  <c r="G163" i="60"/>
  <c r="AH163" i="60"/>
  <c r="P163" i="60"/>
  <c r="L43" i="60"/>
  <c r="G147" i="60"/>
  <c r="Y147" i="60"/>
  <c r="AH147" i="60"/>
  <c r="AC72" i="64"/>
  <c r="I145" i="60"/>
  <c r="J145" i="60" s="1"/>
  <c r="H145" i="60"/>
  <c r="K145" i="60" s="1"/>
  <c r="AG71" i="64"/>
  <c r="Z144" i="60"/>
  <c r="O153" i="60"/>
  <c r="P153" i="60" s="1"/>
  <c r="U153" i="60" s="1"/>
  <c r="Y153" i="60"/>
  <c r="AD75" i="64"/>
  <c r="BJ75" i="64" s="1"/>
  <c r="AJ75" i="64"/>
  <c r="F41" i="69" s="1"/>
  <c r="AG77" i="64"/>
  <c r="Z155" i="60"/>
  <c r="AC155" i="60" s="1"/>
  <c r="AX16" i="54"/>
  <c r="AW16" i="54"/>
  <c r="P87" i="58"/>
  <c r="R163" i="60" s="1"/>
  <c r="AF88" i="64"/>
  <c r="X173" i="60"/>
  <c r="AC173" i="60" s="1"/>
  <c r="AY16" i="47"/>
  <c r="BG16" i="47" s="1"/>
  <c r="AH110" i="60"/>
  <c r="F110" i="60"/>
  <c r="AC59" i="64"/>
  <c r="Q64" i="58"/>
  <c r="P110" i="60" s="1"/>
  <c r="AG109" i="60"/>
  <c r="AI66" i="64"/>
  <c r="AC70" i="64"/>
  <c r="R72" i="58"/>
  <c r="AA128" i="60" s="1"/>
  <c r="AD69" i="64"/>
  <c r="AG69" i="64"/>
  <c r="AD71" i="64"/>
  <c r="AH75" i="64"/>
  <c r="N155" i="60"/>
  <c r="F154" i="60"/>
  <c r="G154" i="60"/>
  <c r="L154" i="60" s="1"/>
  <c r="Y154" i="60"/>
  <c r="AH154" i="60"/>
  <c r="AB76" i="64"/>
  <c r="BJ76" i="64" s="1"/>
  <c r="O157" i="60"/>
  <c r="P157" i="60" s="1"/>
  <c r="Y157" i="60"/>
  <c r="AH157" i="60"/>
  <c r="AD79" i="64"/>
  <c r="BJ79" i="64" s="1"/>
  <c r="N164" i="60"/>
  <c r="I172" i="60"/>
  <c r="J172" i="60" s="1"/>
  <c r="BA16" i="55"/>
  <c r="BE16" i="55"/>
  <c r="G12" i="63"/>
  <c r="AC74" i="64"/>
  <c r="BK74" i="64" s="1"/>
  <c r="BM74" i="64" s="1"/>
  <c r="I147" i="60"/>
  <c r="J147" i="60" s="1"/>
  <c r="M147" i="60" s="1"/>
  <c r="M146" i="60"/>
  <c r="BD19" i="53"/>
  <c r="AD82" i="58" s="1"/>
  <c r="BH19" i="53"/>
  <c r="AG82" i="58" s="1"/>
  <c r="K157" i="60"/>
  <c r="H155" i="60"/>
  <c r="K155" i="60" s="1"/>
  <c r="AC77" i="64"/>
  <c r="I155" i="60"/>
  <c r="J155" i="60" s="1"/>
  <c r="M155" i="60" s="1"/>
  <c r="AG165" i="60"/>
  <c r="AL165" i="60" s="1"/>
  <c r="AH85" i="64"/>
  <c r="BJ87" i="64"/>
  <c r="Y173" i="60"/>
  <c r="BA18" i="47"/>
  <c r="AH109" i="60"/>
  <c r="H111" i="60"/>
  <c r="K111" i="60" s="1"/>
  <c r="N107" i="60"/>
  <c r="F113" i="60"/>
  <c r="AA108" i="60"/>
  <c r="AD108" i="60" s="1"/>
  <c r="BA18" i="51"/>
  <c r="F127" i="60"/>
  <c r="AB74" i="64"/>
  <c r="BJ74" i="64" s="1"/>
  <c r="F147" i="60"/>
  <c r="K147" i="60" s="1"/>
  <c r="X146" i="60"/>
  <c r="Y146" i="60"/>
  <c r="M145" i="60"/>
  <c r="P144" i="60"/>
  <c r="G144" i="60"/>
  <c r="Y144" i="60"/>
  <c r="AH144" i="60"/>
  <c r="AD77" i="64"/>
  <c r="BJ77" i="64" s="1"/>
  <c r="O155" i="60"/>
  <c r="P155" i="60" s="1"/>
  <c r="Y155" i="60"/>
  <c r="AB84" i="64"/>
  <c r="G164" i="60"/>
  <c r="L164" i="60" s="1"/>
  <c r="P164" i="60"/>
  <c r="Y164" i="60"/>
  <c r="F164" i="60"/>
  <c r="K164" i="60" s="1"/>
  <c r="AH164" i="60"/>
  <c r="O165" i="60"/>
  <c r="P165" i="60"/>
  <c r="AH165" i="60"/>
  <c r="AD85" i="64"/>
  <c r="AI86" i="64"/>
  <c r="AI171" i="60"/>
  <c r="AL171" i="60" s="1"/>
  <c r="BC16" i="56"/>
  <c r="BC18" i="56" s="1"/>
  <c r="BG16" i="56"/>
  <c r="X43" i="60"/>
  <c r="AC43" i="60" s="1"/>
  <c r="AF90" i="64"/>
  <c r="AH43" i="60"/>
  <c r="AF55" i="64"/>
  <c r="X49" i="60"/>
  <c r="AC49" i="60" s="1"/>
  <c r="AH49" i="60"/>
  <c r="AM49" i="60" s="1"/>
  <c r="AI91" i="64"/>
  <c r="P109" i="60"/>
  <c r="AZ17" i="47"/>
  <c r="BD17" i="47" s="1"/>
  <c r="AD62" i="58" s="1"/>
  <c r="X109" i="60"/>
  <c r="AC109" i="60" s="1"/>
  <c r="G113" i="60"/>
  <c r="L113" i="60" s="1"/>
  <c r="AY19" i="47"/>
  <c r="BC19" i="47" s="1"/>
  <c r="AZ21" i="47"/>
  <c r="BD21" i="47" s="1"/>
  <c r="AD66" i="58" s="1"/>
  <c r="BA17" i="48"/>
  <c r="F135" i="60"/>
  <c r="K135" i="60" s="1"/>
  <c r="AX17" i="37"/>
  <c r="BB17" i="37" s="1"/>
  <c r="AC67" i="64"/>
  <c r="AW17" i="51"/>
  <c r="AB68" i="64"/>
  <c r="AH69" i="64"/>
  <c r="Y127" i="60"/>
  <c r="BA16" i="52"/>
  <c r="P146" i="60"/>
  <c r="AG144" i="60"/>
  <c r="AL144" i="60" s="1"/>
  <c r="P145" i="60"/>
  <c r="AH155" i="60"/>
  <c r="AH153" i="60"/>
  <c r="N156" i="60"/>
  <c r="BA17" i="54"/>
  <c r="BE17" i="54"/>
  <c r="BJ83" i="64"/>
  <c r="AX17" i="54"/>
  <c r="P88" i="58"/>
  <c r="AH84" i="64"/>
  <c r="AG164" i="60"/>
  <c r="AY17" i="55"/>
  <c r="T91" i="58"/>
  <c r="H173" i="60"/>
  <c r="I173" i="60"/>
  <c r="J173" i="60" s="1"/>
  <c r="AC88" i="64"/>
  <c r="BD18" i="56"/>
  <c r="AD93" i="58"/>
  <c r="O42" i="60"/>
  <c r="AD89" i="64"/>
  <c r="Y42" i="60"/>
  <c r="AH42" i="60"/>
  <c r="P42" i="60"/>
  <c r="U42" i="60" s="1"/>
  <c r="Y43" i="60"/>
  <c r="BC17" i="48"/>
  <c r="AD67" i="64"/>
  <c r="AH127" i="60"/>
  <c r="AW19" i="52"/>
  <c r="N146" i="60"/>
  <c r="P147" i="60"/>
  <c r="AB71" i="64"/>
  <c r="BJ71" i="64" s="1"/>
  <c r="I38" i="69" s="1"/>
  <c r="H144" i="60"/>
  <c r="K144" i="60" s="1"/>
  <c r="I144" i="60"/>
  <c r="J144" i="60" s="1"/>
  <c r="M144" i="60" s="1"/>
  <c r="M148" i="60" s="1"/>
  <c r="F55" i="62" s="1"/>
  <c r="C21" i="62" s="1"/>
  <c r="AI154" i="60"/>
  <c r="AI76" i="64"/>
  <c r="AC163" i="60"/>
  <c r="G172" i="60"/>
  <c r="L172" i="60" s="1"/>
  <c r="F172" i="60"/>
  <c r="K172" i="60" s="1"/>
  <c r="P172" i="60"/>
  <c r="U172" i="60" s="1"/>
  <c r="AH172" i="60"/>
  <c r="Y172" i="60"/>
  <c r="AD172" i="60" s="1"/>
  <c r="BE18" i="55"/>
  <c r="BA18" i="55"/>
  <c r="BA17" i="56"/>
  <c r="BE17" i="56"/>
  <c r="M24" i="60"/>
  <c r="AI49" i="60"/>
  <c r="AI55" i="64"/>
  <c r="X68" i="58"/>
  <c r="AK64" i="64" s="1"/>
  <c r="G34" i="69" s="1"/>
  <c r="AE64" i="64"/>
  <c r="BK64" i="64" s="1"/>
  <c r="J34" i="69" s="1"/>
  <c r="Q114" i="60"/>
  <c r="S114" i="60" s="1"/>
  <c r="V114" i="60" s="1"/>
  <c r="AA114" i="60"/>
  <c r="AJ114" i="60"/>
  <c r="AY18" i="51"/>
  <c r="BG18" i="51" s="1"/>
  <c r="G145" i="60"/>
  <c r="L145" i="60" s="1"/>
  <c r="AD72" i="64"/>
  <c r="BJ72" i="64" s="1"/>
  <c r="I39" i="69" s="1"/>
  <c r="AW19" i="53"/>
  <c r="N157" i="60"/>
  <c r="F156" i="60"/>
  <c r="H156" i="60"/>
  <c r="F165" i="60"/>
  <c r="I165" i="60"/>
  <c r="J165" i="60" s="1"/>
  <c r="F173" i="60"/>
  <c r="K173" i="60" s="1"/>
  <c r="AX16" i="55"/>
  <c r="F12" i="63"/>
  <c r="M43" i="60"/>
  <c r="M44" i="60" s="1"/>
  <c r="F44" i="62" s="1"/>
  <c r="C12" i="62" s="1"/>
  <c r="H42" i="60"/>
  <c r="F43" i="60"/>
  <c r="K43" i="60" s="1"/>
  <c r="AI92" i="64"/>
  <c r="AI21" i="60"/>
  <c r="AL21" i="60" s="1"/>
  <c r="N23" i="60"/>
  <c r="L50" i="60"/>
  <c r="W49" i="60"/>
  <c r="AD55" i="64"/>
  <c r="O49" i="60"/>
  <c r="T49" i="60" s="1"/>
  <c r="I156" i="60"/>
  <c r="AJ155" i="60"/>
  <c r="AM155" i="60" s="1"/>
  <c r="BK79" i="64"/>
  <c r="BM79" i="64" s="1"/>
  <c r="M165" i="60"/>
  <c r="Z165" i="60"/>
  <c r="AC165" i="60" s="1"/>
  <c r="BB18" i="55"/>
  <c r="AB88" i="64"/>
  <c r="G173" i="60"/>
  <c r="L173" i="60" s="1"/>
  <c r="AA42" i="60"/>
  <c r="F21" i="60"/>
  <c r="K21" i="60" s="1"/>
  <c r="G21" i="60"/>
  <c r="L21" i="60" s="1"/>
  <c r="Y21" i="60"/>
  <c r="AD21" i="60" s="1"/>
  <c r="AB92" i="64"/>
  <c r="BJ92" i="64" s="1"/>
  <c r="I46" i="69" s="1"/>
  <c r="M50" i="60"/>
  <c r="N50" i="60"/>
  <c r="G15" i="60"/>
  <c r="L15" i="60" s="1"/>
  <c r="F15" i="60"/>
  <c r="K15" i="60" s="1"/>
  <c r="H97" i="60"/>
  <c r="K97" i="60" s="1"/>
  <c r="I97" i="60"/>
  <c r="J97" i="60" s="1"/>
  <c r="AC39" i="64"/>
  <c r="F146" i="60"/>
  <c r="K146" i="60" s="1"/>
  <c r="AX19" i="52"/>
  <c r="BF19" i="52" s="1"/>
  <c r="AY18" i="53"/>
  <c r="BC18" i="53" s="1"/>
  <c r="AW18" i="53"/>
  <c r="AI83" i="64"/>
  <c r="AB85" i="64"/>
  <c r="R89" i="58"/>
  <c r="AE85" i="64" s="1"/>
  <c r="H171" i="60"/>
  <c r="K171" i="60" s="1"/>
  <c r="AH173" i="60"/>
  <c r="AE86" i="64"/>
  <c r="BK86" i="64" s="1"/>
  <c r="BM86" i="64" s="1"/>
  <c r="BN86" i="64" s="1"/>
  <c r="G171" i="60"/>
  <c r="L171" i="60" s="1"/>
  <c r="AJ42" i="60"/>
  <c r="AM42" i="60" s="1"/>
  <c r="D41" i="63" s="1"/>
  <c r="AB90" i="64"/>
  <c r="BJ90" i="64" s="1"/>
  <c r="BA18" i="45"/>
  <c r="AG24" i="60"/>
  <c r="AL24" i="60" s="1"/>
  <c r="Y23" i="60"/>
  <c r="AB94" i="64"/>
  <c r="F23" i="60"/>
  <c r="K23" i="60" s="1"/>
  <c r="C41" i="62"/>
  <c r="C41" i="73"/>
  <c r="C41" i="74"/>
  <c r="C41" i="72"/>
  <c r="BB18" i="53"/>
  <c r="AV16" i="54"/>
  <c r="W87" i="58" s="1"/>
  <c r="AJ83" i="64" s="1"/>
  <c r="Z164" i="60"/>
  <c r="AC164" i="60" s="1"/>
  <c r="AV17" i="55"/>
  <c r="BB17" i="55" s="1"/>
  <c r="X172" i="60"/>
  <c r="AC172" i="60" s="1"/>
  <c r="BA19" i="45"/>
  <c r="BE19" i="45"/>
  <c r="AD95" i="64"/>
  <c r="BJ95" i="64" s="1"/>
  <c r="I48" i="69" s="1"/>
  <c r="O24" i="60"/>
  <c r="P24" i="60"/>
  <c r="AH24" i="60"/>
  <c r="AH64" i="64"/>
  <c r="AG114" i="60"/>
  <c r="AL114" i="60" s="1"/>
  <c r="BC17" i="53"/>
  <c r="Z153" i="60"/>
  <c r="AC153" i="60" s="1"/>
  <c r="I157" i="60"/>
  <c r="AZ16" i="54"/>
  <c r="BD16" i="54" s="1"/>
  <c r="I171" i="60"/>
  <c r="J171" i="60" s="1"/>
  <c r="M171" i="60" s="1"/>
  <c r="AY18" i="55"/>
  <c r="BC18" i="55" s="1"/>
  <c r="R92" i="58"/>
  <c r="AA173" i="60" s="1"/>
  <c r="AD173" i="60" s="1"/>
  <c r="BG17" i="56"/>
  <c r="AC90" i="64"/>
  <c r="F42" i="60"/>
  <c r="K42" i="60" s="1"/>
  <c r="AB89" i="64"/>
  <c r="AY19" i="45"/>
  <c r="BG19" i="45" s="1"/>
  <c r="R99" i="58"/>
  <c r="R24" i="60" s="1"/>
  <c r="AZ19" i="45"/>
  <c r="BD19" i="45" s="1"/>
  <c r="AD99" i="58" s="1"/>
  <c r="AG50" i="60"/>
  <c r="AH56" i="64"/>
  <c r="I49" i="60"/>
  <c r="J49" i="60" s="1"/>
  <c r="H49" i="60"/>
  <c r="R49" i="60"/>
  <c r="AC55" i="64"/>
  <c r="BK55" i="64" s="1"/>
  <c r="AD64" i="64"/>
  <c r="O114" i="60"/>
  <c r="P114" i="60"/>
  <c r="AH114" i="60"/>
  <c r="Y114" i="60"/>
  <c r="BD16" i="52"/>
  <c r="AD75" i="58" s="1"/>
  <c r="AZ18" i="53"/>
  <c r="AH171" i="60"/>
  <c r="AG86" i="64"/>
  <c r="AZ17" i="55"/>
  <c r="BH17" i="55" s="1"/>
  <c r="AG91" i="58" s="1"/>
  <c r="AL44" i="60"/>
  <c r="G42" i="60"/>
  <c r="L42" i="60" s="1"/>
  <c r="X21" i="60"/>
  <c r="AC21" i="60" s="1"/>
  <c r="AH50" i="60"/>
  <c r="AI50" i="60"/>
  <c r="AI56" i="64"/>
  <c r="K50" i="60"/>
  <c r="AV23" i="47"/>
  <c r="B10" i="59"/>
  <c r="B11" i="59" s="1"/>
  <c r="B12" i="59" s="1"/>
  <c r="B13" i="59" s="1"/>
  <c r="AS129" i="60"/>
  <c r="AS121" i="60"/>
  <c r="AF95" i="64"/>
  <c r="X24" i="60"/>
  <c r="AJ86" i="60"/>
  <c r="G49" i="60"/>
  <c r="L49" i="60" s="1"/>
  <c r="F49" i="60"/>
  <c r="Y49" i="60"/>
  <c r="AW16" i="56"/>
  <c r="Y24" i="60"/>
  <c r="Z21" i="60"/>
  <c r="AV16" i="46"/>
  <c r="AY18" i="45"/>
  <c r="AD56" i="64"/>
  <c r="BJ56" i="64" s="1"/>
  <c r="I29" i="69" s="1"/>
  <c r="Y50" i="60"/>
  <c r="O50" i="60"/>
  <c r="P50" i="60"/>
  <c r="P49" i="60"/>
  <c r="U49" i="60" s="1"/>
  <c r="G114" i="60"/>
  <c r="L114" i="60" s="1"/>
  <c r="AB64" i="64"/>
  <c r="BJ64" i="64" s="1"/>
  <c r="I34" i="69" s="1"/>
  <c r="F114" i="60"/>
  <c r="AG64" i="64"/>
  <c r="Z114" i="60"/>
  <c r="AC114" i="60" s="1"/>
  <c r="AD94" i="64"/>
  <c r="O23" i="60"/>
  <c r="AV17" i="46"/>
  <c r="W60" i="58" s="1"/>
  <c r="AJ56" i="64" s="1"/>
  <c r="F29" i="69" s="1"/>
  <c r="AY23" i="47"/>
  <c r="K138" i="60"/>
  <c r="P138" i="60"/>
  <c r="AZ23" i="47"/>
  <c r="S95" i="60"/>
  <c r="Z86" i="60"/>
  <c r="AC86" i="60" s="1"/>
  <c r="E68" i="63"/>
  <c r="F74" i="77"/>
  <c r="F74" i="76"/>
  <c r="F74" i="75"/>
  <c r="AZ23" i="43"/>
  <c r="BD23" i="43" s="1"/>
  <c r="AD47" i="58" s="1"/>
  <c r="F70" i="75"/>
  <c r="F77" i="76"/>
  <c r="D72" i="77"/>
  <c r="BB18" i="50"/>
  <c r="BF18" i="50"/>
  <c r="AG136" i="60"/>
  <c r="AL136" i="60" s="1"/>
  <c r="D13" i="69"/>
  <c r="D26" i="64"/>
  <c r="D16" i="69"/>
  <c r="G127" i="59"/>
  <c r="F64" i="77"/>
  <c r="F64" i="76"/>
  <c r="E66" i="63"/>
  <c r="E66" i="77"/>
  <c r="E80" i="77" s="1"/>
  <c r="E66" i="75"/>
  <c r="F68" i="63"/>
  <c r="F68" i="77"/>
  <c r="F68" i="75"/>
  <c r="D9" i="64"/>
  <c r="D10" i="69"/>
  <c r="D66" i="76"/>
  <c r="F68" i="76"/>
  <c r="F64" i="75"/>
  <c r="E127" i="59"/>
  <c r="D65" i="76"/>
  <c r="E75" i="76"/>
  <c r="F64" i="63"/>
  <c r="D75" i="63"/>
  <c r="D75" i="75"/>
  <c r="E77" i="63"/>
  <c r="E77" i="76"/>
  <c r="F79" i="63"/>
  <c r="F79" i="76"/>
  <c r="P73" i="59"/>
  <c r="BG19" i="50"/>
  <c r="AG138" i="60"/>
  <c r="AL138" i="60" s="1"/>
  <c r="AH82" i="64"/>
  <c r="E68" i="75"/>
  <c r="D65" i="75"/>
  <c r="D80" i="75" s="1"/>
  <c r="E75" i="77"/>
  <c r="D74" i="63"/>
  <c r="D74" i="77"/>
  <c r="D74" i="76"/>
  <c r="L138" i="60"/>
  <c r="J138" i="60"/>
  <c r="M138" i="60" s="1"/>
  <c r="F127" i="59"/>
  <c r="E68" i="77"/>
  <c r="S136" i="60"/>
  <c r="V136" i="60" s="1"/>
  <c r="E75" i="63"/>
  <c r="AH137" i="60"/>
  <c r="X137" i="60"/>
  <c r="AC137" i="60" s="1"/>
  <c r="AF81" i="64"/>
  <c r="BA19" i="50"/>
  <c r="BE19" i="50"/>
  <c r="BA17" i="45"/>
  <c r="BE17" i="45"/>
  <c r="F69" i="76"/>
  <c r="E67" i="76"/>
  <c r="F75" i="76"/>
  <c r="D70" i="75"/>
  <c r="AH136" i="60"/>
  <c r="AH138" i="60"/>
  <c r="AM138" i="60" s="1"/>
  <c r="AI109" i="60"/>
  <c r="AI59" i="64"/>
  <c r="P22" i="60"/>
  <c r="U22" i="60" s="1"/>
  <c r="Y22" i="60"/>
  <c r="AD22" i="60" s="1"/>
  <c r="O22" i="60"/>
  <c r="T22" i="60" s="1"/>
  <c r="AH22" i="60"/>
  <c r="D17" i="69"/>
  <c r="D36" i="64"/>
  <c r="D21" i="69"/>
  <c r="D40" i="64"/>
  <c r="D79" i="75"/>
  <c r="D15" i="69"/>
  <c r="D31" i="64"/>
  <c r="AJ97" i="60"/>
  <c r="Q97" i="60"/>
  <c r="AE39" i="64"/>
  <c r="E74" i="76"/>
  <c r="E80" i="76" s="1"/>
  <c r="C13" i="67"/>
  <c r="C26" i="64"/>
  <c r="C23" i="69"/>
  <c r="C21" i="67"/>
  <c r="C44" i="64"/>
  <c r="C47" i="69"/>
  <c r="C29" i="67"/>
  <c r="C94" i="64"/>
  <c r="AI81" i="64"/>
  <c r="AI137" i="60"/>
  <c r="AL137" i="60" s="1"/>
  <c r="M22" i="60"/>
  <c r="N22" i="60"/>
  <c r="D12" i="69"/>
  <c r="D20" i="64"/>
  <c r="E13" i="66"/>
  <c r="X41" i="58"/>
  <c r="AK37" i="64" s="1"/>
  <c r="G18" i="69" s="1"/>
  <c r="AE37" i="64"/>
  <c r="BK37" i="64" s="1"/>
  <c r="AY17" i="45"/>
  <c r="BG17" i="45" s="1"/>
  <c r="AY20" i="42"/>
  <c r="BC20" i="42" s="1"/>
  <c r="AY21" i="42"/>
  <c r="BG21" i="42" s="1"/>
  <c r="AJ137" i="60"/>
  <c r="AY18" i="43"/>
  <c r="BG18" i="43" s="1"/>
  <c r="AZ16" i="37"/>
  <c r="BF16" i="37"/>
  <c r="BB16" i="37"/>
  <c r="AY16" i="37"/>
  <c r="R55" i="58"/>
  <c r="AY16" i="50"/>
  <c r="BG16" i="50" s="1"/>
  <c r="BH22" i="44"/>
  <c r="AG54" i="58" s="1"/>
  <c r="Q36" i="60"/>
  <c r="AY22" i="44"/>
  <c r="AX22" i="44"/>
  <c r="AJ36" i="60"/>
  <c r="R36" i="60"/>
  <c r="U36" i="60" s="1"/>
  <c r="AA35" i="60"/>
  <c r="AJ35" i="60"/>
  <c r="AM35" i="60" s="1"/>
  <c r="AE49" i="64"/>
  <c r="X53" i="58"/>
  <c r="Q35" i="60"/>
  <c r="R35" i="60"/>
  <c r="U35" i="60" s="1"/>
  <c r="Q34" i="60"/>
  <c r="BB19" i="44"/>
  <c r="BF19" i="44"/>
  <c r="AZ19" i="44"/>
  <c r="X51" i="58"/>
  <c r="AA33" i="60"/>
  <c r="AD33" i="60" s="1"/>
  <c r="R33" i="60"/>
  <c r="Q33" i="60"/>
  <c r="AE46" i="64"/>
  <c r="BK46" i="64" s="1"/>
  <c r="Q32" i="60"/>
  <c r="R32" i="60"/>
  <c r="AX18" i="44"/>
  <c r="AY18" i="44"/>
  <c r="BG18" i="44" s="1"/>
  <c r="R31" i="60"/>
  <c r="U31" i="60" s="1"/>
  <c r="Q31" i="60"/>
  <c r="AE45" i="64"/>
  <c r="BB16" i="44"/>
  <c r="BF16" i="44"/>
  <c r="AZ16" i="44"/>
  <c r="AY16" i="44"/>
  <c r="BC16" i="44" s="1"/>
  <c r="AA30" i="60"/>
  <c r="X48" i="58"/>
  <c r="Z48" i="58" s="1"/>
  <c r="AZ18" i="44"/>
  <c r="X50" i="58"/>
  <c r="Z50" i="58" s="1"/>
  <c r="AJ32" i="60"/>
  <c r="AA32" i="60"/>
  <c r="Z32" i="60"/>
  <c r="AZ17" i="44"/>
  <c r="AZ22" i="42"/>
  <c r="R88" i="60"/>
  <c r="Q88" i="60"/>
  <c r="X39" i="58"/>
  <c r="AX21" i="42"/>
  <c r="Q87" i="60"/>
  <c r="AA87" i="60"/>
  <c r="AD87" i="60" s="1"/>
  <c r="AE34" i="64"/>
  <c r="BK34" i="64" s="1"/>
  <c r="AZ20" i="42"/>
  <c r="AE33" i="64"/>
  <c r="BK33" i="64" s="1"/>
  <c r="AA86" i="60"/>
  <c r="R86" i="60"/>
  <c r="X37" i="58"/>
  <c r="Q86" i="60"/>
  <c r="AX19" i="42"/>
  <c r="Q85" i="60"/>
  <c r="AE32" i="64"/>
  <c r="BK32" i="64" s="1"/>
  <c r="BG17" i="42"/>
  <c r="BC17" i="42"/>
  <c r="X34" i="58"/>
  <c r="AZ17" i="42"/>
  <c r="BH17" i="42" s="1"/>
  <c r="AG34" i="58" s="1"/>
  <c r="AX17" i="42"/>
  <c r="R83" i="60"/>
  <c r="AJ83" i="60"/>
  <c r="Q83" i="60"/>
  <c r="AA82" i="60"/>
  <c r="AD82" i="60" s="1"/>
  <c r="AZ35" i="41"/>
  <c r="AY35" i="41"/>
  <c r="BF35" i="41"/>
  <c r="R76" i="60"/>
  <c r="AJ76" i="60"/>
  <c r="AM76" i="60" s="1"/>
  <c r="X32" i="58"/>
  <c r="AJ75" i="60"/>
  <c r="AM75" i="60" s="1"/>
  <c r="X31" i="58"/>
  <c r="AA75" i="60"/>
  <c r="AD75" i="60" s="1"/>
  <c r="R75" i="60"/>
  <c r="AE27" i="64"/>
  <c r="BK27" i="64" s="1"/>
  <c r="Q75" i="60"/>
  <c r="I74" i="60"/>
  <c r="J74" i="60" s="1"/>
  <c r="H74" i="60"/>
  <c r="AY33" i="41"/>
  <c r="BG33" i="41" s="1"/>
  <c r="AX33" i="41"/>
  <c r="T74" i="60"/>
  <c r="BD33" i="41"/>
  <c r="AD30" i="58" s="1"/>
  <c r="R74" i="60"/>
  <c r="X29" i="58"/>
  <c r="Z29" i="58" s="1"/>
  <c r="AA29" i="58" s="1"/>
  <c r="Q73" i="60"/>
  <c r="AX32" i="41"/>
  <c r="AZ32" i="41"/>
  <c r="AE25" i="64"/>
  <c r="BK25" i="64" s="1"/>
  <c r="AJ73" i="60"/>
  <c r="AM73" i="60" s="1"/>
  <c r="R28" i="58"/>
  <c r="AA71" i="60"/>
  <c r="AD71" i="60" s="1"/>
  <c r="X27" i="58"/>
  <c r="Z27" i="58" s="1"/>
  <c r="AA27" i="58" s="1"/>
  <c r="AJ71" i="60"/>
  <c r="AM71" i="60" s="1"/>
  <c r="AE23" i="64"/>
  <c r="BK23" i="64" s="1"/>
  <c r="BL23" i="64" s="1"/>
  <c r="R71" i="60"/>
  <c r="Q71" i="60"/>
  <c r="AB71" i="60" s="1"/>
  <c r="AE71" i="60" s="1"/>
  <c r="BG30" i="41"/>
  <c r="AA70" i="60"/>
  <c r="AD70" i="60" s="1"/>
  <c r="Q70" i="60"/>
  <c r="X26" i="58"/>
  <c r="AJ69" i="60"/>
  <c r="AM69" i="60" s="1"/>
  <c r="AA69" i="60"/>
  <c r="AD69" i="60" s="1"/>
  <c r="R69" i="60"/>
  <c r="Q69" i="60"/>
  <c r="AE21" i="64"/>
  <c r="BK21" i="64" s="1"/>
  <c r="X25" i="58"/>
  <c r="AK21" i="64"/>
  <c r="AY27" i="41"/>
  <c r="BB27" i="41"/>
  <c r="BF27" i="41"/>
  <c r="X24" i="58"/>
  <c r="AJ68" i="60"/>
  <c r="AM68" i="60" s="1"/>
  <c r="BD27" i="41"/>
  <c r="AD24" i="58" s="1"/>
  <c r="R68" i="60"/>
  <c r="AX26" i="41"/>
  <c r="AL18" i="64"/>
  <c r="AY26" i="41"/>
  <c r="AE17" i="64"/>
  <c r="BK17" i="64" s="1"/>
  <c r="AA66" i="60"/>
  <c r="AD66" i="60" s="1"/>
  <c r="R66" i="60"/>
  <c r="Q66" i="60"/>
  <c r="AJ66" i="60"/>
  <c r="AM66" i="60" s="1"/>
  <c r="X22" i="58"/>
  <c r="AX24" i="41"/>
  <c r="BF24" i="41" s="1"/>
  <c r="AY24" i="41"/>
  <c r="BG24" i="41" s="1"/>
  <c r="AJ65" i="60"/>
  <c r="AM65" i="60" s="1"/>
  <c r="X21" i="58"/>
  <c r="AA65" i="60"/>
  <c r="AD65" i="60" s="1"/>
  <c r="BC24" i="41"/>
  <c r="R65" i="60"/>
  <c r="AE15" i="64"/>
  <c r="AA64" i="60"/>
  <c r="Q64" i="60"/>
  <c r="R64" i="60"/>
  <c r="AJ64" i="60"/>
  <c r="AM64" i="60" s="1"/>
  <c r="X20" i="58"/>
  <c r="AX23" i="41"/>
  <c r="AY23" i="41"/>
  <c r="AZ23" i="41"/>
  <c r="BB22" i="41"/>
  <c r="BH22" i="41"/>
  <c r="AG19" i="58" s="1"/>
  <c r="AE19" i="64"/>
  <c r="AA63" i="60"/>
  <c r="AD63" i="60" s="1"/>
  <c r="X19" i="58"/>
  <c r="Q63" i="60"/>
  <c r="R63" i="60"/>
  <c r="AJ63" i="60"/>
  <c r="BB21" i="41"/>
  <c r="BF21" i="41"/>
  <c r="BC21" i="41"/>
  <c r="AE14" i="64"/>
  <c r="BK14" i="64" s="1"/>
  <c r="AZ21" i="41"/>
  <c r="R61" i="60"/>
  <c r="U61" i="60" s="1"/>
  <c r="AY20" i="41"/>
  <c r="AB61" i="60"/>
  <c r="AE61" i="60" s="1"/>
  <c r="AK61" i="60"/>
  <c r="AN61" i="60" s="1"/>
  <c r="BB20" i="41"/>
  <c r="AZ19" i="41"/>
  <c r="BH19" i="41" s="1"/>
  <c r="AG16" i="58" s="1"/>
  <c r="X15" i="58"/>
  <c r="Y15" i="58" s="1"/>
  <c r="AY18" i="41"/>
  <c r="AJ59" i="60"/>
  <c r="AM59" i="60" s="1"/>
  <c r="Q59" i="60"/>
  <c r="AA59" i="60"/>
  <c r="AD59" i="60" s="1"/>
  <c r="AE11" i="64"/>
  <c r="AJ58" i="60"/>
  <c r="AM58" i="60" s="1"/>
  <c r="X14" i="58"/>
  <c r="AE10" i="64"/>
  <c r="AA58" i="60"/>
  <c r="Q58" i="60"/>
  <c r="R58" i="60"/>
  <c r="BD17" i="41"/>
  <c r="AD14" i="58" s="1"/>
  <c r="BG17" i="41"/>
  <c r="AA57" i="60"/>
  <c r="AD57" i="60" s="1"/>
  <c r="Q57" i="60"/>
  <c r="X13" i="58"/>
  <c r="Z13" i="58" s="1"/>
  <c r="R57" i="60"/>
  <c r="AJ57" i="60"/>
  <c r="AM57" i="60" s="1"/>
  <c r="AE9" i="64"/>
  <c r="BK9" i="64" s="1"/>
  <c r="BF16" i="41"/>
  <c r="R128" i="60"/>
  <c r="AE68" i="64"/>
  <c r="AZ16" i="51"/>
  <c r="X72" i="58"/>
  <c r="R73" i="58"/>
  <c r="Q129" i="60" s="1"/>
  <c r="T129" i="60" s="1"/>
  <c r="AX18" i="51"/>
  <c r="AZ18" i="51"/>
  <c r="BH19" i="37"/>
  <c r="AG58" i="58" s="1"/>
  <c r="BD19" i="37"/>
  <c r="AD58" i="58" s="1"/>
  <c r="AY19" i="37"/>
  <c r="X58" i="58"/>
  <c r="R15" i="60"/>
  <c r="U15" i="60" s="1"/>
  <c r="Q15" i="60"/>
  <c r="AA15" i="60"/>
  <c r="AD15" i="60" s="1"/>
  <c r="BB18" i="37"/>
  <c r="AY18" i="37"/>
  <c r="T13" i="60"/>
  <c r="AY17" i="37"/>
  <c r="Q24" i="60"/>
  <c r="AE95" i="64"/>
  <c r="BK95" i="64" s="1"/>
  <c r="AX19" i="45"/>
  <c r="AZ18" i="45"/>
  <c r="BB18" i="45"/>
  <c r="BF18" i="45"/>
  <c r="R98" i="58"/>
  <c r="AX17" i="45"/>
  <c r="BB17" i="45" s="1"/>
  <c r="R97" i="58"/>
  <c r="AE93" i="64" s="1"/>
  <c r="BK93" i="64" s="1"/>
  <c r="BM93" i="64" s="1"/>
  <c r="BN93" i="64" s="1"/>
  <c r="AZ17" i="45"/>
  <c r="X96" i="58"/>
  <c r="AK92" i="64" s="1"/>
  <c r="G46" i="69" s="1"/>
  <c r="AX16" i="45"/>
  <c r="BB16" i="45" s="1"/>
  <c r="BG16" i="45"/>
  <c r="BH16" i="45"/>
  <c r="AG96" i="58" s="1"/>
  <c r="BD16" i="45"/>
  <c r="Q21" i="60"/>
  <c r="AJ21" i="60"/>
  <c r="AM21" i="60" s="1"/>
  <c r="AE92" i="64"/>
  <c r="BK92" i="64" s="1"/>
  <c r="AA21" i="60"/>
  <c r="R43" i="60"/>
  <c r="U43" i="60" s="1"/>
  <c r="D41" i="76" s="1"/>
  <c r="AA43" i="60"/>
  <c r="AD43" i="60" s="1"/>
  <c r="AJ43" i="60"/>
  <c r="AM43" i="60" s="1"/>
  <c r="Q43" i="60"/>
  <c r="AE90" i="64"/>
  <c r="BB18" i="56"/>
  <c r="AB42" i="60"/>
  <c r="S42" i="60"/>
  <c r="V42" i="60" s="1"/>
  <c r="AK42" i="60"/>
  <c r="AN42" i="60" s="1"/>
  <c r="T42" i="60"/>
  <c r="BF16" i="56"/>
  <c r="AE89" i="64"/>
  <c r="BK89" i="64" s="1"/>
  <c r="E41" i="76"/>
  <c r="R47" i="58"/>
  <c r="AY23" i="43"/>
  <c r="AX23" i="43"/>
  <c r="X46" i="58"/>
  <c r="AA100" i="60"/>
  <c r="Q100" i="60"/>
  <c r="AJ100" i="60"/>
  <c r="AM100" i="60" s="1"/>
  <c r="AE42" i="64"/>
  <c r="R100" i="60"/>
  <c r="U100" i="60" s="1"/>
  <c r="AA99" i="60"/>
  <c r="AD99" i="60" s="1"/>
  <c r="AE41" i="64"/>
  <c r="BK41" i="64" s="1"/>
  <c r="R99" i="60"/>
  <c r="U99" i="60" s="1"/>
  <c r="Q99" i="60"/>
  <c r="AJ99" i="60"/>
  <c r="X45" i="58"/>
  <c r="AY21" i="43"/>
  <c r="AX21" i="43"/>
  <c r="AZ21" i="43"/>
  <c r="X44" i="58"/>
  <c r="Q98" i="60"/>
  <c r="AJ98" i="60"/>
  <c r="AA98" i="60"/>
  <c r="AE40" i="64"/>
  <c r="BK40" i="64" s="1"/>
  <c r="R98" i="60"/>
  <c r="X43" i="58"/>
  <c r="R97" i="60"/>
  <c r="BF19" i="43"/>
  <c r="AZ18" i="43"/>
  <c r="AX18" i="43"/>
  <c r="R42" i="58"/>
  <c r="BG17" i="43"/>
  <c r="T95" i="60"/>
  <c r="R95" i="60"/>
  <c r="U95" i="60" s="1"/>
  <c r="AA94" i="60"/>
  <c r="Q94" i="60"/>
  <c r="AE36" i="64"/>
  <c r="BK36" i="64" s="1"/>
  <c r="X40" i="58"/>
  <c r="AJ94" i="60"/>
  <c r="AM94" i="60" s="1"/>
  <c r="R94" i="60"/>
  <c r="AE88" i="64"/>
  <c r="X92" i="58"/>
  <c r="AK88" i="64" s="1"/>
  <c r="AZ18" i="55"/>
  <c r="R173" i="60"/>
  <c r="U173" i="60" s="1"/>
  <c r="R91" i="58"/>
  <c r="AY16" i="55"/>
  <c r="AZ16" i="55"/>
  <c r="AK171" i="60"/>
  <c r="AN171" i="60" s="1"/>
  <c r="T171" i="60"/>
  <c r="BB16" i="55"/>
  <c r="BF16" i="55"/>
  <c r="X90" i="58"/>
  <c r="AA171" i="60"/>
  <c r="AJ171" i="60"/>
  <c r="R171" i="60"/>
  <c r="U171" i="60" s="1"/>
  <c r="BB18" i="54"/>
  <c r="BF18" i="54"/>
  <c r="Q165" i="60"/>
  <c r="AJ165" i="60"/>
  <c r="AM165" i="60" s="1"/>
  <c r="X89" i="58"/>
  <c r="R165" i="60"/>
  <c r="U165" i="60" s="1"/>
  <c r="AZ18" i="54"/>
  <c r="AY18" i="54"/>
  <c r="BD17" i="54"/>
  <c r="AD88" i="58" s="1"/>
  <c r="AA164" i="60"/>
  <c r="AD164" i="60" s="1"/>
  <c r="R164" i="60"/>
  <c r="AJ164" i="60"/>
  <c r="AM164" i="60" s="1"/>
  <c r="X88" i="58"/>
  <c r="AE84" i="64"/>
  <c r="Q164" i="60"/>
  <c r="AY17" i="54"/>
  <c r="X87" i="58"/>
  <c r="Q163" i="60"/>
  <c r="AY16" i="54"/>
  <c r="AA163" i="60"/>
  <c r="AE83" i="64"/>
  <c r="AX18" i="46"/>
  <c r="AZ18" i="46"/>
  <c r="Q49" i="60"/>
  <c r="AD49" i="60"/>
  <c r="AE55" i="64"/>
  <c r="X95" i="58"/>
  <c r="AE91" i="64"/>
  <c r="BK91" i="64" s="1"/>
  <c r="J45" i="69" s="1"/>
  <c r="AJ51" i="60"/>
  <c r="AM51" i="60" s="1"/>
  <c r="Q51" i="60"/>
  <c r="R51" i="60"/>
  <c r="AA51" i="60"/>
  <c r="AY18" i="46"/>
  <c r="Q50" i="60"/>
  <c r="AJ50" i="60"/>
  <c r="AM50" i="60" s="1"/>
  <c r="X60" i="58"/>
  <c r="R50" i="60"/>
  <c r="U50" i="60" s="1"/>
  <c r="AE56" i="64"/>
  <c r="BK56" i="64" s="1"/>
  <c r="J29" i="69" s="1"/>
  <c r="AA50" i="60"/>
  <c r="AZ17" i="46"/>
  <c r="AY17" i="46"/>
  <c r="AX17" i="46"/>
  <c r="R157" i="60"/>
  <c r="AE78" i="64"/>
  <c r="BK78" i="64" s="1"/>
  <c r="Q156" i="60"/>
  <c r="AJ156" i="60"/>
  <c r="R156" i="60"/>
  <c r="AA156" i="60"/>
  <c r="AD156" i="60" s="1"/>
  <c r="BF18" i="53"/>
  <c r="BD17" i="53"/>
  <c r="AD80" i="58" s="1"/>
  <c r="Q154" i="60"/>
  <c r="T154" i="60" s="1"/>
  <c r="Q153" i="60"/>
  <c r="S153" i="60" s="1"/>
  <c r="V153" i="60" s="1"/>
  <c r="BH16" i="53"/>
  <c r="AG79" i="58" s="1"/>
  <c r="AA157" i="60"/>
  <c r="AD157" i="60" s="1"/>
  <c r="Q157" i="60"/>
  <c r="BC20" i="53"/>
  <c r="BB20" i="53"/>
  <c r="BB19" i="53"/>
  <c r="BG19" i="53"/>
  <c r="Q155" i="60"/>
  <c r="AA155" i="60"/>
  <c r="AD155" i="60" s="1"/>
  <c r="R155" i="60"/>
  <c r="AE77" i="64"/>
  <c r="BF17" i="53"/>
  <c r="AE76" i="64"/>
  <c r="BK76" i="64" s="1"/>
  <c r="AE75" i="64"/>
  <c r="BK75" i="64" s="1"/>
  <c r="BG16" i="53"/>
  <c r="AJ153" i="60"/>
  <c r="AM153" i="60" s="1"/>
  <c r="AA153" i="60"/>
  <c r="AD153" i="60" s="1"/>
  <c r="AJ147" i="60"/>
  <c r="AM147" i="60" s="1"/>
  <c r="AY19" i="52"/>
  <c r="S147" i="60"/>
  <c r="V147" i="60" s="1"/>
  <c r="T147" i="60"/>
  <c r="AA147" i="60"/>
  <c r="AD147" i="60" s="1"/>
  <c r="AZ19" i="52"/>
  <c r="R147" i="60"/>
  <c r="U147" i="60" s="1"/>
  <c r="X78" i="58"/>
  <c r="AE73" i="64"/>
  <c r="BK73" i="64" s="1"/>
  <c r="BM73" i="64" s="1"/>
  <c r="R146" i="60"/>
  <c r="X77" i="58"/>
  <c r="AJ146" i="60"/>
  <c r="AM146" i="60" s="1"/>
  <c r="AA146" i="60"/>
  <c r="AD146" i="60" s="1"/>
  <c r="Q146" i="60"/>
  <c r="AZ18" i="52"/>
  <c r="AX18" i="52"/>
  <c r="AY18" i="52"/>
  <c r="AJ145" i="60"/>
  <c r="AM145" i="60" s="1"/>
  <c r="R145" i="60"/>
  <c r="U145" i="60" s="1"/>
  <c r="AE72" i="64"/>
  <c r="AA145" i="60"/>
  <c r="AD145" i="60" s="1"/>
  <c r="Q145" i="60"/>
  <c r="BF17" i="52"/>
  <c r="BD17" i="52"/>
  <c r="AD76" i="58" s="1"/>
  <c r="BC16" i="52"/>
  <c r="AE71" i="64"/>
  <c r="BK71" i="64" s="1"/>
  <c r="J38" i="69" s="1"/>
  <c r="R144" i="60"/>
  <c r="U144" i="60" s="1"/>
  <c r="AA144" i="60"/>
  <c r="AD144" i="60" s="1"/>
  <c r="Q144" i="60"/>
  <c r="AJ144" i="60"/>
  <c r="AM144" i="60" s="1"/>
  <c r="BB16" i="52"/>
  <c r="BB17" i="48"/>
  <c r="BB18" i="48" s="1"/>
  <c r="T121" i="60"/>
  <c r="AA121" i="60"/>
  <c r="AD121" i="60" s="1"/>
  <c r="AE66" i="64"/>
  <c r="BK66" i="64" s="1"/>
  <c r="BD17" i="48"/>
  <c r="AD70" i="58" s="1"/>
  <c r="AJ121" i="60"/>
  <c r="AM121" i="60" s="1"/>
  <c r="R121" i="60"/>
  <c r="BF16" i="48"/>
  <c r="BD16" i="48"/>
  <c r="AD69" i="58" s="1"/>
  <c r="AE65" i="64"/>
  <c r="Q120" i="60"/>
  <c r="AA120" i="60"/>
  <c r="AJ120" i="60"/>
  <c r="AM120" i="60" s="1"/>
  <c r="R120" i="60"/>
  <c r="BB23" i="47"/>
  <c r="BF23" i="47"/>
  <c r="R114" i="60"/>
  <c r="U114" i="60" s="1"/>
  <c r="AY22" i="47"/>
  <c r="AX22" i="47"/>
  <c r="AA113" i="60"/>
  <c r="AD113" i="60" s="1"/>
  <c r="Q113" i="60"/>
  <c r="X67" i="58"/>
  <c r="AX21" i="47"/>
  <c r="BF21" i="47" s="1"/>
  <c r="AE62" i="64"/>
  <c r="AD112" i="60"/>
  <c r="X66" i="58"/>
  <c r="AY21" i="47"/>
  <c r="AJ112" i="60"/>
  <c r="AM112" i="60" s="1"/>
  <c r="Q112" i="60"/>
  <c r="R111" i="60"/>
  <c r="AE61" i="64"/>
  <c r="Q111" i="60"/>
  <c r="AZ19" i="47"/>
  <c r="BD19" i="47" s="1"/>
  <c r="AD64" i="58" s="1"/>
  <c r="AJ110" i="60"/>
  <c r="R110" i="60"/>
  <c r="AE60" i="64"/>
  <c r="Q110" i="60"/>
  <c r="BF19" i="47"/>
  <c r="X64" i="58"/>
  <c r="AE59" i="64"/>
  <c r="Q109" i="60"/>
  <c r="S109" i="60" s="1"/>
  <c r="V109" i="60" s="1"/>
  <c r="AJ109" i="60"/>
  <c r="AM109" i="60" s="1"/>
  <c r="R109" i="60"/>
  <c r="U109" i="60" s="1"/>
  <c r="AA109" i="60"/>
  <c r="AD109" i="60" s="1"/>
  <c r="BB18" i="47"/>
  <c r="BD18" i="47"/>
  <c r="AD63" i="58" s="1"/>
  <c r="AE58" i="64"/>
  <c r="AJ108" i="60"/>
  <c r="AM108" i="60" s="1"/>
  <c r="BB17" i="47"/>
  <c r="Q108" i="60"/>
  <c r="R108" i="60"/>
  <c r="BF16" i="47"/>
  <c r="R107" i="60"/>
  <c r="AA107" i="60"/>
  <c r="AD107" i="60" s="1"/>
  <c r="Q107" i="60"/>
  <c r="S129" i="60"/>
  <c r="V129" i="60" s="1"/>
  <c r="AK129" i="60"/>
  <c r="AB129" i="60"/>
  <c r="AE129" i="60" s="1"/>
  <c r="AE69" i="64"/>
  <c r="BF17" i="51"/>
  <c r="BB17" i="51"/>
  <c r="BG17" i="51"/>
  <c r="Q128" i="60"/>
  <c r="BB16" i="51"/>
  <c r="BF16" i="51"/>
  <c r="AY16" i="51"/>
  <c r="AE82" i="64"/>
  <c r="AA138" i="60"/>
  <c r="AD138" i="60" s="1"/>
  <c r="Q138" i="60"/>
  <c r="T138" i="60" s="1"/>
  <c r="R138" i="60"/>
  <c r="U138" i="60" s="1"/>
  <c r="AA137" i="60"/>
  <c r="R137" i="60"/>
  <c r="U137" i="60" s="1"/>
  <c r="Q137" i="60"/>
  <c r="AE70" i="64"/>
  <c r="AJ135" i="60"/>
  <c r="X74" i="58"/>
  <c r="R135" i="60"/>
  <c r="U135" i="60" s="1"/>
  <c r="AA135" i="60"/>
  <c r="Q135" i="60"/>
  <c r="W157" i="60" l="1"/>
  <c r="AF157" i="60" s="1"/>
  <c r="W146" i="60"/>
  <c r="AF146" i="60" s="1"/>
  <c r="BD22" i="43"/>
  <c r="AD46" i="58" s="1"/>
  <c r="P63" i="60"/>
  <c r="AH93" i="64"/>
  <c r="AG22" i="60"/>
  <c r="AL22" i="60" s="1"/>
  <c r="BA20" i="53"/>
  <c r="BE20" i="53"/>
  <c r="L24" i="60"/>
  <c r="F39" i="75" s="1"/>
  <c r="G128" i="60"/>
  <c r="P128" i="60"/>
  <c r="Y128" i="60"/>
  <c r="AH128" i="60"/>
  <c r="F128" i="60"/>
  <c r="K128" i="60" s="1"/>
  <c r="BE17" i="47"/>
  <c r="BA17" i="47"/>
  <c r="BA19" i="41"/>
  <c r="W16" i="58"/>
  <c r="AJ12" i="64" s="1"/>
  <c r="AC61" i="64"/>
  <c r="I111" i="60"/>
  <c r="BA18" i="54"/>
  <c r="W89" i="58"/>
  <c r="AJ85" i="64" s="1"/>
  <c r="BE16" i="47"/>
  <c r="BA16" i="47"/>
  <c r="I101" i="60"/>
  <c r="J101" i="60" s="1"/>
  <c r="M101" i="60" s="1"/>
  <c r="AC43" i="64"/>
  <c r="H101" i="60"/>
  <c r="H35" i="60"/>
  <c r="AC49" i="64"/>
  <c r="I35" i="60"/>
  <c r="J35" i="60" s="1"/>
  <c r="M35" i="60" s="1"/>
  <c r="BA27" i="41"/>
  <c r="W24" i="58"/>
  <c r="AJ20" i="64" s="1"/>
  <c r="T98" i="60"/>
  <c r="AJ24" i="60"/>
  <c r="AM24" i="60" s="1"/>
  <c r="Q62" i="60"/>
  <c r="X49" i="58"/>
  <c r="AK45" i="64" s="1"/>
  <c r="AM36" i="60"/>
  <c r="E80" i="63"/>
  <c r="BJ84" i="64"/>
  <c r="W164" i="60"/>
  <c r="AF164" i="60" s="1"/>
  <c r="AD128" i="60"/>
  <c r="L35" i="60"/>
  <c r="L120" i="60"/>
  <c r="BK44" i="64"/>
  <c r="AD111" i="60"/>
  <c r="W101" i="60"/>
  <c r="AF101" i="60" s="1"/>
  <c r="W59" i="60"/>
  <c r="AF59" i="60" s="1"/>
  <c r="AC64" i="60"/>
  <c r="W87" i="60"/>
  <c r="AF87" i="60" s="1"/>
  <c r="L61" i="60"/>
  <c r="K62" i="60"/>
  <c r="P62" i="60"/>
  <c r="BA16" i="41"/>
  <c r="O76" i="60"/>
  <c r="AD28" i="64"/>
  <c r="BJ28" i="64" s="1"/>
  <c r="I13" i="69" s="1"/>
  <c r="Y76" i="60"/>
  <c r="AD76" i="60" s="1"/>
  <c r="F58" i="60"/>
  <c r="G58" i="60"/>
  <c r="K99" i="60"/>
  <c r="T83" i="60"/>
  <c r="H12" i="63"/>
  <c r="W156" i="60"/>
  <c r="AF156" i="60" s="1"/>
  <c r="U62" i="60"/>
  <c r="P23" i="60"/>
  <c r="AH23" i="60"/>
  <c r="U107" i="60"/>
  <c r="BH21" i="47"/>
  <c r="AG66" i="58" s="1"/>
  <c r="BL64" i="64"/>
  <c r="K34" i="69" s="1"/>
  <c r="AM135" i="60"/>
  <c r="BK69" i="64"/>
  <c r="U111" i="60"/>
  <c r="U157" i="60"/>
  <c r="U164" i="60"/>
  <c r="BB19" i="55"/>
  <c r="AM99" i="60"/>
  <c r="AA24" i="60"/>
  <c r="AD24" i="60" s="1"/>
  <c r="AD58" i="60"/>
  <c r="AK82" i="60"/>
  <c r="X38" i="58"/>
  <c r="AJ31" i="60"/>
  <c r="F80" i="63"/>
  <c r="W23" i="60"/>
  <c r="AF23" i="60" s="1"/>
  <c r="AL154" i="60"/>
  <c r="AL113" i="60"/>
  <c r="BF20" i="44"/>
  <c r="BJ65" i="64"/>
  <c r="I35" i="69" s="1"/>
  <c r="AA84" i="60"/>
  <c r="P85" i="60"/>
  <c r="U85" i="60" s="1"/>
  <c r="BC22" i="43"/>
  <c r="AC82" i="60"/>
  <c r="BA16" i="45"/>
  <c r="BA17" i="52"/>
  <c r="BE17" i="52"/>
  <c r="AD24" i="64"/>
  <c r="BJ24" i="64" s="1"/>
  <c r="O72" i="60"/>
  <c r="I14" i="69"/>
  <c r="P60" i="60"/>
  <c r="U146" i="60"/>
  <c r="AJ173" i="60"/>
  <c r="AM173" i="60" s="1"/>
  <c r="AD100" i="60"/>
  <c r="X99" i="58"/>
  <c r="BF18" i="41"/>
  <c r="AD64" i="60"/>
  <c r="AB82" i="60"/>
  <c r="BD21" i="42"/>
  <c r="AD38" i="58" s="1"/>
  <c r="AG45" i="64"/>
  <c r="U33" i="60"/>
  <c r="D80" i="77"/>
  <c r="W107" i="60"/>
  <c r="AF107" i="60" s="1"/>
  <c r="H172" i="60"/>
  <c r="W121" i="60"/>
  <c r="AK121" i="60" s="1"/>
  <c r="W127" i="60"/>
  <c r="AF127" i="60" s="1"/>
  <c r="AK30" i="60"/>
  <c r="AN30" i="60" s="1"/>
  <c r="W66" i="60"/>
  <c r="AF66" i="60" s="1"/>
  <c r="AD61" i="60"/>
  <c r="L64" i="60"/>
  <c r="BC31" i="41"/>
  <c r="AL32" i="60"/>
  <c r="AC16" i="64"/>
  <c r="H65" i="60"/>
  <c r="I65" i="60"/>
  <c r="J65" i="60" s="1"/>
  <c r="M65" i="60" s="1"/>
  <c r="AL146" i="60"/>
  <c r="AL34" i="60"/>
  <c r="P74" i="60"/>
  <c r="BA33" i="41"/>
  <c r="AN129" i="60"/>
  <c r="BC21" i="53"/>
  <c r="AB171" i="60"/>
  <c r="AE171" i="60" s="1"/>
  <c r="Q173" i="60"/>
  <c r="X56" i="58"/>
  <c r="AJ62" i="60"/>
  <c r="AM62" i="60" s="1"/>
  <c r="AM63" i="60"/>
  <c r="T82" i="60"/>
  <c r="Z31" i="60"/>
  <c r="D80" i="63"/>
  <c r="D80" i="76"/>
  <c r="D112" i="59"/>
  <c r="BB17" i="54"/>
  <c r="W155" i="60"/>
  <c r="AF155" i="60" s="1"/>
  <c r="U163" i="60"/>
  <c r="M130" i="60"/>
  <c r="F53" i="62" s="1"/>
  <c r="C19" i="62" s="1"/>
  <c r="AM107" i="60"/>
  <c r="W135" i="60"/>
  <c r="AF135" i="60" s="1"/>
  <c r="W70" i="60"/>
  <c r="AF70" i="60" s="1"/>
  <c r="L65" i="60"/>
  <c r="BD16" i="50"/>
  <c r="AD74" i="58" s="1"/>
  <c r="I23" i="60"/>
  <c r="J23" i="60" s="1"/>
  <c r="M23" i="60" s="1"/>
  <c r="H23" i="60"/>
  <c r="AC94" i="64"/>
  <c r="G146" i="60"/>
  <c r="L146" i="60" s="1"/>
  <c r="AB73" i="64"/>
  <c r="BJ73" i="64" s="1"/>
  <c r="X82" i="60"/>
  <c r="AF29" i="64"/>
  <c r="BA34" i="41"/>
  <c r="W31" i="58"/>
  <c r="AJ27" i="64" s="1"/>
  <c r="F13" i="69" s="1"/>
  <c r="BA22" i="43"/>
  <c r="I58" i="60"/>
  <c r="J58" i="60" s="1"/>
  <c r="M58" i="60" s="1"/>
  <c r="AC10" i="64"/>
  <c r="BK10" i="64" s="1"/>
  <c r="H58" i="60"/>
  <c r="S58" i="60" s="1"/>
  <c r="V58" i="60" s="1"/>
  <c r="K101" i="60"/>
  <c r="BA35" i="41"/>
  <c r="U110" i="60"/>
  <c r="BK49" i="64"/>
  <c r="V30" i="60"/>
  <c r="AC15" i="64"/>
  <c r="BK15" i="64" s="1"/>
  <c r="I64" i="60"/>
  <c r="J64" i="60" s="1"/>
  <c r="M64" i="60" s="1"/>
  <c r="H64" i="60"/>
  <c r="L153" i="60"/>
  <c r="W95" i="60"/>
  <c r="AF95" i="60" s="1"/>
  <c r="AN95" i="60" s="1"/>
  <c r="V95" i="60"/>
  <c r="Y72" i="60"/>
  <c r="L59" i="60"/>
  <c r="U63" i="60"/>
  <c r="U74" i="60"/>
  <c r="BA20" i="45"/>
  <c r="W50" i="60"/>
  <c r="AF50" i="60" s="1"/>
  <c r="I40" i="69"/>
  <c r="AM110" i="60"/>
  <c r="AD120" i="60"/>
  <c r="AM156" i="60"/>
  <c r="AD50" i="60"/>
  <c r="F42" i="77" s="1"/>
  <c r="AM171" i="60"/>
  <c r="S171" i="60"/>
  <c r="V171" i="60" s="1"/>
  <c r="AD94" i="60"/>
  <c r="U97" i="60"/>
  <c r="U128" i="60"/>
  <c r="X18" i="58"/>
  <c r="BB24" i="41"/>
  <c r="AA85" i="60"/>
  <c r="AD85" i="60" s="1"/>
  <c r="W22" i="60"/>
  <c r="AM97" i="60"/>
  <c r="G23" i="60"/>
  <c r="L23" i="60" s="1"/>
  <c r="M139" i="60"/>
  <c r="F54" i="62" s="1"/>
  <c r="C20" i="62" s="1"/>
  <c r="W108" i="60"/>
  <c r="AF108" i="60" s="1"/>
  <c r="V82" i="60"/>
  <c r="W84" i="60"/>
  <c r="AF84" i="60" s="1"/>
  <c r="L84" i="60"/>
  <c r="U60" i="60"/>
  <c r="H165" i="60"/>
  <c r="K165" i="60" s="1"/>
  <c r="AC85" i="64"/>
  <c r="BK85" i="64" s="1"/>
  <c r="BM85" i="64" s="1"/>
  <c r="BN85" i="64" s="1"/>
  <c r="F35" i="60"/>
  <c r="K35" i="60" s="1"/>
  <c r="Y35" i="60"/>
  <c r="AD35" i="60" s="1"/>
  <c r="P97" i="60"/>
  <c r="AL145" i="60"/>
  <c r="W39" i="58"/>
  <c r="AJ35" i="64" s="1"/>
  <c r="F16" i="69" s="1"/>
  <c r="BA22" i="42"/>
  <c r="W20" i="58"/>
  <c r="AJ15" i="64" s="1"/>
  <c r="BA23" i="41"/>
  <c r="P69" i="60"/>
  <c r="U69" i="60" s="1"/>
  <c r="K69" i="60"/>
  <c r="K59" i="60"/>
  <c r="BA24" i="41"/>
  <c r="AJ74" i="60"/>
  <c r="AM74" i="60" s="1"/>
  <c r="X30" i="58"/>
  <c r="Y30" i="58" s="1"/>
  <c r="AL26" i="64" s="1"/>
  <c r="AC72" i="60"/>
  <c r="BD28" i="41"/>
  <c r="AD25" i="58" s="1"/>
  <c r="BD24" i="41"/>
  <c r="AD21" i="58" s="1"/>
  <c r="BD20" i="41"/>
  <c r="AD17" i="58" s="1"/>
  <c r="BG19" i="41"/>
  <c r="AC113" i="60"/>
  <c r="BK62" i="64"/>
  <c r="AC110" i="60"/>
  <c r="Y92" i="58"/>
  <c r="BG18" i="55"/>
  <c r="BD17" i="55"/>
  <c r="AD91" i="58" s="1"/>
  <c r="AD52" i="60"/>
  <c r="AC154" i="60"/>
  <c r="AM136" i="60"/>
  <c r="BC18" i="48"/>
  <c r="BC18" i="43"/>
  <c r="AM33" i="60"/>
  <c r="AB30" i="60"/>
  <c r="AE30" i="60" s="1"/>
  <c r="AC30" i="60"/>
  <c r="G42" i="77"/>
  <c r="Z92" i="58"/>
  <c r="AC146" i="60"/>
  <c r="AD136" i="60"/>
  <c r="BH16" i="50"/>
  <c r="AG74" i="58" s="1"/>
  <c r="G19" i="77"/>
  <c r="AC130" i="60"/>
  <c r="D53" i="73" s="1"/>
  <c r="E19" i="77"/>
  <c r="D19" i="77"/>
  <c r="AK114" i="60"/>
  <c r="AN114" i="60" s="1"/>
  <c r="BH22" i="47"/>
  <c r="AG67" i="58" s="1"/>
  <c r="AJ111" i="60"/>
  <c r="AM111" i="60" s="1"/>
  <c r="BG19" i="47"/>
  <c r="BD17" i="37"/>
  <c r="AD56" i="58" s="1"/>
  <c r="BH23" i="43"/>
  <c r="AG47" i="58" s="1"/>
  <c r="AC95" i="60"/>
  <c r="G16" i="77" s="1"/>
  <c r="AB95" i="60"/>
  <c r="BC22" i="42"/>
  <c r="AM87" i="60"/>
  <c r="BC16" i="42"/>
  <c r="AK29" i="64"/>
  <c r="Y33" i="58"/>
  <c r="AL29" i="64" s="1"/>
  <c r="AC75" i="60"/>
  <c r="AG26" i="64"/>
  <c r="Z74" i="60"/>
  <c r="AC74" i="60" s="1"/>
  <c r="Z17" i="58"/>
  <c r="AA17" i="58" s="1"/>
  <c r="BD18" i="41"/>
  <c r="AD15" i="58" s="1"/>
  <c r="AC24" i="60"/>
  <c r="BH19" i="45"/>
  <c r="AG99" i="58" s="1"/>
  <c r="AB153" i="60"/>
  <c r="AK147" i="60"/>
  <c r="AN147" i="60" s="1"/>
  <c r="AB147" i="60"/>
  <c r="AE147" i="60" s="1"/>
  <c r="AE84" i="58"/>
  <c r="BC16" i="50"/>
  <c r="BC20" i="50" s="1"/>
  <c r="BC18" i="51"/>
  <c r="BH17" i="51"/>
  <c r="AG72" i="58" s="1"/>
  <c r="X65" i="58"/>
  <c r="BC16" i="47"/>
  <c r="BC20" i="43"/>
  <c r="AK97" i="60"/>
  <c r="AN97" i="60" s="1"/>
  <c r="BD16" i="43"/>
  <c r="Z87" i="60"/>
  <c r="AC87" i="60" s="1"/>
  <c r="AG34" i="64"/>
  <c r="AJ85" i="60"/>
  <c r="AM85" i="60" s="1"/>
  <c r="AH33" i="58"/>
  <c r="BC32" i="41"/>
  <c r="BD31" i="41"/>
  <c r="AD28" i="58" s="1"/>
  <c r="BD30" i="41"/>
  <c r="AD27" i="58" s="1"/>
  <c r="BH30" i="41"/>
  <c r="AG27" i="58" s="1"/>
  <c r="AH27" i="58" s="1"/>
  <c r="BC29" i="41"/>
  <c r="BC16" i="41"/>
  <c r="AD36" i="60"/>
  <c r="BD21" i="44"/>
  <c r="AD53" i="58" s="1"/>
  <c r="BC21" i="44"/>
  <c r="AC35" i="60"/>
  <c r="BD20" i="44"/>
  <c r="AD52" i="58" s="1"/>
  <c r="AJ34" i="60"/>
  <c r="AM34" i="60" s="1"/>
  <c r="BC19" i="45"/>
  <c r="AD86" i="60"/>
  <c r="AM86" i="60"/>
  <c r="AM83" i="60"/>
  <c r="AD163" i="60"/>
  <c r="J46" i="69"/>
  <c r="BM92" i="64"/>
  <c r="J48" i="69"/>
  <c r="BM95" i="64"/>
  <c r="I12" i="69"/>
  <c r="BK90" i="64"/>
  <c r="BL30" i="64"/>
  <c r="K42" i="69"/>
  <c r="BN80" i="64"/>
  <c r="L42" i="69" s="1"/>
  <c r="I15" i="69"/>
  <c r="BK42" i="64"/>
  <c r="BL42" i="64" s="1"/>
  <c r="BK13" i="64"/>
  <c r="BM13" i="64" s="1"/>
  <c r="BN13" i="64" s="1"/>
  <c r="BJ89" i="64"/>
  <c r="BL89" i="64" s="1"/>
  <c r="BL79" i="64"/>
  <c r="BK72" i="64"/>
  <c r="J39" i="69" s="1"/>
  <c r="BK70" i="64"/>
  <c r="J37" i="69" s="1"/>
  <c r="J30" i="69"/>
  <c r="BL57" i="64"/>
  <c r="K30" i="69" s="1"/>
  <c r="BK88" i="64"/>
  <c r="BM88" i="64" s="1"/>
  <c r="BN88" i="64" s="1"/>
  <c r="BM55" i="64"/>
  <c r="BN55" i="64" s="1"/>
  <c r="L28" i="69" s="1"/>
  <c r="J28" i="69"/>
  <c r="BK11" i="64"/>
  <c r="BM11" i="64" s="1"/>
  <c r="BN11" i="64" s="1"/>
  <c r="BK19" i="64"/>
  <c r="J11" i="69" s="1"/>
  <c r="BK59" i="64"/>
  <c r="J32" i="69" s="1"/>
  <c r="BK58" i="64"/>
  <c r="J31" i="69" s="1"/>
  <c r="BJ85" i="64"/>
  <c r="BL86" i="64"/>
  <c r="BJ53" i="64"/>
  <c r="I26" i="69" s="1"/>
  <c r="BJ35" i="64"/>
  <c r="BL35" i="64" s="1"/>
  <c r="I41" i="69"/>
  <c r="BK77" i="64"/>
  <c r="J41" i="69" s="1"/>
  <c r="BK65" i="64"/>
  <c r="J35" i="69" s="1"/>
  <c r="T137" i="60"/>
  <c r="AK136" i="60"/>
  <c r="AN136" i="60" s="1"/>
  <c r="BH34" i="41"/>
  <c r="AG31" i="58" s="1"/>
  <c r="BD34" i="41"/>
  <c r="AD31" i="58" s="1"/>
  <c r="BC34" i="41"/>
  <c r="BG34" i="41"/>
  <c r="S71" i="60"/>
  <c r="V71" i="60" s="1"/>
  <c r="AK23" i="64"/>
  <c r="Y27" i="58"/>
  <c r="BM23" i="64"/>
  <c r="BN23" i="64" s="1"/>
  <c r="BL22" i="64"/>
  <c r="AE20" i="64"/>
  <c r="BK20" i="64" s="1"/>
  <c r="Q68" i="60"/>
  <c r="Q67" i="60"/>
  <c r="R67" i="60"/>
  <c r="BD26" i="41"/>
  <c r="AD23" i="58" s="1"/>
  <c r="AE23" i="58" s="1"/>
  <c r="AJ67" i="60"/>
  <c r="X23" i="58"/>
  <c r="AK18" i="64" s="1"/>
  <c r="AA67" i="60"/>
  <c r="BH25" i="41"/>
  <c r="AG22" i="58" s="1"/>
  <c r="BD25" i="41"/>
  <c r="AD22" i="58" s="1"/>
  <c r="BC25" i="41"/>
  <c r="BG25" i="41"/>
  <c r="BB25" i="41"/>
  <c r="BF25" i="41"/>
  <c r="AA62" i="60"/>
  <c r="AD62" i="60" s="1"/>
  <c r="AH17" i="58"/>
  <c r="BB19" i="41"/>
  <c r="X16" i="58"/>
  <c r="Z16" i="58" s="1"/>
  <c r="AA16" i="58" s="1"/>
  <c r="BD16" i="41"/>
  <c r="AD13" i="58" s="1"/>
  <c r="J40" i="69"/>
  <c r="BB19" i="52"/>
  <c r="BL74" i="64"/>
  <c r="BN74" i="64"/>
  <c r="AA165" i="60"/>
  <c r="AD165" i="60" s="1"/>
  <c r="BF17" i="54"/>
  <c r="BH16" i="54"/>
  <c r="AG87" i="58" s="1"/>
  <c r="AH83" i="58"/>
  <c r="BG18" i="53"/>
  <c r="BB21" i="53"/>
  <c r="AK75" i="64"/>
  <c r="AD137" i="60"/>
  <c r="AM137" i="60"/>
  <c r="AA129" i="60"/>
  <c r="AD129" i="60" s="1"/>
  <c r="X73" i="58"/>
  <c r="Z73" i="58" s="1"/>
  <c r="R129" i="60"/>
  <c r="U129" i="60" s="1"/>
  <c r="BK68" i="64"/>
  <c r="BL68" i="64" s="1"/>
  <c r="AJ128" i="60"/>
  <c r="AM128" i="60" s="1"/>
  <c r="AA127" i="60"/>
  <c r="AD127" i="60" s="1"/>
  <c r="F48" i="77" s="1"/>
  <c r="AE67" i="64"/>
  <c r="BK67" i="64" s="1"/>
  <c r="BM67" i="64" s="1"/>
  <c r="BN67" i="64" s="1"/>
  <c r="Q127" i="60"/>
  <c r="X71" i="58"/>
  <c r="AK67" i="64" s="1"/>
  <c r="R127" i="60"/>
  <c r="U127" i="60" s="1"/>
  <c r="G48" i="76" s="1"/>
  <c r="AL66" i="64"/>
  <c r="AA70" i="58"/>
  <c r="S121" i="60"/>
  <c r="V121" i="60" s="1"/>
  <c r="AK66" i="64"/>
  <c r="BM64" i="64"/>
  <c r="BN64" i="64" s="1"/>
  <c r="L34" i="69" s="1"/>
  <c r="Z68" i="58"/>
  <c r="AB114" i="60"/>
  <c r="AE114" i="60" s="1"/>
  <c r="R113" i="60"/>
  <c r="U113" i="60" s="1"/>
  <c r="AE63" i="64"/>
  <c r="BG18" i="47"/>
  <c r="BM57" i="64"/>
  <c r="BN57" i="64" s="1"/>
  <c r="L30" i="69" s="1"/>
  <c r="BF20" i="43"/>
  <c r="BB20" i="43"/>
  <c r="BH20" i="43"/>
  <c r="AG44" i="58" s="1"/>
  <c r="BD20" i="43"/>
  <c r="AD44" i="58" s="1"/>
  <c r="AB97" i="60"/>
  <c r="AA41" i="58"/>
  <c r="AE41" i="58"/>
  <c r="BC21" i="42"/>
  <c r="BC19" i="42"/>
  <c r="BC23" i="42" s="1"/>
  <c r="BG20" i="42"/>
  <c r="AE31" i="64"/>
  <c r="BK31" i="64" s="1"/>
  <c r="J15" i="69" s="1"/>
  <c r="Q84" i="60"/>
  <c r="T84" i="60" s="1"/>
  <c r="BF18" i="42"/>
  <c r="X35" i="58"/>
  <c r="Y35" i="58" s="1"/>
  <c r="J14" i="69"/>
  <c r="BD17" i="42"/>
  <c r="AD34" i="58" s="1"/>
  <c r="BM30" i="64"/>
  <c r="BN30" i="64" s="1"/>
  <c r="BL29" i="64"/>
  <c r="BM29" i="64"/>
  <c r="BN29" i="64" s="1"/>
  <c r="J44" i="69"/>
  <c r="E41" i="63"/>
  <c r="AM44" i="60"/>
  <c r="E44" i="74" s="1"/>
  <c r="G41" i="63"/>
  <c r="F41" i="63"/>
  <c r="BC17" i="44"/>
  <c r="BG16" i="44"/>
  <c r="BM44" i="64"/>
  <c r="BN44" i="64" s="1"/>
  <c r="BC17" i="45"/>
  <c r="BB19" i="37"/>
  <c r="Y57" i="58"/>
  <c r="AL53" i="64" s="1"/>
  <c r="H26" i="69" s="1"/>
  <c r="AK53" i="64"/>
  <c r="G26" i="69" s="1"/>
  <c r="Z57" i="58"/>
  <c r="AA57" i="58" s="1"/>
  <c r="BF17" i="37"/>
  <c r="AK59" i="64"/>
  <c r="G32" i="69" s="1"/>
  <c r="AL59" i="64"/>
  <c r="H32" i="69" s="1"/>
  <c r="BH17" i="47"/>
  <c r="AG62" i="58" s="1"/>
  <c r="AL139" i="60"/>
  <c r="D54" i="74" s="1"/>
  <c r="D20" i="63"/>
  <c r="E20" i="63"/>
  <c r="G20" i="63"/>
  <c r="F20" i="63"/>
  <c r="G10" i="63"/>
  <c r="D10" i="63"/>
  <c r="E10" i="63"/>
  <c r="AL25" i="60"/>
  <c r="D42" i="74" s="1"/>
  <c r="F10" i="63"/>
  <c r="BL50" i="64"/>
  <c r="BM50" i="64"/>
  <c r="BN50" i="64" s="1"/>
  <c r="J18" i="69"/>
  <c r="BM37" i="64"/>
  <c r="BN37" i="64" s="1"/>
  <c r="L18" i="69" s="1"/>
  <c r="BL37" i="64"/>
  <c r="K18" i="69" s="1"/>
  <c r="G52" i="76"/>
  <c r="F52" i="76"/>
  <c r="E20" i="77"/>
  <c r="D20" i="77"/>
  <c r="AC139" i="60"/>
  <c r="D54" i="73" s="1"/>
  <c r="G20" i="77"/>
  <c r="F20" i="77"/>
  <c r="AL158" i="60"/>
  <c r="D56" i="74" s="1"/>
  <c r="D22" i="63"/>
  <c r="G22" i="63"/>
  <c r="E22" i="63"/>
  <c r="F22" i="63"/>
  <c r="BH19" i="47"/>
  <c r="AG64" i="58" s="1"/>
  <c r="Y49" i="58"/>
  <c r="AL45" i="64" s="1"/>
  <c r="AY16" i="46"/>
  <c r="W59" i="58"/>
  <c r="X59" i="58" s="1"/>
  <c r="AW16" i="46"/>
  <c r="AX16" i="46"/>
  <c r="AZ16" i="46"/>
  <c r="W68" i="58"/>
  <c r="BA23" i="47"/>
  <c r="BA17" i="55"/>
  <c r="W91" i="58"/>
  <c r="AJ87" i="64" s="1"/>
  <c r="G39" i="75"/>
  <c r="E39" i="75"/>
  <c r="D39" i="75"/>
  <c r="L25" i="60"/>
  <c r="E42" i="62" s="1"/>
  <c r="AK79" i="64"/>
  <c r="BG17" i="55"/>
  <c r="BC17" i="55"/>
  <c r="BB16" i="54"/>
  <c r="BB19" i="54" s="1"/>
  <c r="BF16" i="54"/>
  <c r="AC144" i="60"/>
  <c r="AD70" i="64"/>
  <c r="O135" i="60"/>
  <c r="Y135" i="60"/>
  <c r="AD135" i="60" s="1"/>
  <c r="F18" i="63"/>
  <c r="AL122" i="60"/>
  <c r="D52" i="74" s="1"/>
  <c r="G18" i="63"/>
  <c r="D18" i="63"/>
  <c r="E18" i="63"/>
  <c r="BF17" i="44"/>
  <c r="BB17" i="44"/>
  <c r="M96" i="60"/>
  <c r="M102" i="60" s="1"/>
  <c r="F49" i="62" s="1"/>
  <c r="C16" i="62" s="1"/>
  <c r="P83" i="60"/>
  <c r="U83" i="60" s="1"/>
  <c r="L83" i="60"/>
  <c r="Q76" i="60"/>
  <c r="AA76" i="60"/>
  <c r="AE28" i="64"/>
  <c r="BK28" i="64" s="1"/>
  <c r="J13" i="69" s="1"/>
  <c r="K61" i="60"/>
  <c r="AC12" i="60"/>
  <c r="L12" i="60"/>
  <c r="D48" i="76"/>
  <c r="I21" i="60"/>
  <c r="J21" i="60" s="1"/>
  <c r="AN21" i="60" s="1"/>
  <c r="Y29" i="58"/>
  <c r="AL25" i="64" s="1"/>
  <c r="AJ129" i="60"/>
  <c r="AM129" i="60" s="1"/>
  <c r="BB21" i="47"/>
  <c r="D42" i="77"/>
  <c r="BF16" i="45"/>
  <c r="BD19" i="41"/>
  <c r="AD16" i="58" s="1"/>
  <c r="AE30" i="58"/>
  <c r="Z49" i="58"/>
  <c r="AA49" i="58" s="1"/>
  <c r="D14" i="69"/>
  <c r="D29" i="64"/>
  <c r="F80" i="75"/>
  <c r="E80" i="75"/>
  <c r="BA17" i="46"/>
  <c r="U24" i="60"/>
  <c r="C64" i="63"/>
  <c r="C64" i="75"/>
  <c r="C64" i="76"/>
  <c r="C64" i="77"/>
  <c r="S97" i="60"/>
  <c r="V97" i="60" s="1"/>
  <c r="G10" i="75"/>
  <c r="D10" i="75"/>
  <c r="E10" i="75"/>
  <c r="K25" i="60"/>
  <c r="D42" i="62" s="1"/>
  <c r="F10" i="75"/>
  <c r="BE19" i="53"/>
  <c r="BA19" i="53"/>
  <c r="T114" i="60"/>
  <c r="L155" i="60"/>
  <c r="AL164" i="60"/>
  <c r="AZ19" i="50"/>
  <c r="AZ18" i="50"/>
  <c r="BA16" i="50"/>
  <c r="BA20" i="50" s="1"/>
  <c r="BB16" i="50"/>
  <c r="BB20" i="50" s="1"/>
  <c r="W74" i="58"/>
  <c r="AJ70" i="64" s="1"/>
  <c r="F37" i="69" s="1"/>
  <c r="BA20" i="47"/>
  <c r="M122" i="60"/>
  <c r="F52" i="62" s="1"/>
  <c r="C18" i="62" s="1"/>
  <c r="AM113" i="60"/>
  <c r="AN51" i="60"/>
  <c r="AM127" i="60"/>
  <c r="H110" i="60"/>
  <c r="I110" i="60"/>
  <c r="AC60" i="64"/>
  <c r="BK60" i="64" s="1"/>
  <c r="BL60" i="64" s="1"/>
  <c r="AD88" i="60"/>
  <c r="H31" i="60"/>
  <c r="K31" i="60" s="1"/>
  <c r="I31" i="60"/>
  <c r="AC45" i="64"/>
  <c r="BK45" i="64" s="1"/>
  <c r="L94" i="60"/>
  <c r="P94" i="60"/>
  <c r="L34" i="60"/>
  <c r="T97" i="60"/>
  <c r="P87" i="60"/>
  <c r="U87" i="60" s="1"/>
  <c r="L87" i="60"/>
  <c r="W83" i="60"/>
  <c r="AL76" i="60"/>
  <c r="AL97" i="60"/>
  <c r="F16" i="77"/>
  <c r="E16" i="77"/>
  <c r="D16" i="77"/>
  <c r="AC102" i="60"/>
  <c r="D49" i="73" s="1"/>
  <c r="AL84" i="60"/>
  <c r="AL89" i="60" s="1"/>
  <c r="D48" i="74" s="1"/>
  <c r="BK48" i="64"/>
  <c r="K83" i="60"/>
  <c r="E9" i="63"/>
  <c r="D9" i="63"/>
  <c r="F9" i="63"/>
  <c r="G9" i="63"/>
  <c r="AL16" i="60"/>
  <c r="D41" i="74" s="1"/>
  <c r="AM31" i="60"/>
  <c r="BL55" i="64"/>
  <c r="K28" i="69" s="1"/>
  <c r="BE18" i="53"/>
  <c r="BA18" i="53"/>
  <c r="AK76" i="64"/>
  <c r="AC166" i="60"/>
  <c r="D58" i="73" s="1"/>
  <c r="D23" i="77"/>
  <c r="F23" i="77"/>
  <c r="E23" i="77"/>
  <c r="G23" i="77"/>
  <c r="E13" i="77"/>
  <c r="AC52" i="60"/>
  <c r="D45" i="73" s="1"/>
  <c r="G13" i="77"/>
  <c r="D13" i="77"/>
  <c r="F13" i="77"/>
  <c r="BA19" i="55"/>
  <c r="AA14" i="60"/>
  <c r="AD14" i="60" s="1"/>
  <c r="Q14" i="60"/>
  <c r="R14" i="60"/>
  <c r="U14" i="60" s="1"/>
  <c r="AE53" i="64"/>
  <c r="BK53" i="64" s="1"/>
  <c r="J26" i="69" s="1"/>
  <c r="P108" i="60"/>
  <c r="K108" i="60"/>
  <c r="K115" i="60" s="1"/>
  <c r="D51" i="62" s="1"/>
  <c r="AK50" i="64"/>
  <c r="Y54" i="58"/>
  <c r="L135" i="60"/>
  <c r="BE19" i="47"/>
  <c r="BA19" i="47"/>
  <c r="BA19" i="37"/>
  <c r="AG31" i="64"/>
  <c r="Z84" i="60"/>
  <c r="AB84" i="60" s="1"/>
  <c r="AE84" i="60" s="1"/>
  <c r="AG31" i="60"/>
  <c r="AL31" i="60" s="1"/>
  <c r="AH45" i="64"/>
  <c r="F98" i="60"/>
  <c r="AB40" i="64"/>
  <c r="BJ40" i="64" s="1"/>
  <c r="I21" i="69" s="1"/>
  <c r="Y98" i="60"/>
  <c r="AD98" i="60" s="1"/>
  <c r="AH98" i="60"/>
  <c r="AM98" i="60" s="1"/>
  <c r="G98" i="60"/>
  <c r="Y84" i="60"/>
  <c r="AF31" i="64"/>
  <c r="X84" i="60"/>
  <c r="K87" i="60"/>
  <c r="AN96" i="60"/>
  <c r="AJ60" i="60"/>
  <c r="AM60" i="60" s="1"/>
  <c r="AE12" i="64"/>
  <c r="BK12" i="64" s="1"/>
  <c r="Q60" i="60"/>
  <c r="AA60" i="60"/>
  <c r="AD60" i="60" s="1"/>
  <c r="BA23" i="43"/>
  <c r="W47" i="58"/>
  <c r="AJ43" i="64" s="1"/>
  <c r="F22" i="69" s="1"/>
  <c r="AF62" i="60"/>
  <c r="AN62" i="60" s="1"/>
  <c r="U155" i="60"/>
  <c r="Z96" i="58"/>
  <c r="AK25" i="64"/>
  <c r="BH23" i="47"/>
  <c r="AG68" i="58" s="1"/>
  <c r="BD23" i="47"/>
  <c r="AD68" i="58" s="1"/>
  <c r="BE16" i="56"/>
  <c r="BA16" i="56"/>
  <c r="BA18" i="56" s="1"/>
  <c r="BH18" i="53"/>
  <c r="AG81" i="58" s="1"/>
  <c r="BD18" i="53"/>
  <c r="AD81" i="58" s="1"/>
  <c r="J157" i="60"/>
  <c r="M157" i="60" s="1"/>
  <c r="L157" i="60"/>
  <c r="F43" i="69"/>
  <c r="E53" i="75"/>
  <c r="G53" i="75"/>
  <c r="D53" i="75"/>
  <c r="L174" i="60"/>
  <c r="E59" i="62" s="1"/>
  <c r="F53" i="75"/>
  <c r="L156" i="60"/>
  <c r="J156" i="60"/>
  <c r="M156" i="60" s="1"/>
  <c r="M158" i="60" s="1"/>
  <c r="F56" i="62" s="1"/>
  <c r="C22" i="62" s="1"/>
  <c r="F21" i="75"/>
  <c r="E21" i="75"/>
  <c r="K148" i="60"/>
  <c r="D55" i="62" s="1"/>
  <c r="G21" i="75"/>
  <c r="D21" i="75"/>
  <c r="H21" i="75" s="1"/>
  <c r="I164" i="60"/>
  <c r="J164" i="60" s="1"/>
  <c r="M164" i="60" s="1"/>
  <c r="H164" i="60"/>
  <c r="AC84" i="64"/>
  <c r="BK84" i="64" s="1"/>
  <c r="BL84" i="64" s="1"/>
  <c r="BA17" i="51"/>
  <c r="BA19" i="51" s="1"/>
  <c r="BE17" i="51"/>
  <c r="AL89" i="64"/>
  <c r="AE93" i="58"/>
  <c r="K113" i="60"/>
  <c r="AN172" i="60"/>
  <c r="M172" i="60"/>
  <c r="AD154" i="60"/>
  <c r="D51" i="77" s="1"/>
  <c r="BA18" i="48"/>
  <c r="H13" i="60"/>
  <c r="R13" i="60"/>
  <c r="U13" i="60" s="1"/>
  <c r="I13" i="60"/>
  <c r="AC52" i="64"/>
  <c r="BK52" i="64" s="1"/>
  <c r="J25" i="69" s="1"/>
  <c r="AJ13" i="60"/>
  <c r="AM13" i="60" s="1"/>
  <c r="E47" i="75"/>
  <c r="L122" i="60"/>
  <c r="E52" i="62" s="1"/>
  <c r="D47" i="75"/>
  <c r="G47" i="75"/>
  <c r="F47" i="75"/>
  <c r="BD18" i="37"/>
  <c r="AD57" i="58" s="1"/>
  <c r="AE57" i="58" s="1"/>
  <c r="BH18" i="37"/>
  <c r="AG57" i="58" s="1"/>
  <c r="BE20" i="43"/>
  <c r="BA20" i="43"/>
  <c r="AC33" i="60"/>
  <c r="M98" i="60"/>
  <c r="W36" i="58"/>
  <c r="AJ32" i="64" s="1"/>
  <c r="F15" i="69" s="1"/>
  <c r="BA19" i="42"/>
  <c r="BA23" i="42" s="1"/>
  <c r="L97" i="60"/>
  <c r="K67" i="60"/>
  <c r="P67" i="60"/>
  <c r="U67" i="60" s="1"/>
  <c r="AH84" i="60"/>
  <c r="Q65" i="60"/>
  <c r="AE16" i="64"/>
  <c r="BK16" i="64" s="1"/>
  <c r="K84" i="60"/>
  <c r="BE19" i="43"/>
  <c r="BA19" i="43"/>
  <c r="K65" i="60"/>
  <c r="P65" i="60"/>
  <c r="U65" i="60" s="1"/>
  <c r="AD43" i="64"/>
  <c r="BJ43" i="64" s="1"/>
  <c r="I22" i="69" s="1"/>
  <c r="O101" i="60"/>
  <c r="P101" i="60" s="1"/>
  <c r="K64" i="60"/>
  <c r="P64" i="60"/>
  <c r="U64" i="60" s="1"/>
  <c r="U94" i="60"/>
  <c r="AM32" i="60"/>
  <c r="AF22" i="60"/>
  <c r="AN22" i="60" s="1"/>
  <c r="F80" i="76"/>
  <c r="F12" i="75"/>
  <c r="G12" i="75"/>
  <c r="K44" i="60"/>
  <c r="D44" i="62" s="1"/>
  <c r="E12" i="75"/>
  <c r="D12" i="75"/>
  <c r="F22" i="77"/>
  <c r="E22" i="77"/>
  <c r="D22" i="77"/>
  <c r="AC158" i="60"/>
  <c r="D56" i="73" s="1"/>
  <c r="G22" i="77"/>
  <c r="AL109" i="60"/>
  <c r="E17" i="63" s="1"/>
  <c r="Y171" i="60"/>
  <c r="AD171" i="60" s="1"/>
  <c r="AF86" i="64"/>
  <c r="X171" i="60"/>
  <c r="AC171" i="60" s="1"/>
  <c r="AM154" i="60"/>
  <c r="AL130" i="60"/>
  <c r="D53" i="74" s="1"/>
  <c r="G19" i="63"/>
  <c r="F19" i="63"/>
  <c r="E19" i="63"/>
  <c r="D19" i="63"/>
  <c r="BE17" i="37"/>
  <c r="BA17" i="37"/>
  <c r="BA20" i="37" s="1"/>
  <c r="F32" i="60"/>
  <c r="K32" i="60" s="1"/>
  <c r="G32" i="60"/>
  <c r="L32" i="60" s="1"/>
  <c r="AH32" i="60"/>
  <c r="AB46" i="64"/>
  <c r="BJ46" i="64" s="1"/>
  <c r="Y32" i="60"/>
  <c r="AD32" i="60" s="1"/>
  <c r="P32" i="60"/>
  <c r="U32" i="60" s="1"/>
  <c r="AG61" i="64"/>
  <c r="BK61" i="64" s="1"/>
  <c r="Z111" i="60"/>
  <c r="AC111" i="60" s="1"/>
  <c r="W48" i="58"/>
  <c r="AJ44" i="64" s="1"/>
  <c r="F23" i="69" s="1"/>
  <c r="BA16" i="44"/>
  <c r="M97" i="60"/>
  <c r="L85" i="60"/>
  <c r="J85" i="60"/>
  <c r="M85" i="60" s="1"/>
  <c r="M89" i="60" s="1"/>
  <c r="F48" i="62" s="1"/>
  <c r="C15" i="62" s="1"/>
  <c r="W82" i="60"/>
  <c r="BG19" i="43"/>
  <c r="BC19" i="43"/>
  <c r="AN98" i="60"/>
  <c r="L100" i="60"/>
  <c r="P72" i="60"/>
  <c r="K72" i="60"/>
  <c r="K57" i="60"/>
  <c r="P57" i="60"/>
  <c r="U57" i="60" s="1"/>
  <c r="AM61" i="60"/>
  <c r="U156" i="60"/>
  <c r="G41" i="76"/>
  <c r="Y96" i="58"/>
  <c r="AL92" i="64" s="1"/>
  <c r="H46" i="69" s="1"/>
  <c r="Z30" i="58"/>
  <c r="AA30" i="58" s="1"/>
  <c r="U88" i="60"/>
  <c r="F80" i="77"/>
  <c r="K49" i="60"/>
  <c r="G10" i="77"/>
  <c r="D10" i="77"/>
  <c r="F10" i="77"/>
  <c r="E10" i="77"/>
  <c r="AC25" i="60"/>
  <c r="D42" i="73" s="1"/>
  <c r="AD114" i="60"/>
  <c r="S49" i="60"/>
  <c r="V49" i="60" s="1"/>
  <c r="M49" i="60"/>
  <c r="M52" i="60" s="1"/>
  <c r="F45" i="62" s="1"/>
  <c r="C13" i="62" s="1"/>
  <c r="BJ94" i="64"/>
  <c r="I47" i="69" s="1"/>
  <c r="BJ88" i="64"/>
  <c r="M173" i="60"/>
  <c r="AN173" i="60"/>
  <c r="AN174" i="60" s="1"/>
  <c r="F59" i="74" s="1"/>
  <c r="C24" i="74" s="1"/>
  <c r="F21" i="63"/>
  <c r="AL148" i="60"/>
  <c r="D55" i="74" s="1"/>
  <c r="G21" i="63"/>
  <c r="E21" i="63"/>
  <c r="D21" i="63"/>
  <c r="H21" i="63" s="1"/>
  <c r="F24" i="63"/>
  <c r="E24" i="63"/>
  <c r="D24" i="63"/>
  <c r="G24" i="63"/>
  <c r="AL174" i="60"/>
  <c r="D59" i="74" s="1"/>
  <c r="L128" i="60"/>
  <c r="AD60" i="64"/>
  <c r="O110" i="60"/>
  <c r="Y110" i="60"/>
  <c r="AD110" i="60" s="1"/>
  <c r="L147" i="60"/>
  <c r="BB20" i="47"/>
  <c r="AM157" i="60"/>
  <c r="AM30" i="60"/>
  <c r="BA18" i="37"/>
  <c r="AL111" i="60"/>
  <c r="BC20" i="47"/>
  <c r="Y30" i="60"/>
  <c r="AD30" i="60" s="1"/>
  <c r="G30" i="60"/>
  <c r="L30" i="60" s="1"/>
  <c r="P30" i="60"/>
  <c r="U30" i="60" s="1"/>
  <c r="AB44" i="64"/>
  <c r="BJ44" i="64" s="1"/>
  <c r="F30" i="60"/>
  <c r="K30" i="60" s="1"/>
  <c r="AH30" i="60"/>
  <c r="AJ84" i="60"/>
  <c r="AM84" i="60" s="1"/>
  <c r="K82" i="60"/>
  <c r="I20" i="69"/>
  <c r="K100" i="60"/>
  <c r="K88" i="60"/>
  <c r="BD19" i="43"/>
  <c r="AD43" i="58" s="1"/>
  <c r="BH19" i="43"/>
  <c r="AG43" i="58" s="1"/>
  <c r="AF86" i="60"/>
  <c r="AN86" i="60" s="1"/>
  <c r="AC85" i="60"/>
  <c r="BH19" i="42"/>
  <c r="AG36" i="58" s="1"/>
  <c r="BD19" i="42"/>
  <c r="AD36" i="58" s="1"/>
  <c r="W17" i="58"/>
  <c r="BA20" i="41"/>
  <c r="I10" i="69"/>
  <c r="AL59" i="60"/>
  <c r="F14" i="63" s="1"/>
  <c r="AC69" i="60"/>
  <c r="D52" i="76"/>
  <c r="BC23" i="47"/>
  <c r="BG23" i="47"/>
  <c r="K114" i="60"/>
  <c r="E42" i="75"/>
  <c r="G42" i="75"/>
  <c r="D42" i="75"/>
  <c r="F42" i="75"/>
  <c r="L52" i="60"/>
  <c r="E45" i="62" s="1"/>
  <c r="C42" i="74"/>
  <c r="C42" i="72"/>
  <c r="C42" i="62"/>
  <c r="C42" i="73"/>
  <c r="F41" i="75"/>
  <c r="G41" i="75"/>
  <c r="D41" i="75"/>
  <c r="L44" i="60"/>
  <c r="E44" i="62" s="1"/>
  <c r="E41" i="75"/>
  <c r="E24" i="75"/>
  <c r="F24" i="75"/>
  <c r="G24" i="75"/>
  <c r="K174" i="60"/>
  <c r="D59" i="62" s="1"/>
  <c r="D24" i="75"/>
  <c r="P156" i="60"/>
  <c r="K156" i="60"/>
  <c r="K127" i="60"/>
  <c r="K154" i="60"/>
  <c r="P154" i="60"/>
  <c r="U154" i="60" s="1"/>
  <c r="AC83" i="64"/>
  <c r="BK83" i="64" s="1"/>
  <c r="H163" i="60"/>
  <c r="K163" i="60" s="1"/>
  <c r="AJ163" i="60"/>
  <c r="AM163" i="60" s="1"/>
  <c r="I163" i="60"/>
  <c r="J163" i="60" s="1"/>
  <c r="M163" i="60" s="1"/>
  <c r="M166" i="60" s="1"/>
  <c r="F58" i="62" s="1"/>
  <c r="G18" i="77"/>
  <c r="F18" i="77"/>
  <c r="E18" i="77"/>
  <c r="D18" i="77"/>
  <c r="AC122" i="60"/>
  <c r="D52" i="73" s="1"/>
  <c r="BC20" i="44"/>
  <c r="BG20" i="44"/>
  <c r="P120" i="60"/>
  <c r="K120" i="60"/>
  <c r="AE54" i="64"/>
  <c r="BK54" i="64" s="1"/>
  <c r="J27" i="69" s="1"/>
  <c r="AJ15" i="60"/>
  <c r="AM15" i="60" s="1"/>
  <c r="BD20" i="47"/>
  <c r="AD65" i="58" s="1"/>
  <c r="BH20" i="47"/>
  <c r="AG65" i="58" s="1"/>
  <c r="K33" i="60"/>
  <c r="L101" i="60"/>
  <c r="K14" i="60"/>
  <c r="P86" i="60"/>
  <c r="U86" i="60" s="1"/>
  <c r="L86" i="60"/>
  <c r="K71" i="60"/>
  <c r="P71" i="60"/>
  <c r="U71" i="60" s="1"/>
  <c r="AM82" i="60"/>
  <c r="M100" i="60"/>
  <c r="S61" i="60"/>
  <c r="V61" i="60" s="1"/>
  <c r="T61" i="60"/>
  <c r="AG32" i="64"/>
  <c r="Z85" i="60"/>
  <c r="AB85" i="60" s="1"/>
  <c r="AE85" i="60" s="1"/>
  <c r="K68" i="60"/>
  <c r="P68" i="60"/>
  <c r="U68" i="60" s="1"/>
  <c r="K70" i="60"/>
  <c r="P70" i="60"/>
  <c r="U70" i="60" s="1"/>
  <c r="U120" i="60"/>
  <c r="BF17" i="45"/>
  <c r="AK26" i="64"/>
  <c r="AD84" i="60"/>
  <c r="BG18" i="45"/>
  <c r="BC18" i="45"/>
  <c r="B14" i="59"/>
  <c r="B15" i="59" s="1"/>
  <c r="B16" i="59" s="1"/>
  <c r="B17" i="59" s="1"/>
  <c r="B18" i="59" s="1"/>
  <c r="B19" i="59" s="1"/>
  <c r="B20" i="59" s="1"/>
  <c r="AL50" i="60"/>
  <c r="BK39" i="64"/>
  <c r="AF49" i="60"/>
  <c r="AB49" i="60"/>
  <c r="AK49" i="60" s="1"/>
  <c r="AM114" i="60"/>
  <c r="BA19" i="52"/>
  <c r="BA20" i="52" s="1"/>
  <c r="BE19" i="52"/>
  <c r="AD42" i="60"/>
  <c r="AD44" i="60" s="1"/>
  <c r="E44" i="73" s="1"/>
  <c r="AG87" i="64"/>
  <c r="Z172" i="60"/>
  <c r="E20" i="75"/>
  <c r="G20" i="75"/>
  <c r="F20" i="75"/>
  <c r="K139" i="60"/>
  <c r="D54" i="62" s="1"/>
  <c r="D20" i="75"/>
  <c r="L144" i="60"/>
  <c r="K110" i="60"/>
  <c r="BA16" i="54"/>
  <c r="BA19" i="54" s="1"/>
  <c r="BE16" i="54"/>
  <c r="L165" i="60"/>
  <c r="G12" i="77"/>
  <c r="F12" i="77"/>
  <c r="D12" i="77"/>
  <c r="AC44" i="60"/>
  <c r="E12" i="77"/>
  <c r="AJ14" i="60"/>
  <c r="AM14" i="60" s="1"/>
  <c r="AC108" i="60"/>
  <c r="P121" i="60"/>
  <c r="U121" i="60" s="1"/>
  <c r="K121" i="60"/>
  <c r="BJ47" i="64"/>
  <c r="BL47" i="64" s="1"/>
  <c r="BE17" i="44"/>
  <c r="BA17" i="44"/>
  <c r="E16" i="63"/>
  <c r="D16" i="63"/>
  <c r="G16" i="63"/>
  <c r="AL102" i="60"/>
  <c r="D49" i="74" s="1"/>
  <c r="F16" i="63"/>
  <c r="BC16" i="43"/>
  <c r="BG16" i="43"/>
  <c r="AG48" i="64"/>
  <c r="Z34" i="60"/>
  <c r="AC34" i="60" s="1"/>
  <c r="BD18" i="42"/>
  <c r="AD35" i="58" s="1"/>
  <c r="BH18" i="42"/>
  <c r="AG35" i="58" s="1"/>
  <c r="AC36" i="60"/>
  <c r="P88" i="60"/>
  <c r="L88" i="60"/>
  <c r="P66" i="60"/>
  <c r="U66" i="60" s="1"/>
  <c r="K66" i="60"/>
  <c r="P75" i="60"/>
  <c r="U75" i="60" s="1"/>
  <c r="K75" i="60"/>
  <c r="X52" i="58"/>
  <c r="BA28" i="41"/>
  <c r="BC28" i="41"/>
  <c r="W25" i="58"/>
  <c r="AJ21" i="64" s="1"/>
  <c r="F12" i="69" s="1"/>
  <c r="AC61" i="60"/>
  <c r="AF75" i="60"/>
  <c r="AN75" i="60" s="1"/>
  <c r="J72" i="60"/>
  <c r="M72" i="60" s="1"/>
  <c r="L72" i="60"/>
  <c r="D14" i="63"/>
  <c r="AL77" i="60"/>
  <c r="D47" i="74" s="1"/>
  <c r="E14" i="63"/>
  <c r="AC60" i="60"/>
  <c r="BD16" i="37"/>
  <c r="BH16" i="37"/>
  <c r="AG55" i="58" s="1"/>
  <c r="X55" i="58"/>
  <c r="AE51" i="64"/>
  <c r="BK51" i="64" s="1"/>
  <c r="J24" i="69" s="1"/>
  <c r="Q12" i="60"/>
  <c r="AA12" i="60"/>
  <c r="R12" i="60"/>
  <c r="AJ12" i="60"/>
  <c r="BG16" i="37"/>
  <c r="BC16" i="37"/>
  <c r="AK36" i="60"/>
  <c r="AN36" i="60" s="1"/>
  <c r="T36" i="60"/>
  <c r="AB36" i="60"/>
  <c r="AE36" i="60" s="1"/>
  <c r="S36" i="60"/>
  <c r="V36" i="60" s="1"/>
  <c r="BF22" i="44"/>
  <c r="BB22" i="44"/>
  <c r="BC22" i="44"/>
  <c r="BG22" i="44"/>
  <c r="AH54" i="58"/>
  <c r="AA54" i="58"/>
  <c r="BM49" i="64"/>
  <c r="BN49" i="64" s="1"/>
  <c r="BL49" i="64"/>
  <c r="Z53" i="58"/>
  <c r="Y53" i="58"/>
  <c r="AK49" i="64"/>
  <c r="AB35" i="60"/>
  <c r="AE35" i="60" s="1"/>
  <c r="S35" i="60"/>
  <c r="V35" i="60" s="1"/>
  <c r="AK35" i="60"/>
  <c r="AN35" i="60" s="1"/>
  <c r="T35" i="60"/>
  <c r="S34" i="60"/>
  <c r="V34" i="60" s="1"/>
  <c r="T34" i="60"/>
  <c r="Z51" i="58"/>
  <c r="Y51" i="58"/>
  <c r="AK47" i="64"/>
  <c r="BD19" i="44"/>
  <c r="AD51" i="58" s="1"/>
  <c r="BH19" i="44"/>
  <c r="AG51" i="58" s="1"/>
  <c r="T33" i="60"/>
  <c r="S33" i="60"/>
  <c r="V33" i="60" s="1"/>
  <c r="AB33" i="60"/>
  <c r="AE33" i="60" s="1"/>
  <c r="AK33" i="60"/>
  <c r="AN33" i="60" s="1"/>
  <c r="BB18" i="44"/>
  <c r="BF18" i="44"/>
  <c r="BC18" i="44"/>
  <c r="T32" i="60"/>
  <c r="S32" i="60"/>
  <c r="V32" i="60" s="1"/>
  <c r="BL46" i="64"/>
  <c r="BM46" i="64"/>
  <c r="BN46" i="64" s="1"/>
  <c r="S31" i="60"/>
  <c r="V31" i="60" s="1"/>
  <c r="T31" i="60"/>
  <c r="BD16" i="44"/>
  <c r="AD48" i="58" s="1"/>
  <c r="BH16" i="44"/>
  <c r="AG48" i="58" s="1"/>
  <c r="AH48" i="58" s="1"/>
  <c r="AK44" i="64"/>
  <c r="Y48" i="58"/>
  <c r="AL44" i="64" s="1"/>
  <c r="AK46" i="64"/>
  <c r="Y50" i="58"/>
  <c r="BH18" i="44"/>
  <c r="AG50" i="58" s="1"/>
  <c r="AH50" i="58" s="1"/>
  <c r="BD18" i="44"/>
  <c r="AD50" i="58" s="1"/>
  <c r="AA48" i="58"/>
  <c r="AC32" i="60"/>
  <c r="AK32" i="60"/>
  <c r="AN32" i="60" s="1"/>
  <c r="AB32" i="60"/>
  <c r="AE32" i="60" s="1"/>
  <c r="AA50" i="58"/>
  <c r="BH17" i="44"/>
  <c r="AG49" i="58" s="1"/>
  <c r="AH49" i="58" s="1"/>
  <c r="BD17" i="44"/>
  <c r="AK31" i="60"/>
  <c r="AC31" i="60"/>
  <c r="AB31" i="60"/>
  <c r="AE31" i="60" s="1"/>
  <c r="BH22" i="42"/>
  <c r="AG39" i="58" s="1"/>
  <c r="BD22" i="42"/>
  <c r="AD39" i="58" s="1"/>
  <c r="T88" i="60"/>
  <c r="AK88" i="60"/>
  <c r="AN88" i="60" s="1"/>
  <c r="AB88" i="60"/>
  <c r="AE88" i="60" s="1"/>
  <c r="S88" i="60"/>
  <c r="V88" i="60" s="1"/>
  <c r="AK35" i="64"/>
  <c r="Y39" i="58"/>
  <c r="Z39" i="58"/>
  <c r="BB21" i="42"/>
  <c r="BF21" i="42"/>
  <c r="BL34" i="64"/>
  <c r="BM34" i="64"/>
  <c r="BN34" i="64" s="1"/>
  <c r="S87" i="60"/>
  <c r="V87" i="60" s="1"/>
  <c r="T87" i="60"/>
  <c r="Z38" i="58"/>
  <c r="Y38" i="58"/>
  <c r="AK34" i="64"/>
  <c r="BH20" i="42"/>
  <c r="AG37" i="58" s="1"/>
  <c r="BD20" i="42"/>
  <c r="AD37" i="58" s="1"/>
  <c r="AK86" i="60"/>
  <c r="S86" i="60"/>
  <c r="V86" i="60" s="1"/>
  <c r="T86" i="60"/>
  <c r="AB86" i="60"/>
  <c r="AE86" i="60" s="1"/>
  <c r="Z37" i="58"/>
  <c r="AK33" i="64"/>
  <c r="Y37" i="58"/>
  <c r="BL33" i="64"/>
  <c r="J16" i="69"/>
  <c r="BM33" i="64"/>
  <c r="BN33" i="64" s="1"/>
  <c r="BM32" i="64"/>
  <c r="BN32" i="64" s="1"/>
  <c r="BL32" i="64"/>
  <c r="S85" i="60"/>
  <c r="V85" i="60" s="1"/>
  <c r="T85" i="60"/>
  <c r="AK32" i="64"/>
  <c r="Y36" i="58"/>
  <c r="Z36" i="58"/>
  <c r="BB19" i="42"/>
  <c r="BF19" i="42"/>
  <c r="S84" i="60"/>
  <c r="V84" i="60" s="1"/>
  <c r="AK84" i="60"/>
  <c r="AN84" i="60" s="1"/>
  <c r="BL31" i="64"/>
  <c r="BM31" i="64"/>
  <c r="BN31" i="64" s="1"/>
  <c r="L15" i="69" s="1"/>
  <c r="BF17" i="42"/>
  <c r="BB17" i="42"/>
  <c r="Z34" i="58"/>
  <c r="AK30" i="64"/>
  <c r="Y34" i="58"/>
  <c r="AL30" i="64" s="1"/>
  <c r="H14" i="69"/>
  <c r="AK83" i="60"/>
  <c r="AB83" i="60"/>
  <c r="S83" i="60"/>
  <c r="V83" i="60" s="1"/>
  <c r="BC35" i="41"/>
  <c r="BG35" i="41"/>
  <c r="BD35" i="41"/>
  <c r="AD32" i="58" s="1"/>
  <c r="BH35" i="41"/>
  <c r="AG32" i="58" s="1"/>
  <c r="Y32" i="58"/>
  <c r="AK28" i="64"/>
  <c r="Z32" i="58"/>
  <c r="AK75" i="60"/>
  <c r="S75" i="60"/>
  <c r="V75" i="60" s="1"/>
  <c r="AB75" i="60"/>
  <c r="AE75" i="60" s="1"/>
  <c r="AK27" i="64"/>
  <c r="Y31" i="58"/>
  <c r="Z31" i="58"/>
  <c r="BL27" i="64"/>
  <c r="BM27" i="64"/>
  <c r="BN27" i="64" s="1"/>
  <c r="BL26" i="64"/>
  <c r="BM26" i="64"/>
  <c r="BN26" i="64" s="1"/>
  <c r="M74" i="60"/>
  <c r="M77" i="60" s="1"/>
  <c r="F47" i="62" s="1"/>
  <c r="S74" i="60"/>
  <c r="V74" i="60" s="1"/>
  <c r="BC33" i="41"/>
  <c r="BF33" i="41"/>
  <c r="BB33" i="41"/>
  <c r="S73" i="60"/>
  <c r="V73" i="60" s="1"/>
  <c r="AB73" i="60"/>
  <c r="AE73" i="60" s="1"/>
  <c r="T73" i="60"/>
  <c r="AK73" i="60"/>
  <c r="AN73" i="60" s="1"/>
  <c r="BF32" i="41"/>
  <c r="BB32" i="41"/>
  <c r="BM25" i="64"/>
  <c r="BN25" i="64" s="1"/>
  <c r="BL25" i="64"/>
  <c r="BH32" i="41"/>
  <c r="AG29" i="58" s="1"/>
  <c r="AH29" i="58" s="1"/>
  <c r="BD32" i="41"/>
  <c r="AD29" i="58" s="1"/>
  <c r="X28" i="58"/>
  <c r="AE24" i="64"/>
  <c r="BK24" i="64" s="1"/>
  <c r="AA72" i="60"/>
  <c r="AD72" i="60" s="1"/>
  <c r="R72" i="60"/>
  <c r="U72" i="60" s="1"/>
  <c r="AJ72" i="60"/>
  <c r="AM72" i="60" s="1"/>
  <c r="Q72" i="60"/>
  <c r="AK71" i="60"/>
  <c r="AN71" i="60" s="1"/>
  <c r="T71" i="60"/>
  <c r="AK22" i="64"/>
  <c r="Z26" i="58"/>
  <c r="Y26" i="58"/>
  <c r="S70" i="60"/>
  <c r="V70" i="60" s="1"/>
  <c r="AK70" i="60"/>
  <c r="AN70" i="60" s="1"/>
  <c r="T70" i="60"/>
  <c r="AB70" i="60"/>
  <c r="AE70" i="60" s="1"/>
  <c r="Z25" i="58"/>
  <c r="AK69" i="60"/>
  <c r="AN69" i="60" s="1"/>
  <c r="S69" i="60"/>
  <c r="V69" i="60" s="1"/>
  <c r="AB69" i="60"/>
  <c r="AE69" i="60" s="1"/>
  <c r="T69" i="60"/>
  <c r="BL21" i="64"/>
  <c r="BM21" i="64"/>
  <c r="BN21" i="64" s="1"/>
  <c r="BC27" i="41"/>
  <c r="BG27" i="41"/>
  <c r="Z24" i="58"/>
  <c r="AK20" i="64"/>
  <c r="Y24" i="58"/>
  <c r="BF26" i="41"/>
  <c r="BB26" i="41"/>
  <c r="AK67" i="60"/>
  <c r="S67" i="60"/>
  <c r="V67" i="60" s="1"/>
  <c r="AB67" i="60"/>
  <c r="AE67" i="60" s="1"/>
  <c r="BG26" i="41"/>
  <c r="BC26" i="41"/>
  <c r="AK17" i="64"/>
  <c r="Z22" i="58"/>
  <c r="Y22" i="58"/>
  <c r="AB66" i="60"/>
  <c r="AE66" i="60" s="1"/>
  <c r="T66" i="60"/>
  <c r="S66" i="60"/>
  <c r="V66" i="60" s="1"/>
  <c r="AK66" i="60"/>
  <c r="AN66" i="60" s="1"/>
  <c r="BL17" i="64"/>
  <c r="BM17" i="64"/>
  <c r="BN17" i="64" s="1"/>
  <c r="AK16" i="64"/>
  <c r="Y21" i="58"/>
  <c r="Z21" i="58"/>
  <c r="BH23" i="41"/>
  <c r="AG20" i="58" s="1"/>
  <c r="BD23" i="41"/>
  <c r="AD20" i="58" s="1"/>
  <c r="BG23" i="41"/>
  <c r="BC23" i="41"/>
  <c r="BB23" i="41"/>
  <c r="BF23" i="41"/>
  <c r="AK15" i="64"/>
  <c r="Y20" i="58"/>
  <c r="Z20" i="58"/>
  <c r="T64" i="60"/>
  <c r="S64" i="60"/>
  <c r="V64" i="60" s="1"/>
  <c r="AK64" i="60"/>
  <c r="AN64" i="60" s="1"/>
  <c r="AB64" i="60"/>
  <c r="AE64" i="60" s="1"/>
  <c r="AK63" i="60"/>
  <c r="AN63" i="60" s="1"/>
  <c r="T63" i="60"/>
  <c r="S63" i="60"/>
  <c r="V63" i="60" s="1"/>
  <c r="AB63" i="60"/>
  <c r="AK19" i="64"/>
  <c r="G11" i="69" s="1"/>
  <c r="BL19" i="64"/>
  <c r="K11" i="69" s="1"/>
  <c r="AK14" i="64"/>
  <c r="Z18" i="58"/>
  <c r="Y18" i="58"/>
  <c r="BL14" i="64"/>
  <c r="BM14" i="64"/>
  <c r="BN14" i="64" s="1"/>
  <c r="BD21" i="41"/>
  <c r="AD18" i="58" s="1"/>
  <c r="BH21" i="41"/>
  <c r="AG18" i="58" s="1"/>
  <c r="AB62" i="60"/>
  <c r="AE62" i="60" s="1"/>
  <c r="S62" i="60"/>
  <c r="V62" i="60" s="1"/>
  <c r="T62" i="60"/>
  <c r="AK62" i="60"/>
  <c r="BG20" i="41"/>
  <c r="BC20" i="41"/>
  <c r="AK11" i="64"/>
  <c r="Z15" i="58"/>
  <c r="AK59" i="60"/>
  <c r="AN59" i="60" s="1"/>
  <c r="T59" i="60"/>
  <c r="S59" i="60"/>
  <c r="V59" i="60" s="1"/>
  <c r="AB59" i="60"/>
  <c r="AE59" i="60" s="1"/>
  <c r="BC18" i="41"/>
  <c r="BG18" i="41"/>
  <c r="AE15" i="58"/>
  <c r="AL11" i="64"/>
  <c r="AB58" i="60"/>
  <c r="AE58" i="60" s="1"/>
  <c r="T58" i="60"/>
  <c r="AK58" i="60"/>
  <c r="AN58" i="60" s="1"/>
  <c r="Y14" i="58"/>
  <c r="AK10" i="64"/>
  <c r="Z14" i="58"/>
  <c r="BM9" i="64"/>
  <c r="BN9" i="64" s="1"/>
  <c r="BL9" i="64"/>
  <c r="Y13" i="58"/>
  <c r="AK9" i="64"/>
  <c r="AK57" i="60"/>
  <c r="AN57" i="60" s="1"/>
  <c r="S57" i="60"/>
  <c r="V57" i="60" s="1"/>
  <c r="T57" i="60"/>
  <c r="AB57" i="60"/>
  <c r="AE57" i="60" s="1"/>
  <c r="BD16" i="51"/>
  <c r="AD71" i="58" s="1"/>
  <c r="BH16" i="51"/>
  <c r="AG71" i="58" s="1"/>
  <c r="Z72" i="58"/>
  <c r="AK68" i="64"/>
  <c r="Y72" i="58"/>
  <c r="E48" i="76"/>
  <c r="BD18" i="51"/>
  <c r="BH18" i="51"/>
  <c r="AG73" i="58" s="1"/>
  <c r="U130" i="60"/>
  <c r="E53" i="72" s="1"/>
  <c r="F48" i="76"/>
  <c r="BB18" i="51"/>
  <c r="BB19" i="51" s="1"/>
  <c r="BF18" i="51"/>
  <c r="BB20" i="37"/>
  <c r="T15" i="60"/>
  <c r="S15" i="60"/>
  <c r="V15" i="60" s="1"/>
  <c r="AB15" i="60"/>
  <c r="AE15" i="60" s="1"/>
  <c r="AK15" i="60"/>
  <c r="AN15" i="60" s="1"/>
  <c r="Y58" i="58"/>
  <c r="Z58" i="58"/>
  <c r="AK54" i="64"/>
  <c r="G27" i="69" s="1"/>
  <c r="BC19" i="37"/>
  <c r="BG19" i="37"/>
  <c r="BG18" i="37"/>
  <c r="BC18" i="37"/>
  <c r="BC17" i="37"/>
  <c r="BG17" i="37"/>
  <c r="Y56" i="58"/>
  <c r="Z56" i="58"/>
  <c r="AK52" i="64"/>
  <c r="G25" i="69" s="1"/>
  <c r="Z99" i="58"/>
  <c r="Y99" i="58"/>
  <c r="AK95" i="64"/>
  <c r="G48" i="69" s="1"/>
  <c r="S24" i="60"/>
  <c r="V24" i="60" s="1"/>
  <c r="AB24" i="60"/>
  <c r="AE24" i="60" s="1"/>
  <c r="T24" i="60"/>
  <c r="AK24" i="60"/>
  <c r="AN24" i="60" s="1"/>
  <c r="BF19" i="45"/>
  <c r="BB19" i="45"/>
  <c r="BB20" i="45" s="1"/>
  <c r="BN95" i="64"/>
  <c r="BL95" i="64"/>
  <c r="K48" i="69" s="1"/>
  <c r="BD18" i="45"/>
  <c r="AD98" i="58" s="1"/>
  <c r="BH18" i="45"/>
  <c r="AG98" i="58" s="1"/>
  <c r="AJ23" i="60"/>
  <c r="AM23" i="60" s="1"/>
  <c r="R23" i="60"/>
  <c r="U23" i="60" s="1"/>
  <c r="AE94" i="64"/>
  <c r="BK94" i="64" s="1"/>
  <c r="X98" i="58"/>
  <c r="Q23" i="60"/>
  <c r="AA23" i="60"/>
  <c r="AD23" i="60" s="1"/>
  <c r="BD17" i="45"/>
  <c r="BD20" i="45" s="1"/>
  <c r="BH17" i="45"/>
  <c r="X97" i="58"/>
  <c r="AK93" i="64" s="1"/>
  <c r="R22" i="60"/>
  <c r="AJ22" i="60"/>
  <c r="AM22" i="60" s="1"/>
  <c r="Q22" i="60"/>
  <c r="AA22" i="60"/>
  <c r="AB21" i="60"/>
  <c r="AE21" i="60" s="1"/>
  <c r="AK21" i="60"/>
  <c r="S21" i="60"/>
  <c r="V21" i="60" s="1"/>
  <c r="BL92" i="64"/>
  <c r="K46" i="69" s="1"/>
  <c r="BN92" i="64"/>
  <c r="BO92" i="64" s="1"/>
  <c r="AA96" i="58"/>
  <c r="AH96" i="58"/>
  <c r="AD96" i="58"/>
  <c r="BL90" i="64"/>
  <c r="BM90" i="64"/>
  <c r="BN90" i="64" s="1"/>
  <c r="S43" i="60"/>
  <c r="AB43" i="60"/>
  <c r="AK43" i="60"/>
  <c r="AN43" i="60" s="1"/>
  <c r="T43" i="60"/>
  <c r="E12" i="76" s="1"/>
  <c r="AN44" i="60"/>
  <c r="F44" i="74" s="1"/>
  <c r="C12" i="74" s="1"/>
  <c r="AK90" i="64"/>
  <c r="G44" i="69" s="1"/>
  <c r="F41" i="76"/>
  <c r="U44" i="60"/>
  <c r="E44" i="72" s="1"/>
  <c r="G12" i="76"/>
  <c r="BM89" i="64"/>
  <c r="BN89" i="64" s="1"/>
  <c r="BC23" i="43"/>
  <c r="BG23" i="43"/>
  <c r="R101" i="60"/>
  <c r="AE43" i="64"/>
  <c r="BK43" i="64" s="1"/>
  <c r="AA101" i="60"/>
  <c r="AD101" i="60" s="1"/>
  <c r="AJ101" i="60"/>
  <c r="AM101" i="60" s="1"/>
  <c r="Q101" i="60"/>
  <c r="X47" i="58"/>
  <c r="BF23" i="43"/>
  <c r="BB23" i="43"/>
  <c r="AB100" i="60"/>
  <c r="AE100" i="60" s="1"/>
  <c r="AK100" i="60"/>
  <c r="T100" i="60"/>
  <c r="S100" i="60"/>
  <c r="V100" i="60" s="1"/>
  <c r="Y46" i="58"/>
  <c r="Z46" i="58"/>
  <c r="AK42" i="64"/>
  <c r="T99" i="60"/>
  <c r="S99" i="60"/>
  <c r="V99" i="60" s="1"/>
  <c r="AK99" i="60"/>
  <c r="AN99" i="60" s="1"/>
  <c r="AB99" i="60"/>
  <c r="AE99" i="60" s="1"/>
  <c r="BH21" i="43"/>
  <c r="AG45" i="58" s="1"/>
  <c r="BD21" i="43"/>
  <c r="AD45" i="58" s="1"/>
  <c r="BF21" i="43"/>
  <c r="BB21" i="43"/>
  <c r="BC21" i="43"/>
  <c r="BG21" i="43"/>
  <c r="AK41" i="64"/>
  <c r="Y45" i="58"/>
  <c r="Z45" i="58"/>
  <c r="BM41" i="64"/>
  <c r="BN41" i="64" s="1"/>
  <c r="BL41" i="64"/>
  <c r="BM40" i="64"/>
  <c r="BN40" i="64" s="1"/>
  <c r="J21" i="69"/>
  <c r="S98" i="60"/>
  <c r="V98" i="60" s="1"/>
  <c r="AB98" i="60"/>
  <c r="AE98" i="60" s="1"/>
  <c r="AK98" i="60"/>
  <c r="Z44" i="58"/>
  <c r="Y44" i="58"/>
  <c r="AK40" i="64"/>
  <c r="G21" i="69" s="1"/>
  <c r="AK39" i="64"/>
  <c r="G20" i="69" s="1"/>
  <c r="BB18" i="43"/>
  <c r="BF18" i="43"/>
  <c r="AA96" i="60"/>
  <c r="AD96" i="60" s="1"/>
  <c r="X42" i="58"/>
  <c r="R96" i="60"/>
  <c r="U96" i="60" s="1"/>
  <c r="AE38" i="64"/>
  <c r="BK38" i="64" s="1"/>
  <c r="AJ96" i="60"/>
  <c r="AM96" i="60" s="1"/>
  <c r="Q96" i="60"/>
  <c r="BD18" i="43"/>
  <c r="AD42" i="58" s="1"/>
  <c r="BH18" i="43"/>
  <c r="AG42" i="58" s="1"/>
  <c r="AD40" i="58"/>
  <c r="Y40" i="58"/>
  <c r="AK36" i="64"/>
  <c r="G17" i="69" s="1"/>
  <c r="Z40" i="58"/>
  <c r="BL36" i="64"/>
  <c r="K17" i="69" s="1"/>
  <c r="BM36" i="64"/>
  <c r="BN36" i="64" s="1"/>
  <c r="J17" i="69"/>
  <c r="AK94" i="60"/>
  <c r="AN94" i="60" s="1"/>
  <c r="T94" i="60"/>
  <c r="AB94" i="60"/>
  <c r="AE94" i="60" s="1"/>
  <c r="S94" i="60"/>
  <c r="V94" i="60" s="1"/>
  <c r="AB173" i="60"/>
  <c r="AE173" i="60" s="1"/>
  <c r="S173" i="60"/>
  <c r="V173" i="60" s="1"/>
  <c r="AK173" i="60"/>
  <c r="T173" i="60"/>
  <c r="E24" i="76" s="1"/>
  <c r="AA92" i="58"/>
  <c r="AL88" i="64"/>
  <c r="BH18" i="55"/>
  <c r="AG92" i="58" s="1"/>
  <c r="AH92" i="58" s="1"/>
  <c r="BD18" i="55"/>
  <c r="AD92" i="58" s="1"/>
  <c r="AE92" i="58" s="1"/>
  <c r="AA172" i="60"/>
  <c r="R172" i="60"/>
  <c r="X91" i="58"/>
  <c r="AE87" i="64"/>
  <c r="BK87" i="64" s="1"/>
  <c r="Q172" i="60"/>
  <c r="AJ172" i="60"/>
  <c r="AM172" i="60" s="1"/>
  <c r="D53" i="63" s="1"/>
  <c r="BD16" i="55"/>
  <c r="BH16" i="55"/>
  <c r="AG90" i="58" s="1"/>
  <c r="BG16" i="55"/>
  <c r="BC16" i="55"/>
  <c r="BC19" i="55" s="1"/>
  <c r="Z90" i="58"/>
  <c r="Y90" i="58"/>
  <c r="AK86" i="64"/>
  <c r="U174" i="60"/>
  <c r="E59" i="72" s="1"/>
  <c r="F53" i="76"/>
  <c r="E53" i="76"/>
  <c r="G53" i="76"/>
  <c r="D53" i="76"/>
  <c r="BC18" i="54"/>
  <c r="BG18" i="54"/>
  <c r="BH18" i="54"/>
  <c r="AG89" i="58" s="1"/>
  <c r="BD18" i="54"/>
  <c r="AD89" i="58" s="1"/>
  <c r="AK85" i="64"/>
  <c r="Z89" i="58"/>
  <c r="Y89" i="58"/>
  <c r="E52" i="76"/>
  <c r="S165" i="60"/>
  <c r="V165" i="60" s="1"/>
  <c r="AB165" i="60"/>
  <c r="AE165" i="60" s="1"/>
  <c r="AK165" i="60"/>
  <c r="AN165" i="60" s="1"/>
  <c r="T165" i="60"/>
  <c r="U166" i="60"/>
  <c r="E58" i="72" s="1"/>
  <c r="BC17" i="54"/>
  <c r="BG17" i="54"/>
  <c r="S164" i="60"/>
  <c r="V164" i="60" s="1"/>
  <c r="T164" i="60"/>
  <c r="AK164" i="60"/>
  <c r="AN164" i="60" s="1"/>
  <c r="AB164" i="60"/>
  <c r="AE164" i="60" s="1"/>
  <c r="AK84" i="64"/>
  <c r="Y88" i="58"/>
  <c r="Z88" i="58"/>
  <c r="Z87" i="58"/>
  <c r="AA87" i="58" s="1"/>
  <c r="AK83" i="64"/>
  <c r="Y87" i="58"/>
  <c r="AL83" i="64" s="1"/>
  <c r="AD87" i="58"/>
  <c r="BC16" i="54"/>
  <c r="BG16" i="54"/>
  <c r="AB163" i="60"/>
  <c r="AE163" i="60" s="1"/>
  <c r="T163" i="60"/>
  <c r="T166" i="60" s="1"/>
  <c r="BD18" i="46"/>
  <c r="AD95" i="58" s="1"/>
  <c r="BH18" i="46"/>
  <c r="AG95" i="58" s="1"/>
  <c r="BF18" i="46"/>
  <c r="BB18" i="46"/>
  <c r="BC18" i="46"/>
  <c r="BG18" i="46"/>
  <c r="AK51" i="60"/>
  <c r="AB51" i="60"/>
  <c r="AE51" i="60" s="1"/>
  <c r="S51" i="60"/>
  <c r="V51" i="60" s="1"/>
  <c r="BM91" i="64"/>
  <c r="BN91" i="64" s="1"/>
  <c r="BL91" i="64"/>
  <c r="K45" i="69" s="1"/>
  <c r="Y95" i="58"/>
  <c r="AK91" i="64"/>
  <c r="G45" i="69" s="1"/>
  <c r="Z95" i="58"/>
  <c r="BD17" i="46"/>
  <c r="BH17" i="46"/>
  <c r="AG60" i="58" s="1"/>
  <c r="BL56" i="64"/>
  <c r="K29" i="69" s="1"/>
  <c r="BM56" i="64"/>
  <c r="BN56" i="64" s="1"/>
  <c r="L29" i="69" s="1"/>
  <c r="Z60" i="58"/>
  <c r="Y60" i="58"/>
  <c r="AK56" i="64"/>
  <c r="G29" i="69" s="1"/>
  <c r="BG17" i="46"/>
  <c r="BC17" i="46"/>
  <c r="E42" i="77"/>
  <c r="F42" i="63"/>
  <c r="AM52" i="60"/>
  <c r="E42" i="63"/>
  <c r="G42" i="63"/>
  <c r="D42" i="63"/>
  <c r="BF17" i="46"/>
  <c r="BB17" i="46"/>
  <c r="F42" i="76"/>
  <c r="G42" i="76"/>
  <c r="U52" i="60"/>
  <c r="E45" i="72" s="1"/>
  <c r="D42" i="76"/>
  <c r="E42" i="76"/>
  <c r="AB50" i="60"/>
  <c r="AE50" i="60" s="1"/>
  <c r="T50" i="60"/>
  <c r="AK50" i="60"/>
  <c r="AN50" i="60" s="1"/>
  <c r="S50" i="60"/>
  <c r="E45" i="73"/>
  <c r="E45" i="74"/>
  <c r="AK156" i="60"/>
  <c r="AN156" i="60" s="1"/>
  <c r="T156" i="60"/>
  <c r="S156" i="60"/>
  <c r="V156" i="60" s="1"/>
  <c r="BL78" i="64"/>
  <c r="BM78" i="64"/>
  <c r="BN78" i="64" s="1"/>
  <c r="AK78" i="64"/>
  <c r="AL76" i="64"/>
  <c r="AE80" i="58"/>
  <c r="AB154" i="60"/>
  <c r="S154" i="60"/>
  <c r="V154" i="60" s="1"/>
  <c r="V158" i="60" s="1"/>
  <c r="AK154" i="60"/>
  <c r="AN154" i="60" s="1"/>
  <c r="AK153" i="60"/>
  <c r="AN153" i="60" s="1"/>
  <c r="T153" i="60"/>
  <c r="T157" i="60"/>
  <c r="S157" i="60"/>
  <c r="V157" i="60" s="1"/>
  <c r="AB157" i="60"/>
  <c r="AK157" i="60"/>
  <c r="AN157" i="60" s="1"/>
  <c r="AB155" i="60"/>
  <c r="T155" i="60"/>
  <c r="S155" i="60"/>
  <c r="V155" i="60" s="1"/>
  <c r="AK155" i="60"/>
  <c r="AN155" i="60" s="1"/>
  <c r="AK77" i="64"/>
  <c r="BL76" i="64"/>
  <c r="BM76" i="64"/>
  <c r="BN76" i="64" s="1"/>
  <c r="BM75" i="64"/>
  <c r="BN75" i="64" s="1"/>
  <c r="BL75" i="64"/>
  <c r="AH79" i="58"/>
  <c r="AA79" i="58"/>
  <c r="BC19" i="52"/>
  <c r="BG19" i="52"/>
  <c r="AK74" i="64"/>
  <c r="Z78" i="58"/>
  <c r="Y78" i="58"/>
  <c r="BD19" i="52"/>
  <c r="AD78" i="58" s="1"/>
  <c r="BH19" i="52"/>
  <c r="AG78" i="58" s="1"/>
  <c r="BC18" i="52"/>
  <c r="BG18" i="52"/>
  <c r="BB18" i="52"/>
  <c r="BB20" i="52" s="1"/>
  <c r="BF18" i="52"/>
  <c r="BH18" i="52"/>
  <c r="AG77" i="58" s="1"/>
  <c r="BD18" i="52"/>
  <c r="AD77" i="58" s="1"/>
  <c r="AB146" i="60"/>
  <c r="AE146" i="60" s="1"/>
  <c r="T146" i="60"/>
  <c r="AK146" i="60"/>
  <c r="AN146" i="60" s="1"/>
  <c r="S146" i="60"/>
  <c r="V146" i="60" s="1"/>
  <c r="Y77" i="58"/>
  <c r="Z77" i="58"/>
  <c r="AK73" i="64"/>
  <c r="BL73" i="64"/>
  <c r="BN73" i="64"/>
  <c r="AK145" i="60"/>
  <c r="AN145" i="60" s="1"/>
  <c r="S145" i="60"/>
  <c r="V145" i="60" s="1"/>
  <c r="AB145" i="60"/>
  <c r="T145" i="60"/>
  <c r="AK72" i="64"/>
  <c r="G39" i="69" s="1"/>
  <c r="T144" i="60"/>
  <c r="S144" i="60"/>
  <c r="V144" i="60" s="1"/>
  <c r="AB144" i="60"/>
  <c r="AK144" i="60"/>
  <c r="AN144" i="60" s="1"/>
  <c r="AD148" i="60"/>
  <c r="E55" i="73" s="1"/>
  <c r="E50" i="77"/>
  <c r="D50" i="77"/>
  <c r="G50" i="77"/>
  <c r="F50" i="77"/>
  <c r="U148" i="60"/>
  <c r="E55" i="72" s="1"/>
  <c r="D50" i="76"/>
  <c r="F50" i="76"/>
  <c r="E50" i="76"/>
  <c r="G50" i="76"/>
  <c r="G50" i="63"/>
  <c r="E50" i="63"/>
  <c r="F50" i="63"/>
  <c r="AM148" i="60"/>
  <c r="E55" i="74" s="1"/>
  <c r="D50" i="63"/>
  <c r="BL71" i="64"/>
  <c r="K38" i="69" s="1"/>
  <c r="BM71" i="64"/>
  <c r="BN71" i="64" s="1"/>
  <c r="L38" i="69" s="1"/>
  <c r="AK71" i="64"/>
  <c r="G38" i="69" s="1"/>
  <c r="BM66" i="64"/>
  <c r="BN66" i="64" s="1"/>
  <c r="BL66" i="64"/>
  <c r="BD18" i="48"/>
  <c r="F47" i="77"/>
  <c r="AD122" i="60"/>
  <c r="E52" i="73" s="1"/>
  <c r="D47" i="77"/>
  <c r="E47" i="77"/>
  <c r="G47" i="77"/>
  <c r="AK65" i="64"/>
  <c r="D47" i="63"/>
  <c r="F47" i="63"/>
  <c r="AM122" i="60"/>
  <c r="E52" i="74" s="1"/>
  <c r="E47" i="63"/>
  <c r="G47" i="63"/>
  <c r="T120" i="60"/>
  <c r="AB120" i="60"/>
  <c r="S120" i="60"/>
  <c r="AK120" i="60"/>
  <c r="AN120" i="60" s="1"/>
  <c r="AA68" i="58"/>
  <c r="BF22" i="47"/>
  <c r="BB22" i="47"/>
  <c r="BB24" i="47" s="1"/>
  <c r="BG22" i="47"/>
  <c r="BC22" i="47"/>
  <c r="AK113" i="60"/>
  <c r="AN113" i="60" s="1"/>
  <c r="S113" i="60"/>
  <c r="V113" i="60" s="1"/>
  <c r="AB113" i="60"/>
  <c r="AE113" i="60" s="1"/>
  <c r="T113" i="60"/>
  <c r="AK63" i="64"/>
  <c r="Z67" i="58"/>
  <c r="Y67" i="58"/>
  <c r="Z66" i="58"/>
  <c r="Y66" i="58"/>
  <c r="AK62" i="64"/>
  <c r="BL62" i="64"/>
  <c r="BM62" i="64"/>
  <c r="BN62" i="64" s="1"/>
  <c r="AB112" i="60"/>
  <c r="AE112" i="60" s="1"/>
  <c r="T112" i="60"/>
  <c r="AK112" i="60"/>
  <c r="AN112" i="60" s="1"/>
  <c r="S112" i="60"/>
  <c r="V112" i="60" s="1"/>
  <c r="BG21" i="47"/>
  <c r="BC21" i="47"/>
  <c r="AB111" i="60"/>
  <c r="AE111" i="60" s="1"/>
  <c r="T111" i="60"/>
  <c r="S111" i="60"/>
  <c r="V111" i="60" s="1"/>
  <c r="Z65" i="58"/>
  <c r="Y65" i="58"/>
  <c r="AK61" i="64"/>
  <c r="BM61" i="64" s="1"/>
  <c r="BN61" i="64" s="1"/>
  <c r="AK60" i="64"/>
  <c r="Y64" i="58"/>
  <c r="Z64" i="58"/>
  <c r="T110" i="60"/>
  <c r="S110" i="60"/>
  <c r="V110" i="60" s="1"/>
  <c r="AB110" i="60"/>
  <c r="AE110" i="60" s="1"/>
  <c r="AK110" i="60"/>
  <c r="T109" i="60"/>
  <c r="AK109" i="60"/>
  <c r="AN109" i="60" s="1"/>
  <c r="AB109" i="60"/>
  <c r="AH63" i="58"/>
  <c r="AA63" i="58"/>
  <c r="AK108" i="60"/>
  <c r="AN108" i="60" s="1"/>
  <c r="S108" i="60"/>
  <c r="V108" i="60" s="1"/>
  <c r="AB108" i="60"/>
  <c r="T108" i="60"/>
  <c r="AK58" i="64"/>
  <c r="G31" i="69" s="1"/>
  <c r="AK57" i="64"/>
  <c r="G30" i="69" s="1"/>
  <c r="AK107" i="60"/>
  <c r="AN107" i="60" s="1"/>
  <c r="T107" i="60"/>
  <c r="S107" i="60"/>
  <c r="V107" i="60" s="1"/>
  <c r="V115" i="60" s="1"/>
  <c r="AB107" i="60"/>
  <c r="BM69" i="64"/>
  <c r="BN69" i="64" s="1"/>
  <c r="BL69" i="64"/>
  <c r="AB128" i="60"/>
  <c r="AE128" i="60" s="1"/>
  <c r="T128" i="60"/>
  <c r="S128" i="60"/>
  <c r="V128" i="60" s="1"/>
  <c r="AK128" i="60"/>
  <c r="AN128" i="60" s="1"/>
  <c r="BC16" i="51"/>
  <c r="BC19" i="51" s="1"/>
  <c r="BG16" i="51"/>
  <c r="AK127" i="60"/>
  <c r="AN127" i="60" s="1"/>
  <c r="T127" i="60"/>
  <c r="S127" i="60"/>
  <c r="V127" i="60" s="1"/>
  <c r="AB127" i="60"/>
  <c r="AE127" i="60" s="1"/>
  <c r="S138" i="60"/>
  <c r="V138" i="60" s="1"/>
  <c r="AB138" i="60"/>
  <c r="AK138" i="60"/>
  <c r="AN138" i="60" s="1"/>
  <c r="S137" i="60"/>
  <c r="V137" i="60" s="1"/>
  <c r="AB137" i="60"/>
  <c r="AK137" i="60"/>
  <c r="AN137" i="60" s="1"/>
  <c r="AB135" i="60"/>
  <c r="AE135" i="60" s="1"/>
  <c r="S135" i="60"/>
  <c r="V135" i="60" s="1"/>
  <c r="V139" i="60" s="1"/>
  <c r="AK135" i="60"/>
  <c r="AN135" i="60" s="1"/>
  <c r="T135" i="60"/>
  <c r="U139" i="60"/>
  <c r="E54" i="72" s="1"/>
  <c r="E49" i="76"/>
  <c r="D49" i="76"/>
  <c r="G49" i="76"/>
  <c r="F49" i="76"/>
  <c r="AK70" i="64"/>
  <c r="G37" i="69" s="1"/>
  <c r="Y74" i="58"/>
  <c r="Z74" i="58"/>
  <c r="D49" i="63"/>
  <c r="F49" i="63"/>
  <c r="G49" i="63"/>
  <c r="E49" i="63"/>
  <c r="AM139" i="60"/>
  <c r="E54" i="74" s="1"/>
  <c r="BL15" i="64" l="1"/>
  <c r="BM15" i="64"/>
  <c r="BN15" i="64" s="1"/>
  <c r="BL10" i="64"/>
  <c r="BM10" i="64"/>
  <c r="BN10" i="64" s="1"/>
  <c r="E44" i="75"/>
  <c r="F52" i="72"/>
  <c r="C18" i="72" s="1"/>
  <c r="V120" i="60"/>
  <c r="V122" i="60" s="1"/>
  <c r="AK163" i="60"/>
  <c r="AN163" i="60" s="1"/>
  <c r="F12" i="76"/>
  <c r="M174" i="60"/>
  <c r="F59" i="62" s="1"/>
  <c r="C24" i="62" s="1"/>
  <c r="BA24" i="47"/>
  <c r="AF121" i="60"/>
  <c r="AN121" i="60" s="1"/>
  <c r="AN122" i="60" s="1"/>
  <c r="F52" i="74" s="1"/>
  <c r="C18" i="74" s="1"/>
  <c r="AB121" i="60"/>
  <c r="J111" i="60"/>
  <c r="M111" i="60" s="1"/>
  <c r="L111" i="60"/>
  <c r="S163" i="60"/>
  <c r="V163" i="60" s="1"/>
  <c r="V166" i="60" s="1"/>
  <c r="D12" i="76"/>
  <c r="F39" i="63"/>
  <c r="E17" i="75"/>
  <c r="H42" i="75"/>
  <c r="H19" i="63"/>
  <c r="AE34" i="58"/>
  <c r="BL85" i="64"/>
  <c r="V37" i="60"/>
  <c r="AE82" i="60"/>
  <c r="L58" i="60"/>
  <c r="E43" i="75" s="1"/>
  <c r="V50" i="60"/>
  <c r="V52" i="60" s="1"/>
  <c r="F45" i="72" s="1"/>
  <c r="C13" i="72" s="1"/>
  <c r="K58" i="60"/>
  <c r="P58" i="60"/>
  <c r="U58" i="60" s="1"/>
  <c r="AE49" i="60"/>
  <c r="V43" i="60"/>
  <c r="V44" i="60" s="1"/>
  <c r="F44" i="72" s="1"/>
  <c r="C12" i="72" s="1"/>
  <c r="E33" i="72"/>
  <c r="BA36" i="41"/>
  <c r="L89" i="60"/>
  <c r="E48" i="62" s="1"/>
  <c r="F51" i="75"/>
  <c r="V148" i="60"/>
  <c r="U101" i="60"/>
  <c r="F17" i="75"/>
  <c r="H24" i="63"/>
  <c r="BA24" i="43"/>
  <c r="V89" i="60"/>
  <c r="AN23" i="60"/>
  <c r="AB156" i="60"/>
  <c r="AE83" i="60"/>
  <c r="T76" i="60"/>
  <c r="P76" i="60"/>
  <c r="U76" i="60" s="1"/>
  <c r="U108" i="60"/>
  <c r="AZ108" i="60"/>
  <c r="H19" i="77"/>
  <c r="AK74" i="60"/>
  <c r="AN74" i="60" s="1"/>
  <c r="AB74" i="60"/>
  <c r="AE74" i="60" s="1"/>
  <c r="AE27" i="58"/>
  <c r="AK12" i="64"/>
  <c r="Y16" i="58"/>
  <c r="AL12" i="64" s="1"/>
  <c r="AK111" i="60"/>
  <c r="AN111" i="60" s="1"/>
  <c r="G17" i="77"/>
  <c r="AA82" i="58"/>
  <c r="E51" i="77"/>
  <c r="G51" i="77"/>
  <c r="AL37" i="64"/>
  <c r="H18" i="69" s="1"/>
  <c r="AB87" i="60"/>
  <c r="AE87" i="60" s="1"/>
  <c r="AK87" i="60"/>
  <c r="AN87" i="60" s="1"/>
  <c r="G14" i="69"/>
  <c r="AE44" i="60"/>
  <c r="F44" i="73" s="1"/>
  <c r="C12" i="73" s="1"/>
  <c r="M21" i="60"/>
  <c r="M25" i="60" s="1"/>
  <c r="F42" i="62" s="1"/>
  <c r="AD166" i="60"/>
  <c r="E58" i="73" s="1"/>
  <c r="D51" i="63"/>
  <c r="Y73" i="58"/>
  <c r="AL69" i="64" s="1"/>
  <c r="AK69" i="64"/>
  <c r="G36" i="69" s="1"/>
  <c r="BL67" i="64"/>
  <c r="K36" i="69" s="1"/>
  <c r="D48" i="77"/>
  <c r="G48" i="77"/>
  <c r="E48" i="77"/>
  <c r="AD130" i="60"/>
  <c r="E53" i="73" s="1"/>
  <c r="BC24" i="47"/>
  <c r="D45" i="63"/>
  <c r="AH41" i="58"/>
  <c r="F44" i="77"/>
  <c r="AE33" i="58"/>
  <c r="AH30" i="58"/>
  <c r="Z23" i="58"/>
  <c r="AH23" i="58" s="1"/>
  <c r="D43" i="77"/>
  <c r="H41" i="63"/>
  <c r="BC20" i="45"/>
  <c r="E52" i="77"/>
  <c r="G52" i="77"/>
  <c r="D52" i="77"/>
  <c r="F52" i="77"/>
  <c r="AE52" i="60"/>
  <c r="F45" i="73" s="1"/>
  <c r="C13" i="73" s="1"/>
  <c r="H13" i="77"/>
  <c r="AN49" i="60"/>
  <c r="AH82" i="58"/>
  <c r="E48" i="63"/>
  <c r="AM130" i="60"/>
  <c r="E53" i="74" s="1"/>
  <c r="Z71" i="58"/>
  <c r="Y71" i="58"/>
  <c r="AH70" i="58"/>
  <c r="AE70" i="58"/>
  <c r="AH68" i="58"/>
  <c r="AK85" i="60"/>
  <c r="AN85" i="60" s="1"/>
  <c r="Z35" i="58"/>
  <c r="AA35" i="58" s="1"/>
  <c r="AK31" i="64"/>
  <c r="G15" i="69" s="1"/>
  <c r="AC84" i="60"/>
  <c r="AC89" i="60" s="1"/>
  <c r="D48" i="73" s="1"/>
  <c r="G43" i="77"/>
  <c r="AL23" i="64"/>
  <c r="E14" i="77"/>
  <c r="AK34" i="60"/>
  <c r="AN34" i="60" s="1"/>
  <c r="G11" i="77"/>
  <c r="AM37" i="60"/>
  <c r="E43" i="74" s="1"/>
  <c r="D11" i="77"/>
  <c r="E40" i="63"/>
  <c r="AH57" i="58"/>
  <c r="BD23" i="42"/>
  <c r="K14" i="69"/>
  <c r="J47" i="69"/>
  <c r="BM94" i="64"/>
  <c r="G35" i="69"/>
  <c r="BL77" i="64"/>
  <c r="K41" i="69" s="1"/>
  <c r="J22" i="69"/>
  <c r="I44" i="69"/>
  <c r="BM59" i="64"/>
  <c r="BN59" i="64" s="1"/>
  <c r="L32" i="69" s="1"/>
  <c r="BM72" i="64"/>
  <c r="BN72" i="64" s="1"/>
  <c r="L39" i="69" s="1"/>
  <c r="BM65" i="64"/>
  <c r="BN65" i="64" s="1"/>
  <c r="L35" i="69" s="1"/>
  <c r="BL65" i="64"/>
  <c r="K35" i="69" s="1"/>
  <c r="BL11" i="64"/>
  <c r="J23" i="69"/>
  <c r="I16" i="69"/>
  <c r="BM70" i="64"/>
  <c r="BN70" i="64" s="1"/>
  <c r="BM42" i="64"/>
  <c r="BN42" i="64" s="1"/>
  <c r="BL70" i="64"/>
  <c r="K37" i="69" s="1"/>
  <c r="BO29" i="64"/>
  <c r="D14" i="67" s="1"/>
  <c r="BL88" i="64"/>
  <c r="BL72" i="64"/>
  <c r="K39" i="69" s="1"/>
  <c r="BL13" i="64"/>
  <c r="BM68" i="64"/>
  <c r="BN68" i="64" s="1"/>
  <c r="L36" i="69" s="1"/>
  <c r="K16" i="69"/>
  <c r="BL44" i="64"/>
  <c r="I23" i="69"/>
  <c r="L16" i="69"/>
  <c r="BM58" i="64"/>
  <c r="BN58" i="64" s="1"/>
  <c r="L31" i="69" s="1"/>
  <c r="BL58" i="64"/>
  <c r="K31" i="69" s="1"/>
  <c r="BL40" i="64"/>
  <c r="K21" i="69" s="1"/>
  <c r="BM19" i="64"/>
  <c r="BN19" i="64" s="1"/>
  <c r="L11" i="69" s="1"/>
  <c r="BL59" i="64"/>
  <c r="K32" i="69" s="1"/>
  <c r="I43" i="69"/>
  <c r="BM77" i="64"/>
  <c r="BN77" i="64" s="1"/>
  <c r="L41" i="69" s="1"/>
  <c r="J36" i="69"/>
  <c r="G13" i="69"/>
  <c r="AE29" i="58"/>
  <c r="F43" i="63"/>
  <c r="T68" i="60"/>
  <c r="S68" i="60"/>
  <c r="V68" i="60" s="1"/>
  <c r="AB68" i="60"/>
  <c r="AE68" i="60" s="1"/>
  <c r="AK68" i="60"/>
  <c r="AN68" i="60" s="1"/>
  <c r="BL20" i="64"/>
  <c r="BM20" i="64"/>
  <c r="BN20" i="64" s="1"/>
  <c r="J10" i="69"/>
  <c r="AD77" i="60"/>
  <c r="E47" i="73" s="1"/>
  <c r="AM77" i="60"/>
  <c r="E47" i="74" s="1"/>
  <c r="F43" i="77"/>
  <c r="E43" i="77"/>
  <c r="AH16" i="58"/>
  <c r="D43" i="63"/>
  <c r="L40" i="69"/>
  <c r="K40" i="69"/>
  <c r="BC20" i="52"/>
  <c r="D24" i="76"/>
  <c r="G24" i="76"/>
  <c r="T174" i="60"/>
  <c r="D59" i="72" s="1"/>
  <c r="F24" i="76"/>
  <c r="G53" i="63"/>
  <c r="AM174" i="60"/>
  <c r="E59" i="74" s="1"/>
  <c r="BM84" i="64"/>
  <c r="BN84" i="64" s="1"/>
  <c r="J43" i="69"/>
  <c r="H52" i="76"/>
  <c r="AE87" i="58"/>
  <c r="AN52" i="60"/>
  <c r="F45" i="74" s="1"/>
  <c r="C13" i="74" s="1"/>
  <c r="BO91" i="64"/>
  <c r="D27" i="67" s="1"/>
  <c r="L45" i="69"/>
  <c r="H42" i="77"/>
  <c r="G51" i="63"/>
  <c r="F51" i="63"/>
  <c r="E51" i="63"/>
  <c r="AM158" i="60"/>
  <c r="E56" i="74" s="1"/>
  <c r="BD21" i="53"/>
  <c r="F51" i="77"/>
  <c r="G41" i="69"/>
  <c r="AE158" i="60"/>
  <c r="F56" i="73" s="1"/>
  <c r="C22" i="73" s="1"/>
  <c r="AD158" i="60"/>
  <c r="E56" i="73" s="1"/>
  <c r="AL75" i="64"/>
  <c r="AE79" i="58"/>
  <c r="G48" i="63"/>
  <c r="F48" i="63"/>
  <c r="D46" i="63"/>
  <c r="AM115" i="60"/>
  <c r="E51" i="74" s="1"/>
  <c r="E46" i="63"/>
  <c r="BK63" i="64"/>
  <c r="BL63" i="64" s="1"/>
  <c r="BL61" i="64"/>
  <c r="BD24" i="47"/>
  <c r="AE63" i="58"/>
  <c r="F45" i="63"/>
  <c r="BO40" i="64"/>
  <c r="D19" i="67" s="1"/>
  <c r="L21" i="69"/>
  <c r="BO36" i="64"/>
  <c r="D17" i="67" s="1"/>
  <c r="L17" i="69"/>
  <c r="K15" i="69"/>
  <c r="D44" i="77"/>
  <c r="E44" i="77"/>
  <c r="G44" i="63"/>
  <c r="AD89" i="60"/>
  <c r="E48" i="73" s="1"/>
  <c r="L14" i="69"/>
  <c r="D44" i="63"/>
  <c r="E44" i="63"/>
  <c r="AM89" i="60"/>
  <c r="E48" i="74" s="1"/>
  <c r="K44" i="69"/>
  <c r="L44" i="69"/>
  <c r="AA93" i="58"/>
  <c r="AH93" i="58"/>
  <c r="F41" i="77"/>
  <c r="H41" i="76"/>
  <c r="E41" i="77"/>
  <c r="BL45" i="64"/>
  <c r="BM45" i="64"/>
  <c r="BN45" i="64" s="1"/>
  <c r="D40" i="63"/>
  <c r="F40" i="63"/>
  <c r="BO95" i="64"/>
  <c r="M48" i="69" s="1"/>
  <c r="L48" i="69"/>
  <c r="E39" i="63"/>
  <c r="AE96" i="58"/>
  <c r="M46" i="69"/>
  <c r="L46" i="69"/>
  <c r="D40" i="76"/>
  <c r="U37" i="60"/>
  <c r="E43" i="72" s="1"/>
  <c r="E40" i="76"/>
  <c r="F40" i="76"/>
  <c r="G40" i="76"/>
  <c r="G53" i="77"/>
  <c r="F53" i="77"/>
  <c r="D53" i="77"/>
  <c r="E53" i="77"/>
  <c r="AD174" i="60"/>
  <c r="E59" i="73" s="1"/>
  <c r="F23" i="75"/>
  <c r="E23" i="75"/>
  <c r="D23" i="75"/>
  <c r="K166" i="60"/>
  <c r="D58" i="62" s="1"/>
  <c r="G23" i="75"/>
  <c r="D49" i="77"/>
  <c r="G49" i="77"/>
  <c r="AD139" i="60"/>
  <c r="E54" i="73" s="1"/>
  <c r="F49" i="77"/>
  <c r="E49" i="77"/>
  <c r="BL83" i="64"/>
  <c r="BM83" i="64"/>
  <c r="BN83" i="64" s="1"/>
  <c r="E51" i="76"/>
  <c r="G51" i="76"/>
  <c r="D51" i="76"/>
  <c r="U158" i="60"/>
  <c r="E56" i="72" s="1"/>
  <c r="G43" i="76"/>
  <c r="F43" i="76"/>
  <c r="E43" i="76"/>
  <c r="D43" i="76"/>
  <c r="F45" i="77"/>
  <c r="AD102" i="60"/>
  <c r="E49" i="73" s="1"/>
  <c r="D45" i="77"/>
  <c r="E45" i="77"/>
  <c r="G45" i="77"/>
  <c r="D40" i="77"/>
  <c r="E40" i="77"/>
  <c r="F40" i="77"/>
  <c r="G40" i="77"/>
  <c r="AD37" i="60"/>
  <c r="E43" i="73" s="1"/>
  <c r="G47" i="76"/>
  <c r="E47" i="76"/>
  <c r="D47" i="76"/>
  <c r="U122" i="60"/>
  <c r="E52" i="72" s="1"/>
  <c r="F47" i="76"/>
  <c r="E44" i="76"/>
  <c r="U89" i="60"/>
  <c r="E48" i="72" s="1"/>
  <c r="F44" i="76"/>
  <c r="D44" i="76"/>
  <c r="G46" i="77"/>
  <c r="D46" i="77"/>
  <c r="AD115" i="60"/>
  <c r="E51" i="73" s="1"/>
  <c r="E46" i="77"/>
  <c r="F46" i="77"/>
  <c r="G46" i="76"/>
  <c r="F46" i="76"/>
  <c r="E46" i="76"/>
  <c r="D46" i="76"/>
  <c r="U115" i="60"/>
  <c r="E51" i="72" s="1"/>
  <c r="U77" i="60"/>
  <c r="E47" i="72" s="1"/>
  <c r="B21" i="59"/>
  <c r="B22" i="59" s="1"/>
  <c r="AJ13" i="64"/>
  <c r="F10" i="69" s="1"/>
  <c r="Y17" i="58"/>
  <c r="AF82" i="60"/>
  <c r="AN82" i="60" s="1"/>
  <c r="H9" i="63"/>
  <c r="BH19" i="50"/>
  <c r="AG86" i="58" s="1"/>
  <c r="BD19" i="50"/>
  <c r="AD86" i="58" s="1"/>
  <c r="AK76" i="60"/>
  <c r="S76" i="60"/>
  <c r="V76" i="60" s="1"/>
  <c r="AB76" i="60"/>
  <c r="AE76" i="60" s="1"/>
  <c r="D15" i="77"/>
  <c r="AC37" i="60"/>
  <c r="D43" i="73" s="1"/>
  <c r="H16" i="63"/>
  <c r="H18" i="77"/>
  <c r="H10" i="77"/>
  <c r="BM12" i="64"/>
  <c r="BN12" i="64" s="1"/>
  <c r="BL12" i="64"/>
  <c r="AC174" i="60"/>
  <c r="D59" i="73" s="1"/>
  <c r="D33" i="73" s="1"/>
  <c r="G24" i="77"/>
  <c r="E24" i="77"/>
  <c r="D24" i="77"/>
  <c r="F24" i="77"/>
  <c r="F14" i="77"/>
  <c r="D17" i="75"/>
  <c r="H53" i="75"/>
  <c r="BL53" i="64"/>
  <c r="K26" i="69" s="1"/>
  <c r="BM53" i="64"/>
  <c r="BN53" i="64" s="1"/>
  <c r="L26" i="69" s="1"/>
  <c r="AE16" i="58"/>
  <c r="F44" i="75"/>
  <c r="H18" i="63"/>
  <c r="D21" i="77"/>
  <c r="F21" i="77"/>
  <c r="G21" i="77"/>
  <c r="E21" i="77"/>
  <c r="AC148" i="60"/>
  <c r="D55" i="73" s="1"/>
  <c r="H39" i="75"/>
  <c r="AJ64" i="64"/>
  <c r="F34" i="69" s="1"/>
  <c r="Y68" i="58"/>
  <c r="F44" i="63"/>
  <c r="H22" i="63"/>
  <c r="G15" i="77"/>
  <c r="E53" i="63"/>
  <c r="F51" i="72"/>
  <c r="C17" i="72" s="1"/>
  <c r="G40" i="69"/>
  <c r="F53" i="63"/>
  <c r="BO89" i="64"/>
  <c r="D26" i="67" s="1"/>
  <c r="G39" i="63"/>
  <c r="Y25" i="58"/>
  <c r="G44" i="77"/>
  <c r="G40" i="63"/>
  <c r="G14" i="63"/>
  <c r="H14" i="63" s="1"/>
  <c r="D43" i="75"/>
  <c r="G22" i="75"/>
  <c r="E22" i="75"/>
  <c r="F22" i="75"/>
  <c r="D22" i="75"/>
  <c r="K158" i="60"/>
  <c r="D56" i="62" s="1"/>
  <c r="G11" i="75"/>
  <c r="F11" i="75"/>
  <c r="K37" i="60"/>
  <c r="D43" i="62" s="1"/>
  <c r="E11" i="75"/>
  <c r="D11" i="75"/>
  <c r="L130" i="60"/>
  <c r="E53" i="62" s="1"/>
  <c r="F48" i="75"/>
  <c r="E48" i="75"/>
  <c r="G48" i="75"/>
  <c r="D48" i="75"/>
  <c r="F14" i="75"/>
  <c r="K77" i="60"/>
  <c r="D47" i="62" s="1"/>
  <c r="G14" i="75"/>
  <c r="D14" i="75"/>
  <c r="E14" i="75"/>
  <c r="D17" i="63"/>
  <c r="H12" i="75"/>
  <c r="G17" i="75"/>
  <c r="K98" i="60"/>
  <c r="H23" i="77"/>
  <c r="C38" i="77"/>
  <c r="F46" i="63"/>
  <c r="D44" i="75"/>
  <c r="BD16" i="46"/>
  <c r="AD59" i="58" s="1"/>
  <c r="BH16" i="46"/>
  <c r="AG59" i="58" s="1"/>
  <c r="H20" i="63"/>
  <c r="D50" i="74"/>
  <c r="D31" i="74"/>
  <c r="AC77" i="60"/>
  <c r="D47" i="73" s="1"/>
  <c r="BM54" i="64"/>
  <c r="BN54" i="64" s="1"/>
  <c r="L27" i="69" s="1"/>
  <c r="BL54" i="64"/>
  <c r="K27" i="69" s="1"/>
  <c r="C65" i="75"/>
  <c r="C39" i="75" s="1"/>
  <c r="C65" i="77"/>
  <c r="C39" i="77" s="1"/>
  <c r="C65" i="63"/>
  <c r="C65" i="76"/>
  <c r="C39" i="76" s="1"/>
  <c r="G13" i="75"/>
  <c r="K52" i="60"/>
  <c r="D45" i="62" s="1"/>
  <c r="F13" i="75"/>
  <c r="D13" i="75"/>
  <c r="E13" i="75"/>
  <c r="S60" i="60"/>
  <c r="V60" i="60" s="1"/>
  <c r="AB60" i="60"/>
  <c r="AE60" i="60" s="1"/>
  <c r="T60" i="60"/>
  <c r="AK60" i="60"/>
  <c r="AN60" i="60" s="1"/>
  <c r="G49" i="75"/>
  <c r="D49" i="75"/>
  <c r="E49" i="75"/>
  <c r="L139" i="60"/>
  <c r="E54" i="62" s="1"/>
  <c r="F49" i="75"/>
  <c r="T14" i="60"/>
  <c r="AK14" i="60"/>
  <c r="AN14" i="60" s="1"/>
  <c r="AB14" i="60"/>
  <c r="AE14" i="60" s="1"/>
  <c r="J110" i="60"/>
  <c r="M110" i="60" s="1"/>
  <c r="M115" i="60" s="1"/>
  <c r="F51" i="62" s="1"/>
  <c r="L110" i="60"/>
  <c r="C38" i="76"/>
  <c r="BF16" i="46"/>
  <c r="BB16" i="46"/>
  <c r="BB19" i="46" s="1"/>
  <c r="E17" i="77"/>
  <c r="H20" i="77"/>
  <c r="BD19" i="54"/>
  <c r="AM102" i="60"/>
  <c r="E49" i="74" s="1"/>
  <c r="AN25" i="60"/>
  <c r="F42" i="74" s="1"/>
  <c r="C10" i="74" s="1"/>
  <c r="F43" i="75"/>
  <c r="D14" i="77"/>
  <c r="H12" i="77"/>
  <c r="E50" i="75"/>
  <c r="L148" i="60"/>
  <c r="E55" i="62" s="1"/>
  <c r="G50" i="75"/>
  <c r="D50" i="75"/>
  <c r="F50" i="75"/>
  <c r="BM39" i="64"/>
  <c r="BN39" i="64" s="1"/>
  <c r="L20" i="69" s="1"/>
  <c r="J20" i="69"/>
  <c r="F18" i="75"/>
  <c r="D18" i="75"/>
  <c r="E18" i="75"/>
  <c r="K122" i="60"/>
  <c r="D52" i="62" s="1"/>
  <c r="G18" i="75"/>
  <c r="G19" i="75"/>
  <c r="D19" i="75"/>
  <c r="F19" i="75"/>
  <c r="E19" i="75"/>
  <c r="K130" i="60"/>
  <c r="D53" i="62" s="1"/>
  <c r="BL39" i="64"/>
  <c r="K20" i="69" s="1"/>
  <c r="G17" i="63"/>
  <c r="BL52" i="64"/>
  <c r="K25" i="69" s="1"/>
  <c r="BM52" i="64"/>
  <c r="BN52" i="64" s="1"/>
  <c r="L25" i="69" s="1"/>
  <c r="F51" i="76"/>
  <c r="G11" i="63"/>
  <c r="E11" i="63"/>
  <c r="AL37" i="60"/>
  <c r="D43" i="74" s="1"/>
  <c r="F11" i="63"/>
  <c r="D11" i="63"/>
  <c r="AL50" i="64"/>
  <c r="AE54" i="58"/>
  <c r="AA80" i="58"/>
  <c r="AH80" i="58"/>
  <c r="BL48" i="64"/>
  <c r="BM48" i="64"/>
  <c r="BN48" i="64" s="1"/>
  <c r="G44" i="75"/>
  <c r="BA16" i="46"/>
  <c r="BA19" i="46" s="1"/>
  <c r="BE16" i="46"/>
  <c r="AC115" i="60"/>
  <c r="D51" i="73" s="1"/>
  <c r="BC24" i="43"/>
  <c r="BO31" i="64"/>
  <c r="D15" i="67" s="1"/>
  <c r="BB23" i="44"/>
  <c r="L77" i="60"/>
  <c r="E47" i="62" s="1"/>
  <c r="G14" i="77"/>
  <c r="H20" i="75"/>
  <c r="G41" i="77"/>
  <c r="D41" i="77"/>
  <c r="F60" i="62"/>
  <c r="F33" i="62"/>
  <c r="C23" i="62"/>
  <c r="G44" i="76"/>
  <c r="BA23" i="44"/>
  <c r="BL16" i="64"/>
  <c r="BM16" i="64"/>
  <c r="BN16" i="64" s="1"/>
  <c r="J13" i="60"/>
  <c r="M13" i="60" s="1"/>
  <c r="M16" i="60" s="1"/>
  <c r="F41" i="62" s="1"/>
  <c r="C9" i="62" s="1"/>
  <c r="L13" i="60"/>
  <c r="L16" i="60" s="1"/>
  <c r="E41" i="62" s="1"/>
  <c r="G15" i="63"/>
  <c r="E15" i="63"/>
  <c r="D15" i="63"/>
  <c r="C38" i="75"/>
  <c r="G46" i="63"/>
  <c r="S14" i="60"/>
  <c r="V14" i="60" s="1"/>
  <c r="AJ55" i="64"/>
  <c r="F28" i="69" s="1"/>
  <c r="D17" i="77"/>
  <c r="H10" i="63"/>
  <c r="BC19" i="54"/>
  <c r="T44" i="60"/>
  <c r="D44" i="73" s="1"/>
  <c r="H48" i="76"/>
  <c r="E43" i="63"/>
  <c r="BC23" i="44"/>
  <c r="AB34" i="60"/>
  <c r="AE34" i="60" s="1"/>
  <c r="AK48" i="64"/>
  <c r="G23" i="69" s="1"/>
  <c r="Y52" i="58"/>
  <c r="Z52" i="58"/>
  <c r="F13" i="63"/>
  <c r="AL52" i="60"/>
  <c r="D45" i="74" s="1"/>
  <c r="E13" i="63"/>
  <c r="D13" i="63"/>
  <c r="G13" i="63"/>
  <c r="G52" i="63"/>
  <c r="E52" i="63"/>
  <c r="D52" i="63"/>
  <c r="AM166" i="60"/>
  <c r="E58" i="74" s="1"/>
  <c r="F52" i="63"/>
  <c r="T65" i="60"/>
  <c r="S65" i="60"/>
  <c r="V65" i="60" s="1"/>
  <c r="AB65" i="60"/>
  <c r="AE65" i="60" s="1"/>
  <c r="AK65" i="60"/>
  <c r="AN65" i="60" s="1"/>
  <c r="H47" i="75"/>
  <c r="L98" i="60"/>
  <c r="F45" i="75" s="1"/>
  <c r="P98" i="60"/>
  <c r="U98" i="60" s="1"/>
  <c r="D45" i="76" s="1"/>
  <c r="BA21" i="53"/>
  <c r="AE89" i="60"/>
  <c r="F48" i="73" s="1"/>
  <c r="C15" i="73" s="1"/>
  <c r="AF83" i="60"/>
  <c r="AN83" i="60" s="1"/>
  <c r="J31" i="60"/>
  <c r="M31" i="60" s="1"/>
  <c r="M37" i="60" s="1"/>
  <c r="F43" i="62" s="1"/>
  <c r="C11" i="62" s="1"/>
  <c r="L31" i="60"/>
  <c r="L37" i="60" s="1"/>
  <c r="E43" i="62" s="1"/>
  <c r="D23" i="63"/>
  <c r="AL166" i="60"/>
  <c r="D58" i="74" s="1"/>
  <c r="F23" i="63"/>
  <c r="E23" i="63"/>
  <c r="G23" i="63"/>
  <c r="H10" i="75"/>
  <c r="C9" i="77"/>
  <c r="C9" i="76"/>
  <c r="C9" i="75"/>
  <c r="C38" i="63"/>
  <c r="C9" i="63"/>
  <c r="D48" i="63"/>
  <c r="G38" i="75"/>
  <c r="F38" i="75"/>
  <c r="D38" i="75"/>
  <c r="E38" i="75"/>
  <c r="BM28" i="64"/>
  <c r="BN28" i="64" s="1"/>
  <c r="BO26" i="64" s="1"/>
  <c r="BL28" i="64"/>
  <c r="K13" i="69" s="1"/>
  <c r="AL79" i="64"/>
  <c r="AE83" i="58"/>
  <c r="BC16" i="46"/>
  <c r="BC19" i="46" s="1"/>
  <c r="BG16" i="46"/>
  <c r="F17" i="77"/>
  <c r="F15" i="63"/>
  <c r="F15" i="77"/>
  <c r="D113" i="59"/>
  <c r="H24" i="75"/>
  <c r="H41" i="75"/>
  <c r="D15" i="75"/>
  <c r="K89" i="60"/>
  <c r="D48" i="62" s="1"/>
  <c r="G15" i="75"/>
  <c r="F15" i="75"/>
  <c r="E15" i="75"/>
  <c r="H22" i="77"/>
  <c r="AB13" i="60"/>
  <c r="AE13" i="60" s="1"/>
  <c r="K13" i="60"/>
  <c r="S13" i="60"/>
  <c r="V13" i="60" s="1"/>
  <c r="AK13" i="60"/>
  <c r="AN13" i="60" s="1"/>
  <c r="F17" i="63"/>
  <c r="L163" i="60"/>
  <c r="F25" i="63"/>
  <c r="E29" i="63" s="1"/>
  <c r="H16" i="77"/>
  <c r="BH18" i="50"/>
  <c r="AG85" i="58" s="1"/>
  <c r="BD18" i="50"/>
  <c r="D51" i="75"/>
  <c r="H51" i="75" s="1"/>
  <c r="E51" i="75"/>
  <c r="G51" i="75"/>
  <c r="L158" i="60"/>
  <c r="E56" i="62" s="1"/>
  <c r="F9" i="77"/>
  <c r="AC16" i="60"/>
  <c r="G9" i="77"/>
  <c r="E9" i="77"/>
  <c r="D9" i="77"/>
  <c r="AL115" i="60"/>
  <c r="D51" i="74" s="1"/>
  <c r="AD55" i="58"/>
  <c r="BD20" i="37"/>
  <c r="AB12" i="60"/>
  <c r="AE12" i="60" s="1"/>
  <c r="S12" i="60"/>
  <c r="V12" i="60" s="1"/>
  <c r="AK12" i="60"/>
  <c r="T12" i="60"/>
  <c r="D9" i="76" s="1"/>
  <c r="BL51" i="64"/>
  <c r="K24" i="69" s="1"/>
  <c r="BM51" i="64"/>
  <c r="BN51" i="64" s="1"/>
  <c r="L24" i="69" s="1"/>
  <c r="AK51" i="64"/>
  <c r="G24" i="69" s="1"/>
  <c r="Y55" i="58"/>
  <c r="AN130" i="60"/>
  <c r="F53" i="74" s="1"/>
  <c r="C19" i="74" s="1"/>
  <c r="V130" i="60"/>
  <c r="F53" i="72" s="1"/>
  <c r="C19" i="72" s="1"/>
  <c r="AH53" i="58"/>
  <c r="AA53" i="58"/>
  <c r="AL49" i="64"/>
  <c r="AE53" i="58"/>
  <c r="AL47" i="64"/>
  <c r="AE51" i="58"/>
  <c r="AH51" i="58"/>
  <c r="AA51" i="58"/>
  <c r="F43" i="72"/>
  <c r="C11" i="72" s="1"/>
  <c r="F11" i="76"/>
  <c r="D11" i="76"/>
  <c r="G11" i="76"/>
  <c r="E11" i="76"/>
  <c r="T37" i="60"/>
  <c r="D43" i="72" s="1"/>
  <c r="AE48" i="58"/>
  <c r="F11" i="77"/>
  <c r="E11" i="77"/>
  <c r="AL46" i="64"/>
  <c r="AE50" i="58"/>
  <c r="AD49" i="58"/>
  <c r="AE49" i="58" s="1"/>
  <c r="BD23" i="44"/>
  <c r="AA39" i="58"/>
  <c r="AH39" i="58"/>
  <c r="AL35" i="64"/>
  <c r="AE39" i="58"/>
  <c r="BO33" i="64"/>
  <c r="D16" i="67" s="1"/>
  <c r="AL34" i="64"/>
  <c r="AE38" i="58"/>
  <c r="G16" i="69"/>
  <c r="AH38" i="58"/>
  <c r="AA38" i="58"/>
  <c r="AH37" i="58"/>
  <c r="AA37" i="58"/>
  <c r="AL33" i="64"/>
  <c r="AE37" i="58"/>
  <c r="BB23" i="42"/>
  <c r="AH36" i="58"/>
  <c r="AA36" i="58"/>
  <c r="AE36" i="58"/>
  <c r="AL32" i="64"/>
  <c r="E15" i="76"/>
  <c r="D15" i="76"/>
  <c r="T89" i="60"/>
  <c r="D48" i="72" s="1"/>
  <c r="G15" i="76"/>
  <c r="F48" i="72"/>
  <c r="C15" i="72" s="1"/>
  <c r="F15" i="76"/>
  <c r="AL31" i="64"/>
  <c r="AE35" i="58"/>
  <c r="AA34" i="58"/>
  <c r="AB33" i="58" s="1"/>
  <c r="AM29" i="64" s="1"/>
  <c r="AH34" i="58"/>
  <c r="AH32" i="58"/>
  <c r="AA32" i="58"/>
  <c r="AE32" i="58"/>
  <c r="AL28" i="64"/>
  <c r="AH31" i="58"/>
  <c r="AA31" i="58"/>
  <c r="AE31" i="58"/>
  <c r="AL27" i="64"/>
  <c r="F31" i="62"/>
  <c r="F50" i="62"/>
  <c r="C14" i="62"/>
  <c r="BB36" i="41"/>
  <c r="BD36" i="41"/>
  <c r="BM24" i="64"/>
  <c r="BN24" i="64" s="1"/>
  <c r="BL24" i="64"/>
  <c r="S72" i="60"/>
  <c r="V72" i="60" s="1"/>
  <c r="T72" i="60"/>
  <c r="AK72" i="60"/>
  <c r="AN72" i="60" s="1"/>
  <c r="AB72" i="60"/>
  <c r="AE72" i="60" s="1"/>
  <c r="G43" i="63"/>
  <c r="Y28" i="58"/>
  <c r="AK24" i="64"/>
  <c r="G12" i="69" s="1"/>
  <c r="Z28" i="58"/>
  <c r="J12" i="69"/>
  <c r="AL22" i="64"/>
  <c r="AE26" i="58"/>
  <c r="AH26" i="58"/>
  <c r="AA26" i="58"/>
  <c r="AH25" i="58"/>
  <c r="AA25" i="58"/>
  <c r="AL21" i="64"/>
  <c r="AE25" i="58"/>
  <c r="AH24" i="58"/>
  <c r="AA24" i="58"/>
  <c r="AL20" i="64"/>
  <c r="AE24" i="58"/>
  <c r="AA23" i="58"/>
  <c r="AL17" i="64"/>
  <c r="AE22" i="58"/>
  <c r="AA22" i="58"/>
  <c r="AH22" i="58"/>
  <c r="AA21" i="58"/>
  <c r="AH21" i="58"/>
  <c r="AL16" i="64"/>
  <c r="AE21" i="58"/>
  <c r="AH20" i="58"/>
  <c r="AA20" i="58"/>
  <c r="AE20" i="58"/>
  <c r="AL15" i="64"/>
  <c r="G10" i="69"/>
  <c r="AE19" i="58"/>
  <c r="AL19" i="64"/>
  <c r="H11" i="69" s="1"/>
  <c r="AH19" i="58"/>
  <c r="AA19" i="58"/>
  <c r="AE18" i="58"/>
  <c r="AL14" i="64"/>
  <c r="AH18" i="58"/>
  <c r="AA18" i="58"/>
  <c r="BC36" i="41"/>
  <c r="AA15" i="58"/>
  <c r="AH15" i="58"/>
  <c r="AE14" i="58"/>
  <c r="AL10" i="64"/>
  <c r="AH14" i="58"/>
  <c r="AA14" i="58"/>
  <c r="AA13" i="58"/>
  <c r="AH13" i="58"/>
  <c r="AE13" i="58"/>
  <c r="AL9" i="64"/>
  <c r="AN139" i="60"/>
  <c r="F54" i="74" s="1"/>
  <c r="C20" i="74" s="1"/>
  <c r="AE139" i="60"/>
  <c r="F54" i="73" s="1"/>
  <c r="C20" i="73" s="1"/>
  <c r="AE130" i="60"/>
  <c r="F53" i="73" s="1"/>
  <c r="C19" i="73" s="1"/>
  <c r="AE72" i="58"/>
  <c r="AL68" i="64"/>
  <c r="AH72" i="58"/>
  <c r="AA72" i="58"/>
  <c r="AD73" i="58"/>
  <c r="BD19" i="51"/>
  <c r="AA58" i="58"/>
  <c r="AH58" i="58"/>
  <c r="AL54" i="64"/>
  <c r="H27" i="69" s="1"/>
  <c r="AE58" i="58"/>
  <c r="BC20" i="37"/>
  <c r="AE56" i="58"/>
  <c r="AL52" i="64"/>
  <c r="H25" i="69" s="1"/>
  <c r="AA56" i="58"/>
  <c r="AH56" i="58"/>
  <c r="AE99" i="58"/>
  <c r="AL95" i="64"/>
  <c r="H48" i="69" s="1"/>
  <c r="AH99" i="58"/>
  <c r="AA99" i="58"/>
  <c r="AB99" i="58" s="1"/>
  <c r="AM95" i="64" s="1"/>
  <c r="AM25" i="60"/>
  <c r="E42" i="74" s="1"/>
  <c r="AD25" i="60"/>
  <c r="E42" i="73" s="1"/>
  <c r="F39" i="77"/>
  <c r="D39" i="77"/>
  <c r="E39" i="77"/>
  <c r="G39" i="77"/>
  <c r="AK23" i="60"/>
  <c r="AB23" i="60"/>
  <c r="AE23" i="60" s="1"/>
  <c r="AE25" i="60" s="1"/>
  <c r="F42" i="73" s="1"/>
  <c r="C10" i="73" s="1"/>
  <c r="T23" i="60"/>
  <c r="S23" i="60"/>
  <c r="V23" i="60" s="1"/>
  <c r="Z98" i="58"/>
  <c r="Y98" i="58"/>
  <c r="AK94" i="64"/>
  <c r="G47" i="69" s="1"/>
  <c r="BL94" i="64"/>
  <c r="K47" i="69" s="1"/>
  <c r="BN94" i="64"/>
  <c r="E39" i="76"/>
  <c r="G39" i="76"/>
  <c r="F39" i="76"/>
  <c r="U25" i="60"/>
  <c r="E42" i="72" s="1"/>
  <c r="D39" i="76"/>
  <c r="D39" i="63"/>
  <c r="AB22" i="60"/>
  <c r="AE22" i="60" s="1"/>
  <c r="S22" i="60"/>
  <c r="V22" i="60" s="1"/>
  <c r="V25" i="60" s="1"/>
  <c r="F42" i="72" s="1"/>
  <c r="C10" i="72" s="1"/>
  <c r="AK22" i="60"/>
  <c r="Z97" i="58"/>
  <c r="AA97" i="58" s="1"/>
  <c r="AB96" i="58" s="1"/>
  <c r="AM92" i="64" s="1"/>
  <c r="Y97" i="58"/>
  <c r="AL93" i="64" s="1"/>
  <c r="C10" i="62"/>
  <c r="F30" i="62"/>
  <c r="F46" i="62"/>
  <c r="D28" i="67"/>
  <c r="AL90" i="64"/>
  <c r="H44" i="69" s="1"/>
  <c r="AE94" i="58"/>
  <c r="AA94" i="58"/>
  <c r="AH94" i="58"/>
  <c r="H12" i="76"/>
  <c r="BL43" i="64"/>
  <c r="K22" i="69" s="1"/>
  <c r="BM43" i="64"/>
  <c r="BN43" i="64" s="1"/>
  <c r="AK101" i="60"/>
  <c r="AN101" i="60" s="1"/>
  <c r="AN102" i="60" s="1"/>
  <c r="F49" i="74" s="1"/>
  <c r="T101" i="60"/>
  <c r="AB101" i="60"/>
  <c r="S101" i="60"/>
  <c r="V101" i="60" s="1"/>
  <c r="AK43" i="64"/>
  <c r="G22" i="69" s="1"/>
  <c r="Y47" i="58"/>
  <c r="Z47" i="58"/>
  <c r="AA46" i="58"/>
  <c r="AH46" i="58"/>
  <c r="AL42" i="64"/>
  <c r="AE46" i="58"/>
  <c r="AL41" i="64"/>
  <c r="AE45" i="58"/>
  <c r="BB24" i="43"/>
  <c r="AA45" i="58"/>
  <c r="AH45" i="58"/>
  <c r="AL40" i="64"/>
  <c r="H21" i="69" s="1"/>
  <c r="AE44" i="58"/>
  <c r="AH44" i="58"/>
  <c r="AA44" i="58"/>
  <c r="AB44" i="58" s="1"/>
  <c r="AM40" i="64" s="1"/>
  <c r="AE43" i="58"/>
  <c r="AL39" i="64"/>
  <c r="H20" i="69" s="1"/>
  <c r="AA43" i="58"/>
  <c r="AH43" i="58"/>
  <c r="J19" i="69"/>
  <c r="BM38" i="64"/>
  <c r="BN38" i="64" s="1"/>
  <c r="BL38" i="64"/>
  <c r="K19" i="69" s="1"/>
  <c r="S96" i="60"/>
  <c r="V96" i="60" s="1"/>
  <c r="V102" i="60" s="1"/>
  <c r="F49" i="72" s="1"/>
  <c r="C16" i="72" s="1"/>
  <c r="AB96" i="60"/>
  <c r="AE96" i="60" s="1"/>
  <c r="T96" i="60"/>
  <c r="AK96" i="60"/>
  <c r="Y42" i="58"/>
  <c r="AK38" i="64"/>
  <c r="G19" i="69" s="1"/>
  <c r="Z42" i="58"/>
  <c r="G45" i="63"/>
  <c r="BD24" i="43"/>
  <c r="E45" i="63"/>
  <c r="AA40" i="58"/>
  <c r="AB40" i="58" s="1"/>
  <c r="AM36" i="64" s="1"/>
  <c r="AH40" i="58"/>
  <c r="AL36" i="64"/>
  <c r="H17" i="69" s="1"/>
  <c r="AE40" i="58"/>
  <c r="AB172" i="60"/>
  <c r="AE172" i="60" s="1"/>
  <c r="AE174" i="60" s="1"/>
  <c r="F59" i="73" s="1"/>
  <c r="C24" i="73" s="1"/>
  <c r="S172" i="60"/>
  <c r="V172" i="60" s="1"/>
  <c r="V174" i="60" s="1"/>
  <c r="F59" i="72" s="1"/>
  <c r="C24" i="72" s="1"/>
  <c r="AK172" i="60"/>
  <c r="H24" i="76"/>
  <c r="BM87" i="64"/>
  <c r="BN87" i="64" s="1"/>
  <c r="BL87" i="64"/>
  <c r="Z91" i="58"/>
  <c r="AK87" i="64"/>
  <c r="G43" i="69" s="1"/>
  <c r="Y91" i="58"/>
  <c r="H53" i="76"/>
  <c r="BD19" i="55"/>
  <c r="AD90" i="58"/>
  <c r="AE90" i="58" s="1"/>
  <c r="AL86" i="64"/>
  <c r="E60" i="72"/>
  <c r="AH90" i="58"/>
  <c r="AA90" i="58"/>
  <c r="AH89" i="58"/>
  <c r="AA89" i="58"/>
  <c r="AN166" i="60"/>
  <c r="F58" i="74" s="1"/>
  <c r="C23" i="74" s="1"/>
  <c r="F58" i="72"/>
  <c r="C23" i="72" s="1"/>
  <c r="AL85" i="64"/>
  <c r="AE89" i="58"/>
  <c r="AA88" i="58"/>
  <c r="AH88" i="58"/>
  <c r="AE166" i="60"/>
  <c r="F58" i="73" s="1"/>
  <c r="AE88" i="58"/>
  <c r="AL84" i="64"/>
  <c r="AH87" i="58"/>
  <c r="D23" i="76"/>
  <c r="E23" i="76"/>
  <c r="G23" i="76"/>
  <c r="F23" i="76"/>
  <c r="D58" i="72"/>
  <c r="M45" i="69"/>
  <c r="AA95" i="58"/>
  <c r="AB95" i="58" s="1"/>
  <c r="AM91" i="64" s="1"/>
  <c r="AH95" i="58"/>
  <c r="AE95" i="58"/>
  <c r="AL91" i="64"/>
  <c r="H45" i="69" s="1"/>
  <c r="T52" i="60"/>
  <c r="D45" i="72" s="1"/>
  <c r="F13" i="76"/>
  <c r="D13" i="76"/>
  <c r="G13" i="76"/>
  <c r="E13" i="76"/>
  <c r="AL56" i="64"/>
  <c r="H29" i="69" s="1"/>
  <c r="AH60" i="58"/>
  <c r="AA60" i="58"/>
  <c r="H42" i="63"/>
  <c r="H42" i="76"/>
  <c r="AD60" i="58"/>
  <c r="AE60" i="58" s="1"/>
  <c r="AN158" i="60"/>
  <c r="F56" i="74" s="1"/>
  <c r="C22" i="74" s="1"/>
  <c r="T158" i="60"/>
  <c r="D56" i="72" s="1"/>
  <c r="AE82" i="58"/>
  <c r="AL78" i="64"/>
  <c r="F56" i="72"/>
  <c r="C22" i="72" s="1"/>
  <c r="D22" i="76"/>
  <c r="AL77" i="64"/>
  <c r="AE81" i="58"/>
  <c r="AH81" i="58"/>
  <c r="AA81" i="58"/>
  <c r="G22" i="76"/>
  <c r="F22" i="76"/>
  <c r="E22" i="76"/>
  <c r="AE78" i="58"/>
  <c r="AL74" i="64"/>
  <c r="BD20" i="52"/>
  <c r="H50" i="63"/>
  <c r="AA78" i="58"/>
  <c r="AH78" i="58"/>
  <c r="AA77" i="58"/>
  <c r="AH77" i="58"/>
  <c r="AL73" i="64"/>
  <c r="AE77" i="58"/>
  <c r="AN148" i="60"/>
  <c r="F55" i="74" s="1"/>
  <c r="C21" i="74" s="1"/>
  <c r="F55" i="72"/>
  <c r="C21" i="72" s="1"/>
  <c r="AE148" i="60"/>
  <c r="F55" i="73" s="1"/>
  <c r="C21" i="73" s="1"/>
  <c r="AE76" i="58"/>
  <c r="AL72" i="64"/>
  <c r="H39" i="69" s="1"/>
  <c r="AA76" i="58"/>
  <c r="AH76" i="58"/>
  <c r="H50" i="76"/>
  <c r="AA75" i="58"/>
  <c r="AH75" i="58"/>
  <c r="H50" i="77"/>
  <c r="AL71" i="64"/>
  <c r="H38" i="69" s="1"/>
  <c r="AE75" i="58"/>
  <c r="T148" i="60"/>
  <c r="D55" i="72" s="1"/>
  <c r="G21" i="76"/>
  <c r="F21" i="76"/>
  <c r="E21" i="76"/>
  <c r="D21" i="76"/>
  <c r="T122" i="60"/>
  <c r="D52" i="72" s="1"/>
  <c r="D18" i="76"/>
  <c r="G18" i="76"/>
  <c r="F18" i="76"/>
  <c r="E18" i="76"/>
  <c r="H47" i="63"/>
  <c r="AE69" i="58"/>
  <c r="AL65" i="64"/>
  <c r="H35" i="69" s="1"/>
  <c r="H47" i="77"/>
  <c r="AA69" i="58"/>
  <c r="AH69" i="58"/>
  <c r="AL63" i="64"/>
  <c r="AE67" i="58"/>
  <c r="AA67" i="58"/>
  <c r="AH67" i="58"/>
  <c r="AE66" i="58"/>
  <c r="AL62" i="64"/>
  <c r="AH66" i="58"/>
  <c r="AA66" i="58"/>
  <c r="AL61" i="64"/>
  <c r="AE65" i="58"/>
  <c r="AA65" i="58"/>
  <c r="AH65" i="58"/>
  <c r="AA64" i="58"/>
  <c r="AH64" i="58"/>
  <c r="AE64" i="58"/>
  <c r="AL60" i="64"/>
  <c r="BM60" i="64"/>
  <c r="BN60" i="64" s="1"/>
  <c r="G33" i="69"/>
  <c r="AL58" i="64"/>
  <c r="H31" i="69" s="1"/>
  <c r="AE62" i="58"/>
  <c r="AA62" i="58"/>
  <c r="AH62" i="58"/>
  <c r="AL57" i="64"/>
  <c r="H30" i="69" s="1"/>
  <c r="AE61" i="58"/>
  <c r="AH61" i="58"/>
  <c r="AA61" i="58"/>
  <c r="G17" i="76"/>
  <c r="F17" i="76"/>
  <c r="D17" i="76"/>
  <c r="T115" i="60"/>
  <c r="D51" i="72" s="1"/>
  <c r="E17" i="76"/>
  <c r="AH73" i="58"/>
  <c r="AA73" i="58"/>
  <c r="AE71" i="58"/>
  <c r="AL67" i="64"/>
  <c r="G19" i="76"/>
  <c r="F19" i="76"/>
  <c r="T130" i="60"/>
  <c r="D53" i="72" s="1"/>
  <c r="E19" i="76"/>
  <c r="D19" i="76"/>
  <c r="AA71" i="58"/>
  <c r="AH71" i="58"/>
  <c r="F54" i="72"/>
  <c r="C20" i="72" s="1"/>
  <c r="H49" i="63"/>
  <c r="AA74" i="58"/>
  <c r="AH74" i="58"/>
  <c r="AE74" i="58"/>
  <c r="AL70" i="64"/>
  <c r="H37" i="69" s="1"/>
  <c r="D20" i="76"/>
  <c r="T139" i="60"/>
  <c r="D54" i="72" s="1"/>
  <c r="G20" i="76"/>
  <c r="F20" i="76"/>
  <c r="E20" i="76"/>
  <c r="H49" i="76"/>
  <c r="D32" i="62" l="1"/>
  <c r="G43" i="75"/>
  <c r="V16" i="60"/>
  <c r="H48" i="75"/>
  <c r="H47" i="76"/>
  <c r="AE122" i="60"/>
  <c r="F52" i="73" s="1"/>
  <c r="C18" i="73" s="1"/>
  <c r="D57" i="62"/>
  <c r="AN110" i="60"/>
  <c r="AN115" i="60" s="1"/>
  <c r="F51" i="74" s="1"/>
  <c r="C17" i="74" s="1"/>
  <c r="L13" i="69"/>
  <c r="H38" i="75"/>
  <c r="H14" i="75"/>
  <c r="D41" i="73"/>
  <c r="D41" i="72"/>
  <c r="AB30" i="58"/>
  <c r="AM26" i="64" s="1"/>
  <c r="H52" i="77"/>
  <c r="E60" i="73"/>
  <c r="H51" i="77"/>
  <c r="AE73" i="58"/>
  <c r="AE101" i="60"/>
  <c r="AE102" i="60" s="1"/>
  <c r="F49" i="73" s="1"/>
  <c r="C16" i="73" s="1"/>
  <c r="E15" i="77"/>
  <c r="H51" i="63"/>
  <c r="H48" i="77"/>
  <c r="H48" i="63"/>
  <c r="E57" i="74"/>
  <c r="H44" i="77"/>
  <c r="AH35" i="58"/>
  <c r="E33" i="73"/>
  <c r="H24" i="77"/>
  <c r="E33" i="74"/>
  <c r="D60" i="73"/>
  <c r="F60" i="73"/>
  <c r="BD19" i="46"/>
  <c r="E32" i="74"/>
  <c r="AH86" i="58"/>
  <c r="D25" i="77"/>
  <c r="E27" i="77" s="1"/>
  <c r="H14" i="77"/>
  <c r="AB93" i="58"/>
  <c r="AM89" i="64" s="1"/>
  <c r="H40" i="63"/>
  <c r="G25" i="63"/>
  <c r="E30" i="63" s="1"/>
  <c r="G25" i="77"/>
  <c r="E30" i="77" s="1"/>
  <c r="E25" i="63"/>
  <c r="E28" i="63" s="1"/>
  <c r="K10" i="69"/>
  <c r="BO44" i="64"/>
  <c r="BO9" i="64"/>
  <c r="D11" i="67" s="1"/>
  <c r="M10" i="66" s="1"/>
  <c r="M13" i="66"/>
  <c r="D45" i="67"/>
  <c r="M14" i="69"/>
  <c r="K23" i="69"/>
  <c r="L22" i="69"/>
  <c r="BP29" i="64"/>
  <c r="N14" i="69" s="1"/>
  <c r="K33" i="69"/>
  <c r="M21" i="69"/>
  <c r="M17" i="69"/>
  <c r="D30" i="67"/>
  <c r="L12" i="69"/>
  <c r="BO41" i="64"/>
  <c r="M22" i="69" s="1"/>
  <c r="H49" i="77"/>
  <c r="H43" i="77"/>
  <c r="K12" i="69"/>
  <c r="AE77" i="60"/>
  <c r="F47" i="73" s="1"/>
  <c r="C14" i="73" s="1"/>
  <c r="F14" i="76"/>
  <c r="BO20" i="64"/>
  <c r="D12" i="67" s="1"/>
  <c r="D43" i="67" s="1"/>
  <c r="E50" i="73"/>
  <c r="E14" i="76"/>
  <c r="G14" i="76"/>
  <c r="H43" i="76"/>
  <c r="D14" i="76"/>
  <c r="AN77" i="60"/>
  <c r="F47" i="74" s="1"/>
  <c r="C14" i="74" s="1"/>
  <c r="L10" i="69"/>
  <c r="V77" i="60"/>
  <c r="F47" i="72" s="1"/>
  <c r="C14" i="72" s="1"/>
  <c r="T77" i="60"/>
  <c r="D47" i="72" s="1"/>
  <c r="H40" i="69"/>
  <c r="H53" i="63"/>
  <c r="K43" i="69"/>
  <c r="H53" i="77"/>
  <c r="L43" i="69"/>
  <c r="E60" i="74"/>
  <c r="F60" i="74"/>
  <c r="F33" i="74"/>
  <c r="BO83" i="64"/>
  <c r="M43" i="69" s="1"/>
  <c r="E57" i="73"/>
  <c r="Y100" i="58"/>
  <c r="BO65" i="64"/>
  <c r="D24" i="67" s="1"/>
  <c r="L37" i="69"/>
  <c r="E32" i="72"/>
  <c r="BM63" i="64"/>
  <c r="BN63" i="64" s="1"/>
  <c r="BO57" i="64" s="1"/>
  <c r="J33" i="69"/>
  <c r="E57" i="72"/>
  <c r="H46" i="77"/>
  <c r="E32" i="73"/>
  <c r="D16" i="76"/>
  <c r="H45" i="77"/>
  <c r="BO38" i="64"/>
  <c r="M19" i="69" s="1"/>
  <c r="L19" i="69"/>
  <c r="E31" i="73"/>
  <c r="E50" i="74"/>
  <c r="H44" i="63"/>
  <c r="AB37" i="58"/>
  <c r="AM33" i="64" s="1"/>
  <c r="M15" i="69"/>
  <c r="E31" i="74"/>
  <c r="AN89" i="60"/>
  <c r="F48" i="74" s="1"/>
  <c r="C15" i="74" s="1"/>
  <c r="H41" i="77"/>
  <c r="D44" i="72"/>
  <c r="D44" i="74"/>
  <c r="M44" i="69"/>
  <c r="H40" i="77"/>
  <c r="L23" i="69"/>
  <c r="AE37" i="60"/>
  <c r="F43" i="73" s="1"/>
  <c r="C11" i="73" s="1"/>
  <c r="H40" i="76"/>
  <c r="BO94" i="64"/>
  <c r="BP92" i="64" s="1"/>
  <c r="N46" i="69" s="1"/>
  <c r="L47" i="69"/>
  <c r="H39" i="63"/>
  <c r="F9" i="76"/>
  <c r="H46" i="76"/>
  <c r="H46" i="63"/>
  <c r="H41" i="69"/>
  <c r="E25" i="77"/>
  <c r="E28" i="77" s="1"/>
  <c r="E46" i="62"/>
  <c r="E30" i="62"/>
  <c r="M13" i="69"/>
  <c r="D13" i="67"/>
  <c r="M12" i="66" s="1"/>
  <c r="D21" i="67"/>
  <c r="D52" i="67" s="1"/>
  <c r="M23" i="69"/>
  <c r="C43" i="62"/>
  <c r="C43" i="73"/>
  <c r="C43" i="74"/>
  <c r="C43" i="72"/>
  <c r="AE52" i="58"/>
  <c r="AL48" i="64"/>
  <c r="H23" i="69" s="1"/>
  <c r="D31" i="73"/>
  <c r="D50" i="73"/>
  <c r="I38" i="75"/>
  <c r="G45" i="75"/>
  <c r="H19" i="75"/>
  <c r="H43" i="75"/>
  <c r="H44" i="75"/>
  <c r="F45" i="76"/>
  <c r="AN31" i="60"/>
  <c r="AN37" i="60" s="1"/>
  <c r="F43" i="74" s="1"/>
  <c r="C11" i="74" s="1"/>
  <c r="D60" i="62"/>
  <c r="D33" i="62"/>
  <c r="F52" i="75"/>
  <c r="D52" i="75"/>
  <c r="L166" i="60"/>
  <c r="E58" i="62" s="1"/>
  <c r="E52" i="75"/>
  <c r="G52" i="75"/>
  <c r="H15" i="63"/>
  <c r="L102" i="60"/>
  <c r="E49" i="62" s="1"/>
  <c r="H17" i="63"/>
  <c r="H23" i="75"/>
  <c r="H45" i="63"/>
  <c r="G16" i="76"/>
  <c r="H13" i="69"/>
  <c r="BO51" i="64"/>
  <c r="D57" i="74"/>
  <c r="D32" i="74"/>
  <c r="H13" i="63"/>
  <c r="H17" i="77"/>
  <c r="E40" i="75"/>
  <c r="E54" i="75" s="1"/>
  <c r="E57" i="75" s="1"/>
  <c r="E45" i="75"/>
  <c r="H50" i="75"/>
  <c r="C10" i="76"/>
  <c r="C10" i="63"/>
  <c r="I10" i="63" s="1"/>
  <c r="C39" i="63"/>
  <c r="C10" i="75"/>
  <c r="I10" i="75" s="1"/>
  <c r="C10" i="77"/>
  <c r="I10" i="77" s="1"/>
  <c r="H22" i="75"/>
  <c r="AK82" i="64"/>
  <c r="H15" i="69"/>
  <c r="H9" i="77"/>
  <c r="I9" i="77" s="1"/>
  <c r="F40" i="75"/>
  <c r="F54" i="75" s="1"/>
  <c r="E58" i="75" s="1"/>
  <c r="D32" i="73"/>
  <c r="D57" i="73"/>
  <c r="D45" i="75"/>
  <c r="H45" i="75" s="1"/>
  <c r="H11" i="63"/>
  <c r="AE17" i="58"/>
  <c r="AL13" i="64"/>
  <c r="H10" i="69" s="1"/>
  <c r="H44" i="76"/>
  <c r="AD85" i="58"/>
  <c r="BD20" i="50"/>
  <c r="H15" i="75"/>
  <c r="I9" i="63"/>
  <c r="AK55" i="64"/>
  <c r="G28" i="69" s="1"/>
  <c r="D40" i="75"/>
  <c r="E45" i="76"/>
  <c r="G46" i="75"/>
  <c r="E46" i="75"/>
  <c r="D46" i="75"/>
  <c r="F46" i="75"/>
  <c r="L115" i="60"/>
  <c r="E51" i="62" s="1"/>
  <c r="H11" i="75"/>
  <c r="AL64" i="64"/>
  <c r="H34" i="69" s="1"/>
  <c r="AE68" i="58"/>
  <c r="H21" i="77"/>
  <c r="H17" i="75"/>
  <c r="H43" i="63"/>
  <c r="AB35" i="58"/>
  <c r="AM31" i="64" s="1"/>
  <c r="F25" i="77"/>
  <c r="E29" i="77" s="1"/>
  <c r="E9" i="75"/>
  <c r="G9" i="75"/>
  <c r="D9" i="75"/>
  <c r="K16" i="60"/>
  <c r="D41" i="62" s="1"/>
  <c r="F9" i="75"/>
  <c r="D60" i="74"/>
  <c r="D33" i="74"/>
  <c r="G45" i="76"/>
  <c r="U102" i="60"/>
  <c r="E49" i="72" s="1"/>
  <c r="G40" i="75"/>
  <c r="G54" i="75" s="1"/>
  <c r="E59" i="75" s="1"/>
  <c r="H18" i="75"/>
  <c r="F57" i="62"/>
  <c r="F62" i="62" s="1"/>
  <c r="C25" i="62" s="1"/>
  <c r="C17" i="62"/>
  <c r="F32" i="62"/>
  <c r="F34" i="62" s="1"/>
  <c r="H13" i="75"/>
  <c r="E16" i="75"/>
  <c r="F16" i="75"/>
  <c r="K102" i="60"/>
  <c r="D49" i="62" s="1"/>
  <c r="D31" i="62" s="1"/>
  <c r="G16" i="75"/>
  <c r="D16" i="75"/>
  <c r="D114" i="59"/>
  <c r="H51" i="76"/>
  <c r="H36" i="69"/>
  <c r="H33" i="69"/>
  <c r="AK81" i="64"/>
  <c r="H23" i="63"/>
  <c r="H52" i="63"/>
  <c r="AA52" i="58"/>
  <c r="AB48" i="58" s="1"/>
  <c r="AM44" i="64" s="1"/>
  <c r="AH52" i="58"/>
  <c r="E31" i="62"/>
  <c r="E50" i="62"/>
  <c r="H49" i="75"/>
  <c r="AE115" i="60"/>
  <c r="F51" i="73" s="1"/>
  <c r="C17" i="73" s="1"/>
  <c r="I39" i="75"/>
  <c r="H15" i="77"/>
  <c r="D25" i="63"/>
  <c r="B23" i="59"/>
  <c r="B24" i="59" s="1"/>
  <c r="B25" i="59" s="1"/>
  <c r="B26" i="59" s="1"/>
  <c r="B27" i="59" s="1"/>
  <c r="B28" i="59" s="1"/>
  <c r="B29" i="59" s="1"/>
  <c r="B30" i="59" s="1"/>
  <c r="B31" i="59" s="1"/>
  <c r="B32" i="59" s="1"/>
  <c r="B33" i="59" s="1"/>
  <c r="B34" i="59" s="1"/>
  <c r="B35" i="59" s="1"/>
  <c r="B36" i="59" s="1"/>
  <c r="B37" i="59" s="1"/>
  <c r="B38" i="59" s="1"/>
  <c r="B39" i="59" s="1"/>
  <c r="B40" i="59" s="1"/>
  <c r="B41" i="59" s="1"/>
  <c r="B42" i="59" s="1"/>
  <c r="T16" i="60"/>
  <c r="AE55" i="58"/>
  <c r="AL51" i="64"/>
  <c r="H24" i="69" s="1"/>
  <c r="AH55" i="58"/>
  <c r="AA55" i="58"/>
  <c r="E9" i="76"/>
  <c r="AN12" i="60"/>
  <c r="AN16" i="60" s="1"/>
  <c r="F41" i="74" s="1"/>
  <c r="C9" i="74" s="1"/>
  <c r="AM12" i="60"/>
  <c r="G9" i="76"/>
  <c r="F41" i="72"/>
  <c r="C9" i="72" s="1"/>
  <c r="U12" i="60"/>
  <c r="AE16" i="60"/>
  <c r="F41" i="73" s="1"/>
  <c r="C9" i="73" s="1"/>
  <c r="AD12" i="60"/>
  <c r="H11" i="76"/>
  <c r="H11" i="77"/>
  <c r="H16" i="69"/>
  <c r="M16" i="69"/>
  <c r="D47" i="67"/>
  <c r="M15" i="66"/>
  <c r="H15" i="76"/>
  <c r="M14" i="66"/>
  <c r="D46" i="67"/>
  <c r="AL24" i="64"/>
  <c r="H12" i="69" s="1"/>
  <c r="AE28" i="58"/>
  <c r="AH28" i="58"/>
  <c r="AA28" i="58"/>
  <c r="AB24" i="58"/>
  <c r="AM20" i="64" s="1"/>
  <c r="M10" i="69"/>
  <c r="AB13" i="58"/>
  <c r="AM9" i="64" s="1"/>
  <c r="D61" i="67"/>
  <c r="H39" i="76"/>
  <c r="I39" i="76" s="1"/>
  <c r="AL94" i="64"/>
  <c r="H47" i="69" s="1"/>
  <c r="AE98" i="58"/>
  <c r="D10" i="76"/>
  <c r="E10" i="76"/>
  <c r="T25" i="60"/>
  <c r="D42" i="72" s="1"/>
  <c r="G10" i="76"/>
  <c r="F10" i="76"/>
  <c r="AA98" i="58"/>
  <c r="AB98" i="58" s="1"/>
  <c r="AM94" i="64" s="1"/>
  <c r="AH98" i="58"/>
  <c r="H39" i="77"/>
  <c r="I39" i="77" s="1"/>
  <c r="D59" i="67"/>
  <c r="M27" i="66"/>
  <c r="D46" i="74"/>
  <c r="D30" i="74"/>
  <c r="D57" i="67"/>
  <c r="M25" i="66"/>
  <c r="D30" i="73"/>
  <c r="D46" i="73"/>
  <c r="C16" i="74"/>
  <c r="AA47" i="58"/>
  <c r="AB45" i="58" s="1"/>
  <c r="AM41" i="64" s="1"/>
  <c r="AH47" i="58"/>
  <c r="AE47" i="58"/>
  <c r="AL43" i="64"/>
  <c r="H22" i="69" s="1"/>
  <c r="E16" i="76"/>
  <c r="F16" i="76"/>
  <c r="D50" i="67"/>
  <c r="M18" i="66"/>
  <c r="AE42" i="58"/>
  <c r="AL38" i="64"/>
  <c r="H19" i="69" s="1"/>
  <c r="T102" i="60"/>
  <c r="D49" i="72" s="1"/>
  <c r="AA42" i="58"/>
  <c r="AB42" i="58" s="1"/>
  <c r="AM38" i="64" s="1"/>
  <c r="AH42" i="58"/>
  <c r="D48" i="67"/>
  <c r="M16" i="66"/>
  <c r="AA91" i="58"/>
  <c r="AB87" i="58" s="1"/>
  <c r="AM83" i="64" s="1"/>
  <c r="AH91" i="58"/>
  <c r="AL87" i="64"/>
  <c r="H43" i="69" s="1"/>
  <c r="AE91" i="58"/>
  <c r="F60" i="72"/>
  <c r="C23" i="73"/>
  <c r="F33" i="73"/>
  <c r="F33" i="72"/>
  <c r="D60" i="72"/>
  <c r="D33" i="72"/>
  <c r="H23" i="76"/>
  <c r="M26" i="66"/>
  <c r="D58" i="67"/>
  <c r="H13" i="76"/>
  <c r="H22" i="76"/>
  <c r="F57" i="72"/>
  <c r="H21" i="76"/>
  <c r="H18" i="76"/>
  <c r="F32" i="72"/>
  <c r="AB61" i="58"/>
  <c r="AM57" i="64" s="1"/>
  <c r="H17" i="76"/>
  <c r="H19" i="76"/>
  <c r="D32" i="72"/>
  <c r="D57" i="72"/>
  <c r="H20" i="76"/>
  <c r="F32" i="74" l="1"/>
  <c r="F57" i="74"/>
  <c r="Z100" i="58"/>
  <c r="E25" i="75"/>
  <c r="E28" i="75" s="1"/>
  <c r="F50" i="73"/>
  <c r="F31" i="73"/>
  <c r="D34" i="73"/>
  <c r="D62" i="73"/>
  <c r="D34" i="74"/>
  <c r="D62" i="74"/>
  <c r="C12" i="70"/>
  <c r="M29" i="66"/>
  <c r="D42" i="67"/>
  <c r="E14" i="67"/>
  <c r="D67" i="67" s="1"/>
  <c r="E28" i="67"/>
  <c r="D70" i="67" s="1"/>
  <c r="C15" i="70"/>
  <c r="N27" i="66" s="1"/>
  <c r="D29" i="67"/>
  <c r="M47" i="69"/>
  <c r="D20" i="67"/>
  <c r="M19" i="66" s="1"/>
  <c r="D18" i="67"/>
  <c r="M17" i="66" s="1"/>
  <c r="BP36" i="64"/>
  <c r="C13" i="70" s="1"/>
  <c r="M11" i="66"/>
  <c r="M12" i="69"/>
  <c r="L33" i="69"/>
  <c r="BM96" i="64"/>
  <c r="G42" i="69"/>
  <c r="F31" i="74"/>
  <c r="D44" i="67"/>
  <c r="F50" i="74"/>
  <c r="BP9" i="64"/>
  <c r="C11" i="70" s="1"/>
  <c r="F50" i="72"/>
  <c r="D25" i="76"/>
  <c r="F31" i="72"/>
  <c r="H14" i="76"/>
  <c r="D50" i="72"/>
  <c r="M35" i="69"/>
  <c r="D25" i="67"/>
  <c r="D23" i="67"/>
  <c r="D54" i="67" s="1"/>
  <c r="M30" i="69"/>
  <c r="BO96" i="64"/>
  <c r="H45" i="76"/>
  <c r="H16" i="76"/>
  <c r="F25" i="76"/>
  <c r="E29" i="76" s="1"/>
  <c r="M20" i="66"/>
  <c r="I39" i="63"/>
  <c r="F32" i="73"/>
  <c r="F57" i="73"/>
  <c r="M24" i="69"/>
  <c r="D22" i="67"/>
  <c r="M21" i="66" s="1"/>
  <c r="BP44" i="64"/>
  <c r="E60" i="77"/>
  <c r="H25" i="77"/>
  <c r="F30" i="72"/>
  <c r="F46" i="72"/>
  <c r="D115" i="59"/>
  <c r="E50" i="72"/>
  <c r="E31" i="72"/>
  <c r="G25" i="75"/>
  <c r="E30" i="75" s="1"/>
  <c r="AH59" i="58"/>
  <c r="AA59" i="58"/>
  <c r="AB55" i="58" s="1"/>
  <c r="AM51" i="64" s="1"/>
  <c r="E27" i="63"/>
  <c r="E60" i="63" s="1"/>
  <c r="H25" i="63"/>
  <c r="E32" i="62"/>
  <c r="E57" i="62"/>
  <c r="AL55" i="64"/>
  <c r="H28" i="69" s="1"/>
  <c r="AE59" i="58"/>
  <c r="AL82" i="64"/>
  <c r="AE86" i="58"/>
  <c r="C44" i="73"/>
  <c r="C44" i="62"/>
  <c r="C44" i="74"/>
  <c r="C44" i="72"/>
  <c r="C66" i="77"/>
  <c r="C66" i="63"/>
  <c r="C66" i="76"/>
  <c r="C66" i="75"/>
  <c r="D46" i="72"/>
  <c r="F46" i="73"/>
  <c r="D50" i="62"/>
  <c r="H46" i="75"/>
  <c r="E60" i="62"/>
  <c r="E33" i="62"/>
  <c r="E34" i="62" s="1"/>
  <c r="F30" i="73"/>
  <c r="H52" i="75"/>
  <c r="H16" i="75"/>
  <c r="F25" i="75"/>
  <c r="E29" i="75" s="1"/>
  <c r="AL81" i="64"/>
  <c r="AE85" i="58"/>
  <c r="D46" i="62"/>
  <c r="D30" i="62"/>
  <c r="D34" i="62" s="1"/>
  <c r="B43" i="59"/>
  <c r="B44" i="59" s="1"/>
  <c r="B45" i="59" s="1"/>
  <c r="B46" i="59" s="1"/>
  <c r="B47" i="59" s="1"/>
  <c r="B48" i="59" s="1"/>
  <c r="B49" i="59" s="1"/>
  <c r="AA84" i="58"/>
  <c r="AB69" i="58" s="1"/>
  <c r="AM65" i="64" s="1"/>
  <c r="AH85" i="58"/>
  <c r="H9" i="75"/>
  <c r="I9" i="75" s="1"/>
  <c r="D25" i="75"/>
  <c r="H40" i="75"/>
  <c r="D54" i="75"/>
  <c r="E62" i="62"/>
  <c r="H9" i="76"/>
  <c r="I9" i="76" s="1"/>
  <c r="G25" i="76"/>
  <c r="E30" i="76" s="1"/>
  <c r="F30" i="74"/>
  <c r="E38" i="76"/>
  <c r="E54" i="76" s="1"/>
  <c r="E57" i="76" s="1"/>
  <c r="G38" i="76"/>
  <c r="G54" i="76" s="1"/>
  <c r="E59" i="76" s="1"/>
  <c r="F38" i="76"/>
  <c r="F54" i="76" s="1"/>
  <c r="E58" i="76" s="1"/>
  <c r="U16" i="60"/>
  <c r="E41" i="72" s="1"/>
  <c r="D38" i="76"/>
  <c r="F46" i="74"/>
  <c r="G38" i="63"/>
  <c r="G54" i="63" s="1"/>
  <c r="E59" i="63" s="1"/>
  <c r="AM16" i="60"/>
  <c r="E41" i="74" s="1"/>
  <c r="F38" i="63"/>
  <c r="F54" i="63" s="1"/>
  <c r="E58" i="63" s="1"/>
  <c r="D38" i="63"/>
  <c r="E38" i="63"/>
  <c r="E54" i="63" s="1"/>
  <c r="E57" i="63" s="1"/>
  <c r="G38" i="77"/>
  <c r="G54" i="77" s="1"/>
  <c r="E59" i="77" s="1"/>
  <c r="E38" i="77"/>
  <c r="E54" i="77" s="1"/>
  <c r="E57" i="77" s="1"/>
  <c r="F38" i="77"/>
  <c r="F54" i="77" s="1"/>
  <c r="E58" i="77" s="1"/>
  <c r="D38" i="77"/>
  <c r="AD16" i="60"/>
  <c r="E41" i="73" s="1"/>
  <c r="D30" i="72"/>
  <c r="H10" i="76"/>
  <c r="I10" i="76" s="1"/>
  <c r="E25" i="76"/>
  <c r="E28" i="76" s="1"/>
  <c r="D31" i="72"/>
  <c r="E27" i="76"/>
  <c r="D55" i="67"/>
  <c r="M23" i="66"/>
  <c r="F34" i="74" l="1"/>
  <c r="AM96" i="64"/>
  <c r="F62" i="74"/>
  <c r="C25" i="74" s="1"/>
  <c r="M28" i="66"/>
  <c r="N16" i="66"/>
  <c r="N10" i="66"/>
  <c r="D60" i="67"/>
  <c r="N13" i="66"/>
  <c r="N17" i="69"/>
  <c r="D49" i="67"/>
  <c r="E17" i="67"/>
  <c r="D68" i="67" s="1"/>
  <c r="H42" i="69"/>
  <c r="D51" i="67"/>
  <c r="D31" i="67"/>
  <c r="M49" i="69"/>
  <c r="E11" i="67"/>
  <c r="D66" i="67" s="1"/>
  <c r="M22" i="66"/>
  <c r="N10" i="69"/>
  <c r="F62" i="72"/>
  <c r="C25" i="72" s="1"/>
  <c r="BP96" i="64"/>
  <c r="D62" i="72"/>
  <c r="F34" i="72"/>
  <c r="M24" i="66"/>
  <c r="D56" i="67"/>
  <c r="F34" i="73"/>
  <c r="F62" i="73"/>
  <c r="C25" i="73" s="1"/>
  <c r="AB100" i="58"/>
  <c r="C14" i="70"/>
  <c r="N23" i="69"/>
  <c r="E21" i="67"/>
  <c r="D69" i="67" s="1"/>
  <c r="D53" i="67"/>
  <c r="C47" i="72"/>
  <c r="C47" i="73"/>
  <c r="C47" i="74"/>
  <c r="C47" i="62"/>
  <c r="D62" i="62"/>
  <c r="C67" i="63"/>
  <c r="C67" i="77"/>
  <c r="C41" i="77" s="1"/>
  <c r="I41" i="77" s="1"/>
  <c r="C67" i="76"/>
  <c r="C41" i="76" s="1"/>
  <c r="I41" i="76" s="1"/>
  <c r="C67" i="75"/>
  <c r="C41" i="75" s="1"/>
  <c r="I41" i="75" s="1"/>
  <c r="D116" i="59"/>
  <c r="C40" i="75"/>
  <c r="E27" i="75"/>
  <c r="E60" i="75" s="1"/>
  <c r="H25" i="75"/>
  <c r="E56" i="75"/>
  <c r="H54" i="75"/>
  <c r="B50" i="59"/>
  <c r="B51" i="59" s="1"/>
  <c r="B52" i="59" s="1"/>
  <c r="B53" i="59" s="1"/>
  <c r="B54" i="59" s="1"/>
  <c r="B55" i="59" s="1"/>
  <c r="B56" i="59" s="1"/>
  <c r="B57" i="59" s="1"/>
  <c r="C40" i="76"/>
  <c r="C11" i="76"/>
  <c r="C11" i="77"/>
  <c r="C11" i="75"/>
  <c r="C40" i="63"/>
  <c r="C11" i="63"/>
  <c r="C40" i="77"/>
  <c r="H38" i="76"/>
  <c r="I38" i="76" s="1"/>
  <c r="D54" i="76"/>
  <c r="E46" i="72"/>
  <c r="E62" i="72" s="1"/>
  <c r="E30" i="72"/>
  <c r="E34" i="72" s="1"/>
  <c r="H38" i="63"/>
  <c r="I38" i="63" s="1"/>
  <c r="D54" i="63"/>
  <c r="E46" i="74"/>
  <c r="E62" i="74" s="1"/>
  <c r="E30" i="74"/>
  <c r="E34" i="74" s="1"/>
  <c r="E46" i="73"/>
  <c r="E62" i="73" s="1"/>
  <c r="E30" i="73"/>
  <c r="E34" i="73" s="1"/>
  <c r="H38" i="77"/>
  <c r="I38" i="77" s="1"/>
  <c r="D54" i="77"/>
  <c r="D34" i="72"/>
  <c r="H25" i="76"/>
  <c r="E60" i="76"/>
  <c r="D117" i="59" l="1"/>
  <c r="M30" i="66"/>
  <c r="C16" i="70"/>
  <c r="N49" i="69"/>
  <c r="N20" i="66"/>
  <c r="N30" i="66" s="1"/>
  <c r="E31" i="67"/>
  <c r="I11" i="75"/>
  <c r="I11" i="77"/>
  <c r="C12" i="75"/>
  <c r="I12" i="75" s="1"/>
  <c r="C12" i="63"/>
  <c r="I12" i="63" s="1"/>
  <c r="C41" i="63"/>
  <c r="I41" i="63" s="1"/>
  <c r="C12" i="77"/>
  <c r="I12" i="77" s="1"/>
  <c r="C12" i="76"/>
  <c r="I12" i="76" s="1"/>
  <c r="I11" i="76"/>
  <c r="C69" i="76"/>
  <c r="C43" i="76" s="1"/>
  <c r="I43" i="76" s="1"/>
  <c r="C69" i="63"/>
  <c r="C69" i="75"/>
  <c r="C43" i="75" s="1"/>
  <c r="I43" i="75" s="1"/>
  <c r="C69" i="77"/>
  <c r="C43" i="77" s="1"/>
  <c r="I43" i="77" s="1"/>
  <c r="I40" i="77"/>
  <c r="I40" i="76"/>
  <c r="I40" i="75"/>
  <c r="B58" i="59"/>
  <c r="B59" i="59" s="1"/>
  <c r="B60" i="59" s="1"/>
  <c r="B61" i="59" s="1"/>
  <c r="B62" i="59" s="1"/>
  <c r="B63" i="59" s="1"/>
  <c r="B64" i="59" s="1"/>
  <c r="B65" i="59" s="1"/>
  <c r="C48" i="74"/>
  <c r="C50" i="74" s="1"/>
  <c r="C31" i="74" s="1"/>
  <c r="C48" i="73"/>
  <c r="C48" i="72"/>
  <c r="C50" i="72" s="1"/>
  <c r="C31" i="72" s="1"/>
  <c r="C48" i="62"/>
  <c r="I11" i="63"/>
  <c r="C49" i="74"/>
  <c r="C49" i="62"/>
  <c r="C49" i="72"/>
  <c r="C49" i="73"/>
  <c r="I40" i="63"/>
  <c r="E56" i="63"/>
  <c r="H54" i="63"/>
  <c r="E56" i="77"/>
  <c r="H54" i="77"/>
  <c r="E56" i="76"/>
  <c r="H54" i="76"/>
  <c r="D118" i="59" l="1"/>
  <c r="C50" i="73"/>
  <c r="C31" i="73" s="1"/>
  <c r="C70" i="63"/>
  <c r="C70" i="76"/>
  <c r="C44" i="76" s="1"/>
  <c r="I44" i="76" s="1"/>
  <c r="C70" i="77"/>
  <c r="C44" i="77" s="1"/>
  <c r="I44" i="77" s="1"/>
  <c r="C70" i="75"/>
  <c r="C44" i="75" s="1"/>
  <c r="I44" i="75" s="1"/>
  <c r="C14" i="76"/>
  <c r="I14" i="76" s="1"/>
  <c r="C14" i="75"/>
  <c r="I14" i="75" s="1"/>
  <c r="C14" i="77"/>
  <c r="I14" i="77" s="1"/>
  <c r="C14" i="63"/>
  <c r="I14" i="63" s="1"/>
  <c r="C43" i="63"/>
  <c r="I43" i="63" s="1"/>
  <c r="C51" i="62"/>
  <c r="C51" i="74"/>
  <c r="C51" i="73"/>
  <c r="C51" i="72"/>
  <c r="C71" i="76"/>
  <c r="C45" i="76" s="1"/>
  <c r="I45" i="76" s="1"/>
  <c r="C71" i="75"/>
  <c r="C45" i="75" s="1"/>
  <c r="I45" i="75" s="1"/>
  <c r="C71" i="63"/>
  <c r="C71" i="77"/>
  <c r="C45" i="77" s="1"/>
  <c r="I45" i="77" s="1"/>
  <c r="B66" i="59"/>
  <c r="B67" i="59" s="1"/>
  <c r="D119" i="59"/>
  <c r="C50" i="62"/>
  <c r="C31" i="62" s="1"/>
  <c r="C52" i="74" l="1"/>
  <c r="C52" i="72"/>
  <c r="C52" i="73"/>
  <c r="C52" i="62"/>
  <c r="C72" i="63"/>
  <c r="C72" i="76"/>
  <c r="C46" i="76" s="1"/>
  <c r="I46" i="76" s="1"/>
  <c r="C72" i="77"/>
  <c r="C46" i="77" s="1"/>
  <c r="I46" i="77" s="1"/>
  <c r="C72" i="75"/>
  <c r="C46" i="75" s="1"/>
  <c r="I46" i="75" s="1"/>
  <c r="B68" i="59"/>
  <c r="B69" i="59" s="1"/>
  <c r="B70" i="59" s="1"/>
  <c r="D120" i="59"/>
  <c r="C16" i="77"/>
  <c r="I16" i="77" s="1"/>
  <c r="C16" i="75"/>
  <c r="I16" i="75" s="1"/>
  <c r="C16" i="76"/>
  <c r="I16" i="76" s="1"/>
  <c r="C45" i="63"/>
  <c r="I45" i="63" s="1"/>
  <c r="C16" i="63"/>
  <c r="I16" i="63" s="1"/>
  <c r="C15" i="75"/>
  <c r="I15" i="75" s="1"/>
  <c r="C15" i="77"/>
  <c r="I15" i="77" s="1"/>
  <c r="C15" i="63"/>
  <c r="I15" i="63" s="1"/>
  <c r="C44" i="63"/>
  <c r="I44" i="63" s="1"/>
  <c r="C15" i="76"/>
  <c r="I15" i="76" s="1"/>
  <c r="C53" i="62" l="1"/>
  <c r="C53" i="74"/>
  <c r="C53" i="73"/>
  <c r="C53" i="72"/>
  <c r="C73" i="76"/>
  <c r="C47" i="76" s="1"/>
  <c r="I47" i="76" s="1"/>
  <c r="C73" i="77"/>
  <c r="C47" i="77" s="1"/>
  <c r="I47" i="77" s="1"/>
  <c r="C73" i="63"/>
  <c r="C73" i="75"/>
  <c r="C47" i="75" s="1"/>
  <c r="I47" i="75" s="1"/>
  <c r="C17" i="76"/>
  <c r="I17" i="76" s="1"/>
  <c r="C17" i="75"/>
  <c r="I17" i="75" s="1"/>
  <c r="C17" i="77"/>
  <c r="I17" i="77" s="1"/>
  <c r="C17" i="63"/>
  <c r="I17" i="63" s="1"/>
  <c r="C46" i="63"/>
  <c r="I46" i="63" s="1"/>
  <c r="B71" i="59"/>
  <c r="B72" i="59" s="1"/>
  <c r="B73" i="59" s="1"/>
  <c r="B74" i="59" s="1"/>
  <c r="D121" i="59" l="1"/>
  <c r="B75" i="59"/>
  <c r="B76" i="59" s="1"/>
  <c r="B77" i="59" s="1"/>
  <c r="B78" i="59" s="1"/>
  <c r="C74" i="76"/>
  <c r="C48" i="76" s="1"/>
  <c r="I48" i="76" s="1"/>
  <c r="C74" i="75"/>
  <c r="C48" i="75" s="1"/>
  <c r="I48" i="75" s="1"/>
  <c r="C74" i="63"/>
  <c r="C74" i="77"/>
  <c r="C48" i="77" s="1"/>
  <c r="I48" i="77" s="1"/>
  <c r="C18" i="76"/>
  <c r="I18" i="76" s="1"/>
  <c r="C18" i="63"/>
  <c r="I18" i="63" s="1"/>
  <c r="C18" i="77"/>
  <c r="I18" i="77" s="1"/>
  <c r="C47" i="63"/>
  <c r="I47" i="63" s="1"/>
  <c r="C18" i="75"/>
  <c r="I18" i="75" s="1"/>
  <c r="D122" i="59" l="1"/>
  <c r="C55" i="62" s="1"/>
  <c r="C55" i="74"/>
  <c r="B79" i="59"/>
  <c r="B80" i="59" s="1"/>
  <c r="B81" i="59" s="1"/>
  <c r="B82" i="59" s="1"/>
  <c r="B83" i="59" s="1"/>
  <c r="C54" i="62"/>
  <c r="C54" i="74"/>
  <c r="C54" i="73"/>
  <c r="C54" i="72"/>
  <c r="C19" i="77"/>
  <c r="I19" i="77" s="1"/>
  <c r="C48" i="63"/>
  <c r="I48" i="63" s="1"/>
  <c r="C19" i="75"/>
  <c r="I19" i="75" s="1"/>
  <c r="C19" i="63"/>
  <c r="I19" i="63" s="1"/>
  <c r="C19" i="76"/>
  <c r="I19" i="76" s="1"/>
  <c r="C55" i="72" l="1"/>
  <c r="C55" i="73"/>
  <c r="C75" i="76"/>
  <c r="C49" i="76" s="1"/>
  <c r="I49" i="76" s="1"/>
  <c r="C75" i="63"/>
  <c r="C75" i="75"/>
  <c r="C49" i="75" s="1"/>
  <c r="I49" i="75" s="1"/>
  <c r="C75" i="77"/>
  <c r="C49" i="77" s="1"/>
  <c r="I49" i="77" s="1"/>
  <c r="B84" i="59"/>
  <c r="B85" i="59" s="1"/>
  <c r="B86" i="59" s="1"/>
  <c r="D123" i="59"/>
  <c r="C76" i="75"/>
  <c r="C50" i="75" s="1"/>
  <c r="I50" i="75" s="1"/>
  <c r="C76" i="77"/>
  <c r="C50" i="77" s="1"/>
  <c r="I50" i="77" s="1"/>
  <c r="C76" i="63"/>
  <c r="C76" i="76"/>
  <c r="C50" i="76" s="1"/>
  <c r="I50" i="76" s="1"/>
  <c r="B87" i="59" l="1"/>
  <c r="B88" i="59" s="1"/>
  <c r="B89" i="59" s="1"/>
  <c r="D125" i="59"/>
  <c r="C50" i="63"/>
  <c r="I50" i="63" s="1"/>
  <c r="C21" i="63"/>
  <c r="I21" i="63" s="1"/>
  <c r="C21" i="77"/>
  <c r="I21" i="77" s="1"/>
  <c r="C21" i="76"/>
  <c r="I21" i="76" s="1"/>
  <c r="C21" i="75"/>
  <c r="I21" i="75" s="1"/>
  <c r="C20" i="75"/>
  <c r="I20" i="75" s="1"/>
  <c r="C20" i="63"/>
  <c r="I20" i="63" s="1"/>
  <c r="C49" i="63"/>
  <c r="I49" i="63" s="1"/>
  <c r="C20" i="76"/>
  <c r="I20" i="76" s="1"/>
  <c r="C20" i="77"/>
  <c r="I20" i="77" s="1"/>
  <c r="C56" i="74"/>
  <c r="C57" i="74" s="1"/>
  <c r="C32" i="74" s="1"/>
  <c r="C56" i="62"/>
  <c r="C56" i="73"/>
  <c r="C57" i="73" s="1"/>
  <c r="C32" i="73" s="1"/>
  <c r="C56" i="72"/>
  <c r="C57" i="72" s="1"/>
  <c r="C32" i="72" s="1"/>
  <c r="D124" i="59"/>
  <c r="C77" i="63" l="1"/>
  <c r="C77" i="76"/>
  <c r="C51" i="76" s="1"/>
  <c r="I51" i="76" s="1"/>
  <c r="C77" i="75"/>
  <c r="C51" i="75" s="1"/>
  <c r="I51" i="75" s="1"/>
  <c r="C77" i="77"/>
  <c r="C51" i="77" s="1"/>
  <c r="I51" i="77" s="1"/>
  <c r="C57" i="62"/>
  <c r="C32" i="62" s="1"/>
  <c r="C58" i="74"/>
  <c r="C58" i="73"/>
  <c r="C58" i="62"/>
  <c r="C58" i="72"/>
  <c r="C45" i="73"/>
  <c r="C46" i="73" s="1"/>
  <c r="C30" i="73" s="1"/>
  <c r="C45" i="62"/>
  <c r="C45" i="74"/>
  <c r="C46" i="74" s="1"/>
  <c r="C30" i="74" s="1"/>
  <c r="C45" i="72"/>
  <c r="C46" i="72" s="1"/>
  <c r="C30" i="72" s="1"/>
  <c r="B90" i="59"/>
  <c r="B91" i="59" s="1"/>
  <c r="B92" i="59" s="1"/>
  <c r="B93" i="59" s="1"/>
  <c r="B94" i="59" s="1"/>
  <c r="B95" i="59" s="1"/>
  <c r="B96" i="59" s="1"/>
  <c r="B97" i="59" s="1"/>
  <c r="B98" i="59" s="1"/>
  <c r="B99" i="59" s="1"/>
  <c r="B100" i="59" s="1"/>
  <c r="B101" i="59" s="1"/>
  <c r="B102" i="59" s="1"/>
  <c r="B103" i="59" s="1"/>
  <c r="B104" i="59" s="1"/>
  <c r="B105" i="59" s="1"/>
  <c r="B106" i="59" s="1"/>
  <c r="C78" i="75" l="1"/>
  <c r="C52" i="75" s="1"/>
  <c r="I52" i="75" s="1"/>
  <c r="C78" i="77"/>
  <c r="C52" i="77" s="1"/>
  <c r="I52" i="77" s="1"/>
  <c r="C78" i="63"/>
  <c r="C78" i="76"/>
  <c r="C52" i="76" s="1"/>
  <c r="I52" i="76" s="1"/>
  <c r="C68" i="76"/>
  <c r="C68" i="75"/>
  <c r="C68" i="77"/>
  <c r="C68" i="63"/>
  <c r="C46" i="62"/>
  <c r="C30" i="62" s="1"/>
  <c r="D126" i="59"/>
  <c r="C22" i="76"/>
  <c r="I22" i="76" s="1"/>
  <c r="C22" i="63"/>
  <c r="I22" i="63" s="1"/>
  <c r="C22" i="77"/>
  <c r="I22" i="77" s="1"/>
  <c r="C22" i="75"/>
  <c r="I22" i="75" s="1"/>
  <c r="C51" i="63"/>
  <c r="I51" i="63" s="1"/>
  <c r="C13" i="77" l="1"/>
  <c r="C13" i="75"/>
  <c r="C42" i="63"/>
  <c r="C13" i="76"/>
  <c r="I13" i="76" s="1"/>
  <c r="C13" i="63"/>
  <c r="C42" i="77"/>
  <c r="C23" i="63"/>
  <c r="I23" i="63" s="1"/>
  <c r="C23" i="77"/>
  <c r="I23" i="77" s="1"/>
  <c r="C23" i="76"/>
  <c r="I23" i="76" s="1"/>
  <c r="C23" i="75"/>
  <c r="I23" i="75" s="1"/>
  <c r="C52" i="63"/>
  <c r="I52" i="63" s="1"/>
  <c r="C42" i="75"/>
  <c r="C59" i="62"/>
  <c r="C59" i="74"/>
  <c r="C60" i="74" s="1"/>
  <c r="C59" i="72"/>
  <c r="C60" i="72" s="1"/>
  <c r="C59" i="73"/>
  <c r="C60" i="73" s="1"/>
  <c r="D127" i="59"/>
  <c r="C42" i="76"/>
  <c r="I42" i="77" l="1"/>
  <c r="I42" i="75"/>
  <c r="I13" i="63"/>
  <c r="C33" i="73"/>
  <c r="C34" i="73" s="1"/>
  <c r="C62" i="73"/>
  <c r="I42" i="63"/>
  <c r="C33" i="72"/>
  <c r="C34" i="72" s="1"/>
  <c r="C62" i="72"/>
  <c r="I13" i="75"/>
  <c r="I42" i="76"/>
  <c r="C62" i="74"/>
  <c r="C33" i="74"/>
  <c r="C34" i="74" s="1"/>
  <c r="I13" i="77"/>
  <c r="C79" i="77"/>
  <c r="C79" i="76"/>
  <c r="C79" i="63"/>
  <c r="C79" i="75"/>
  <c r="C60" i="62"/>
  <c r="C53" i="75" l="1"/>
  <c r="C80" i="75"/>
  <c r="C53" i="76"/>
  <c r="C80" i="76"/>
  <c r="C24" i="76"/>
  <c r="C24" i="75"/>
  <c r="C53" i="63"/>
  <c r="C24" i="63"/>
  <c r="C24" i="77"/>
  <c r="C80" i="63"/>
  <c r="C53" i="77"/>
  <c r="C80" i="77"/>
  <c r="C33" i="62"/>
  <c r="C34" i="62" s="1"/>
  <c r="C62" i="62"/>
  <c r="I24" i="75" l="1"/>
  <c r="C25" i="75"/>
  <c r="I25" i="75" s="1"/>
  <c r="I53" i="63"/>
  <c r="C54" i="63"/>
  <c r="I54" i="63" s="1"/>
  <c r="I24" i="63"/>
  <c r="C25" i="63"/>
  <c r="I25" i="63" s="1"/>
  <c r="I24" i="76"/>
  <c r="C25" i="76"/>
  <c r="I25" i="76" s="1"/>
  <c r="I53" i="77"/>
  <c r="C54" i="77"/>
  <c r="I54" i="77" s="1"/>
  <c r="I53" i="76"/>
  <c r="C54" i="76"/>
  <c r="I54" i="76" s="1"/>
  <c r="I24" i="77"/>
  <c r="C25" i="77"/>
  <c r="I25" i="77" s="1"/>
  <c r="I53" i="75"/>
  <c r="C54" i="75"/>
  <c r="I54" i="7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AQ11"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0"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9"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1"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8"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56"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81"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93"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06"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19"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6"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34"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3"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52"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62"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70"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<sst xmlns="http://schemas.openxmlformats.org/spreadsheetml/2006/main" count="4826" uniqueCount="1246">
  <si>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</si>
  <si>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</si>
  <si>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</si>
  <si>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</si>
  <si>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</si>
  <si>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</si>
  <si>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</si>
  <si>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</si>
  <si>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</si>
  <si>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</si>
  <si>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</si>
  <si>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</si>
  <si>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</si>
  <si>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</si>
  <si>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</si>
  <si>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</si>
  <si>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</si>
  <si>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</si>
  <si>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</si>
  <si>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</si>
  <si>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</si>
  <si>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</si>
  <si>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</si>
  <si>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</si>
  <si>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</si>
  <si>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</si>
  <si>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</si>
  <si>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</si>
  <si>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</si>
  <si>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</si>
  <si>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</si>
  <si>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</si>
  <si>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</si>
  <si>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</si>
  <si>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</si>
  <si>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</si>
  <si>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</si>
  <si>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</si>
  <si>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</si>
  <si>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</si>
  <si>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</si>
  <si>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</si>
  <si>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</si>
  <si>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</si>
  <si>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</si>
  <si>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</si>
  <si>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</si>
  <si>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</si>
  <si>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</si>
  <si>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</si>
  <si>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</si>
  <si>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</si>
  <si>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</si>
  <si>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</si>
  <si>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</si>
  <si>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</si>
  <si>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</si>
  <si>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</si>
  <si>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</si>
  <si>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</si>
  <si>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</si>
  <si>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</si>
  <si>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</si>
  <si>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</si>
  <si>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</si>
  <si>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</si>
  <si>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</si>
  <si>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</si>
  <si>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</si>
  <si>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</si>
  <si>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</si>
  <si>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</si>
  <si>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</si>
  <si>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</si>
  <si>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</si>
  <si>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</si>
  <si>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</si>
  <si>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</si>
  <si>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</si>
  <si>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</si>
  <si>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</si>
  <si>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</si>
  <si>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</si>
  <si>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</si>
  <si>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</si>
  <si>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</si>
  <si>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</si>
  <si>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</si>
  <si>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</si>
  <si>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</si>
  <si>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</si>
  <si>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</si>
  <si>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</si>
  <si>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</si>
  <si>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</si>
  <si>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</si>
  <si>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</si>
  <si>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</si>
  <si>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</si>
  <si>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</si>
  <si>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</si>
  <si>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</si>
  <si>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</si>
  <si>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</si>
  <si>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</si>
  <si>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</si>
  <si>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</si>
  <si>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</si>
  <si>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</si>
  <si>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</si>
  <si>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</si>
  <si>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</si>
  <si>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</si>
  <si>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</si>
  <si>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</si>
  <si>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</si>
  <si>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</si>
  <si>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</si>
  <si>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</si>
  <si>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</si>
  <si>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</si>
  <si>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</si>
  <si>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</si>
  <si>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</si>
  <si>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</si>
  <si>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</si>
  <si>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</si>
  <si>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</si>
  <si>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</si>
  <si>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</si>
  <si>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</si>
  <si>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1.1. Realizar 884.816 acciones que promuevan la defensa, garantía y restablecimiento de los derechos de las personas en el Distrito Capital.</t>
  </si>
  <si>
    <t>1.2. Realizar 232.288 acciones que propendan por la efectiva defensa y garantía de los derechos de los sujetos de especial protección constitucional, con énfasis en las personas mayores, mujeres y la población migrante en el Distrito Capital.</t>
  </si>
  <si>
    <t>1.3. Construir e Implementar 36 estrategias que permitan incrementar la oferta y cobertura de los servicios prestados por la Entidad.</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</si>
  <si>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</si>
  <si>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</si>
  <si>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2.2. Fortalecer la moralidad publica realizando  880 acciones de prevención y control a la función pública.</t>
  </si>
  <si>
    <t>2.3. Fortalecer 295 espacios de participación ciudadana en la Personería de Bogotá</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</si>
  <si>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</si>
  <si>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</si>
  <si>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</si>
  <si>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</si>
  <si>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</si>
  <si>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</si>
  <si>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</si>
  <si>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</si>
  <si>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</si>
  <si>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</si>
  <si>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</si>
  <si>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</si>
  <si>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</si>
  <si>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</si>
  <si>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</si>
  <si>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</si>
  <si>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</si>
  <si>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</si>
  <si>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</si>
  <si>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</si>
  <si>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</si>
  <si>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</si>
  <si>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</si>
  <si>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</si>
  <si>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</si>
  <si>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</si>
  <si>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</si>
  <si>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</si>
  <si>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</si>
  <si>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</si>
  <si>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</si>
  <si>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</si>
  <si>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</si>
  <si>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</si>
  <si>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</si>
  <si>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</si>
  <si>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</si>
  <si>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</si>
  <si>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</si>
  <si>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</si>
  <si>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</si>
  <si>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</si>
  <si>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</si>
  <si>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</si>
  <si>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Seguimientos a la Amenaza y Vulneración de los Derechos Realizados</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</si>
  <si>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</si>
  <si>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</si>
  <si>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</si>
  <si>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</si>
  <si>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</si>
  <si>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</si>
  <si>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</si>
  <si>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</si>
  <si>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</si>
  <si>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</si>
  <si>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</si>
  <si>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</si>
  <si>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</si>
  <si>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</si>
  <si>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</si>
  <si>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</si>
  <si>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</si>
  <si>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</si>
  <si>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</si>
  <si>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</si>
  <si>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</si>
  <si>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</si>
  <si>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</si>
  <si>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</si>
  <si>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</si>
  <si>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</si>
  <si>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</si>
  <si>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</si>
  <si>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</si>
  <si>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</si>
  <si>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</si>
  <si>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</si>
  <si>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</si>
  <si>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</si>
  <si>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</si>
  <si>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</si>
  <si>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</si>
  <si>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</si>
  <si>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</si>
  <si>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</si>
  <si>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</si>
  <si>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</si>
  <si>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</si>
  <si>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</si>
  <si>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</si>
  <si>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</si>
  <si>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</si>
  <si>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</si>
  <si>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</si>
  <si>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</si>
  <si>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</si>
  <si>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</si>
  <si>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</si>
  <si>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</si>
  <si>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</si>
  <si>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</si>
  <si>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</si>
  <si>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</si>
  <si>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</si>
  <si>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3.000 Intervenciones realizadas para evitar caducidad y pérdida de fuerza ejecutoria (impulsos procesales)</t>
  </si>
  <si>
    <t xml:space="preserve">∑ Número de Estados de vulneración realizados
</t>
  </si>
  <si>
    <t>Informes elaborados del estado de los Derechos Humanos por Localidad
(Esta meta inicia ejecución en 2022)</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</si>
  <si>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</si>
  <si>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</si>
  <si>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</si>
  <si>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</si>
  <si>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</si>
  <si>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</si>
  <si>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</si>
  <si>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</si>
  <si>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</si>
  <si>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</si>
  <si>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</si>
  <si>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</si>
  <si>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</si>
  <si>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</si>
  <si>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</si>
  <si>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</si>
  <si>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</si>
  <si>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</si>
  <si>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</si>
  <si>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</si>
  <si>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</si>
  <si>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</si>
  <si>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</si>
  <si>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</si>
  <si>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</si>
  <si>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</si>
  <si>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</si>
  <si>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</si>
  <si>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1 Informe de seguimiento a los resultados de  acciones de prevención y control a la función publica en los cuales se evaluaron políticas ambientales, manejo de recursos hídricos, protección y bienestar animal y desarrollo urbano, en el Distrito Capital.</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</si>
  <si>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</si>
  <si>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</si>
  <si>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</si>
  <si>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</si>
  <si>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 Descongestionar 4500 procesos disciplinarios con criterios de calidad, efectividad y garantía del debido proceso.</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</si>
  <si>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</si>
  <si>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</si>
  <si>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</si>
  <si>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</si>
  <si>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</si>
  <si>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</si>
  <si>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</si>
  <si>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</si>
  <si>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</si>
  <si>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</si>
  <si>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</si>
  <si>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</si>
  <si>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</si>
  <si>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</si>
  <si>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</si>
  <si>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</si>
  <si>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</si>
  <si>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</si>
  <si>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</si>
  <si>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</si>
  <si>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</si>
  <si>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</si>
  <si>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</si>
  <si>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</si>
  <si>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</si>
  <si>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</si>
  <si>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</si>
  <si>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</si>
  <si>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</si>
  <si>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</si>
  <si>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</si>
  <si>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</si>
  <si>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</si>
  <si>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</si>
  <si>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</si>
  <si>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</si>
  <si>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</si>
  <si>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</si>
  <si>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</si>
  <si>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</si>
  <si>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</si>
  <si>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</si>
  <si>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</si>
  <si>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</si>
  <si>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</si>
  <si>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</si>
  <si>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</si>
  <si>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</si>
  <si>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</si>
  <si>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</si>
  <si>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</si>
  <si>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</si>
  <si>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</si>
  <si>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</si>
  <si>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</si>
  <si>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</si>
  <si>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</si>
  <si>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</si>
  <si>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</si>
  <si>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</si>
  <si>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</si>
  <si>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</si>
  <si>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</si>
  <si>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</si>
  <si>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</si>
  <si>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</si>
  <si>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</si>
  <si>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</si>
  <si>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</si>
  <si>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</si>
  <si>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</si>
  <si>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</si>
  <si>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</si>
  <si>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</si>
  <si>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</si>
  <si>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</si>
  <si>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</si>
  <si>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</si>
  <si>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</si>
  <si>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</si>
  <si>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</si>
  <si>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</si>
  <si>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Avance en la implementación del MIPG en por lo menos el 23%</t>
  </si>
  <si>
    <t>Direccionamiento estratégico y Planeación
Evaluación de Resultados</t>
  </si>
  <si>
    <t>Tecnológicos
Talento Humano</t>
  </si>
  <si>
    <t>Tecnológicos
Financieros
Talento Humano</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</si>
  <si>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</si>
  <si>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</si>
  <si>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</si>
  <si>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</si>
  <si>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</si>
  <si>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</si>
  <si>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</si>
  <si>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</si>
  <si>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</si>
  <si>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</si>
  <si>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</si>
  <si>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</si>
  <si>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</si>
  <si>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</si>
  <si>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</si>
  <si>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</si>
  <si>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</si>
  <si>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</si>
  <si>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</si>
  <si>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</si>
  <si>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</si>
  <si>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</si>
  <si>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</si>
  <si>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</si>
  <si>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</si>
  <si>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</si>
  <si>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</si>
  <si>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</si>
  <si>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</si>
  <si>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</si>
  <si>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Plan Anual de Trabajo del Sistema de Gestión de Seguridad y Salud en el Trabajo SG-SST diseñado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</si>
  <si>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</si>
  <si>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</si>
  <si>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</si>
  <si>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</si>
  <si>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</si>
  <si>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</si>
  <si>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4.3.7 Diseñar e implementar el 100 % del Plan Anual de Trabajo del Sistema de Gestión de Seguridad y Salud en el Trabajo SG-SST de la vigencia.</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</si>
  <si>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</si>
  <si>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</si>
  <si>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</si>
  <si>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</si>
  <si>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</si>
  <si>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</si>
  <si>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</si>
  <si>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</si>
  <si>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</si>
  <si>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</si>
  <si>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</si>
  <si>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en artículo 14 de la Ley 1755 de 2015 y el articulo 5 del  Decreto 491 de 2020 durante la vigencia de la emergencia sanitaria por Coronavirus COVID 19.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</si>
  <si>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</si>
  <si>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</si>
  <si>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</si>
  <si>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</si>
  <si>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</si>
  <si>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</si>
  <si>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</si>
  <si>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</si>
  <si>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</si>
  <si>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</si>
  <si>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</si>
  <si>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</si>
  <si>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</si>
  <si>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</si>
  <si>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</si>
  <si>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</si>
  <si>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</si>
  <si>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</si>
  <si>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</si>
  <si>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</si>
  <si>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</si>
  <si>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</si>
  <si>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</si>
  <si>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</si>
  <si>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</si>
  <si>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</si>
  <si>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</si>
  <si>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</si>
  <si>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</si>
  <si>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</si>
  <si>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</si>
  <si>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</si>
  <si>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</si>
  <si>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</si>
  <si>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</si>
  <si>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</si>
  <si>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</si>
  <si>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</si>
  <si>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</si>
  <si>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</si>
  <si>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</si>
  <si>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</si>
  <si>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</si>
  <si>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</si>
  <si>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</si>
  <si>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</si>
  <si>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</si>
  <si>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</si>
  <si>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</si>
  <si>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</si>
  <si>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</si>
  <si>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</si>
  <si>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</si>
  <si>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</si>
  <si>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</si>
  <si>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</si>
  <si>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</si>
  <si>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</si>
  <si>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</si>
  <si>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</si>
  <si>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</si>
  <si>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</si>
  <si>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</si>
  <si>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</si>
  <si>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</si>
  <si>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</si>
  <si>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</si>
  <si>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</si>
  <si>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JOSE HUGO TORRES HERNANDEZ / Subdirector de Gestión Financiera</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</si>
  <si>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</si>
  <si>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</si>
  <si>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</si>
  <si>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</si>
  <si>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</si>
  <si>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</si>
  <si>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</si>
  <si>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</si>
  <si>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</si>
  <si>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</si>
  <si>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</si>
  <si>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</si>
  <si>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</si>
  <si>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</si>
  <si>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</si>
  <si>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</si>
  <si>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</si>
  <si>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</si>
  <si>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</si>
  <si>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</si>
  <si>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</si>
  <si>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</si>
  <si>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</si>
  <si>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</si>
  <si>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</si>
  <si>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</si>
  <si>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</si>
  <si>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</si>
  <si>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</si>
  <si>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</si>
  <si>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</si>
  <si>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</si>
  <si>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</si>
  <si>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</si>
  <si>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</si>
  <si>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</si>
  <si>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</si>
  <si>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</si>
  <si>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</si>
  <si>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</si>
  <si>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</si>
  <si>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</si>
  <si>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</si>
  <si>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</si>
  <si>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</si>
  <si>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</si>
  <si>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</si>
  <si>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</si>
  <si>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</si>
  <si>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</si>
  <si>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</si>
  <si>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</si>
  <si>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</si>
  <si>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</si>
  <si>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</si>
  <si>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</si>
  <si>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</si>
  <si>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</si>
  <si>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</si>
  <si>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</si>
  <si>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</si>
  <si>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</si>
  <si>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</si>
  <si>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</si>
  <si>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 xml:space="preserve">4.5.1 Emitir 96 solicitudes de aplicación de medidas de preservación del orden interno, con el fin de prevenir la materialización de conductas con alcance disciplinario. </t>
  </si>
  <si>
    <t>4.5.3 Decidir de fondo 400 procesos disciplinarios que se encuentren en términos o con periodos vencidos, dando prelación a aquellos con mayor antigüedad o aquellos próximos a prescribir o caducar.</t>
  </si>
  <si>
    <t>Número de medidas de preservación del orden interno emitidas</t>
  </si>
  <si>
    <t>24 Medidas de prevención del orden interno emitidas</t>
  </si>
  <si>
    <t>Número de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</si>
  <si>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</si>
  <si>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</si>
  <si>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</si>
  <si>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</si>
  <si>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</si>
  <si>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</si>
  <si>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</si>
  <si>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</si>
  <si>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</si>
  <si>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</si>
  <si>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</si>
  <si>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</si>
  <si>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</si>
  <si>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</si>
  <si>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</si>
  <si>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</si>
  <si>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</si>
  <si>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</si>
  <si>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</si>
  <si>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</si>
  <si>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</si>
  <si>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</si>
  <si>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</si>
  <si>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</si>
  <si>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</si>
  <si>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</si>
  <si>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</si>
  <si>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</si>
  <si>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</si>
  <si>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</si>
  <si>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</si>
  <si>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</si>
  <si>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</si>
  <si>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</si>
  <si>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</si>
  <si>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</si>
  <si>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</si>
  <si>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</si>
  <si>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</si>
  <si>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</si>
  <si>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</si>
  <si>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</si>
  <si>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</si>
  <si>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</si>
  <si>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</si>
  <si>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</si>
  <si>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</si>
  <si>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</si>
  <si>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</si>
  <si>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</si>
  <si>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</si>
  <si>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</si>
  <si>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</si>
  <si>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</si>
  <si>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</si>
  <si>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</si>
  <si>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</si>
  <si>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</si>
  <si>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JAIME ALFONSO CUBIDES CÁRDENAS - DIRECTOR 009-002</t>
  </si>
  <si>
    <t>Dirección de Conciliación y M.A.S.C.</t>
  </si>
  <si>
    <t>NOTA: Si este documento se encuentra impreso se considera Copia no Controlada. La versión vigente esta publicada en la intranet de la Personería de Bogotá D.C.</t>
  </si>
  <si>
    <t>PLAN OPERATIVO ANUAL 
2021</t>
  </si>
  <si>
    <r>
      <t xml:space="preserve">Código: </t>
    </r>
    <r>
      <rPr>
        <sz val="10"/>
        <rFont val="Arial"/>
        <family val="2"/>
      </rPr>
      <t>01-PL-09</t>
    </r>
  </si>
  <si>
    <r>
      <t xml:space="preserve">Página: 
</t>
    </r>
    <r>
      <rPr>
        <sz val="10"/>
        <rFont val="Arial"/>
        <family val="2"/>
      </rPr>
      <t>1 de 2</t>
    </r>
  </si>
  <si>
    <r>
      <t xml:space="preserve">Vigencia desde: 
</t>
    </r>
    <r>
      <rPr>
        <sz val="10"/>
        <rFont val="Arial"/>
        <family val="2"/>
      </rPr>
      <t>30-01-2021</t>
    </r>
  </si>
  <si>
    <t>CONTROL DE CAMBIOS</t>
  </si>
  <si>
    <t>VERSIÓN</t>
  </si>
  <si>
    <t>FECHA</t>
  </si>
  <si>
    <t>DESCRIPCIÓN DE LA MODIFICACIÓN</t>
  </si>
  <si>
    <t>Versión inicial del documento.</t>
  </si>
  <si>
    <t>Responsables de Procesos
Referentes de Gestión
Procesos Institucionales</t>
  </si>
  <si>
    <t>Elaboró</t>
  </si>
  <si>
    <t>Revisó</t>
  </si>
  <si>
    <t>Aprobó</t>
  </si>
  <si>
    <t>Germán Uriel Rojas
Director de Planeación ( E )</t>
  </si>
  <si>
    <t>Comité Institucional de Gestión y Desempeño</t>
  </si>
  <si>
    <r>
      <t xml:space="preserve">Página: 
</t>
    </r>
    <r>
      <rPr>
        <sz val="10"/>
        <rFont val="Arial"/>
        <family val="2"/>
      </rPr>
      <t>2 de 2</t>
    </r>
  </si>
  <si>
    <r>
      <t xml:space="preserve">Versión: </t>
    </r>
    <r>
      <rPr>
        <sz val="10"/>
        <rFont val="Arial"/>
        <family val="2"/>
      </rPr>
      <t>1</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</si>
  <si>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</si>
  <si>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</si>
  <si>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</si>
  <si>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</si>
  <si>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</si>
  <si>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</si>
  <si>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</si>
  <si>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</si>
  <si>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</si>
  <si>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</si>
  <si>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</si>
  <si>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</si>
  <si>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</si>
  <si>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</si>
  <si>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</si>
  <si>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</si>
  <si>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</si>
  <si>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</si>
  <si>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Asuntos Jurisdiccionales, Víctimas, Penal II y Consumidor.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</si>
  <si>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</si>
  <si>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</si>
  <si>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</si>
  <si>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</si>
  <si>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</si>
  <si>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</si>
  <si>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</si>
  <si>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</si>
  <si>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</si>
  <si>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</si>
  <si>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 xml:space="preserve">3.4.2 Diseñar e implementar un sistema de información misional que generé el expediente electrónico  </t>
  </si>
  <si>
    <t>1. Revisar el autodiagnóstico 2020 y verificar los avances en la ejecución con los responsables
2. Actualizar el Plan de acción para la implementación y sostenimiento del MIPG en la vigencia 2021, de acuerdo a las actividades pendientes por ejecutar a diciembre 2020
3. Ejecutar el Plan de Acción 2021 (las actividades del Plan se ejecutarán de manera mensual de acuerdo a programación que permitirá cumplir el 22% programado para la vigencia 2021)
4. Realizar seguimiento a las actividades ejecutadas por los referentes de manera mensual
5. Generar un informe de avance de la implementación de las actividades del MIPG</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</si>
  <si>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</si>
  <si>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</si>
  <si>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</si>
  <si>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</si>
  <si>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</si>
  <si>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</si>
  <si>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</si>
  <si>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</si>
  <si>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</si>
  <si>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</si>
  <si>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</si>
  <si>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</si>
  <si>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</si>
  <si>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</si>
  <si>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Silvia Juliana Arciniegas Morales 
Personera Delegada para la Coordinación de Potestad Disciplinaria</t>
  </si>
  <si>
    <t>DIANA ROCIO OVIEDO CALDERÓN - SUBDIRECORA DE GESTIÓN CONTRACTUAL</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</si>
  <si>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</si>
  <si>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</si>
  <si>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</si>
  <si>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</si>
  <si>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</si>
  <si>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</si>
  <si>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</si>
  <si>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</si>
  <si>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</si>
  <si>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</si>
  <si>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</si>
  <si>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</si>
  <si>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</si>
  <si>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</si>
  <si>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</si>
  <si>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</si>
  <si>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</si>
  <si>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</si>
  <si>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</si>
  <si>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</si>
  <si>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</si>
  <si>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</si>
  <si>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</si>
  <si>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</si>
  <si>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HÉCTOR HERNÁN GONZÁLEZ NARANJO / DIRECTOR DE PLANEACIÓN</t>
  </si>
  <si>
    <t>PROGRAMADO</t>
  </si>
  <si>
    <t>EJECUTADO</t>
  </si>
  <si>
    <t>CUMPLIMIENTO ACUMULADO EN EL CUATRIENIO</t>
  </si>
  <si>
    <t>TOTAL EJECUTADO AÑO</t>
  </si>
  <si>
    <t>CONTRIBUCIÓN A META ESTRATEGICA EN EL CUATRIENIO</t>
  </si>
  <si>
    <t>CUATRIENIO</t>
  </si>
  <si>
    <t>GRADO DE CUMPLIMIENTO META ESTRATÉGICA</t>
  </si>
  <si>
    <t>META 
POA CUATRIENIO</t>
  </si>
  <si>
    <t>TOTAL PROGAMADO 
AÑO</t>
  </si>
  <si>
    <r>
      <t xml:space="preserve">INFORME DE SEGUIMIENTO 
PLAN OPERATIVO ANUAL -POA-
</t>
    </r>
    <r>
      <rPr>
        <b/>
        <sz val="18"/>
        <rFont val="Arial"/>
        <family val="2"/>
      </rPr>
      <t>(Plan de Acción Institucional)</t>
    </r>
  </si>
  <si>
    <t xml:space="preserve">PERIODO: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</si>
  <si>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</si>
  <si>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</si>
  <si>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</si>
  <si>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</si>
  <si>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</si>
  <si>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</si>
  <si>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</si>
  <si>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</si>
  <si>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</si>
  <si>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</si>
  <si>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</si>
  <si>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</si>
  <si>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</si>
  <si>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</si>
  <si>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</si>
  <si>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</si>
  <si>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</si>
  <si>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</si>
  <si>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</si>
  <si>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</si>
  <si>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</si>
  <si>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</si>
  <si>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</si>
  <si>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</si>
  <si>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</si>
  <si>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</si>
  <si>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</si>
  <si>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</si>
  <si>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</si>
  <si>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</si>
  <si>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</si>
  <si>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</si>
  <si>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</si>
  <si>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</si>
  <si>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</si>
  <si>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</si>
  <si>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</si>
  <si>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</si>
  <si>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</si>
  <si>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</si>
  <si>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</si>
  <si>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</si>
  <si>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</si>
  <si>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</si>
  <si>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</si>
  <si>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</si>
  <si>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</si>
  <si>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</si>
  <si>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</si>
  <si>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</si>
  <si>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</si>
  <si>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</si>
  <si>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</si>
  <si>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</si>
  <si>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</si>
  <si>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</si>
  <si>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</si>
  <si>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</si>
  <si>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</si>
  <si>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</si>
  <si>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</si>
  <si>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</si>
  <si>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</si>
  <si>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</si>
  <si>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</si>
  <si>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</si>
  <si>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</si>
  <si>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</si>
  <si>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</si>
  <si>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</si>
  <si>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</si>
  <si>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</si>
  <si>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</si>
  <si>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</si>
  <si>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</si>
  <si>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</si>
  <si>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</si>
  <si>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</si>
  <si>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</si>
  <si>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</si>
  <si>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</si>
  <si>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</si>
  <si>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</si>
  <si>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</si>
  <si>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</si>
  <si>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</si>
  <si>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</si>
  <si>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</si>
  <si>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</si>
  <si>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</si>
  <si>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</si>
  <si>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</si>
  <si>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</si>
  <si>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</si>
  <si>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</si>
  <si>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</si>
  <si>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</si>
  <si>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</si>
  <si>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</si>
  <si>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</si>
  <si>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</si>
  <si>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</si>
  <si>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</si>
  <si>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</si>
  <si>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</si>
  <si>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</si>
  <si>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</si>
  <si>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</si>
  <si>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</si>
  <si>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</si>
  <si>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</si>
  <si>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</si>
  <si>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</si>
  <si>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</si>
  <si>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</si>
  <si>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</si>
  <si>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</si>
  <si>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</si>
  <si>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</si>
  <si>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</si>
  <si>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</si>
  <si>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</si>
  <si>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</si>
  <si>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</si>
  <si>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</si>
  <si>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</si>
  <si>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</si>
  <si>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</si>
  <si>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</si>
  <si>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</si>
  <si>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</si>
  <si>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</si>
  <si>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</si>
  <si>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</si>
  <si>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</si>
  <si>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</si>
  <si>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</si>
  <si>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</si>
  <si>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</si>
  <si>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</si>
  <si>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</si>
  <si>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</si>
  <si>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</si>
  <si>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</si>
  <si>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</si>
  <si>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</si>
  <si>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</si>
  <si>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</si>
  <si>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</si>
  <si>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</si>
  <si>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</si>
  <si>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</si>
  <si>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</si>
  <si>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</si>
  <si>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</si>
  <si>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Acumulada Año</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</si>
  <si>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</si>
  <si>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</si>
  <si>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</si>
  <si>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</si>
  <si>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</si>
  <si>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</si>
  <si>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</si>
  <si>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</si>
  <si>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</si>
  <si>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</si>
  <si>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</si>
  <si>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</si>
  <si>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</si>
  <si>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</si>
  <si>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</si>
  <si>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</si>
  <si>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</si>
  <si>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</si>
  <si>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Observaciones / Recomendaciones</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</si>
  <si>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</si>
  <si>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</si>
  <si>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</si>
  <si>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</si>
  <si>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</si>
  <si>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</si>
  <si>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</si>
  <si>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</si>
  <si>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</si>
  <si>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</si>
  <si>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</si>
  <si>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</si>
  <si>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</si>
  <si>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</si>
  <si>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</si>
  <si>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 xml:space="preserve">No de Indicadores con ejecución menor a la programada </t>
  </si>
  <si>
    <t>Satisfactorio</t>
  </si>
  <si>
    <t>Aceptable</t>
  </si>
  <si>
    <t>Insatisfactorio</t>
  </si>
  <si>
    <t>4.4.15 Elaborar el 95% de los contratos en cada una de las modalidades de selección en los tiempos óptimos</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</si>
  <si>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</si>
  <si>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</si>
  <si>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</si>
  <si>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(Numero de procesos de contratación directa del periodo, realizados dentro del tiempo estipulado (5 días) / Número de procesos de contratación directa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</si>
  <si>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</si>
  <si>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</si>
  <si>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</si>
  <si>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</si>
  <si>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</si>
  <si>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(Numero de procesos modalidad de selección abreviada de menor cuantía del periodo, realizados dentro del tiempo estipulado (45 días) /
Número de procesos modalidad de selección abreviada de menor cuantía realizados en el periodo)*100</t>
  </si>
  <si>
    <t>11-RI-02</t>
  </si>
  <si>
    <t>11-RI-03</t>
  </si>
  <si>
    <t>11-RI-04</t>
  </si>
  <si>
    <t>Nota: Si este documento se encuentra impreso se considera Copia no Controlada. La versión vigente está publicada en el repositorio oficial de la Personería de Bogotá, D. C.</t>
  </si>
  <si>
    <t>No de indicadores sin programar en el periodo</t>
  </si>
  <si>
    <t xml:space="preserve">Anual </t>
  </si>
  <si>
    <t xml:space="preserve">Procesos Estratégicos </t>
  </si>
  <si>
    <t xml:space="preserve">Procesos Misionales </t>
  </si>
  <si>
    <t xml:space="preserve">Procesos Apoyo </t>
  </si>
  <si>
    <t>Procesos de Evaluación, Seguimiento y Control</t>
  </si>
  <si>
    <t>Total General</t>
  </si>
  <si>
    <t>Tipo de Proceso</t>
  </si>
  <si>
    <t>Porcentaje Promedio de Cumplimiento 
por tipo de Proceso</t>
  </si>
  <si>
    <t>Acumulado al corte</t>
  </si>
  <si>
    <t>CUMPLIMIENTO ACUMULADO
POA AÑO
POR INDICADOR</t>
  </si>
  <si>
    <t>MAGNITUD CUATRIENIO</t>
  </si>
  <si>
    <t>PESO PORCENTUAL
META ESTRATÉGICA</t>
  </si>
  <si>
    <t>INDICADOR
META ESTRATÉGICA</t>
  </si>
  <si>
    <t>FORMULA INDICADOR</t>
  </si>
  <si>
    <t>CUMPLIMIENTO ACUMULADO AÑO</t>
  </si>
  <si>
    <t>GRADO DE CUMPLIMIENTO POR META ESTRATÉGICA</t>
  </si>
  <si>
    <t>Acciones realizadas que propendan por la efectiva defensa y garantía de los derechos de los sujetos de especial protección constitucional</t>
  </si>
  <si>
    <t>∑ Número de acciones realizadas que propendan por la efectiva defensa y garantía de los derechos de los sujetos de especial protección constitucional</t>
  </si>
  <si>
    <t>Estrategias construidas e implementadas</t>
  </si>
  <si>
    <t>∑ Número de estrategias construidas e implementadas</t>
  </si>
  <si>
    <t>Acciones realizadas de prevención y control a la función pública en temas priorizados</t>
  </si>
  <si>
    <t>∑ Número de acciones realizadas de prevención y control a la función pública en temas priorizados</t>
  </si>
  <si>
    <t>Acciones realizadas de prevención y control a la función pública para fortalecer la moralidad pública</t>
  </si>
  <si>
    <t>∑ Número de acciones realizadas de prevención y control a la función pública para fortalecer la moralidad pública</t>
  </si>
  <si>
    <t>Espacios de participación ciudadana fortalecidos</t>
  </si>
  <si>
    <t>∑ Número de espacios de participación ciudadana fortalecidos</t>
  </si>
  <si>
    <t xml:space="preserve">Procesos disciplinarios descongestionados </t>
  </si>
  <si>
    <t>∑ Número de procesos disciplinarios descongestionados</t>
  </si>
  <si>
    <t>∑ Número de noticias disciplinarias evaluadas y con impulso procesal/ Número de noticias disciplinaria comisionadas a las Delegadas</t>
  </si>
  <si>
    <t>∑ Número de visitas de seguimiento a OCID realizadas</t>
  </si>
  <si>
    <t>Escenarios generados que fortalezcan el conocimiento</t>
  </si>
  <si>
    <t>∑ Número de escenarios generados</t>
  </si>
  <si>
    <t>Grado de avance de implementación de las soluciones</t>
  </si>
  <si>
    <t>Acciones implementadas que impulsan el crecimiento del modelo de la Entidad</t>
  </si>
  <si>
    <t>Promedio de grado de avance de implementación de las acciones</t>
  </si>
  <si>
    <t>Estrategias desarrolladas para la comunicación en la Entidad</t>
  </si>
  <si>
    <t>Promedio de grado de cumplimiento de estrategias desarrolladas para la comunicación en la Entidad</t>
  </si>
  <si>
    <t>Acciones articuladas de trabajo interinstitucional y de cooperación</t>
  </si>
  <si>
    <t>Grado de avance de acciones articuladas de trabajo interinstitucional y de cooperación</t>
  </si>
  <si>
    <t>Grado de cumplimiento de los Proyectos de Investigación, Desarrollo e Innovación (I+D+I) elaborados</t>
  </si>
  <si>
    <t xml:space="preserve">Herramientas y acciones formuladas </t>
  </si>
  <si>
    <t>Grado de cumplimiento en la formulación de Informes de investigación e innovación construidos</t>
  </si>
  <si>
    <t>Espacios y mecanismos desarrollados para la difusión de conocimiento</t>
  </si>
  <si>
    <t>Grado de cumplimiento de las actividades de apropiación social del conocimiento desarrolladas</t>
  </si>
  <si>
    <r>
      <t xml:space="preserve">INFORME DE SEGUIMIENTO 
PLAN ESTRATÉGICO INSTITUCIONAL - PEI-
</t>
    </r>
    <r>
      <rPr>
        <b/>
        <sz val="18"/>
        <rFont val="Arial"/>
        <family val="2"/>
      </rPr>
      <t>2021-2024</t>
    </r>
  </si>
  <si>
    <t>MATRIZ PLAN ESTRATÉGICO INSTITUCIONAL</t>
  </si>
  <si>
    <t>PERIODO: 2021-2024</t>
  </si>
  <si>
    <t xml:space="preserve">META ESTRATÉGICA </t>
  </si>
  <si>
    <t>PESO PORCENTUAL</t>
  </si>
  <si>
    <t>INDICADOR</t>
  </si>
  <si>
    <t>PROCESO(S) RESPONSABLE(S)</t>
  </si>
  <si>
    <t>PLANIFICACIÓN CUATRIENIO</t>
  </si>
  <si>
    <t>CUMPLIMIENTO ACUMULADO 
META ESTRATÉGICA</t>
  </si>
  <si>
    <t>TOTAL CUATRIENIO</t>
  </si>
  <si>
    <t>Cumplimiento Acumulado 
Objetivos Estratégicos</t>
  </si>
  <si>
    <t>ACUMULADO HASTA LA FECHA DE CORTE</t>
  </si>
  <si>
    <t>% Cumplimiento al corte</t>
  </si>
  <si>
    <r>
      <t xml:space="preserve">DIRECCIONAMIENTO ESTRATÉGICO
SERVICIO AL USUARIO
</t>
    </r>
    <r>
      <rPr>
        <sz val="10"/>
        <color theme="1"/>
        <rFont val="Arial"/>
        <family val="2"/>
      </rPr>
      <t>APORTAN: TODOS LOS PROCESOS</t>
    </r>
  </si>
  <si>
    <t>GESTIÓN ADMINISTRATIVA
GESTIÓN FINANCIERA
GESTIÓN CONTRACTUAL
GESTIÓN DOCUMENTAL
GESTIÓN JURÍDICA</t>
  </si>
  <si>
    <t>CONTROL DISCIPLINARIO INTERNO
EVALUACIÓN Y SEGUIMIENTO</t>
  </si>
  <si>
    <t>Código:</t>
  </si>
  <si>
    <t>01-FR-04</t>
  </si>
  <si>
    <t>Página:
1 de 2</t>
  </si>
  <si>
    <t>LINÉA DE BASE</t>
  </si>
  <si>
    <t>Acciones realizadas que promueven la defensa, garantía y restablecimiento de los derechos</t>
  </si>
  <si>
    <t xml:space="preserve">Productos generados
</t>
  </si>
  <si>
    <t>∑ (Número de acciones realizadas que promueven la defensa, garantía y restablecimiento de los derechos)</t>
  </si>
  <si>
    <t>Grado de avance en la implementación de acciones para la sostenibilidad y mejora del SGC</t>
  </si>
  <si>
    <t xml:space="preserve">CUMPLIMIENTO ACUMULADO EN EL CUATRIENIO
</t>
  </si>
  <si>
    <t>GRADO DE CUMPLIMIENTO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</si>
  <si>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</si>
  <si>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</si>
  <si>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</si>
  <si>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</si>
  <si>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</si>
  <si>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</si>
  <si>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</si>
  <si>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</si>
  <si>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</si>
  <si>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</si>
  <si>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3.4</t>
  </si>
  <si>
    <t>Meta Estratégica 4.1</t>
  </si>
  <si>
    <t>Meta Estratégica 4.2</t>
  </si>
  <si>
    <t>Meta Estratégica 4.3</t>
  </si>
  <si>
    <t>Meta Estratégica 4.4</t>
  </si>
  <si>
    <t>Meta Estratégica 4.5</t>
  </si>
  <si>
    <t>Meta Estratégica 4.6</t>
  </si>
  <si>
    <t>Meta Estratégica 4.7</t>
  </si>
  <si>
    <t>Meta Estratégica 5.1</t>
  </si>
  <si>
    <t>Meta Estratégica 5.2</t>
  </si>
  <si>
    <t>Meta Estratégica 5.3</t>
  </si>
  <si>
    <t>Objetivo Estratégico 1</t>
  </si>
  <si>
    <t>Objetivo Estratégico 2</t>
  </si>
  <si>
    <t>Objetivo Estratégico 3</t>
  </si>
  <si>
    <t>Objetivo Estratégico 4</t>
  </si>
  <si>
    <t>Objetivo Estratégico 5</t>
  </si>
  <si>
    <t>Promedio General</t>
  </si>
  <si>
    <t>CUATRIENIO 2021 -2024</t>
  </si>
  <si>
    <t>GRADO DE CUMPLIMIENTO POR META ESTRATÉGICA
EN EL CUATRIENIO</t>
  </si>
  <si>
    <t>GRADO DE CUMPLIMIENTO POR OBJETIVO ESTRATÉGICO Y DE LA CALIDAD
EN EL CUATRIENIO</t>
  </si>
  <si>
    <t>Avance en la ejecución de los planes que desarrollan la gestión del talento humano</t>
  </si>
  <si>
    <t>Promedio de grado avance de la ejecución de  los planes que desarrollan la gestión del talento humano</t>
  </si>
  <si>
    <t>Acciones implementadas para la modernización de la gestión institucional en el proceso Gestión Administrativa</t>
  </si>
  <si>
    <t>Promedio de grado de avance de las acciones implementadas por el proceso Gestión Administrativa para la modernización de la gestión institucional</t>
  </si>
  <si>
    <t>Acciones implementadas para la modernización de la gestión institucional en el proceso Gestión Financiera</t>
  </si>
  <si>
    <t>Promedio de grado de avance de las acciones implementadas por el proceso Gestión Financiera para la modernización de la gestión institucional</t>
  </si>
  <si>
    <t xml:space="preserve">∑ Número de actividades de actualización o ajuste+ actividades de implementación </t>
  </si>
  <si>
    <t>Acciones implementadas para la modernización de la gestión institucional en el proceso Gestión Jurídica</t>
  </si>
  <si>
    <t>Fuente: Consolidación de reportes entregados por los procesos en hojas de vida de indicadores de gestión.</t>
  </si>
  <si>
    <t>INFORME DE SEGUIMIENTO 
GRADO DE CUMPLIMIENTO DE METAS ESTARTÉGICAS
PLAN ESTRATÉGICO INSTITUCIONAL - PEI-
2021-2024</t>
  </si>
  <si>
    <t>Promedio de ejecución de procesos en las diferentes modalidades de contratación del periodo, realizados dentro del tiempo óptimo</t>
  </si>
  <si>
    <t>INFORME DE SEGUIMIENTO
RESUMEN EJECUCIÓN METAS ESTRATÉGICAS 
PLAN ESTRATÉGICO INSTITUCIONAL - PEI- 
2021-2024</t>
  </si>
  <si>
    <t>INFORME DE SEGUIMIENTO
GRADO DE CUMPLIMIENTO DE LOS OBJETIVOS ESTRATÉGICOS Y DE LA CALIDAD
PLAN ESTRATÉGICO INSTITUCIONAL - PEI-
2021-2024</t>
  </si>
  <si>
    <t>Porcentaje de Acciones de Tutela, Desacatos e Impugnaciones entregadas en un Termino Menor a Cinco (5) Días Hábiles</t>
  </si>
  <si>
    <t>GRADO DE CUMPLIMIENTO PROMEDIO POR OBJETIVO ESTRATÉGICO Y DE LA CALIDAD</t>
  </si>
  <si>
    <t>GRADO DE CUMPLIMIENTO PROMEDIO POR META ESTRATÉGICA</t>
  </si>
  <si>
    <t>Soluciones informáticas implementadas</t>
  </si>
  <si>
    <t>Número total de encuestas con calificación excelente y bueno/Número total de encuestas registradas</t>
  </si>
  <si>
    <t xml:space="preserve">Acciones implementadas para la modernización de la gestión institucional en actualización e  implementación de instrumentos archivísticos </t>
  </si>
  <si>
    <t xml:space="preserve">Porcentaje de contratos en las diferentes modalidades de contratación elaborados en los tiempos óptimos </t>
  </si>
  <si>
    <t>Acciones desarrolladas relacionadas con el fomento de la cultura del autocontrol, autoregulación y autogestión</t>
  </si>
  <si>
    <t>Promedio de grado de cumplimiento de las acciones desarrolladas relacionadas con el fomento de la cultura del autocontrol, autoregulación y autogestión</t>
  </si>
  <si>
    <t>2.3.1 Realizar 60 audiencias públicas y/o mesas de trabajo, las cuales permitan la participación ciudadana, con énfasis en los Derechos e intereses colectivos.</t>
  </si>
  <si>
    <t xml:space="preserve">3.1.1 Identificar y decidir de fondo 6,700  procesos, priorizando aquellos que se encuentren con riesgo de prescripción y/o vencidos en su etapa procesal (indagación, investigación y juzgamiento). </t>
  </si>
  <si>
    <t>3.1. Descongestionar 6.700 procesos disciplinarios con criterios de calidad, efectividad y garantía del debido proceso.</t>
  </si>
  <si>
    <t>5.480 acciones en favor de las víctimas del conflicto armado interno realizadas</t>
  </si>
  <si>
    <t>4.790 Acciones constitucionales elaboradas</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</si>
  <si>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</si>
  <si>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Cuarto Trimestre</t>
  </si>
  <si>
    <t>CUMPLIMIENTO PROGRAMACIÓN EN EL PERIODO 
Cuarto Trimestre de 2021</t>
  </si>
  <si>
    <t>Versión:
7</t>
  </si>
  <si>
    <r>
      <t xml:space="preserve">Código: </t>
    </r>
    <r>
      <rPr>
        <sz val="12"/>
        <color theme="1"/>
        <rFont val="Arial"/>
        <family val="2"/>
      </rPr>
      <t>01-FR-04</t>
    </r>
  </si>
  <si>
    <t>2 de 2</t>
  </si>
  <si>
    <t>INSTRUCCIONES PARA EL DILIGENCIAMIENTO DE LA MATRIZ DEL PLAN ESTRATÉGICO INSTITUCIONAL</t>
  </si>
  <si>
    <t>OBJETIVO ESTRATÉGICO:</t>
  </si>
  <si>
    <r>
      <t xml:space="preserve">Registre el </t>
    </r>
    <r>
      <rPr>
        <b/>
        <sz val="12"/>
        <rFont val="Arial"/>
        <family val="2"/>
      </rPr>
      <t>objetivo</t>
    </r>
    <r>
      <rPr>
        <sz val="12"/>
        <rFont val="Arial"/>
        <family val="2"/>
      </rPr>
      <t xml:space="preserve"> estratégico definido en la plataforma estratégica de la Entidad. </t>
    </r>
  </si>
  <si>
    <t>META ESTRATÉGICA:</t>
  </si>
  <si>
    <r>
      <t xml:space="preserve">Registre </t>
    </r>
    <r>
      <rPr>
        <b/>
        <sz val="12"/>
        <rFont val="Arial"/>
        <family val="2"/>
      </rPr>
      <t>la(s) meta(s)</t>
    </r>
    <r>
      <rPr>
        <sz val="12"/>
        <rFont val="Arial"/>
        <family val="2"/>
      </rPr>
      <t xml:space="preserve"> que permitirá(n) la consecución del objetivo estratégico correspondiente. Utilice una fila diferente por cada meta.</t>
    </r>
  </si>
  <si>
    <t>Registre el valor porcentual de aporte de la Meta Estratégica al cumplimiento del Objetivo Estratégico relacionado.</t>
  </si>
  <si>
    <t>MAGNITUD PROGRAMADA CUATRIENIO:</t>
  </si>
  <si>
    <r>
      <t>Indique el</t>
    </r>
    <r>
      <rPr>
        <b/>
        <sz val="12"/>
        <rFont val="Arial"/>
        <family val="2"/>
      </rPr>
      <t xml:space="preserve"> valor</t>
    </r>
    <r>
      <rPr>
        <sz val="12"/>
        <rFont val="Arial"/>
        <family val="2"/>
      </rPr>
      <t xml:space="preserve"> (cantidad) que se espera alcance la meta en el cuatrienio.</t>
    </r>
  </si>
  <si>
    <t>Registre el valor que se tiene como nivel de referencia para adelantar la medición. Únicamente en el caso de no disponer de información histórica ingrese S.I. (sin información).</t>
  </si>
  <si>
    <t>PROCESO(S) RESPONSABLE(S):</t>
  </si>
  <si>
    <t>Registre el nombre del (de los) procesos responsable(s) en la consecución de las meta establecida.</t>
  </si>
  <si>
    <r>
      <t xml:space="preserve">En esta sección encontrará los años del cuatrienio. En cada año registre en la celda correspondiente la magnitud programada de la meta correspondiente a cada período. 
</t>
    </r>
    <r>
      <rPr>
        <i/>
        <sz val="12"/>
        <rFont val="Arial"/>
        <family val="2"/>
      </rPr>
      <t>Nota: Si se requiere se puede agregar o eliminar un año.</t>
    </r>
  </si>
  <si>
    <t>Espacio de cálculo del total acumulado a la fecha de corte, diligenciado por la Dirección de Planeación.</t>
  </si>
  <si>
    <t>TOTAL CUATRIENIO:</t>
  </si>
  <si>
    <t>Espacio de cálculo del total programado, ejecución y grado de cumplimiento del Objetivo Estratégico. Este campo es diligenciado por la Dirección de Planeación, según los valores aportados de forma anual por cada proceso.</t>
  </si>
  <si>
    <t>1.1. Realizar 884.203 acciones que promuevan la defensa, garantía y restablecimiento de los derechos de las personas en el Distrito Capital.</t>
  </si>
  <si>
    <t>1.1.1 Realizar 356.610 intervenciones dentro del ejercicio del Ministerio Público para prevenir la vulneración de derechos y/o lograr el  restablecimiento de los mismos.</t>
  </si>
  <si>
    <t>1.1.2 Orientar 292.755 personas en garantía de derechos.</t>
  </si>
  <si>
    <t>1.1.3 Asistir 117.610 personas en garantía de derechos.</t>
  </si>
  <si>
    <t>1.1.4 Asistir a 28.586 personas en mecanismos alternativos de solución de conflictos.</t>
  </si>
  <si>
    <t>1.1.5 Atender y gestionar 55.722 peticiones y/o requerimientos presentados por la comunidad en garantía de derechos.</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</si>
  <si>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</si>
  <si>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1.1.9 Realizar 11.000 intervenciones de manera oportuna para evitar situaciones de caducidad y perdida de fuerza ejecutoria en las actuaciones administrativas y policivas</t>
  </si>
  <si>
    <t>1.1.10 Impulsar 2.300 expedientes que contengan orden de policía (MULTA) en firme y ejecutoriada, para que se efectúen cobros persuasivos y/o se de traslado para el cobro coactivo.</t>
  </si>
  <si>
    <t>1.1.11 Establecer de forma periódica, 40 estados de la vulneración de  los derechos humanos en las localidades, dando a conocer a las Entidades correspondientes los hechos observados que requieren su intervención.</t>
  </si>
  <si>
    <t>1.2. Realizar 260.709 acciones que propendan por la efectiva defensa y garantía de los derechos de los sujetos de especial protección constitucional, con énfasis en las personas mayores, mujeres y la población migrante en el Distrito Capital.</t>
  </si>
  <si>
    <t>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</si>
  <si>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1.2.2 Adelantar 23.910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</si>
  <si>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18.880 acciones constitucionales, la vulneración de derechos  con énfasis en sujetos de especial protección constitucional.</t>
  </si>
  <si>
    <t>1.2.5 Participar en 7.711 comités, mesas y consejos interinstitucionales en garantía de derechos, con énfasis en temas relacionados con sujetos de especial protección constitucional, en particular, persona mayor, mujer y población migrante.</t>
  </si>
  <si>
    <t>1.2.6 Realizar 738 seguimientos a la amenaza y vulneración de los derechos, con énfasis en sujetos de especial protección constitucional, en particular, persona mayor, mujer y población migrante</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</si>
  <si>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</si>
  <si>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</si>
  <si>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2.3.2 Realizar 160 acompañamientos a los ciudadanos que intervienen en los diferentes espacios de participación ciudadana.</t>
  </si>
  <si>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</si>
  <si>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</si>
  <si>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</si>
  <si>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4.5.2 Realizar 20 jornadas de sensibilización a funcionarios de la Personería de Bogotá D.C. sobre la prevención de las faltas disciplinarias más recurrentes en la Entidad.</t>
  </si>
  <si>
    <t>5.1.2. Entregar dos (2) productos resultado de los proyectos de investigación, desarrollo e innovación (I+D+I) realizados en la Entidad para la comunidad</t>
  </si>
  <si>
    <t>Productos resultado de investigaciones, entregadas para la comunidad</t>
  </si>
  <si>
    <t>5.3.1 Desarrollar ochenta (80) actividades de apropiación social del conocimiento para la creación de la cultura de la investigación e innovación.</t>
  </si>
  <si>
    <t>1.3. Construir e Implementar 35 estrategias que permitan incrementar la oferta y cobertura de los servicios prestados por la Entidad.</t>
  </si>
  <si>
    <t>2.2. Fortalecer la moralidad publica realizando  952 acciones de prevención y control a la función pública.</t>
  </si>
  <si>
    <t>2.3. Fortalecer 320 espacios de participación ciudadana en la Personería de Bogotá</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</si>
  <si>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</si>
  <si>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  Definir el plan de Acciondel SGA
2. Ejecutar el Plan de Acción
3. Hacer seguimiento al avance</t>
  </si>
  <si>
    <t>Avance en la implementación del Sisema de Gestión Ambiental en un 33%</t>
  </si>
  <si>
    <t>LILY MOTES / JEFE DE OFICINA ASESORA DE COMUNICACIONES</t>
  </si>
  <si>
    <t>RICARDO HERNÁN MEDINA RICO
PERSONERO DELEGADO PARA LA COORDINACIÓN DEL MINISTERIO PÚBLICO Y LOS DERECHOS HUMANOS
WILLIAM AUGUSTO SUAREZ SUAREZ
PERSONERO DELEGADO PARA LA COORDINACIÓN DE GESTIÓN DE PERSONERÍAS LOCALES</t>
  </si>
  <si>
    <t>106.660 Intervenciones realizadas de oficio o a petición de parte por los Agentes del Ministerio Público</t>
  </si>
  <si>
    <t>97.105 Peticiones atendidas y clasificadas como Orientación</t>
  </si>
  <si>
    <t>26.115 Peticiones atendidas y clasificadas como Asistencia</t>
  </si>
  <si>
    <t>6.900 Solicitudes de conciliación y uniones maritales de hecho atendidas</t>
  </si>
  <si>
    <t>16.115 Peticiones o requerimientos ciudadanos atendidos en garantía de derecho o intervención</t>
  </si>
  <si>
    <t>6.000 Audiencias asistidas con actuaciones</t>
  </si>
  <si>
    <t>500 Expedientes de policía impulsados</t>
  </si>
  <si>
    <t>71.570 personas sensibilizadas</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</si>
  <si>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</si>
  <si>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t>800 verificaciones de cumplimiento realizadas por los Agentes del Ministerio Público a las medidas de protección establecidas por las Comisarias de Familia</t>
  </si>
  <si>
    <t>2.771 espacios de participación interinstitucional con presencia y acompañamiento de la Entidad</t>
  </si>
  <si>
    <t xml:space="preserve">208 Seguimientos realizados a la amenaza y vulneración de los derechos </t>
  </si>
  <si>
    <t>17 Actividades realizadas para acercar la Entidad a la comunidad</t>
  </si>
  <si>
    <t>SANDRA ELIZABETH GARCIA ANGARITA
Personera Delegada para la Coordinación de Prevención y Control a la Función Pública
WILLIAM AUGUSTO SUAREZ SUAREZ
PERSONERO DELEGADO PARA LA COORDINACIÓN DE GESTIÓN DE PERSONERÍAS LOCALES</t>
  </si>
  <si>
    <t>7 Informes de Prevención y Control a la Función Publica en los cuales se evaluaron políticas ambientales, manejo de recursos hídricos, protección y bienestar animal y desarrollo urbano, en el Distrito Capital.</t>
  </si>
  <si>
    <t>286 Informes de Acción de Prevención y Control a la Función Publica en el Distrito Capital, para fortalecer la moralidad pública</t>
  </si>
  <si>
    <t>67 Informes de seguimientos realizados para fortalecer la moralidad pública en el Distrito Capital</t>
  </si>
  <si>
    <t>21 Audiencias públicas y/o mesas de trabajo realizadas.</t>
  </si>
  <si>
    <t xml:space="preserve">60 Acompañamientos a los ciudadanos realizados. </t>
  </si>
  <si>
    <t>30 Espacios de dialogo realizados</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</si>
  <si>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</si>
  <si>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3 Lineamientos Implementados en la vigencia</t>
  </si>
  <si>
    <t>6 Jornadas de sensibilización realizadas</t>
  </si>
  <si>
    <t>TRIMESTRE</t>
  </si>
  <si>
    <t>TRIMESTRE 1</t>
  </si>
  <si>
    <t>TRIMESTRE 2</t>
  </si>
  <si>
    <t>TRIMESTRE 3</t>
  </si>
  <si>
    <t>TRIMESTRE 4</t>
  </si>
  <si>
    <t>SELECCIONE EL TRIMESTRE</t>
  </si>
  <si>
    <t>02-RI-04</t>
  </si>
  <si>
    <t>Primer Trimestre</t>
  </si>
  <si>
    <t>Segundo Trimestre</t>
  </si>
  <si>
    <t>Tercer Trimestre</t>
  </si>
  <si>
    <t>Seleccione el trimestre</t>
  </si>
  <si>
    <t>Ejecución Primer Trimestre</t>
  </si>
  <si>
    <t xml:space="preserve">Ejecución Corte
30/06/2022 </t>
  </si>
  <si>
    <t>Acumulado Corte 
30/06/2022</t>
  </si>
  <si>
    <t>Acumulado
Corte 
31/03/2022</t>
  </si>
  <si>
    <t xml:space="preserve">Ejecución 
Corte
31/03/2022 </t>
  </si>
  <si>
    <t>Acumulado Corte 
30/09/2022</t>
  </si>
  <si>
    <t xml:space="preserve">Ejecución Corte
30/09/2022 </t>
  </si>
  <si>
    <t>Acumulado Corte 
31/12/2022</t>
  </si>
  <si>
    <t xml:space="preserve">Ejecución Corte
31/12/2022 </t>
  </si>
  <si>
    <t xml:space="preserve">Fecha de corte: </t>
  </si>
  <si>
    <t>Ejecución segundo Trimestre</t>
  </si>
  <si>
    <t>Ejecución tercer Trimestre</t>
  </si>
  <si>
    <t>Ejecución Cuarto Trimestre</t>
  </si>
  <si>
    <t>Año 2022</t>
  </si>
  <si>
    <t>PLAN OPERATIVO ANUAL 2022</t>
  </si>
  <si>
    <t>Desempeño Promedio 
Año 2022</t>
  </si>
  <si>
    <t>Sobre ejecución (Respecto de lo programado al corte)</t>
  </si>
  <si>
    <t>CUMPLIMIENTO PROGRAMACIÓN EN EL PERIODO 
Primer Trimestre de 2022</t>
  </si>
  <si>
    <t>CUMPLIMIENTO PROGRAMACIÓN - ACUMULADO</t>
  </si>
  <si>
    <t>Corte</t>
  </si>
  <si>
    <t>No de Indicadores con Meta Cumplida según progrLación</t>
  </si>
  <si>
    <t>CUMPLIMIENTO PROGRAMACIÓN EN EL PERIODO 
Segundo Trimestre de 2022</t>
  </si>
  <si>
    <t>CUMPLIMIENTO PROGRAMACIÓN EN EL PERIODO 
Tercer Trimestre de 2022</t>
  </si>
  <si>
    <t>No programado</t>
  </si>
  <si>
    <t>Para el trimestre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</si>
  <si>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Para el periodo no se programó avance. Su ejecución está prevista para el cuarto trimestre de 2022.</t>
  </si>
  <si>
    <t>Este indicador esta programado de manera constante en el año con 100% de magnitud esperada en cada periodo, su ejecución promedio en el trimestre y del año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</si>
  <si>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Para la vigencia 2022 no se programó avance en esta meta.</t>
  </si>
  <si>
    <t>Para el periodo no se programó avance. El inicio de su ejecución está prevista para el cuarto trimestre de 2022.</t>
  </si>
  <si>
    <t>31/06/2022</t>
  </si>
  <si>
    <t xml:space="preserve">SEMESTRE 1 </t>
  </si>
  <si>
    <t>GRADO DE CUMPLIMIENTO 
AÑO 2022</t>
  </si>
  <si>
    <t>Verificaciones de cumplimiento realizadas por el Ministerio Público a las medidas de protección impuestas por las Comisarías de Familia</t>
  </si>
  <si>
    <t>1.2.4 Fortalecer el ejercicio del ministerio público ante las comisarías de familia, verificando el cumplimiento a 3.540 medidas de protección que se imponen.</t>
  </si>
  <si>
    <t>CUMPLIMIENTO ACUMULADO
PROMEDIO POR INDICADOR
CORTE 30-06-2022</t>
  </si>
  <si>
    <t>CUMPLIMIENTO PROMEDIO AÑO 30-06-2022
POR INDICADOR</t>
  </si>
  <si>
    <t>Este indicador alcanza un cumplimiento en el trimestre del 100% y del 45%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</si>
  <si>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Corte Acumulado</t>
  </si>
  <si>
    <t>GRADO DE CUMPLIMIENTO CUATRIENIO
ACUMULADO CORTE 30/06/2022</t>
  </si>
  <si>
    <t>Acumulado Corte: 30 de junio de 2022</t>
  </si>
  <si>
    <t>CUMPLIMIENTO ACUMULADO POA AÑO
POR INDICADOR</t>
  </si>
  <si>
    <t>GRADO DE CUMPLIMIENTO META ESTRATÉGICA AÑO</t>
  </si>
  <si>
    <t>Corte:30-09-2022</t>
  </si>
  <si>
    <t>Para el trimestre se realizaron las actividades programadas y la actividad 30 que estaba pendiente por parte del proceso Potestad Disciplinaria, actividad 20 que estaba pendiente por parte del proceso Gestión Documental. 
De acuerdo con los rangos de cumplimiento definidos para este indicador en el corte acumulado se encuentra en el nivel satisfactorio.
Se recomienda continuar haciendo monitoreo a indicador para mantener e nivel de ejecución alcanzado hasta ahora.</t>
  </si>
  <si>
    <t>Para el periodo no se programó avance. La ejecución restante está prevista para el cuarto trimestre de 2022.
De acuerdo con los rangos de cumplimiento definidos para este indicador en el corte acumulado se encuentra en el nivel satisfactorio.
Se recomienda continuar haciendo monitoreo a indicador para mantener e nivel de ejecución alcanzado hasta ahora.</t>
  </si>
  <si>
    <t>Este indicador alcanza un cumplimiento en el trimestre del 100% y del 82,5%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</si>
  <si>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Este indicador alcanza un cumplimiento en el trimestre del 100% y del 100% respecto del año, su ejecución es conforme a lo planeado y ya cumplió la meta del año.
De acuerdo con los rangos de cumplimiento definidos para este indicador en el corte se encuentra en el nivel satisfactorio.</t>
  </si>
  <si>
    <t>Este indicador esta programado de manera constante en el año con 95% de magnitud esperada en cada periodo, su ejecución promedio en el trimestre y del año es mayor en relación con lo planeado con un 2,9% de actividades ejecutadas adicionales equivalente al 3% adicional de cumplimiento en el trimestre.
En el año alcanza un cumplimiento del 77,8%.
De acuerdo con los rangos de cumplimiento definidos para este indicador, en este periodo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</si>
  <si>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80% de magnitud esperada en cada periodo, su ejecución promedio en el trimestre es acorde a la programación, sin embargo el promedio del año es mayor en relación con lo planeado con un 5,3% de actividades ejecutadas adicionales equivalente al 7% adicional de cumplimiento en el trimestre.
En el año alcanza un cumplimiento del 80%.
De acuerdo con los rangos de cumplimiento definidos para este indicador, en este periodo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</si>
  <si>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80% de magnitud esperada en cada periodo, el periodo presenta ejecución promedio en el trimestre del 86,6% en relación con lo planeado con un 6,6% adicional de contratos de la modalidad y del año es mayor con 88,8%
En el año alcanza un cumplimiento del 83,3%.
De acuerdo con los rangos de cumplimiento definidos para este indicador,  en el corte acumulado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</si>
  <si>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80% de magnitud esperada en cada periodo, el periodo presenta ejecución promedio  en el trimestre del 94,9%en relación con lo planeado con un 18,8% adicional de contratos de la modalidad  y del año es mayor con 98,8% .
En el año alcanza un cumplimiento del 92,2%.
De acuerdo con los rangos de cumplimiento definidos para este indicador,  en el corte acumulado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</si>
  <si>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80% de magnitud esperada en cada periodo, presenta cumplimiento en el trimestre del 100% y del año con el 77,1%.
Se recomienda continuar haciendo monitoreo al indicador y establecer las acciones de mejora que permitan dar total cumplimiento a la meta y  la coherencia en la ejecución frente a la programación prevista para la vigencia.</t>
  </si>
  <si>
    <t>Se evidencia una menor ejecución del trimestre con 3% de presupuesto ejecutado menos equivalente al 14% de porcentaje menor de cumplimiento, sin embargo al corte acumulado al 30-09-2022 logra el 100,8%. 
En el año alcanza un cumplimiento del 76,4%.
Se recomienda continuar haciendo monitoreo al indicador y establecer las acciones de mejora que permitan dar total cumplimiento a la meta y  la coherencia en la ejecución frente a la programación prevista para la vigencia.</t>
  </si>
  <si>
    <t>Se evidencia una  ejecución acorde a la programación.
En el año alcanza un cumplimiento del 64,2%.
De acuerdo con los rangos de cumplimiento definidos para este indicador, en este trimestre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</si>
  <si>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en el trimestre del 100% y del 75% respecto del año, su ejecución es conforme a lo planeado.
De acuerdo con los rangos de cumplimiento definidos para este indicador en el corte se encuentra en el nivel satisfactorio.
Se recomienda continuar haciendo monitoreo a indicador para mantener e nivel de ejecución alcanzado hasta ahora.</t>
  </si>
  <si>
    <t>Este indicador esta programado de manera constante en el año con 98% de magnitud esperada en cada periodo, su ejecución promedio en el trimestre es levemente mayor con 1% novedades incluidas adicionales.
De acuerdo con los rangos de cumplimiento definidos para este indicador, en este periodo y en el corte acumulado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</si>
  <si>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96% de magnitud esperada en cada periodo, su ejecución promedio en el trimestre es levemente mayor con 1% usuarios satisfechos adicional al esperado.
De acuerdo con los rangos de cumplimiento definidos para este indicador, en este periodo alcanza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</si>
  <si>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en el trimestre del 109% y del 63,8% respecto del año, su ejecución promedio en el trimestre es mayor con 2% de avance en la ejecución respecto al programado.
De acuerdo con los rangos de cumplimiento definidos para este indicador en el trimestre y en el corte acumulado a 30-09-2022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</si>
  <si>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en el trimestre del 105% y del 72,6% respecto del año, su ejecución promedio en el trimestre es mayor con 1% de avance en la ejecución respecto al programado.
De acuerdo con los rangos de cumplimiento definidos para este indicador en el trimestre y en el corte acumulado a 30-09-2022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</si>
  <si>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en el trimestre del 100% y del 100% respecto del año, su ejecución es conforme a lo planeado.
De acuerdo con los rangos de cumplimiento definidos para este indicador en el corte acumulado se encuentra en el nivel satisfactorio.
Meta cumplida para el año.</t>
  </si>
  <si>
    <t>Este indicador esta programado de manera constante en el año con 100% de magnitud esperada en cada periodo, su ejecución promedio en el trimestre es menor a la esperada con 8% de las noticias disciplinarias menos que la programada, esta situación se viene evidenciando desde el primer trimestre de 2022.
De acuerdo con los rangos de cumplimiento definidos para este indicador, en este trimestre alcanza el nivel satisfactorio.
Se recomienda al proceso realizar monitoreo, seguimiento y establecer las acciones correctivas y/o de mejora que le permitan dar cumplimiento a la meta y  la coherencia en la ejecución frente a la programación prevista para la vigencia.</t>
  </si>
  <si>
    <t>Teniendo en cuenta que este indicador tuvo avance anticipado en el trimestre anterior presente un cumplimiento acumulado al corte del 100% que compensa la ejecución.
En el año alcanza un cumplimiento del 50%.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</si>
  <si>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en el trimestre del 100% y del 90%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</si>
  <si>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Este indicador presenta una ejecución mayor con 5% de actividades adicionales a las planeadas, equivalente a un cumplimiento promedio del 133% y 77,5% respecto del año.
De acuerdo con los rangos de cumplimiento definidos para este indicador se ubica en este trimestre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</si>
  <si>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en el trimestre del 100% y del 80% respecto del año,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</si>
  <si>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Se evidencia una mayor ejecución que supera la programación del trimestre con 3.710 personas orientadas adicionales equivalente al 13,9% de porcentaje adicional de cumplimiento. La mayor ejecución se presenta en las tres instancias de coordinación que aportan así:
P.D.C del Ministerio Público y los Derechos Humanos: 2.587 personas orientadas adicionales.
P.D.C de Prevención y Ctrl a la Función Pública : 328 personas orientadas adicionales.
P.D.C de Gestión de Personerías Locales: 795 personas orientadas adicionales.
En el año alcanza un cumplimiento del 87,1%.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</si>
  <si>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El indicador esta previsto para que el % de acciones de tutela, desacatos e impugnaciones previstas para cumplir el criterio sea mayor o igual al 95%, situación evidenciada en tercer trimestre con un 4,9% adicional.
En el año alcanza un cumplimiento del 78,9%.
De acuerdo con los rangos de cumplimiento definidos para este indicador, en este trimestre se encuentra en el nivel satisfactorio.
Se recomienda al proceso revisar la tendencia y evaluar un posible incremento en la magnitud para proyecciones futuras porque desde la vigencia anterior se ha mantenido este comportamiento evidenciando una capacidad de cumplir el criterio en mas del 98%.</t>
  </si>
  <si>
    <t>Se evidencia mayor ejecución en relación con la programación del trimestre con 245 seguimientos a medidas adicionales que duplica la programación, sin embargo el corte acumulado al 30-09-2022 alcanza un 104,9% con 32 seguimientos a medidas adicionales. La menor ejecución se presenta en la P.D.C del Ministerio Público y los Derechos Humanos.
De acuerdo con los rangos de cumplimiento definidos para este indicador se ubica en el nivel 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</si>
  <si>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del trimestre con 107 espacios interinstitucionales adicionales equivalente al 15,2% de porcentaje adicional de cumplimiento; en relación con el corte a 30-09-2022 se observa una mayor ejecución con 176 espacios interinstitucionales adicionales equivalente al 8,4% de porcentaje adicional de cumplimiento. La ejecución se presenta en las instancias de coordinación que aportan así:
P.D.C del Ministerio Público y los Derechos Humanos: 51 espacios interinstitucionales adicionales.
P.D.C de Gestión de Personerías Locales: 56 espacios interinstitucionales adicionales.
En el año alcanza un cumplimiento del 81,5%.
De acuerdo con los rangos de cumplimiento definidos para este indicador, en este trimestre alcanza el nivel satisfactorio.
Se recomienda al proceso realizar monitoreo, seguimiento y establecer las acciones correctivas y/o de mejora que le permitan dar cumplimiento a la meta y  la coherencia en la ejecución frente a la programación prevista para la vigencia.</t>
  </si>
  <si>
    <t>Para el trimestre su ejecución es menor a lo planeado; sin embargo, se videncia una mayor ejecución acumulada que supera la programación a corte 30/09/2022 con 1 Actividades de apropiación social del conocimiento desarrolladas adicionales que se evidenciaron desde el segundo trimestre equivalente al 3% de porcentaje adicional de cumplimiento acumulado. 
Se recomienda al proceso revisar la programación frente al contexto interno y externo y establecer las acciones de mejora teniendo en cuenta la tendencia en aumento. Se debe revisar la tendencia de este indicador y evaluar una posible reprogramación.</t>
  </si>
  <si>
    <t xml:space="preserve">Este indicador está programado de manera constante en dos periodos en el año con una magnitud del 90% promedio; en el tercer trimestre alcanza la meta con el 96% de percepción de  los usuarios que califican el servicio en bueno y excelente y un porcentaje de cumplimiento del 106,6%.
De acuerdo con los rangos de cumplimiento definidos para este indicador se ubica en el nivel satisfactorio. 
Meta cumplida en el tercer trimestre.
Se recomienda observar el resultado de la meta en el año para tomarlo de insumo para la programación de la siguiente vigencia. </t>
  </si>
  <si>
    <t>Se evidencia una menor ejecución del trimestre con 3% de porcentaje de PAA ejecutado menos equivalente al 14% de porcentaje en déficit de cumplimiento. 
En el corte alcanza el 91% de cumplimiento  y con referencia al año alcanza un cumplimiento del 76,8%.
De acuerdo con los rangos de cumplimiento definidos para este indicador, en este trimestre se encuentra en el nivel insatisfactorio.
Se recomienda continuar haciendo monitoreo al indicador y establecer las acciones de mejora que permitan dar total cumplimiento a la meta y  la coherencia en la ejecución frente a la programación prevista para la vigencia.</t>
  </si>
  <si>
    <t>Se evidencia una menor ejecución del trimestre por cuanto estas fueron adelantas en el trimestre anterior, sin embargo en el corte acumulado alcanza un porcentaje adicional de cumplimiento superado en 2%. 
En el año alcanza un cumplimiento del 77,4%.
Se recomienda continuar haciendo monitoreo al indicador y establecer las acciones de mejora que permitan dar total cumplimiento a la meta y  la coherencia en la ejecución frente a la programación prevista para la vigencia.</t>
  </si>
  <si>
    <t>Este indicador alcanza un cumplimiento en el trimestre del 106%, en el corte acumulado del 102% y en el año logra el 77,6% respecto de la programación.
De acuerdo con los rangos de cumplimiento definidos para este indicador en el corte se encuentra en el nivel satisfactorio.
Se recomienda continuar haciendo monitoreo al indicador y establecer las acciones de mejora que permitan dar total cumplimiento a la meta y  la coherencia en la ejecución frente a la programación prevista para la vigencia.</t>
  </si>
  <si>
    <t>Meta cumplida desde el segundo trimestre conforme con lo planeado.</t>
  </si>
  <si>
    <t>Identificación del Indicador</t>
  </si>
  <si>
    <t>Este indicador esta programado de manera constante en el año con 97% de magnitud esperada en cada periodo, su ejecución promedio en el trimestre es mayor con 30% de actividades ejecutadas adicionales.
En el año alcanza un cumplimiento del 89,1%.
De acuerdo con los rangos de cumplimiento definidos para este indicador, en este periodo y en el corte acumulado se encuentra en el nivel satisfactorio.
Se recomienda al proceso continuar haciendo monitoreo al indicador y establecer las acciones de mejora que permitan dar total cumplimiento a la meta y la coherencia en la ejecución frente a la programación prevista para la vigencia, teniendo en cuenta que restan dos meses para finalizar ejecución. Así mismo se sugiere incrementar la magnitud del indicador para los años 2023 y 2024 en el 100% constante mensual por cuanto en lo corrido del año el porcentaje previsto de 97% en la ejecución siempre se ha superado.</t>
  </si>
  <si>
    <t>Se evidencia una mayor ejecución que supera la programación del trimestre con 21 procesos adicionales equivalente al 70% de porcentaje adicional de cumplimiento. 
Se evidencia que al corte acumulado se sobrepasa la programación con 44 procesos adicionales equivalente al 53% y de la meta total año se supera en 27 procesos adicionales cumpliendo y superando la meta del año con un 27% de cumplimiento adicional por cuanto se alcanza un total de 127 procesos de 100 programados para la anualidad.
En el año alcanza un cumplimiento del 127%.
Meta anual cumplida.
Se supera la programación de la vigencia.
Se recomienda la proceso analizar la tendencia y tomarla como línea base para proyecciones futuras sumado análisis de contexto; de tal forma que se sugiere que para las vigencias restantes 2023 y 2024 se verifique el porcentaje de sobre ejecución y frente a la actual programación de 100 procesos disciplinarios con decisión de fondo para cada año, se revise el incremento de la magnitud del año en un 27% adicional  o más, no obstante, al ser un indicador que depende de la demanda se deberá revisar los resultados del cuarto trimestre de 2022</t>
  </si>
  <si>
    <t>A pesar de que el proceso presentó propuesta de modificación de la magnitud a partir del mes de julio, la cual fue aprobada por el Comité Institucional de Gestión y Desempeño incrementando la magnitud del año de 24 a 52 medidas de preservación; se evidencia que al corte acumulado con 23 medidas de preservación emitidas adicionales equivalente al 70% y de la meta total año se supera en 4 medidas de preservación cumpliendo y superando la meta del año con un 7,7% de cumplimiento adicional por cuanto se alcanza un total de 56 medidas de 52 programadas para la anualidad.
Meta anual cumplida.
Se supera la programación de la vigencia.
Se recomienda la proceso analizar la tendencia y tomarla como línea base para proyecciones futuras sumado análisis de contexto; de tal forma que se sugiere que para las vigencias restantes 2023 y 2024 se verifique el porcentaje de sobre ejecución y frente a la actual programación de 36 medidas de preservación para cada año, se revise el incremento de la magnitud del año en un 8% adicional o más, no obstante, al ser un indicador que depende de la demanda se deberá revisar los resultados del cuarto trimestre de 2022.</t>
  </si>
  <si>
    <t>Se evidencia una sobre ejecución que supera ampliamente la programación del trimestre con 599 acciones en favor a víctimas adicionales equivalente al 35,7% de porcentaje adicional de cumplimiento. 
Al corte 30-09-2022 la meta ya se ha cumplido con u total de 7.790 acciones en favor de las víctimas frente a 5.480 programadas como total en el año hasta el mes de noviembre. Esta situación se ha evidenciado desde el trimestre anterior.
En el año alcanza un cumplimiento del 142,2%.
La sobre ejecución se evidencia en la P.D.C del Ministerio Público y los Derechos Humanos con un total de 6.560 acciones en favor de las víctimas frente a 3.880 programadas para la vigencia 2022.
Entre tanto la P.D.C de Gestión de Personerías Locales alcanza 1.676 acciones en favor de las víctimas frente a 1.600 programadas en la vigencia.
Meta anual cumplida desde el segundo trimestre.
Se supera la programación de la vigencia en 3.430 acciones en favor de las víctimas adicionales.
Teniendo en cuenta el cumplimiento de la meta al corte 30-09-2022 con 142,2%,  se recomienda la proceso analizar la tendencia y tomarla como línea base para proyecciones futuras sumado análisis de contexto; de tal forma que se sugiere que para las vigencias restantes 2023 y 2024 se verifique el porcentaje de sobre ejecución y frente a la actual programación de 8.650  y 4.300 acciones en favor de las víctimas respectivamente, se revise el incremento de la magnitud del año en un 42,2% adicional  o más, no obstante, al ser un indicador que depende de la demanda se deberá revisar los resultados del cuarto trimestre de 2022.</t>
  </si>
  <si>
    <t>Se evidencia una mayor ejecución que supera la programación del trimestre ampliamente con 1.094 acciones constitucionales adicionales equivalente al 98,8% de porcentaje adicional de cumplimiento. La mayor ejecución se presenta en las instancias de coordinación que aportan así:
P.D.C del Ministerio Público y los Derechos Humanos: 1.019 acciones constitucionales adicionales.
Entre tanto la P.D.C de Gestión de Personerías Locales tiene en el periodo 75 acciones constitucionales menos que las programadas.
En el año alcanza un cumplimiento del 114,8%.
Meta anual cumplida.
Se supera la programación de la vigencia en 1.406 acciones constitucionales adicionales.
Teniendo en cuenta el cumplimiento de la meta al corte 30-09-2022 con 114,8%,  se recomienda la proceso analizar la tendencia y tomarla como línea base para proyecciones futuras sumado análisis de contexto; de tal forma que se sugiere que para las vigencias restantes 2023 y 2024 se verifique el porcentaje de sobre ejecución y frente a la actual programación de 6.300 y 3.000 acciones constitucionales respectivamente, se revise el incremento de la magnitud del año en un 15% adicional  o más, no obstante, al ser un indicador que depende de la demanda se deberá revisar los resultados del cuarto trimestre de 2022.</t>
  </si>
  <si>
    <t>Se evidencia una sobre ejecución que supera la programación del trimestre con 1.609 personas asistidas adicionales frente a 2.100 personas asistidas programadas para el trimestre, equivalente al 76,6% de porcentaje adicional de cumplimiento. La sobre ejecución se presenta en la P.D.C del Ministerio Público y los Derechos Humanos.
Con una ejecución acumulada de 10.197 frente a 6.900 en total programado del año y alcanza un cumplimiento del 147,8%.
Meta anual cumplida.
Se supera la programación de la vigencia en 5.697 personas asistidas.
Teniendo en cuenta el cumplimiento de la meta al corte 30-09-2022 con 147,8%,  se recomienda la proceso analizar la tendencia y tomarla como línea base para proyecciones futuras sumado análisis de contexto; de tal forma que se sugiere que para las vigencias restantes 2023 y 2024 se verifique el porcentaje de sobre ejecución y frente a la actual programación de 10.500  y 4.376 personas asistidas en MASC respectivamente, se revise el incremento de la magnitud del año en un 50% adicional  o más, no obstante, al ser un indicador que depende de la demanda se deberá revisar los resultados del cuarto trimestre de 2022.</t>
  </si>
  <si>
    <t xml:space="preserve">Se evidencia una mayor ejecución que supera la programación del trimestre con 30 seguimientos adicionales equivalente al 52,6% de porcentaje adicional de cumplimiento y del 62% al corte. La mayor ejecución se presenta en las instancias de coordinación que aportan así:
P.D.C del Ministerio Público y los Derechos Humanos: 13 seguimientos adicionales .
P.D.C de Gestión de Personerías Locales: 17 seguimientos adicionales .
En el año alcanza un cumplimiento del 129,3%.
Meta anual cumplida.
Se supera la programación de la vigencia en 103 seguimientos adicionales.
Teniendo en cuenta el cumplimiento de la meta al corte 30-09-2022 con 129,3%,  se recomienda la proceso analizar la tendencia y tomarla como línea base para proyecciones futuras sumado análisis de contexto; de tal forma que se sugiere que para las vigencias restantes 2023 y 2024 se verifique el porcentaje de sobre ejecución y frente a la actual programación de 182  y 120 seguimientos respectivamente, se revise el incremento de la magnitud del año en un 29% adicional  o más, no obstante, se deberá revisar los resultados del cuarto trimestre de 2022 para identificar la necesidad de un porcentaje mayor de incremento. </t>
  </si>
  <si>
    <t>Se evidencia una mayor ejecución que supera ampliamente la programación del trimestre con 3.337 personas asistidas adicionales equivalente al 49,3% de porcentaje adicional de cumplimiento. La mayor ejecución se presenta en dos instancias de coordinación que aportan así:
P.D.C del Ministerio Público y los Derechos Humanos: 1.422 personas asistidas adicionales.
P.D.C de Prevención y Ctrl a la Función Pública : 1.672 personas asistidas adicionales.
Entre tanto se observa menor ejecución en la P.D.C de Gestión de Personerías Locales: 243 personas asistidas menos a las programadas.
En el año alcanza un cumplimiento del 114.6%.
Meta anual cumplida.
Se supera la programación de la vigencia en 8,318 personas asistidas.
Teniendo en cuenta el cumplimiento de la meta al corte 30-09-2022 con 114,6%,  se recomienda la proceso analizar la tendencia y tomarla como línea base para proyecciones futuras sumado análisis de contexto; de tal forma que se sugiere que para las vigencias restantes 2023 y 2024 se verifique el porcentaje de sobre ejecución y frente a la actual programación de 39.200  y 23.600 personas asistidas en garantía de derechos respectivamente, se revise el incremento de la magnitud del año en un 15% adicional  o más, no obstante, al ser un indicador que depende de la demanda se deberá revisar los resultados del cuarto trimestre de 2022.</t>
  </si>
  <si>
    <t>Se evidencia una mayor ejecución que supera la programación del trimestre con 8.073 intervenciones adicionales equivalente al 28,8% de porcentaje adicional de cumplimiento. La mayor ejecución se presenta e en el aporte al indicador por parte de las P.D.C del Ministerio Público y los Derechos Humanos (7.949 adicionales) y Prevención y Control a al Función Pública (124 adicionales).
En el año alcanza un cumplimiento del 92,4%.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 de tal manera que se cumplan las 106.660 Intervenciones en defensa de los derechos, en el tiempo restante para finalizar ejecución. Teniendo en cuenta que al corte 30-09-2022 el cumplimiento está en el 92,4% (98.601) y la programación para el cuarto trimestre está prevista en 25.315 intervenciones existe el riesgo de sobre ejecución, no obstante, al ser un indicador que depende de la demanda se deberá revisar los resultados del cuarto trimestre de 2022 y revisar el posible incremento de la magnitud para los años 2023 y 2024.</t>
  </si>
  <si>
    <t>Se evidencia una mayor ejecución que supera la programación del trimestre con 602 audiencias públicas adicionales equivalente al 33,4% de porcentaje adicional de cumplimiento. La mayor ejecución se presenta en la P.D.C de Gestión de las Personerías Locales.
En el año alcanza un cumplimiento del 96,8%.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 de tal manera que se cumplan las 6.000 Audiencias Publicas del Ministerio Público, en el tiempo restante para finalizar ejecución. Teniendo en cuenta que al corte 30-09-2022 el cumplimiento está en el 96,8% (5.806) y la programación para el cuarto trimestre está prevista en 1.200 Audiencias Publicas del Ministerio Público existe el riesgo de sobre ejecución, no obstante, al ser un indicador que depende de la demanda se deberá revisar los resultados del cuarto trimestre de 2022 y revisar el posible incremento de la magnitud para los años 2023 y 2024.</t>
  </si>
  <si>
    <t>Este indicador esta programado de manera constante en el año con 100% de magnitud esperada en cada periodo, su ejecución promedio en el trimestre es menor a la esperada con 7% procesos asumidos por competencia menos que lo programado con un porcentaje de cumplimiento promedio en el trimestre del 93% y del 73,2% en el año.
De acuerdo con los rangos de cumplimiento definidos para este indicador, en este trimestre alcanza el nivel satisfactorio.
En el año presenta un cumplimiento menor al esperado con 97,6% promedio de procesos asumidos por poder preferente frente a los solicitados, por lo cual se recomienda al proceso realizar monitoreo, seguimiento y establecer las acciones correctivas y/o de mejora que le permitan dar cumplimiento a la meta y la coherencia en la ejecución frente a la programación prevista para la vigencia en restante del trimestre, de tal manera que se asuma por competencia preferente el 100% de los procesos cuyos temas sean considerados de interés e impacto el Distrito Capital.</t>
  </si>
  <si>
    <t>Se evidencia incumplimiento en la programación para el trimestre, durante el segundo trimestre no presentó ejecución y el avance en el presente periodo es muy inferior al previsto con 12 visitas de seguimiento menos y en relación con el año se evidencia un déficit en su ejecución con 42 visitas menos que se debieron ejecutar al corte..
De acuerdo con los rangos de cumplimiento definidos para este indicador se ubica en el nivel insatisfactorio.
Este indicador no depende de la demanda y evidenciando que el cumplimiento es menor al esperado al corte, por cuanto se tenían programadas para el segundo trimestre 30 visitas a las OCID y 21 en el presente trimestre, de las cuales sólo se adelantaron 9 visitas en el tercer trimestre. Por lo tanto se recomienda al proceso hacer monitoreo al indicador y establecer las acciones de mejora y/o correctivas que permitan dar total cumplimiento a la meta y la coherencia en la ejecución frente a la programación prevista para la vigencia, de tal manera que se cumplan las 51 visitas de seguimiento  a las OCID programadas para el año en el tiempo restante de la vigencia.</t>
  </si>
  <si>
    <t>Se videncia una ejecución menor en el trimestre con 10% de ejecución del plan menos al programado; equivalente a un cumplimiento en el trimestre del 50% y del 55% respecto del año,
De acuerdo con los rangos de cumplimiento definidos para este indicador, en este periodo alcanza en el nivel insatisfactorio y en el corte acumulado se encuentra en el nivel aceptable.
Este indicador no depende de la demanda y presenta un cumplimiento menor al esperado con el 50% de ejecución de actividades,  se recomienda hacer monitoreo al indicador y establecer las acciones correctivas y/o de mejora que permitan dar total cumplimiento a la meta y la coherencia en la ejecución frente a la programación prevista para la vigencia, de tal manera que se cumpla el 100% de a ejecución del PIC en el tiempo restante de la vigencia.</t>
  </si>
  <si>
    <t>Se evidencia una menor ejecución con una  jornada de sensibilización menos en el trimestre por lo que presenta porcentaje de cumplimiento para el trimestre del 67%, al corte acumulado del 30-09-2022 logra el 80%y en el año alcanza el 66,7%.
Su gestión no depende de la demanda y presenta un cumplimiento menor al esperado con 4 jornadas de sensibilización realizadas de un total de 5 programados al corte 30-09-2022. Por lo tanto se recomienda al proceso hacer monitoreo al indicador y establecer las acciones de mejora y/o correctivas que permitan dar total cumplimiento a la meta y la coherencia en la ejecución frente a la programación prevista para la vigencia, de tal manera que se cumplan las 6 jornadas de sensibilización programados para el año, en el tiempo restante de la vigencia</t>
  </si>
  <si>
    <t>Se evidencia una menor ejecución en relación con la programación del trimestre con 83 intervenciones (impulso procesal) menos equivalente al 9,2% de porcentaje menos de cumplimiento. La menor ejecución se presenta en la P.D.C de Gestión de las Personerías Locales.
En el año alcanza un cumplimiento del 66,1%.
De acuerdo con los rangos de cumplimiento definidos para este indicador, en este trimestre se encuentra en el nivel insatisfactorio.
Su gestión se realiza de manera oficiosa y presenta un cumplimiento menor al esperado con 1.982 intervenciones realizadas de un total de 2.400 programadas al corte 30-09-2022. Por lo tanto se recomienda al proceso hacer monitoreo al indicador y establecer las acciones de mejora y/o correctivas que permitan dar total cumplimiento a la meta y la coherencia en la ejecución frente a la programación prevista para la vigencia, de tal manera que se cumplan las 3.000 intervenciones para evitar la caducidad programadas para el año, en el tiempo restante de la vigencia.</t>
  </si>
  <si>
    <t>Se evidencia una ejecución conforme a lo planeado en el trimestre con 150 expedientes. Sin embargo en el corte acumulado al 30-09-2022 tiene un déficit de 94 expedientes. 
En el año alcanza un cumplimiento del 61,2%.
De acuerdo con los rangos de cumplimiento definidos para este indicador, en este trimestre se encuentra en el nivel satisfactorio y en el corte acumulado al 30-09-2022 alcanza el 76,5% de cumplimiento inferior al esperado.
Su gestión se realiza de manera oficiosa y presenta un cumplimiento menor al esperado con 306 expedientes con impulso procesal realizados de un total de 400 programados al corte 30-09-2022. Por lo tanto se recomienda al proceso hacer monitoreo al indicador y establecer las acciones de mejora y/o correctivas que permitan dar total cumplimiento a la meta y la coherencia en la ejecución frente a la programación prevista para la vigencia, de tal manera que se cumplan las 500 expedientes con impulso procesal para la gestión de multas programados para el año, en el tiempo restante de la vigencia.</t>
  </si>
  <si>
    <t>Este indicador fue reprogramado para el tercer trimestre dejando sin magnitud a cumplir en este periodo, sin embargo se observa una ejecución de dos (2) informes realizados.
De acuerdo con los rangos de cumplimiento definidos para este indicador, en el corte acumulado se ubica en el nivel satisfactorio.
Se recomienda al proceso realizar monitoreo( Responsable P.D.C de Prevención y Ctrl a la Función Pública), seguimiento y establecer las acciones correctivas y/o de mejora que le permitan dar cumplimiento a la meta por cuanto con la reprogramación la mayor parte de la magnitud quedó por ejecutar en el cuarto trimestre.</t>
  </si>
  <si>
    <t>Este indicador fue reprogramado para el tercer trimestre dejando sin magnitud a cumplir en este periodo. El inicio de su ejecución fue reprogramada para el cuarto trimestre de 2022.
Se recomienda al proceso realizar monitoreo( Responsable P.D.C de Prevención y Ctrl a la Función Pública), seguimiento y establecer las acciones correctivas y/o de mejora que le permitan dar cumplimiento a la meta por cuanto con la reprogramación la mayor parte de la magnitud quedó por ejecutar en el cuarto trimestre.</t>
  </si>
  <si>
    <t xml:space="preserve">Se evidencia una mayor ejecución del trimestre con 4 audiencias y/o mesa de trabajo adicionales que le permite compensar el déficit en el que venia el indicador, sin embargo, no alcanza a nivelar la ejecución acumulada presentado un cumplimiento al corte30-09-2022 del 92% y en el año del 57.1%.
La menor ejecución se presenta por parte de la P.D.C Prevención y Control a la Función Pública.
De acuerdo con los rangos de cumplimiento definidos para este indicador, en este trimestre se encuentra en el nivel insatisfactorio.
A pesar de que en el trimestre alcanza el 180.3% de cumplimiento en el año presenta un cumplimiento menor al esperado con 12 Audiencias públicas y/o mesas de trabajo realizadas por lo cual se recomienda al proceso realizar monitoreo Se recomienda al proceso realizar monitoreo( Responsable P.D.C de Prevención y Ctrl a la Función Pública), seguimiento y establecer las acciones correctivas y/o de mejora que le permitan dar cumplimiento a la meta por cuanto con la reprogramación la mayor parte de la magnitud quedó por ejecutar en el cuarto trimestre., seguimiento y establecer las acciones correctivas y/o de mejora que le permitan dar cumplimiento a la meta y la coherencia en la ejecución frente a la programación prevista para la vigencia en los meses restantes del trimestre, de tal manera que se cumplan las 21 Audiencias públicas y/o mesas de trabajo programadas para el año. </t>
  </si>
  <si>
    <t>Se evidencia una menor ejecución del trimestre con 11 acompañamientos sin realizar con un porcentaje de cumplimiento menos del 61% y al corte 30-09-2022 10 acompañamientos menos.
En el año alcanza un cumplimiento del 63,3%.
La menor ejecución se presenta en la P.D.C de Gestión de Personerías Locales.
De acuerdo con los rangos de cumplimiento definidos para este indicador, en este trimestre se encuentra en el nivel insatisfactorio y en corte al 30-09-2022 logra el nivel aceptable.
Este indicador permite definir el acompañamiento que se va a realizar o a petición de parte, por lo cual no depende de la demanda y presenta un cumplimiento menor al esperado con 38 acompañamientos de un total de 48 programados al corte 30-09-2022. Por lo tanto se recomienda al proceso (Responsable P.D.C de Gestión de Personerías Locales) hacer monitoreo al indicador y establecer las acciones de mejora y/o correctivas que permitan dar total cumplimiento a la meta y la coherencia en la ejecución frente a la programación prevista para la vigencia, de tal manera que se cumplan los 60 acompañamientos programados para el año, en el tiempo restante de la vigencia.</t>
  </si>
  <si>
    <t xml:space="preserve">Se evidencia una mayor ejecución del trimestre con 9 espacios de dialogo adicionales y 11 espacios adicionales en el año para un total de 35 frente a la programación de 30 espacios de dialogo; lo que equivale al 200% de cumplimiento en el trimestre y del 116,7% en el año, cumpliendo y superando la meta del año.
Meta anual cumplida.
Se supera la programación de la vigencia.
Teniendo en cuenta el cumplimiento de la meta al corte con 116,7% se recomienda al proceso  (Responsable P.D.C de Gestión de Personerías Locales) analizar la tendencia y tomarla como línea base para proyecciones futuras, de tal forma que para las vigencias restantes 2023 y 2024 se incremente la magnitud que al corte representa 5 espacios de dialogo adicionales para un total de 35 (16,7% de cumplimiento adicional), no obstante si en el cuarto trimestre de 2022 la gestión de este indicador genera un reporte mayor al actual el incremento debe sujetarse al nuevo porcentaje. </t>
  </si>
  <si>
    <t>Se evidencia una menor ejecución del trimestre con 25 seguimientos sin realizar equivalente al 58% de porcentaje menos de cumplimiento, por cuanto se tenia previsto 43 en el trimestre. 
La menor ejecución se presenta en el aporte al indicador por parte de la P.D.C de Gestión de Personerías Locales que de 40 seguimientos al corte sólo realizó 8.
Entre tanto la P.D.C de Prevención y Ctrl a la Función Pública también presenta un nivel menor de ejecución al corte por cuanto de 24 seguimientos al corte realizó 21.
En el año alcanza un cumplimiento del 43,3%.
De acuerdo con los rangos de cumplimiento definidos para este indicador, en este trimestre se encuentra en el nivel insatisfactorio.
Su gestión no depende de la demanda y presenta un cumplimiento menor al esperado con 29 seguimientos realizados de un total de 64 programados al corte 30-09-2022. Por lo tanto se recomienda al proceso hacer monitoreo al indicador y establecer las acciones de mejora y/o correctivas que permitan dar total cumplimiento a la meta y la coherencia en la ejecución frente a la programación prevista para la vigencia, de tal manera que se cumplan los 67 seguimientos programados para el año, en el tiempo restante de la vigencia.</t>
  </si>
  <si>
    <t>Su gestión no depende de la demanda y se evidencia una menor ejecución en relación con la programación del trimestre con 40 acciones de prevención y control menos. Aunque la P.D.C de Prevención y Ctrl a la Función Pública presenta 3 acciones de prevención con informe adicionales, la menor ejecución se presenta en la P.D.C de Gestión de Personerías Locales con 43 informes de acciones de prevención sin ejecutar.
También presenta un cumplimiento menor al esperado al corte 30-09-2022 con 187 acciones de prevención y control de un total de 232 programadas al corte 30-09-2022. En relación con el corte las dos coordinaciones presentan una ejecución así:
P.D.C de Prevención y Ctrl a la Función Pública a ejecutado un total de 93 acciones de prevención y controla a la función Pública de92 programadas al corte y de un total de 126 al año.
P.D.C de Gestión de Personerías Locales a ejecutado un total de 94 acciones de prevención y control a la función Pública de 140 programadas al corte y de un total de 160 al año.
En el año alcanza un cumplimiento del 65,4%.
De acuerdo con los rangos de cumplimiento definidos para este indicador, en este trimestre se encuentra en el nivel aceptable.
 Por lo tanto se recomienda al proceso hacer monitoreo al indicador y establecer las acciones de mejora y/o correctivas que permitan dar total cumplimiento a la meta y la coherencia en la ejecución frente a la programación prevista para la vigencia, de tal manera que se cumplan los 286 acciones de mejora y/o correctivas programadas para el año, en el tiempo restante de la vigencia.</t>
  </si>
  <si>
    <t>Se evidencia menor ejecución en el trimestre con 2 espacios de transferencia menos y un 33,3% menos de cumplimiento, el corte acumulado a 30-09-2022 alcanza el 78,9% de cumplimiento por cuanto el déficit en la ejecución corresponde a 4 espacios de transferencia sin ejecutar.
De acuerdo con los rangos de cumplimiento definidos para este indicador se ubica en el nivel insatisfactorio.
En el año alcanza un cumplimiento del 75%.
Su gestión no depende de la demanda y presenta un cumplimiento menor al esperado con 15 espacios de mejora y transferencia de conocimiento realizados de un total de 19 programados al corte 30-09-2022. Por lo tanto se recomienda al proceso (Responsable P. D. C. del Ministerio Público y  los Derechos Humanos) hacer monitoreo al indicador y establecer las acciones de mejora y/o correctivas que permitan dar total cumplimiento a la meta y la coherencia en la ejecución frente a la programación prevista para la vigencia, de tal manera que se cumplan los 20 espacios de mejora y transferencia de conocimiento programados para el año, en el tiempo restante de la vigencia.</t>
  </si>
  <si>
    <t xml:space="preserve">Se observa una ejecución menor en el trimestre con 2 acciones menos frente al programado en el periodo equivalente al 66,7% menos de cumplimiento. 
La ejecución al corte 30-09-2022 se presenta en las instancias de coordinación que aportan así:
P.D.C del Ministerio Público y los Derechos Humanos: 1 espacios interinstitucionales realizados de 2 al corte y año.
P.D.C de Gestión de Personerías Locales: 0 espacios interinstitucionales realizados de 1 programado al corte y al año. 
En el año alcanza apenas un cumplimiento del 33,3%, teniendo en cuenta que la meta debía finalizarse en el tercer trimestre.
De acuerdo con los rangos de cumplimiento definidos para este indicador, en este trimestre se encuentra en el nivel insatisfactorio.
Su gestión no depende de la demanda y presenta un cumplimiento menor al esperado con 1 acciones realizadas para incrementar la cobertura de un total de 3 programadas para el año en el tercer trimestre. Por lo tanto se recomienda al proceso hacer monitoreo al indicador y establecer las acciones de mejora y/o correctivas que permitan dar total cumplimiento a la meta y la coherencia en la ejecución frente a la programación prevista para la vigencia, de tal manera que se cumplan las 3 acciones para incrementar la cobertura de los servicios programadas para el año, en el tiempo restante de la vigencia. </t>
  </si>
  <si>
    <t xml:space="preserve">Se observa una ejecución menor en el trimestre con 2,4 actividades menos frente al programado en el periodo equivalente al 48% menos de cumplimiento.  
La ejecución al corte 30-09-2022 se presenta en las instancias de coordinación que aportan así:
P.D.C del Ministerio Público y los Derechos Humanos: 3,6 espacios interinstitucionales realizados de 4 al corte y año.
P.D.C de Gestión de Personerías Locales: 1 espacio interinstitucionales realizado de 3 programados al corte y 4 al año.
En el año alcanza un cumplimiento del 25%.
De acuerdo con los rangos de cumplimiento definidos para este indicador, en este trimestre se encuentra en el nivel insatisfactorio situación que se ha evidenciado desde el trimestre anterior.
Su gestión no depende de la demanda y presenta un cumplimiento menor al esperado con 4,6 actividades de acercamiento realizadas de un total de 7 programadas al corte 30-09-2022. Por lo tanto se recomienda al proceso hacer monitoreo al indicador y establecer las acciones de mejora y/o correctivas que permitan dar total cumplimiento a la meta y la coherencia en la ejecución frente a la programación prevista para la vigencia, de tal manera que se cumplan las 8 actividades de acercamiento programadas para el año, en el tiempo restante de la vigencia. </t>
  </si>
  <si>
    <t xml:space="preserve">Se evidencia una mayor ejecución que supera ampliamente la programación del trimestre con 2.285 peticiones atendidas adicionales equivalente al 53,5% de porcentaje adicional de cumplimiento. La mayor ejecución se presenta en dos instancias de coordinación que aportan así:
P.D.C del Ministerio Público y los Derechos Humanos: 1.422 peticiones gestionadas adicionales.
P.D.C de Prevención y Ctrl a la Función Pública : 479  peticiones gestionadas adicionales.
Entre tanto se observa menor ejecución en la P.D.C de Gestión de Personerías Locales: 35 peticiones gestionadas menos a las programadas.
Con una ejecución acumulada de 17.626  peticiones gestionadas frente a 16.115 total programado en el año que equivale a un cumplimiento del 109,4%.
Meta anual cumplida.
Se supera la programación de la vigencia en 5.697 personas asistidas.
Teniendo en cuenta el cumplimiento de la meta al corte 30-09-2022 con 109,4%,  se recomienda la proceso analizar la tendencia y tomarla como línea base para proyecciones futuras sumado análisis de contexto; de tal forma que se sugiere que para las vigencias restantes 2023 y 2024 se verifique el porcentaje de sobre ejecución y frente a la actual programación de 21.200  y 4.100 personas asistidas en garantía de derechos respectivamente, se revise el incremento de la magnitud del año en un 9% adicional o más, no obstante, al ser un indicador que depende de la demanda se deberá revisar los resultados del cuarto trimestre de 2022. </t>
  </si>
  <si>
    <t>Se evidencia una menor del trimestre con 840 personas sensibilizadas menos equivalente al 3,6% de porcentaje menor de cumplimiento. No obstante desde trimestres anteriores ha venido en sobre ejecución  al corte 30-09-2022 alcanza un cumplimiento del 121,1% con 11.721 personas sensibilizadas adicionales. La ejecución detallada se presenta en las instancias de coordinación que aportan así:
P.D.C. del Ministerio Público y los Derechos Humanos: 1.421 personas sensibilizadas menos al corte y 4.592 personas pendientes por sensibilizar en lo restante del año.
P.D.C. pendientes de Gestión de Personerías Locales: 581 personas sensibilizadas adicionales al corte 30-09-2022 y 393  por sensibilizar en lo restante del año.
En el año alcanza un cumplimiento del 94,1%.
De acuerdo con los rangos de cumplimiento definidos para este indicador, en este trimestre se encuentra en el nivel satisfactorio.
Su gestión no depende de la demanda se recomienda continuar haciendo monitoreo al indicador y establecer las acciones de mejora que permitan dar total cumplimiento a la meta y la coherencia en la ejecución frente a la programación prevista para la vigencia, de tal manera que se cumplan las 71.570 personas sensibilizadas en el Distrito Capital, en el tiempo restante para finalizar ejecución. 
Teniendo en cuenta que al corte 30-09-2022 el cumplimiento está en el 94,1% (67.371) y la programación para el cuarto trimestre está prevista en 15.920 personas sensibilizadas existe el riesgo de sobre ejecución, se deberá revisar los resultados del cuarto trimestre de 2022 y revisar el posible incremento de la magnitud para los años 2023 y 2024.</t>
  </si>
  <si>
    <t>Se evidencia una menor ejecución respecto de la programación del trimestre con 180 procesos menos equivalente al 29% de porcentaje en déficit de cumplimiento en el trimestre; esta situación se viene evidenciando desde el segundo trimestre de 2022.
En el año alcanza un cumplimiento del 63%.
De acuerdo con los rangos de cumplimiento definidos para este indicador, en este trimestre se encuentra en el nivel aceptable.
En el año presenta un cumplimiento menor al esperado con 1.134 procesos con decisión de fondo, por lo cual se recomienda al proceso realizar monitoreo, seguimiento y establecer las acciones correctivas y/o de mejora que le permitan dar cumplimiento a la meta y la coherencia en la ejecución frente a la programación prevista para la vigencia en restante del trimestre, de tal manera que se cumplan las 1.800 procesos priorizados y decididos de fondo programadas para el año.</t>
  </si>
  <si>
    <t>Fuente: Reportes suministrados por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</si>
</sst>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
    <numFmt numFmtId="165" formatCode="dd/mm/yyyy;@"/>
    <numFmt numFmtId="166" formatCode="#,##0.0"/>
    <numFmt numFmtId="167" formatCode="0;[Red]0"/>
    <numFmt numFmtId="168" formatCode="dd\-mm\-yyyy"/>
    <numFmt numFmtId="169" formatCode="#,##0%"/>
    <numFmt numFmtId="170" formatCode="#,##0.0%"/>
    <numFmt numFmtId="171" formatCode="[$-240A]d&quot; de &quot;mmmm&quot; de &quot;yyyy;@"/>
    <numFmt numFmtId="172" formatCode="#,##0.000"/>
    <numFmt numFmtId="173" formatCode="0.0"/>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rgb="FF000000"/>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sz val="18"/>
      <color rgb="FFFF0000"/>
      <name val="Arial"/>
      <family val="2"/>
    </font>
    <font>
      <b/>
      <sz val="10"/>
      <color rgb="FFFF0000"/>
      <name val="Century Gothic"/>
      <family val="2"/>
    </font>
    <font>
      <sz val="18"/>
      <color theme="1"/>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b/>
      <sz val="16"/>
      <color rgb="FFFFFFFF"/>
      <name val="Arial"/>
      <family val="2"/>
    </font>
    <font>
      <sz val="16"/>
      <color rgb="FF000000"/>
      <name val="Arial"/>
      <family val="2"/>
    </font>
    <font>
      <sz val="18"/>
      <color rgb="FF000000"/>
      <name val="Calibri"/>
      <family val="2"/>
    </font>
    <font>
      <b/>
      <sz val="18"/>
      <color rgb="FFFFFFFF"/>
      <name val="Calibri"/>
      <family val="2"/>
    </font>
    <font>
      <b/>
      <sz val="14"/>
      <color rgb="FFFFFFFF"/>
      <name val="Arial"/>
      <family val="2"/>
    </font>
    <font>
      <b/>
      <sz val="14"/>
      <color theme="0"/>
      <name val="Arial"/>
      <family val="2"/>
    </font>
    <font>
      <sz val="12"/>
      <color rgb="FF002060"/>
      <name val="Arial"/>
      <family val="2"/>
    </font>
    <font>
      <b/>
      <sz val="18"/>
      <color theme="1"/>
      <name val="Arial"/>
      <family val="2"/>
    </font>
    <font>
      <b/>
      <sz val="12"/>
      <color indexed="9"/>
      <name val="Arial"/>
      <family val="2"/>
    </font>
    <font>
      <b/>
      <sz val="19"/>
      <color theme="1"/>
      <name val="Arial"/>
      <family val="2"/>
    </font>
    <font>
      <b/>
      <sz val="14"/>
      <name val="Century Gothic"/>
      <family val="2"/>
    </font>
    <font>
      <sz val="20"/>
      <color theme="1"/>
      <name val="Arial"/>
      <family val="2"/>
    </font>
    <font>
      <b/>
      <sz val="16"/>
      <color theme="0"/>
      <name val="Arial"/>
      <family val="2"/>
    </font>
    <font>
      <sz val="12"/>
      <color theme="0"/>
      <name val="Century Gothic"/>
      <family val="2"/>
    </font>
    <font>
      <sz val="10"/>
      <color theme="0"/>
      <name val="Century Gothic"/>
      <family val="2"/>
    </font>
    <font>
      <b/>
      <sz val="17"/>
      <name val="Arial"/>
      <family val="2"/>
    </font>
    <font>
      <sz val="12"/>
      <color rgb="FFFF0000"/>
      <name val="Arial"/>
      <family val="2"/>
    </font>
    <font>
      <sz val="8"/>
      <color theme="0"/>
      <name val="Arial"/>
      <family val="2"/>
    </font>
    <font>
      <sz val="14"/>
      <name val="Century Gothic"/>
      <family val="2"/>
    </font>
    <font>
      <sz val="12"/>
      <color theme="1" tint="4.9989318521683403E-2"/>
      <name val="Century Gothic"/>
      <family val="2"/>
    </font>
    <font>
      <sz val="10"/>
      <color theme="1" tint="4.9989318521683403E-2"/>
      <name val="Century Gothic"/>
      <family val="2"/>
    </font>
    <font>
      <b/>
      <sz val="13"/>
      <name val="Arial"/>
      <family val="2"/>
    </font>
    <font>
      <b/>
      <sz val="10"/>
      <color rgb="FFFF0000"/>
      <name val="Arial"/>
      <family val="2"/>
    </font>
    <font>
      <b/>
      <sz val="15"/>
      <name val="Arial"/>
      <family val="2"/>
    </font>
    <font>
      <sz val="18"/>
      <color theme="0" tint="-0.249977111117893"/>
      <name val="Arial"/>
      <family val="2"/>
    </font>
    <font>
      <sz val="12"/>
      <color theme="0" tint="-0.249977111117893"/>
      <name val="Arial"/>
      <family val="2"/>
    </font>
    <font>
      <b/>
      <sz val="12"/>
      <color rgb="FFFF0000"/>
      <name val="Arial"/>
      <family val="2"/>
    </font>
    <font>
      <sz val="12"/>
      <color rgb="FF7030A0"/>
      <name val="Arial"/>
      <family val="2"/>
    </font>
    <font>
      <b/>
      <sz val="14"/>
      <color theme="0" tint="-0.34998626667073579"/>
      <name val="Arial"/>
      <family val="2"/>
    </font>
  </fonts>
  <fills count="4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2" tint="-9.9978637043366805E-2"/>
        <bgColor rgb="FFFBD4B4"/>
      </patternFill>
    </fill>
    <fill>
      <patternFill patternType="solid">
        <fgColor indexed="65"/>
        <bgColor indexed="64"/>
      </patternFill>
    </fill>
    <fill>
      <patternFill patternType="solid">
        <fgColor theme="2" tint="-0.249977111117893"/>
        <bgColor indexed="64"/>
      </patternFill>
    </fill>
    <fill>
      <patternFill patternType="solid">
        <fgColor theme="1" tint="0.34998626667073579"/>
        <bgColor rgb="FFFBD4B4"/>
      </patternFill>
    </fill>
    <fill>
      <patternFill patternType="solid">
        <fgColor rgb="FF002060"/>
        <bgColor rgb="FFFBD4B4"/>
      </patternFill>
    </fill>
    <fill>
      <patternFill patternType="solid">
        <fgColor theme="0"/>
        <bgColor rgb="FFFBD4B4"/>
      </patternFill>
    </fill>
    <fill>
      <patternFill patternType="solid">
        <fgColor rgb="FF66FF33"/>
        <bgColor indexed="64"/>
      </patternFill>
    </fill>
    <fill>
      <patternFill patternType="solid">
        <fgColor theme="6" tint="0.39997558519241921"/>
        <bgColor rgb="FFFBD4B4"/>
      </patternFill>
    </fill>
    <fill>
      <patternFill patternType="solid">
        <fgColor theme="1" tint="0.249977111117893"/>
        <bgColor rgb="FFFBD4B4"/>
      </patternFill>
    </fill>
  </fills>
  <borders count="8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indexed="64"/>
      </right>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68">
    <xf numFmtId="0" fontId="0" fillId="0" borderId="0"/>
    <xf numFmtId="0" fontId="8" fillId="0" borderId="1"/>
    <xf numFmtId="0" fontId="10" fillId="0" borderId="1"/>
    <xf numFmtId="9" fontId="8" fillId="0" borderId="1" applyFill="0" applyBorder="0" applyAlignment="0" applyProtection="0"/>
    <xf numFmtId="0" fontId="8" fillId="0" borderId="1"/>
    <xf numFmtId="43" fontId="16" fillId="0" borderId="0" applyFont="0" applyFill="0" applyBorder="0" applyAlignment="0" applyProtection="0"/>
    <xf numFmtId="9" fontId="16" fillId="0" borderId="0" applyFont="0" applyFill="0" applyBorder="0" applyAlignment="0" applyProtection="0"/>
    <xf numFmtId="43" fontId="8" fillId="0" borderId="1" applyFont="0" applyFill="0" applyBorder="0" applyAlignment="0" applyProtection="0"/>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7" fillId="0" borderId="1"/>
    <xf numFmtId="9" fontId="17" fillId="0" borderId="1" applyBorder="0" applyProtection="0"/>
    <xf numFmtId="0" fontId="18" fillId="0" borderId="1" applyNumberFormat="0" applyBorder="0" applyProtection="0"/>
    <xf numFmtId="0" fontId="7" fillId="0" borderId="1"/>
    <xf numFmtId="0" fontId="7" fillId="0" borderId="1"/>
    <xf numFmtId="0" fontId="19" fillId="0" borderId="1"/>
    <xf numFmtId="0" fontId="6" fillId="0" borderId="1"/>
    <xf numFmtId="43" fontId="6" fillId="0" borderId="1" applyFont="0" applyFill="0" applyBorder="0" applyAlignment="0" applyProtection="0"/>
    <xf numFmtId="0" fontId="8" fillId="0" borderId="1"/>
    <xf numFmtId="43" fontId="8" fillId="0" borderId="1" applyFont="0" applyFill="0" applyBorder="0" applyAlignment="0" applyProtection="0"/>
    <xf numFmtId="43" fontId="8" fillId="0" borderId="1" applyFont="0" applyFill="0" applyBorder="0" applyAlignment="0" applyProtection="0"/>
    <xf numFmtId="0" fontId="5" fillId="0" borderId="1"/>
    <xf numFmtId="0" fontId="5" fillId="0" borderId="1"/>
    <xf numFmtId="0" fontId="5" fillId="0" borderId="1"/>
    <xf numFmtId="0" fontId="8" fillId="0" borderId="1"/>
    <xf numFmtId="0" fontId="5" fillId="0" borderId="1"/>
    <xf numFmtId="43" fontId="5" fillId="0" borderId="1" applyFont="0" applyFill="0" applyBorder="0" applyAlignment="0" applyProtection="0"/>
    <xf numFmtId="0" fontId="5" fillId="0" borderId="1"/>
    <xf numFmtId="9" fontId="5"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1" fontId="8" fillId="0" borderId="1" applyFont="0" applyFill="0" applyBorder="0" applyAlignment="0" applyProtection="0"/>
    <xf numFmtId="0" fontId="4" fillId="0" borderId="1"/>
    <xf numFmtId="0" fontId="8" fillId="0" borderId="1" applyNumberFormat="0" applyFont="0" applyFill="0" applyBorder="0" applyAlignment="0" applyProtection="0">
      <alignment vertical="top"/>
    </xf>
    <xf numFmtId="0" fontId="4" fillId="0" borderId="1"/>
    <xf numFmtId="9" fontId="4" fillId="0" borderId="1" applyFont="0" applyFill="0" applyBorder="0" applyAlignment="0" applyProtection="0"/>
    <xf numFmtId="41" fontId="4"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3" fillId="0" borderId="1"/>
    <xf numFmtId="0" fontId="3" fillId="0" borderId="1"/>
    <xf numFmtId="9" fontId="3" fillId="0" borderId="1" applyFont="0" applyFill="0" applyBorder="0" applyAlignment="0" applyProtection="0"/>
    <xf numFmtId="0" fontId="2" fillId="0" borderId="1"/>
    <xf numFmtId="0" fontId="2" fillId="0" borderId="1"/>
    <xf numFmtId="9"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1838">
    <xf numFmtId="0" fontId="0" fillId="0" borderId="0" xfId="0"/>
    <xf numFmtId="0" fontId="9" fillId="0" borderId="0" xfId="0" applyFont="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25" fillId="3" borderId="18" xfId="0" applyFont="1" applyFill="1" applyBorder="1" applyAlignment="1">
      <alignment horizontal="left"/>
    </xf>
    <xf numFmtId="0" fontId="8" fillId="0" borderId="1" xfId="23" applyAlignment="1">
      <alignment vertical="center"/>
    </xf>
    <xf numFmtId="0" fontId="25" fillId="3" borderId="3" xfId="23" applyFont="1" applyFill="1" applyBorder="1" applyAlignment="1">
      <alignment horizontal="left"/>
    </xf>
    <xf numFmtId="0" fontId="25" fillId="3" borderId="18" xfId="23" applyFont="1" applyFill="1" applyBorder="1" applyAlignment="1">
      <alignment horizontal="left"/>
    </xf>
    <xf numFmtId="0" fontId="24" fillId="3" borderId="5" xfId="23" applyFont="1" applyFill="1" applyBorder="1" applyAlignment="1">
      <alignment horizontal="left"/>
    </xf>
    <xf numFmtId="0" fontId="24" fillId="3" borderId="19" xfId="23" applyFont="1" applyFill="1" applyBorder="1" applyAlignment="1">
      <alignment horizontal="center"/>
    </xf>
    <xf numFmtId="0" fontId="9" fillId="0" borderId="1" xfId="0" applyFont="1" applyBorder="1" applyAlignment="1">
      <alignment vertical="center"/>
    </xf>
    <xf numFmtId="0" fontId="25" fillId="3" borderId="31" xfId="0" applyFont="1" applyFill="1" applyBorder="1" applyAlignment="1">
      <alignment horizontal="left"/>
    </xf>
    <xf numFmtId="0" fontId="35" fillId="0" borderId="0" xfId="0" applyFont="1"/>
    <xf numFmtId="0" fontId="8" fillId="0" borderId="0" xfId="0" applyFont="1"/>
    <xf numFmtId="0" fontId="11" fillId="7" borderId="2" xfId="23" applyFont="1" applyFill="1" applyBorder="1" applyAlignment="1">
      <alignment horizontal="left" vertical="center" wrapText="1"/>
    </xf>
    <xf numFmtId="0" fontId="20" fillId="0" borderId="1" xfId="0" applyFont="1" applyBorder="1" applyAlignment="1">
      <alignment vertical="center"/>
    </xf>
    <xf numFmtId="0" fontId="21" fillId="0" borderId="0" xfId="0" applyFont="1"/>
    <xf numFmtId="0" fontId="37" fillId="0" borderId="2" xfId="0" applyFont="1" applyBorder="1" applyAlignment="1">
      <alignment vertical="center"/>
    </xf>
    <xf numFmtId="3" fontId="21" fillId="7" borderId="3" xfId="5" applyNumberFormat="1" applyFont="1" applyFill="1" applyBorder="1" applyAlignment="1" applyProtection="1">
      <alignment horizontal="center" vertical="center"/>
    </xf>
    <xf numFmtId="0" fontId="11" fillId="7" borderId="2" xfId="23" applyFont="1" applyFill="1" applyBorder="1" applyAlignment="1">
      <alignment vertical="center" wrapText="1"/>
    </xf>
    <xf numFmtId="0" fontId="11" fillId="7" borderId="2" xfId="9" applyFont="1" applyFill="1" applyBorder="1" applyAlignment="1">
      <alignment horizontal="left" vertical="center" wrapText="1"/>
    </xf>
    <xf numFmtId="0" fontId="11" fillId="7" borderId="2" xfId="9" applyFont="1" applyFill="1" applyBorder="1" applyAlignment="1">
      <alignment horizontal="left" vertical="center"/>
    </xf>
    <xf numFmtId="0" fontId="33" fillId="7" borderId="2" xfId="9" applyFont="1" applyFill="1" applyBorder="1" applyAlignment="1">
      <alignment horizontal="left" vertical="center" wrapText="1"/>
    </xf>
    <xf numFmtId="3" fontId="21" fillId="7" borderId="3" xfId="0" applyNumberFormat="1" applyFont="1" applyFill="1" applyBorder="1" applyAlignment="1" applyProtection="1">
      <alignment horizontal="center" vertical="center"/>
    </xf>
    <xf numFmtId="3" fontId="21" fillId="7" borderId="3" xfId="6" applyNumberFormat="1" applyFont="1" applyFill="1" applyBorder="1" applyAlignment="1" applyProtection="1">
      <alignment horizontal="center" vertical="center"/>
    </xf>
    <xf numFmtId="0" fontId="25" fillId="3" borderId="3" xfId="0" applyFont="1" applyFill="1" applyBorder="1" applyAlignment="1" applyProtection="1">
      <alignment horizontal="left"/>
    </xf>
    <xf numFmtId="0" fontId="25" fillId="3" borderId="18" xfId="0" applyFont="1" applyFill="1" applyBorder="1" applyAlignment="1" applyProtection="1">
      <alignment horizontal="left"/>
    </xf>
    <xf numFmtId="0" fontId="24" fillId="3" borderId="5" xfId="0" applyFont="1" applyFill="1" applyBorder="1" applyAlignment="1" applyProtection="1">
      <alignment horizontal="left"/>
    </xf>
    <xf numFmtId="0" fontId="24" fillId="3" borderId="19" xfId="0" applyFont="1" applyFill="1" applyBorder="1" applyAlignment="1" applyProtection="1">
      <alignment horizontal="center"/>
    </xf>
    <xf numFmtId="0" fontId="20" fillId="0" borderId="2" xfId="0" applyFont="1" applyBorder="1" applyAlignment="1" applyProtection="1">
      <alignment horizontal="justify" vertical="center" wrapText="1"/>
    </xf>
    <xf numFmtId="9" fontId="20" fillId="0" borderId="2" xfId="6" applyFont="1" applyBorder="1" applyAlignment="1" applyProtection="1">
      <alignment horizontal="center" vertical="center" wrapText="1"/>
    </xf>
    <xf numFmtId="9" fontId="20" fillId="0" borderId="3" xfId="0" applyNumberFormat="1" applyFont="1" applyBorder="1" applyAlignment="1" applyProtection="1">
      <alignment horizontal="center" vertical="center" wrapText="1"/>
    </xf>
    <xf numFmtId="0" fontId="23" fillId="0" borderId="6" xfId="20" applyFont="1" applyBorder="1" applyAlignment="1" applyProtection="1">
      <alignment horizontal="left" vertical="center" wrapText="1"/>
    </xf>
    <xf numFmtId="3" fontId="39" fillId="11" borderId="3" xfId="0" applyNumberFormat="1" applyFont="1" applyFill="1" applyBorder="1" applyAlignment="1" applyProtection="1">
      <alignment horizontal="center" vertical="center"/>
    </xf>
    <xf numFmtId="9" fontId="39" fillId="11" borderId="3" xfId="6" applyFont="1" applyFill="1" applyBorder="1" applyAlignment="1" applyProtection="1">
      <alignment horizontal="center" vertical="center"/>
    </xf>
    <xf numFmtId="0" fontId="25" fillId="3" borderId="32" xfId="0" applyFont="1" applyFill="1" applyBorder="1"/>
    <xf numFmtId="0" fontId="24" fillId="3" borderId="17" xfId="0" applyFont="1" applyFill="1" applyBorder="1"/>
    <xf numFmtId="0" fontId="20" fillId="0" borderId="1" xfId="1" applyFont="1" applyAlignment="1">
      <alignment horizontal="left" vertical="center"/>
    </xf>
    <xf numFmtId="0" fontId="20" fillId="0" borderId="3" xfId="0" applyFont="1" applyBorder="1" applyAlignment="1">
      <alignment horizontal="center" vertical="center" wrapText="1"/>
    </xf>
    <xf numFmtId="3" fontId="21" fillId="7" borderId="3" xfId="7" applyNumberFormat="1" applyFont="1" applyFill="1" applyBorder="1" applyAlignment="1" applyProtection="1">
      <alignment horizontal="center" vertical="center"/>
    </xf>
    <xf numFmtId="9" fontId="21" fillId="5" borderId="3" xfId="8" applyFont="1" applyFill="1" applyBorder="1" applyAlignment="1" applyProtection="1">
      <alignment horizontal="center" vertical="center"/>
    </xf>
    <xf numFmtId="0" fontId="15" fillId="0" borderId="1" xfId="1" applyFont="1" applyAlignment="1">
      <alignment vertical="center"/>
    </xf>
    <xf numFmtId="0" fontId="15" fillId="0" borderId="1" xfId="1" applyFont="1" applyAlignment="1">
      <alignment horizontal="center" vertical="center"/>
    </xf>
    <xf numFmtId="0" fontId="11" fillId="7" borderId="2" xfId="1" applyFont="1" applyFill="1" applyBorder="1" applyAlignment="1">
      <alignment vertical="center" wrapText="1"/>
    </xf>
    <xf numFmtId="165" fontId="11" fillId="0" borderId="2" xfId="1" applyNumberFormat="1" applyFont="1" applyBorder="1" applyAlignment="1">
      <alignment horizontal="center" vertical="center" wrapText="1"/>
    </xf>
    <xf numFmtId="14" fontId="20" fillId="0" borderId="1" xfId="1" applyNumberFormat="1" applyFont="1" applyAlignment="1" applyProtection="1">
      <alignment vertical="center"/>
      <protection locked="0"/>
    </xf>
    <xf numFmtId="0" fontId="11" fillId="0" borderId="1" xfId="1" applyFont="1" applyAlignment="1">
      <alignment horizontal="center" vertical="center"/>
    </xf>
    <xf numFmtId="0" fontId="9" fillId="0" borderId="1" xfId="1" applyFont="1" applyAlignment="1">
      <alignment horizontal="left" vertical="center"/>
    </xf>
    <xf numFmtId="0" fontId="15" fillId="0" borderId="1" xfId="1" applyFont="1" applyAlignment="1">
      <alignment vertical="center" wrapText="1"/>
    </xf>
    <xf numFmtId="0" fontId="20" fillId="0" borderId="2" xfId="0" applyFont="1" applyBorder="1" applyAlignment="1">
      <alignment horizontal="justify" vertical="center" wrapText="1"/>
    </xf>
    <xf numFmtId="9" fontId="20" fillId="0" borderId="2" xfId="8" applyFont="1" applyBorder="1" applyAlignment="1" applyProtection="1">
      <alignment horizontal="center" vertical="center" wrapText="1"/>
    </xf>
    <xf numFmtId="3" fontId="44" fillId="7" borderId="3" xfId="7" applyNumberFormat="1" applyFont="1" applyFill="1" applyBorder="1" applyAlignment="1" applyProtection="1">
      <alignment horizontal="center" vertical="center"/>
    </xf>
    <xf numFmtId="0" fontId="26" fillId="0" borderId="2" xfId="1" applyFont="1" applyBorder="1" applyAlignment="1">
      <alignment horizontal="center" vertical="top" wrapText="1"/>
    </xf>
    <xf numFmtId="0" fontId="27" fillId="0" borderId="2" xfId="1" applyFont="1" applyBorder="1" applyAlignment="1">
      <alignment horizontal="center" vertical="top" wrapText="1"/>
    </xf>
    <xf numFmtId="0" fontId="26" fillId="7" borderId="2" xfId="1" applyFont="1" applyFill="1" applyBorder="1" applyAlignment="1">
      <alignment horizontal="center" vertical="top" wrapText="1"/>
    </xf>
    <xf numFmtId="0" fontId="27" fillId="7" borderId="2" xfId="1" applyFont="1" applyFill="1" applyBorder="1" applyAlignment="1">
      <alignment horizontal="center" vertical="top" wrapText="1"/>
    </xf>
    <xf numFmtId="3" fontId="39" fillId="11" borderId="31" xfId="0" applyNumberFormat="1" applyFont="1" applyFill="1" applyBorder="1" applyAlignment="1" applyProtection="1">
      <alignment horizontal="center" vertical="center"/>
    </xf>
    <xf numFmtId="9" fontId="20" fillId="0" borderId="3" xfId="8" applyFont="1" applyBorder="1" applyAlignment="1" applyProtection="1">
      <alignment horizontal="center" vertical="center" wrapText="1"/>
    </xf>
    <xf numFmtId="9" fontId="39" fillId="11" borderId="31" xfId="6" applyFont="1" applyFill="1" applyBorder="1" applyAlignment="1" applyProtection="1">
      <alignment horizontal="center" vertical="center"/>
    </xf>
    <xf numFmtId="0" fontId="20" fillId="0" borderId="2" xfId="34" applyFont="1" applyBorder="1" applyAlignment="1" applyProtection="1">
      <alignment horizontal="left" vertical="center" wrapText="1"/>
      <protection locked="0"/>
    </xf>
    <xf numFmtId="0" fontId="23" fillId="0" borderId="6" xfId="34" applyFont="1" applyBorder="1" applyAlignment="1">
      <alignment horizontal="left" vertical="center"/>
    </xf>
    <xf numFmtId="9" fontId="39" fillId="11" borderId="2" xfId="6" applyFont="1" applyFill="1" applyBorder="1" applyAlignment="1" applyProtection="1">
      <alignment horizontal="center" vertical="center"/>
    </xf>
    <xf numFmtId="1" fontId="39" fillId="11" borderId="3" xfId="6" applyNumberFormat="1" applyFont="1" applyFill="1" applyBorder="1" applyAlignment="1" applyProtection="1">
      <alignment horizontal="center" vertical="center"/>
    </xf>
    <xf numFmtId="9" fontId="21" fillId="7" borderId="3" xfId="6" applyFont="1" applyFill="1" applyBorder="1" applyAlignment="1" applyProtection="1">
      <alignment horizontal="center" vertical="center"/>
    </xf>
    <xf numFmtId="9" fontId="39" fillId="7" borderId="3" xfId="6" applyFont="1" applyFill="1" applyBorder="1" applyAlignment="1" applyProtection="1">
      <alignment horizontal="center" vertical="center"/>
    </xf>
    <xf numFmtId="3" fontId="39" fillId="7" borderId="3" xfId="7" applyNumberFormat="1" applyFont="1" applyFill="1" applyBorder="1" applyAlignment="1" applyProtection="1">
      <alignment horizontal="center" vertical="center"/>
    </xf>
    <xf numFmtId="0" fontId="20"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9" fontId="22" fillId="4" borderId="9" xfId="3" applyFont="1" applyFill="1" applyBorder="1" applyAlignment="1" applyProtection="1">
      <alignment horizontal="center" vertical="center"/>
    </xf>
    <xf numFmtId="0" fontId="20" fillId="0" borderId="6" xfId="34" applyFont="1" applyBorder="1" applyAlignment="1" applyProtection="1">
      <alignment horizontal="left" vertical="center" wrapText="1"/>
      <protection locked="0"/>
    </xf>
    <xf numFmtId="0" fontId="20" fillId="2" borderId="2" xfId="1" applyFont="1" applyFill="1" applyBorder="1" applyAlignment="1" applyProtection="1">
      <alignment horizontal="center" vertical="center" wrapText="1"/>
      <protection locked="0"/>
    </xf>
    <xf numFmtId="0" fontId="26" fillId="0" borderId="2" xfId="1" applyFont="1" applyFill="1" applyBorder="1" applyAlignment="1" applyProtection="1">
      <alignment horizontal="center" vertical="top" wrapText="1"/>
    </xf>
    <xf numFmtId="0" fontId="27" fillId="0" borderId="2" xfId="1" applyFont="1" applyFill="1" applyBorder="1" applyAlignment="1" applyProtection="1">
      <alignment horizontal="center" vertical="top" wrapText="1"/>
    </xf>
    <xf numFmtId="0" fontId="26" fillId="7" borderId="2" xfId="1" applyFont="1" applyFill="1" applyBorder="1" applyAlignment="1" applyProtection="1">
      <alignment horizontal="center" vertical="top" wrapText="1"/>
    </xf>
    <xf numFmtId="0" fontId="27" fillId="7" borderId="2" xfId="1" applyFont="1" applyFill="1" applyBorder="1" applyAlignment="1" applyProtection="1">
      <alignment horizontal="center" vertical="top" wrapText="1"/>
    </xf>
    <xf numFmtId="0" fontId="11" fillId="7" borderId="2" xfId="1" applyFont="1" applyFill="1" applyBorder="1" applyAlignment="1" applyProtection="1">
      <alignment vertical="center" wrapText="1"/>
    </xf>
    <xf numFmtId="0" fontId="12" fillId="9" borderId="2" xfId="1" applyFont="1" applyFill="1" applyBorder="1" applyAlignment="1" applyProtection="1">
      <alignment horizontal="center" vertical="center" wrapText="1"/>
    </xf>
    <xf numFmtId="0" fontId="23" fillId="0" borderId="6" xfId="34" applyFont="1" applyBorder="1" applyAlignment="1" applyProtection="1">
      <alignment horizontal="left" vertical="center"/>
    </xf>
    <xf numFmtId="165" fontId="11" fillId="0" borderId="2" xfId="1" applyNumberFormat="1" applyFont="1" applyFill="1" applyBorder="1" applyAlignment="1" applyProtection="1">
      <alignment horizontal="center" vertical="center" wrapText="1"/>
    </xf>
    <xf numFmtId="3" fontId="21" fillId="7" borderId="3" xfId="8" applyNumberFormat="1" applyFont="1" applyFill="1" applyBorder="1" applyAlignment="1" applyProtection="1">
      <alignment horizontal="center" vertical="center"/>
    </xf>
    <xf numFmtId="0" fontId="23" fillId="0" borderId="6" xfId="34" applyFont="1" applyBorder="1" applyAlignment="1" applyProtection="1">
      <alignment horizontal="left" vertical="center" wrapText="1"/>
    </xf>
    <xf numFmtId="9" fontId="21" fillId="7" borderId="3" xfId="8"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1" fontId="39" fillId="18" borderId="3" xfId="6" applyNumberFormat="1" applyFont="1" applyFill="1" applyBorder="1" applyAlignment="1" applyProtection="1">
      <alignment horizontal="center" vertical="center"/>
    </xf>
    <xf numFmtId="9" fontId="39" fillId="18" borderId="3" xfId="6"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1" fontId="20" fillId="0" borderId="2" xfId="8" applyNumberFormat="1" applyFont="1" applyBorder="1" applyAlignment="1" applyProtection="1">
      <alignment horizontal="center" vertical="center" wrapText="1"/>
    </xf>
    <xf numFmtId="9" fontId="39" fillId="7" borderId="3" xfId="8" applyFont="1" applyFill="1" applyBorder="1" applyAlignment="1" applyProtection="1">
      <alignment horizontal="center" vertical="center"/>
    </xf>
    <xf numFmtId="1" fontId="39" fillId="7" borderId="3" xfId="38" applyNumberFormat="1" applyFont="1" applyFill="1" applyBorder="1" applyAlignment="1" applyProtection="1">
      <alignment horizontal="center" vertical="center"/>
    </xf>
    <xf numFmtId="3" fontId="39" fillId="7" borderId="3" xfId="36" applyNumberFormat="1" applyFont="1" applyFill="1" applyBorder="1" applyAlignment="1" applyProtection="1">
      <alignment horizontal="center" vertical="center"/>
    </xf>
    <xf numFmtId="9" fontId="39" fillId="0" borderId="3" xfId="36" applyNumberFormat="1" applyFont="1" applyBorder="1" applyAlignment="1" applyProtection="1">
      <alignment horizontal="center" vertical="center" wrapText="1"/>
      <protection locked="0"/>
    </xf>
    <xf numFmtId="4" fontId="39" fillId="7" borderId="3" xfId="36" applyNumberFormat="1" applyFont="1" applyFill="1" applyBorder="1" applyAlignment="1" applyProtection="1">
      <alignment horizontal="center" vertical="center"/>
    </xf>
    <xf numFmtId="0" fontId="0" fillId="0" borderId="0" xfId="0" applyProtection="1"/>
    <xf numFmtId="0" fontId="35" fillId="0" borderId="2" xfId="0" applyFont="1" applyBorder="1" applyAlignment="1" applyProtection="1">
      <alignment vertical="center"/>
    </xf>
    <xf numFmtId="0" fontId="35"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9" fillId="0" borderId="34" xfId="0" applyFont="1" applyBorder="1" applyAlignment="1" applyProtection="1">
      <alignment vertical="center"/>
    </xf>
    <xf numFmtId="0" fontId="49" fillId="0" borderId="1" xfId="0" applyFont="1" applyBorder="1" applyAlignment="1" applyProtection="1">
      <alignment vertical="center"/>
    </xf>
    <xf numFmtId="0" fontId="49" fillId="0" borderId="36" xfId="0" applyFont="1" applyBorder="1" applyAlignment="1" applyProtection="1">
      <alignment vertical="center"/>
    </xf>
    <xf numFmtId="0" fontId="50" fillId="0" borderId="34" xfId="0" applyFont="1" applyBorder="1" applyAlignment="1" applyProtection="1">
      <alignment vertical="center"/>
    </xf>
    <xf numFmtId="0" fontId="33" fillId="0" borderId="36" xfId="0" applyFont="1" applyFill="1" applyBorder="1" applyAlignment="1" applyProtection="1">
      <alignment vertical="center" wrapText="1"/>
    </xf>
    <xf numFmtId="0" fontId="50" fillId="0" borderId="36" xfId="0" applyFont="1" applyBorder="1" applyAlignment="1" applyProtection="1">
      <alignment vertical="center"/>
    </xf>
    <xf numFmtId="0" fontId="47" fillId="0" borderId="34" xfId="0" applyFont="1" applyBorder="1" applyAlignment="1" applyProtection="1"/>
    <xf numFmtId="14" fontId="20"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7" fillId="0" borderId="1" xfId="0" applyFont="1" applyBorder="1" applyAlignment="1" applyProtection="1">
      <alignment vertical="center"/>
    </xf>
    <xf numFmtId="0" fontId="0" fillId="0" borderId="1" xfId="0" applyBorder="1" applyAlignment="1" applyProtection="1">
      <alignment vertical="center"/>
    </xf>
    <xf numFmtId="0" fontId="47" fillId="0" borderId="36" xfId="0" applyFont="1" applyBorder="1" applyAlignment="1" applyProtection="1">
      <alignment vertical="center"/>
    </xf>
    <xf numFmtId="0" fontId="0" fillId="0" borderId="1" xfId="0" applyBorder="1" applyAlignment="1" applyProtection="1">
      <alignment horizontal="center"/>
    </xf>
    <xf numFmtId="0" fontId="0" fillId="0" borderId="36" xfId="0" applyBorder="1" applyAlignment="1" applyProtection="1">
      <alignment horizontal="center"/>
    </xf>
    <xf numFmtId="0" fontId="47"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52" fillId="9" borderId="2" xfId="0" applyFont="1" applyFill="1" applyBorder="1" applyAlignment="1" applyProtection="1">
      <alignment vertical="center"/>
    </xf>
    <xf numFmtId="0" fontId="24"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7" fillId="0" borderId="1" xfId="0" applyFont="1" applyBorder="1" applyAlignment="1" applyProtection="1"/>
    <xf numFmtId="0" fontId="47" fillId="0" borderId="1" xfId="0" applyFont="1" applyBorder="1" applyProtection="1"/>
    <xf numFmtId="0" fontId="47" fillId="0" borderId="1" xfId="0" applyFont="1" applyBorder="1" applyAlignment="1" applyProtection="1">
      <alignment horizontal="center"/>
    </xf>
    <xf numFmtId="0" fontId="51" fillId="0" borderId="1" xfId="0" applyFont="1" applyBorder="1" applyAlignment="1" applyProtection="1"/>
    <xf numFmtId="0" fontId="52" fillId="0" borderId="1" xfId="0" applyFont="1" applyFill="1" applyBorder="1" applyAlignment="1" applyProtection="1">
      <alignment vertical="center"/>
    </xf>
    <xf numFmtId="0" fontId="24" fillId="0" borderId="1"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vertical="center"/>
    </xf>
    <xf numFmtId="0" fontId="9" fillId="0" borderId="0" xfId="0" applyFont="1" applyAlignment="1" applyProtection="1">
      <alignment vertical="center"/>
    </xf>
    <xf numFmtId="0" fontId="15" fillId="0" borderId="1" xfId="0" applyFont="1" applyBorder="1" applyAlignment="1" applyProtection="1">
      <alignment vertical="center"/>
    </xf>
    <xf numFmtId="0" fontId="15" fillId="0" borderId="1" xfId="0" applyFont="1" applyBorder="1" applyAlignment="1" applyProtection="1">
      <alignment horizontal="center" vertical="center"/>
    </xf>
    <xf numFmtId="0" fontId="9" fillId="0" borderId="1" xfId="0" applyFont="1" applyBorder="1" applyAlignment="1" applyProtection="1">
      <alignment vertical="center"/>
    </xf>
    <xf numFmtId="3" fontId="20" fillId="0" borderId="2" xfId="0" applyNumberFormat="1"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3" xfId="0" applyNumberFormat="1" applyFont="1" applyBorder="1" applyAlignment="1" applyProtection="1">
      <alignment horizontal="justify" vertical="center" wrapText="1"/>
    </xf>
    <xf numFmtId="0" fontId="20" fillId="0" borderId="31" xfId="0" applyFont="1" applyBorder="1" applyAlignment="1" applyProtection="1">
      <alignment horizontal="justify" vertical="center" wrapText="1"/>
    </xf>
    <xf numFmtId="0" fontId="20" fillId="0" borderId="6" xfId="20" applyFont="1" applyBorder="1" applyAlignment="1" applyProtection="1">
      <alignment horizontal="justify" vertical="center" wrapText="1"/>
    </xf>
    <xf numFmtId="3" fontId="39" fillId="0" borderId="3" xfId="5" applyNumberFormat="1" applyFont="1" applyBorder="1" applyAlignment="1" applyProtection="1">
      <alignment horizontal="center" vertical="center" wrapText="1"/>
    </xf>
    <xf numFmtId="9" fontId="39" fillId="0" borderId="3" xfId="6" applyFont="1" applyBorder="1" applyAlignment="1" applyProtection="1">
      <alignment horizontal="center" vertical="center" wrapText="1"/>
    </xf>
    <xf numFmtId="0" fontId="20" fillId="0" borderId="31" xfId="20" applyFont="1" applyBorder="1" applyAlignment="1" applyProtection="1">
      <alignment horizontal="justify" vertical="center" wrapText="1"/>
    </xf>
    <xf numFmtId="9" fontId="20" fillId="0" borderId="2" xfId="8" applyFont="1" applyFill="1" applyBorder="1" applyAlignment="1" applyProtection="1">
      <alignment horizontal="center" vertical="center" wrapText="1"/>
    </xf>
    <xf numFmtId="0" fontId="20" fillId="0" borderId="2" xfId="20" applyFont="1" applyBorder="1" applyAlignment="1" applyProtection="1">
      <alignment horizontal="justify" vertical="center" wrapText="1"/>
    </xf>
    <xf numFmtId="0" fontId="20" fillId="0" borderId="12" xfId="0" applyFont="1" applyBorder="1" applyAlignment="1" applyProtection="1">
      <alignment horizontal="justify" vertical="center" wrapText="1"/>
    </xf>
    <xf numFmtId="0" fontId="20" fillId="0" borderId="10" xfId="20" applyFont="1" applyBorder="1" applyAlignment="1" applyProtection="1">
      <alignment horizontal="justify" vertical="center" wrapText="1"/>
    </xf>
    <xf numFmtId="0" fontId="20" fillId="18" borderId="2" xfId="0" applyFont="1" applyFill="1" applyBorder="1" applyAlignment="1" applyProtection="1">
      <alignment horizontal="justify" vertical="center" wrapText="1"/>
    </xf>
    <xf numFmtId="9" fontId="20" fillId="18" borderId="2" xfId="8" applyFont="1" applyFill="1" applyBorder="1" applyAlignment="1" applyProtection="1">
      <alignment horizontal="center" vertical="center" wrapText="1"/>
    </xf>
    <xf numFmtId="3" fontId="20" fillId="18" borderId="2" xfId="0" applyNumberFormat="1" applyFont="1" applyFill="1" applyBorder="1" applyAlignment="1" applyProtection="1">
      <alignment horizontal="center" vertical="center" wrapText="1"/>
    </xf>
    <xf numFmtId="0" fontId="20" fillId="18" borderId="3" xfId="0" applyFont="1" applyFill="1" applyBorder="1" applyAlignment="1" applyProtection="1">
      <alignment horizontal="center" vertical="center" wrapText="1"/>
    </xf>
    <xf numFmtId="0" fontId="20" fillId="18" borderId="3" xfId="0" applyFont="1" applyFill="1" applyBorder="1" applyAlignment="1" applyProtection="1">
      <alignment horizontal="justify" vertical="center" wrapText="1"/>
    </xf>
    <xf numFmtId="0" fontId="20" fillId="18" borderId="31" xfId="0" applyFont="1" applyFill="1" applyBorder="1" applyAlignment="1" applyProtection="1">
      <alignment horizontal="justify" vertical="center" wrapText="1"/>
    </xf>
    <xf numFmtId="0" fontId="20" fillId="18" borderId="6" xfId="20" applyFont="1" applyFill="1" applyBorder="1" applyAlignment="1" applyProtection="1">
      <alignment horizontal="justify" vertical="center" wrapText="1"/>
    </xf>
    <xf numFmtId="3" fontId="39" fillId="18" borderId="3" xfId="5" applyNumberFormat="1" applyFont="1" applyFill="1" applyBorder="1" applyAlignment="1" applyProtection="1">
      <alignment horizontal="center" vertical="center" wrapText="1"/>
    </xf>
    <xf numFmtId="0" fontId="20" fillId="0" borderId="11" xfId="20" applyFont="1" applyBorder="1" applyAlignment="1" applyProtection="1">
      <alignment horizontal="justify" vertical="center" wrapText="1"/>
    </xf>
    <xf numFmtId="9" fontId="20" fillId="0" borderId="2" xfId="0" applyNumberFormat="1" applyFont="1" applyBorder="1" applyAlignment="1" applyProtection="1">
      <alignment horizontal="center" vertical="center" wrapText="1"/>
    </xf>
    <xf numFmtId="9" fontId="41" fillId="0" borderId="2" xfId="0" applyNumberFormat="1" applyFont="1" applyBorder="1" applyAlignment="1" applyProtection="1">
      <alignment horizontal="center" vertical="center" wrapText="1" readingOrder="1"/>
    </xf>
    <xf numFmtId="0" fontId="42" fillId="0" borderId="2" xfId="0" applyFont="1" applyBorder="1" applyAlignment="1" applyProtection="1">
      <alignment horizontal="center" vertical="center" wrapText="1" readingOrder="1"/>
    </xf>
    <xf numFmtId="0" fontId="39" fillId="0" borderId="2" xfId="0" applyFont="1" applyBorder="1" applyAlignment="1" applyProtection="1">
      <alignment horizontal="justify" vertical="top" wrapText="1" readingOrder="1"/>
    </xf>
    <xf numFmtId="9" fontId="20" fillId="18" borderId="2" xfId="6" applyFont="1" applyFill="1" applyBorder="1" applyAlignment="1" applyProtection="1">
      <alignment horizontal="center" vertical="center" wrapText="1"/>
    </xf>
    <xf numFmtId="9" fontId="20" fillId="18" borderId="2" xfId="0" applyNumberFormat="1" applyFont="1" applyFill="1" applyBorder="1" applyAlignment="1" applyProtection="1">
      <alignment horizontal="center" vertical="center" wrapText="1"/>
    </xf>
    <xf numFmtId="0" fontId="20" fillId="18" borderId="2" xfId="0" applyNumberFormat="1" applyFont="1" applyFill="1" applyBorder="1" applyAlignment="1" applyProtection="1">
      <alignment horizontal="justify" vertical="center" wrapText="1"/>
    </xf>
    <xf numFmtId="0" fontId="20" fillId="18" borderId="2" xfId="20" applyFont="1" applyFill="1" applyBorder="1" applyAlignment="1" applyProtection="1">
      <alignment horizontal="justify" vertical="center" wrapText="1"/>
    </xf>
    <xf numFmtId="9" fontId="39" fillId="18" borderId="2" xfId="5" applyNumberFormat="1" applyFont="1" applyFill="1" applyBorder="1" applyAlignment="1" applyProtection="1">
      <alignment horizontal="center" vertical="center" wrapText="1"/>
    </xf>
    <xf numFmtId="9" fontId="20" fillId="0" borderId="2" xfId="6" applyFont="1" applyBorder="1" applyAlignment="1" applyProtection="1">
      <alignment horizontal="justify" vertical="center" wrapText="1"/>
    </xf>
    <xf numFmtId="9" fontId="39" fillId="0" borderId="3" xfId="5" applyNumberFormat="1" applyFont="1" applyBorder="1" applyAlignment="1" applyProtection="1">
      <alignment horizontal="center" vertical="center" wrapText="1"/>
    </xf>
    <xf numFmtId="0" fontId="20" fillId="0" borderId="3" xfId="0" applyNumberFormat="1" applyFont="1" applyBorder="1" applyAlignment="1" applyProtection="1">
      <alignment horizontal="center" vertical="center" wrapText="1"/>
    </xf>
    <xf numFmtId="1" fontId="20" fillId="0" borderId="2" xfId="0" applyNumberFormat="1" applyFont="1" applyBorder="1" applyAlignment="1" applyProtection="1">
      <alignment horizontal="center" vertical="center" wrapText="1"/>
    </xf>
    <xf numFmtId="1" fontId="39" fillId="0" borderId="3" xfId="5" applyNumberFormat="1" applyFont="1" applyBorder="1" applyAlignment="1" applyProtection="1">
      <alignment horizontal="center" vertical="center" wrapText="1"/>
    </xf>
    <xf numFmtId="9" fontId="20" fillId="0" borderId="3" xfId="6" applyFont="1" applyBorder="1" applyAlignment="1" applyProtection="1">
      <alignment horizontal="center" vertical="center" wrapText="1"/>
    </xf>
    <xf numFmtId="9" fontId="20" fillId="0" borderId="3" xfId="6" applyFont="1" applyBorder="1" applyAlignment="1" applyProtection="1">
      <alignment horizontal="justify" vertical="center" wrapText="1"/>
    </xf>
    <xf numFmtId="9" fontId="20" fillId="18" borderId="3" xfId="0" applyNumberFormat="1" applyFont="1" applyFill="1" applyBorder="1" applyAlignment="1" applyProtection="1">
      <alignment horizontal="center" vertical="center" wrapText="1"/>
    </xf>
    <xf numFmtId="0" fontId="20" fillId="18" borderId="3" xfId="9" applyFont="1" applyFill="1" applyBorder="1" applyAlignment="1" applyProtection="1">
      <alignment horizontal="justify" vertical="center" wrapText="1"/>
    </xf>
    <xf numFmtId="0" fontId="20" fillId="18" borderId="31" xfId="9" applyFont="1" applyFill="1" applyBorder="1" applyAlignment="1" applyProtection="1">
      <alignment horizontal="justify" vertical="center" wrapText="1"/>
    </xf>
    <xf numFmtId="0" fontId="20" fillId="18" borderId="2" xfId="34" applyFont="1" applyFill="1" applyBorder="1" applyAlignment="1" applyProtection="1">
      <alignment horizontal="justify" vertical="center" wrapText="1"/>
    </xf>
    <xf numFmtId="9" fontId="39" fillId="18" borderId="3" xfId="5" applyNumberFormat="1" applyFont="1" applyFill="1" applyBorder="1" applyAlignment="1" applyProtection="1">
      <alignment horizontal="center" vertical="center" wrapText="1"/>
    </xf>
    <xf numFmtId="9" fontId="20" fillId="18" borderId="2" xfId="34" applyNumberFormat="1" applyFont="1" applyFill="1" applyBorder="1" applyAlignment="1" applyProtection="1">
      <alignment horizontal="center" vertical="center" wrapText="1"/>
    </xf>
    <xf numFmtId="0" fontId="20" fillId="18" borderId="2" xfId="9" applyFont="1" applyFill="1" applyBorder="1" applyAlignment="1" applyProtection="1">
      <alignment horizontal="justify" vertical="center" wrapText="1"/>
    </xf>
    <xf numFmtId="0" fontId="20" fillId="18" borderId="2" xfId="9" applyFont="1" applyFill="1" applyBorder="1" applyAlignment="1" applyProtection="1">
      <alignment horizontal="center" vertical="center" wrapText="1"/>
    </xf>
    <xf numFmtId="0" fontId="20" fillId="18" borderId="3" xfId="9" applyFont="1" applyFill="1" applyBorder="1" applyAlignment="1" applyProtection="1">
      <alignment horizontal="center" vertical="center" wrapText="1"/>
    </xf>
    <xf numFmtId="1" fontId="39" fillId="18" borderId="3" xfId="5" applyNumberFormat="1" applyFont="1" applyFill="1" applyBorder="1" applyAlignment="1" applyProtection="1">
      <alignment horizontal="center" vertical="center" wrapText="1"/>
    </xf>
    <xf numFmtId="10" fontId="20" fillId="0" borderId="3" xfId="0" applyNumberFormat="1"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20" fillId="0" borderId="3" xfId="32" applyFont="1" applyBorder="1" applyAlignment="1" applyProtection="1">
      <alignment horizontal="justify" vertical="center" wrapText="1"/>
    </xf>
    <xf numFmtId="1" fontId="44" fillId="0" borderId="3" xfId="36" applyNumberFormat="1" applyFont="1" applyFill="1" applyBorder="1" applyAlignment="1" applyProtection="1">
      <alignment horizontal="center" vertical="center" wrapText="1"/>
    </xf>
    <xf numFmtId="0" fontId="20" fillId="0" borderId="6" xfId="34" applyFont="1" applyBorder="1" applyAlignment="1" applyProtection="1">
      <alignment horizontal="justify" vertical="center" wrapText="1"/>
    </xf>
    <xf numFmtId="9" fontId="20" fillId="0" borderId="3" xfId="36" applyNumberFormat="1" applyFont="1" applyBorder="1" applyAlignment="1" applyProtection="1">
      <alignment horizontal="center" vertical="center" wrapText="1"/>
    </xf>
    <xf numFmtId="1" fontId="20" fillId="18" borderId="2" xfId="0" applyNumberFormat="1" applyFont="1" applyFill="1" applyBorder="1" applyAlignment="1" applyProtection="1">
      <alignment horizontal="center" vertical="center" wrapText="1"/>
    </xf>
    <xf numFmtId="167" fontId="20" fillId="18" borderId="3" xfId="36" applyNumberFormat="1" applyFont="1" applyFill="1" applyBorder="1" applyAlignment="1" applyProtection="1">
      <alignment horizontal="center" vertical="center" wrapText="1"/>
    </xf>
    <xf numFmtId="0" fontId="20" fillId="18" borderId="2" xfId="0" applyFont="1" applyFill="1" applyBorder="1" applyAlignment="1" applyProtection="1">
      <alignment horizontal="center" vertical="center" wrapText="1"/>
    </xf>
    <xf numFmtId="0" fontId="20" fillId="18" borderId="3" xfId="36" applyNumberFormat="1" applyFont="1" applyFill="1" applyBorder="1" applyAlignment="1" applyProtection="1">
      <alignment horizontal="center" vertical="center" wrapText="1"/>
    </xf>
    <xf numFmtId="0" fontId="45" fillId="18" borderId="2" xfId="0" applyFont="1" applyFill="1" applyBorder="1" applyAlignment="1" applyProtection="1">
      <alignment horizontal="justify" vertical="center" wrapText="1"/>
    </xf>
    <xf numFmtId="0" fontId="20" fillId="0" borderId="3" xfId="34" applyFont="1" applyBorder="1" applyAlignment="1" applyProtection="1">
      <alignment horizontal="justify" vertical="center" wrapText="1"/>
    </xf>
    <xf numFmtId="0" fontId="39" fillId="18" borderId="2" xfId="0" applyFont="1" applyFill="1" applyBorder="1" applyAlignment="1" applyProtection="1">
      <alignment horizontal="justify" vertical="top" wrapText="1" readingOrder="1"/>
    </xf>
    <xf numFmtId="0" fontId="20" fillId="18" borderId="6" xfId="34" applyFont="1" applyFill="1" applyBorder="1" applyAlignment="1" applyProtection="1">
      <alignment horizontal="justify" vertical="center" wrapText="1"/>
    </xf>
    <xf numFmtId="1" fontId="20" fillId="18" borderId="3" xfId="5" applyNumberFormat="1" applyFont="1" applyFill="1" applyBorder="1" applyAlignment="1" applyProtection="1">
      <alignment horizontal="center" vertical="center" wrapText="1"/>
    </xf>
    <xf numFmtId="0" fontId="20" fillId="0" borderId="3" xfId="36" applyNumberFormat="1" applyFont="1" applyBorder="1" applyAlignment="1" applyProtection="1">
      <alignment horizontal="center" vertical="center" wrapText="1"/>
    </xf>
    <xf numFmtId="0" fontId="42" fillId="0" borderId="2" xfId="0" applyFont="1" applyBorder="1" applyAlignment="1" applyProtection="1">
      <alignment horizontal="justify" vertical="top" wrapText="1"/>
    </xf>
    <xf numFmtId="0" fontId="42" fillId="3" borderId="2" xfId="0" applyFont="1" applyFill="1" applyBorder="1" applyAlignment="1" applyProtection="1">
      <alignment horizontal="justify" vertical="top" wrapText="1"/>
    </xf>
    <xf numFmtId="0" fontId="15" fillId="0" borderId="1" xfId="1" applyFont="1" applyBorder="1" applyAlignment="1" applyProtection="1">
      <alignment horizontal="center" vertical="center"/>
    </xf>
    <xf numFmtId="0" fontId="15" fillId="0" borderId="1" xfId="1" applyFont="1" applyBorder="1" applyAlignment="1" applyProtection="1">
      <alignment vertical="center"/>
    </xf>
    <xf numFmtId="0" fontId="9" fillId="0" borderId="1" xfId="1" applyFont="1" applyBorder="1" applyAlignment="1" applyProtection="1">
      <alignment horizontal="left" vertical="center"/>
    </xf>
    <xf numFmtId="0" fontId="25" fillId="3" borderId="32" xfId="0" applyFont="1" applyFill="1" applyBorder="1" applyAlignment="1" applyProtection="1"/>
    <xf numFmtId="0" fontId="24" fillId="3" borderId="17" xfId="0" applyFont="1" applyFill="1" applyBorder="1" applyAlignment="1" applyProtection="1"/>
    <xf numFmtId="0" fontId="25" fillId="3" borderId="31" xfId="0" applyFont="1" applyFill="1" applyBorder="1" applyAlignment="1" applyProtection="1">
      <alignment horizontal="left"/>
    </xf>
    <xf numFmtId="0" fontId="24" fillId="3" borderId="10" xfId="0" applyFont="1" applyFill="1" applyBorder="1" applyAlignment="1" applyProtection="1">
      <alignment horizontal="left"/>
    </xf>
    <xf numFmtId="0" fontId="25" fillId="3" borderId="33" xfId="0" applyFont="1" applyFill="1" applyBorder="1" applyAlignment="1" applyProtection="1"/>
    <xf numFmtId="0" fontId="24" fillId="3" borderId="21" xfId="0" applyFont="1" applyFill="1" applyBorder="1" applyAlignment="1" applyProtection="1"/>
    <xf numFmtId="0" fontId="37" fillId="0" borderId="2" xfId="0" applyFont="1" applyBorder="1" applyAlignment="1" applyProtection="1">
      <alignment vertical="center"/>
    </xf>
    <xf numFmtId="0" fontId="20" fillId="0" borderId="1" xfId="0" applyFont="1" applyBorder="1" applyAlignment="1" applyProtection="1">
      <alignment vertical="center"/>
    </xf>
    <xf numFmtId="0" fontId="20" fillId="2" borderId="2" xfId="1" applyFont="1" applyFill="1" applyBorder="1" applyAlignment="1" applyProtection="1">
      <alignment horizontal="center" vertical="center" wrapText="1"/>
    </xf>
    <xf numFmtId="0" fontId="20" fillId="0" borderId="6" xfId="20" applyFont="1" applyBorder="1" applyAlignment="1" applyProtection="1">
      <alignment horizontal="left" vertical="center" wrapText="1"/>
    </xf>
    <xf numFmtId="0" fontId="20" fillId="0" borderId="6" xfId="34" applyFont="1" applyBorder="1" applyAlignment="1" applyProtection="1">
      <alignment horizontal="left" vertical="center" wrapText="1"/>
    </xf>
    <xf numFmtId="9" fontId="21" fillId="0" borderId="3" xfId="6" applyFont="1" applyBorder="1" applyAlignment="1" applyProtection="1">
      <alignment horizontal="center" vertical="center" wrapText="1"/>
    </xf>
    <xf numFmtId="9" fontId="21" fillId="0" borderId="3" xfId="6" applyFont="1" applyFill="1" applyBorder="1" applyAlignment="1" applyProtection="1">
      <alignment horizontal="center" vertical="center" wrapText="1"/>
    </xf>
    <xf numFmtId="0" fontId="20" fillId="0" borderId="2" xfId="34" applyNumberFormat="1" applyFont="1" applyBorder="1" applyAlignment="1" applyProtection="1">
      <alignment horizontal="left" vertical="center" wrapText="1"/>
    </xf>
    <xf numFmtId="9" fontId="21" fillId="0" borderId="3" xfId="8" applyFont="1" applyBorder="1" applyAlignment="1" applyProtection="1">
      <alignment horizontal="center" vertical="center" wrapText="1"/>
    </xf>
    <xf numFmtId="0" fontId="21" fillId="0" borderId="3" xfId="5" applyNumberFormat="1" applyFont="1" applyBorder="1" applyAlignment="1" applyProtection="1">
      <alignment horizontal="center" vertical="center" wrapText="1"/>
    </xf>
    <xf numFmtId="0" fontId="21" fillId="0" borderId="3" xfId="5" applyNumberFormat="1" applyFont="1" applyFill="1" applyBorder="1" applyAlignment="1" applyProtection="1">
      <alignment horizontal="center" vertical="center" wrapText="1"/>
    </xf>
    <xf numFmtId="0" fontId="20" fillId="0" borderId="3" xfId="0" applyFont="1" applyBorder="1" applyAlignment="1" applyProtection="1">
      <alignment horizontal="left" vertical="center" wrapText="1"/>
    </xf>
    <xf numFmtId="14" fontId="20" fillId="0" borderId="1" xfId="1" applyNumberFormat="1" applyFont="1" applyBorder="1" applyAlignment="1" applyProtection="1">
      <alignment vertical="center"/>
    </xf>
    <xf numFmtId="0" fontId="11" fillId="0" borderId="1" xfId="1" applyFont="1" applyFill="1" applyBorder="1" applyAlignment="1" applyProtection="1">
      <alignment horizontal="center" vertical="center"/>
    </xf>
    <xf numFmtId="0" fontId="15" fillId="0" borderId="1" xfId="1" applyFont="1" applyFill="1" applyBorder="1" applyAlignment="1" applyProtection="1">
      <alignment vertical="center"/>
    </xf>
    <xf numFmtId="0" fontId="15" fillId="0" borderId="1" xfId="1" applyFont="1" applyBorder="1" applyAlignment="1" applyProtection="1">
      <alignment vertical="center" wrapText="1"/>
    </xf>
    <xf numFmtId="0" fontId="25" fillId="3" borderId="32" xfId="0" applyFont="1" applyFill="1" applyBorder="1" applyProtection="1"/>
    <xf numFmtId="0" fontId="24" fillId="3" borderId="17" xfId="0" applyFont="1" applyFill="1" applyBorder="1" applyProtection="1"/>
    <xf numFmtId="0" fontId="20" fillId="0" borderId="1" xfId="1" applyFont="1" applyAlignment="1" applyProtection="1">
      <alignment horizontal="left" vertical="center"/>
    </xf>
    <xf numFmtId="0" fontId="26" fillId="0" borderId="2" xfId="1" applyFont="1" applyBorder="1" applyAlignment="1" applyProtection="1">
      <alignment horizontal="center" vertical="top" wrapText="1"/>
    </xf>
    <xf numFmtId="0" fontId="27" fillId="0" borderId="2" xfId="1" applyFont="1" applyBorder="1" applyAlignment="1" applyProtection="1">
      <alignment horizontal="center" vertical="top" wrapText="1"/>
    </xf>
    <xf numFmtId="0" fontId="20" fillId="0" borderId="2" xfId="34" applyFont="1" applyBorder="1" applyAlignment="1" applyProtection="1">
      <alignment horizontal="left" vertical="center" wrapText="1"/>
    </xf>
    <xf numFmtId="0" fontId="20" fillId="0" borderId="6" xfId="34" applyFont="1" applyBorder="1" applyAlignment="1" applyProtection="1">
      <alignment horizontal="center" vertical="center" wrapText="1"/>
    </xf>
    <xf numFmtId="3" fontId="39" fillId="7" borderId="3" xfId="0" applyNumberFormat="1" applyFont="1" applyFill="1" applyBorder="1" applyAlignment="1" applyProtection="1">
      <alignment horizontal="center" vertical="center"/>
    </xf>
    <xf numFmtId="0" fontId="20" fillId="0" borderId="2" xfId="1" applyFont="1" applyBorder="1" applyAlignment="1" applyProtection="1">
      <alignment horizontal="center" vertical="center" wrapText="1"/>
    </xf>
    <xf numFmtId="0" fontId="15" fillId="0" borderId="1" xfId="1" applyFont="1" applyAlignment="1" applyProtection="1">
      <alignment horizontal="center" vertical="center"/>
    </xf>
    <xf numFmtId="0" fontId="15" fillId="0" borderId="1" xfId="1" applyFont="1" applyAlignment="1" applyProtection="1">
      <alignment vertical="center"/>
    </xf>
    <xf numFmtId="165" fontId="11" fillId="0" borderId="2" xfId="1" applyNumberFormat="1" applyFont="1" applyBorder="1" applyAlignment="1" applyProtection="1">
      <alignment horizontal="center" vertical="center" wrapText="1"/>
    </xf>
    <xf numFmtId="14" fontId="20" fillId="0" borderId="1" xfId="1" applyNumberFormat="1" applyFont="1" applyAlignment="1" applyProtection="1">
      <alignment vertical="center"/>
    </xf>
    <xf numFmtId="0" fontId="11" fillId="0" borderId="1" xfId="1" applyFont="1" applyAlignment="1" applyProtection="1">
      <alignment horizontal="center" vertical="center"/>
    </xf>
    <xf numFmtId="0" fontId="9" fillId="0" borderId="1" xfId="1" applyFont="1" applyAlignment="1" applyProtection="1">
      <alignment horizontal="left" vertical="center"/>
    </xf>
    <xf numFmtId="0" fontId="15" fillId="0" borderId="1" xfId="1" applyFont="1" applyAlignment="1" applyProtection="1">
      <alignment vertical="center" wrapText="1"/>
    </xf>
    <xf numFmtId="0" fontId="20" fillId="0" borderId="2" xfId="34" applyFont="1" applyBorder="1" applyAlignment="1" applyProtection="1">
      <alignment horizontal="center" vertical="center" wrapText="1"/>
    </xf>
    <xf numFmtId="0" fontId="20" fillId="0" borderId="2" xfId="0" applyFont="1" applyBorder="1" applyAlignment="1" applyProtection="1">
      <alignment vertical="center" wrapText="1"/>
    </xf>
    <xf numFmtId="0" fontId="26" fillId="0" borderId="2" xfId="1" applyFont="1" applyBorder="1" applyAlignment="1" applyProtection="1">
      <alignment horizontal="center" vertical="center" wrapText="1"/>
    </xf>
    <xf numFmtId="0" fontId="27" fillId="0" borderId="2" xfId="1" applyFont="1" applyBorder="1" applyAlignment="1" applyProtection="1">
      <alignment horizontal="center" vertical="center" wrapText="1"/>
    </xf>
    <xf numFmtId="0" fontId="26" fillId="7" borderId="2" xfId="1" applyFont="1" applyFill="1" applyBorder="1" applyAlignment="1" applyProtection="1">
      <alignment horizontal="center" vertical="center" wrapText="1"/>
    </xf>
    <xf numFmtId="0" fontId="27" fillId="7" borderId="2" xfId="1" applyFont="1" applyFill="1" applyBorder="1" applyAlignment="1" applyProtection="1">
      <alignment horizontal="center" vertical="center" wrapText="1"/>
    </xf>
    <xf numFmtId="3" fontId="44" fillId="7" borderId="3" xfId="0" applyNumberFormat="1" applyFont="1" applyFill="1" applyBorder="1" applyAlignment="1" applyProtection="1">
      <alignment horizontal="center" vertical="center"/>
    </xf>
    <xf numFmtId="0" fontId="23" fillId="0" borderId="6" xfId="20" applyFont="1" applyBorder="1" applyAlignment="1" applyProtection="1">
      <alignment horizontal="center" vertical="center" wrapText="1"/>
    </xf>
    <xf numFmtId="0" fontId="46" fillId="0" borderId="0" xfId="0" applyFont="1" applyAlignment="1" applyProtection="1">
      <alignment horizontal="center" vertical="center" wrapText="1"/>
    </xf>
    <xf numFmtId="4" fontId="39" fillId="7" borderId="3" xfId="7" applyNumberFormat="1" applyFont="1" applyFill="1" applyBorder="1" applyAlignment="1" applyProtection="1">
      <alignment horizontal="center" vertical="center"/>
    </xf>
    <xf numFmtId="3" fontId="20" fillId="0" borderId="3" xfId="0" applyNumberFormat="1" applyFont="1" applyBorder="1" applyAlignment="1" applyProtection="1">
      <alignment horizontal="center" vertical="center" wrapText="1"/>
    </xf>
    <xf numFmtId="166" fontId="20" fillId="0" borderId="3" xfId="0" applyNumberFormat="1" applyFont="1" applyBorder="1" applyAlignment="1" applyProtection="1">
      <alignment horizontal="center" vertical="center" wrapText="1"/>
    </xf>
    <xf numFmtId="166" fontId="39" fillId="7" borderId="3" xfId="0" applyNumberFormat="1" applyFont="1" applyFill="1" applyBorder="1" applyAlignment="1" applyProtection="1">
      <alignment horizontal="center" vertical="center"/>
    </xf>
    <xf numFmtId="4" fontId="39" fillId="7" borderId="3" xfId="0" applyNumberFormat="1" applyFont="1" applyFill="1" applyBorder="1" applyAlignment="1" applyProtection="1">
      <alignment horizontal="center"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11" fillId="3" borderId="32" xfId="0" applyFont="1" applyFill="1" applyBorder="1" applyProtection="1"/>
    <xf numFmtId="0" fontId="20" fillId="3" borderId="17" xfId="0" applyFont="1" applyFill="1" applyBorder="1" applyProtection="1"/>
    <xf numFmtId="0" fontId="11" fillId="3" borderId="31" xfId="0" applyFont="1" applyFill="1" applyBorder="1" applyAlignment="1" applyProtection="1">
      <alignment horizontal="left"/>
    </xf>
    <xf numFmtId="0" fontId="11" fillId="3" borderId="18" xfId="0" applyFont="1" applyFill="1" applyBorder="1" applyAlignment="1" applyProtection="1">
      <alignment horizontal="left"/>
    </xf>
    <xf numFmtId="0" fontId="20" fillId="0" borderId="1" xfId="0" applyFont="1" applyBorder="1" applyAlignment="1" applyProtection="1">
      <alignment horizontal="center" vertical="center"/>
    </xf>
    <xf numFmtId="0" fontId="11" fillId="0" borderId="2" xfId="0" applyFont="1" applyBorder="1" applyAlignment="1" applyProtection="1">
      <alignment vertical="center"/>
    </xf>
    <xf numFmtId="0" fontId="11" fillId="0" borderId="2" xfId="1" applyFont="1" applyBorder="1" applyAlignment="1" applyProtection="1">
      <alignment horizontal="center" vertical="top" wrapText="1"/>
    </xf>
    <xf numFmtId="0" fontId="11" fillId="7" borderId="2" xfId="1" applyFont="1" applyFill="1" applyBorder="1" applyAlignment="1" applyProtection="1">
      <alignment horizontal="center" vertical="top" wrapText="1"/>
    </xf>
    <xf numFmtId="0" fontId="20" fillId="0" borderId="3" xfId="35" applyFont="1" applyBorder="1" applyAlignment="1" applyProtection="1">
      <alignment horizontal="center" vertical="center" wrapText="1"/>
    </xf>
    <xf numFmtId="0" fontId="8" fillId="0" borderId="37" xfId="34" applyBorder="1" applyAlignment="1" applyProtection="1">
      <alignment horizontal="left" vertical="center" wrapText="1"/>
    </xf>
    <xf numFmtId="0" fontId="20" fillId="0" borderId="37" xfId="34" applyFont="1" applyBorder="1" applyAlignment="1" applyProtection="1">
      <alignment horizontal="left" vertical="center" wrapText="1"/>
    </xf>
    <xf numFmtId="0" fontId="20" fillId="0" borderId="2" xfId="23" applyFont="1" applyBorder="1" applyAlignment="1" applyProtection="1">
      <alignment horizontal="left" vertical="center" wrapText="1"/>
    </xf>
    <xf numFmtId="0" fontId="8" fillId="0" borderId="2" xfId="34" applyBorder="1" applyAlignment="1" applyProtection="1">
      <alignment horizontal="justify" vertical="center" wrapText="1"/>
    </xf>
    <xf numFmtId="0" fontId="20" fillId="0" borderId="2" xfId="34" applyFont="1" applyBorder="1" applyAlignment="1" applyProtection="1">
      <alignment horizontal="justify" vertical="center" wrapText="1"/>
    </xf>
    <xf numFmtId="0" fontId="20" fillId="0" borderId="2" xfId="9" applyFont="1" applyBorder="1" applyAlignment="1" applyProtection="1">
      <alignment horizontal="center" vertical="center" wrapText="1"/>
    </xf>
    <xf numFmtId="0" fontId="23" fillId="0" borderId="2" xfId="34" applyFont="1" applyBorder="1" applyAlignment="1" applyProtection="1">
      <alignment horizontal="left" vertical="center" wrapText="1"/>
    </xf>
    <xf numFmtId="0" fontId="8" fillId="0" borderId="2" xfId="34" applyBorder="1" applyAlignment="1" applyProtection="1">
      <alignment horizontal="left" vertical="center" wrapText="1"/>
    </xf>
    <xf numFmtId="0" fontId="20" fillId="0" borderId="1" xfId="1" applyFont="1" applyAlignment="1" applyProtection="1">
      <alignment horizontal="center" vertical="center"/>
    </xf>
    <xf numFmtId="0" fontId="20" fillId="0" borderId="1" xfId="1" applyFont="1" applyAlignment="1" applyProtection="1">
      <alignment vertical="center"/>
    </xf>
    <xf numFmtId="0" fontId="20" fillId="0" borderId="1" xfId="1" applyFont="1" applyAlignment="1" applyProtection="1">
      <alignment vertical="center" wrapText="1"/>
    </xf>
    <xf numFmtId="0" fontId="20" fillId="0" borderId="1" xfId="0" applyFont="1" applyBorder="1" applyAlignment="1" applyProtection="1">
      <alignment vertical="center" wrapText="1"/>
    </xf>
    <xf numFmtId="10" fontId="20" fillId="0" borderId="2" xfId="0" applyNumberFormat="1" applyFont="1" applyBorder="1" applyAlignment="1" applyProtection="1">
      <alignment horizontal="center" vertical="center" wrapText="1"/>
    </xf>
    <xf numFmtId="0" fontId="20" fillId="0" borderId="2" xfId="32" applyFont="1" applyBorder="1" applyAlignment="1" applyProtection="1">
      <alignment vertical="center" wrapText="1"/>
    </xf>
    <xf numFmtId="0" fontId="20" fillId="0" borderId="3" xfId="34" applyFont="1" applyBorder="1" applyAlignment="1" applyProtection="1">
      <alignment vertical="center" wrapText="1"/>
    </xf>
    <xf numFmtId="0" fontId="9" fillId="0" borderId="0" xfId="0" applyFont="1" applyAlignment="1" applyProtection="1">
      <alignment horizontal="center" vertical="center"/>
    </xf>
    <xf numFmtId="0" fontId="20" fillId="2" borderId="2" xfId="1" applyFont="1" applyFill="1" applyBorder="1" applyAlignment="1" applyProtection="1">
      <alignment vertical="center" wrapText="1"/>
    </xf>
    <xf numFmtId="0" fontId="20" fillId="2" borderId="3" xfId="1" applyFont="1" applyFill="1" applyBorder="1" applyAlignment="1" applyProtection="1">
      <alignment horizontal="center" vertical="center" wrapText="1"/>
    </xf>
    <xf numFmtId="0" fontId="20" fillId="0" borderId="3" xfId="34" applyFont="1" applyBorder="1" applyAlignment="1" applyProtection="1">
      <alignment horizontal="center" vertical="center" wrapText="1"/>
    </xf>
    <xf numFmtId="9" fontId="20" fillId="3" borderId="3" xfId="0" applyNumberFormat="1" applyFont="1" applyFill="1" applyBorder="1" applyAlignment="1" applyProtection="1">
      <alignment horizontal="center" vertical="center" wrapText="1"/>
    </xf>
    <xf numFmtId="0" fontId="15" fillId="0" borderId="0" xfId="0" applyFont="1" applyAlignment="1" applyProtection="1">
      <alignment horizontal="right" vertical="center"/>
    </xf>
    <xf numFmtId="0" fontId="15" fillId="0" borderId="1" xfId="1" applyFont="1" applyAlignment="1" applyProtection="1">
      <alignment horizontal="right" vertical="center"/>
    </xf>
    <xf numFmtId="0" fontId="15" fillId="0" borderId="1" xfId="1" applyFont="1" applyAlignment="1" applyProtection="1">
      <alignment horizontal="right" vertical="center" wrapText="1"/>
    </xf>
    <xf numFmtId="0" fontId="20" fillId="2" borderId="2" xfId="1" applyFont="1" applyFill="1" applyBorder="1" applyAlignment="1" applyProtection="1">
      <alignment horizontal="left" vertical="center" wrapText="1"/>
    </xf>
    <xf numFmtId="0" fontId="20" fillId="0" borderId="6" xfId="34" applyFont="1" applyBorder="1" applyAlignment="1" applyProtection="1">
      <alignment horizontal="left" vertical="center"/>
    </xf>
    <xf numFmtId="1" fontId="20" fillId="0" borderId="3" xfId="0" applyNumberFormat="1" applyFont="1" applyBorder="1" applyAlignment="1" applyProtection="1">
      <alignment horizontal="center" vertical="center" wrapText="1"/>
    </xf>
    <xf numFmtId="167" fontId="39" fillId="0" borderId="3" xfId="36" applyNumberFormat="1" applyFont="1" applyBorder="1" applyAlignment="1" applyProtection="1">
      <alignment horizontal="center" vertical="center" wrapText="1"/>
    </xf>
    <xf numFmtId="0" fontId="23" fillId="0" borderId="6" xfId="34" applyFont="1" applyBorder="1" applyAlignment="1" applyProtection="1">
      <alignment horizontal="center" vertical="center"/>
    </xf>
    <xf numFmtId="9" fontId="20" fillId="0" borderId="3"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20" fillId="0" borderId="3" xfId="0" applyFont="1" applyBorder="1" applyAlignment="1" applyProtection="1">
      <alignment horizontal="center" vertical="center" wrapText="1"/>
    </xf>
    <xf numFmtId="9" fontId="20" fillId="7" borderId="3" xfId="8" applyFont="1" applyFill="1" applyBorder="1" applyAlignment="1" applyProtection="1">
      <alignment horizontal="center" vertical="center"/>
    </xf>
    <xf numFmtId="3" fontId="20" fillId="7" borderId="3" xfId="7" applyNumberFormat="1" applyFont="1" applyFill="1" applyBorder="1" applyAlignment="1" applyProtection="1">
      <alignment horizontal="center" vertical="center"/>
    </xf>
    <xf numFmtId="3" fontId="20" fillId="7" borderId="3" xfId="0" applyNumberFormat="1" applyFont="1" applyFill="1" applyBorder="1" applyAlignment="1" applyProtection="1">
      <alignment horizontal="center" vertical="center"/>
    </xf>
    <xf numFmtId="0" fontId="20" fillId="0" borderId="2" xfId="0" applyFont="1" applyFill="1" applyBorder="1" applyAlignment="1" applyProtection="1">
      <alignment horizontal="justify" vertical="center" wrapText="1"/>
    </xf>
    <xf numFmtId="164" fontId="21" fillId="7" borderId="3" xfId="6" applyNumberFormat="1" applyFont="1" applyFill="1" applyBorder="1" applyAlignment="1" applyProtection="1">
      <alignment horizontal="center" vertical="center"/>
    </xf>
    <xf numFmtId="9" fontId="21" fillId="0" borderId="3" xfId="8" applyFont="1" applyFill="1" applyBorder="1" applyAlignment="1" applyProtection="1">
      <alignment horizontal="center" vertical="center"/>
    </xf>
    <xf numFmtId="9" fontId="22" fillId="4" borderId="45" xfId="3" applyFont="1" applyFill="1" applyBorder="1" applyAlignment="1" applyProtection="1">
      <alignment horizontal="center" vertical="center"/>
    </xf>
    <xf numFmtId="9" fontId="39" fillId="0" borderId="3" xfId="6" applyFont="1" applyBorder="1" applyAlignment="1" applyProtection="1">
      <alignment horizontal="center" vertical="center" wrapText="1"/>
      <protection locked="0"/>
    </xf>
    <xf numFmtId="9" fontId="39" fillId="7" borderId="2" xfId="6" applyFont="1" applyFill="1" applyBorder="1" applyAlignment="1" applyProtection="1">
      <alignment horizontal="center" vertical="center"/>
    </xf>
    <xf numFmtId="10" fontId="21" fillId="0" borderId="3" xfId="8" applyNumberFormat="1" applyFont="1" applyFill="1" applyBorder="1" applyAlignment="1" applyProtection="1">
      <alignment horizontal="center" vertical="center"/>
    </xf>
    <xf numFmtId="9" fontId="9" fillId="0" borderId="0" xfId="0" applyNumberFormat="1" applyFont="1" applyAlignment="1" applyProtection="1">
      <alignment vertical="center"/>
    </xf>
    <xf numFmtId="9" fontId="21" fillId="7" borderId="2" xfId="6" applyFont="1" applyFill="1" applyBorder="1" applyAlignment="1" applyProtection="1">
      <alignment horizontal="center" vertical="center"/>
    </xf>
    <xf numFmtId="9" fontId="20" fillId="7" borderId="3" xfId="6" applyFont="1" applyFill="1" applyBorder="1" applyAlignment="1" applyProtection="1">
      <alignment horizontal="center" vertical="center"/>
    </xf>
    <xf numFmtId="9" fontId="21" fillId="0" borderId="3" xfId="6" applyFont="1" applyFill="1" applyBorder="1" applyAlignment="1" applyProtection="1">
      <alignment horizontal="center" vertical="center"/>
    </xf>
    <xf numFmtId="164" fontId="21" fillId="0" borderId="3" xfId="6" applyNumberFormat="1" applyFont="1" applyFill="1" applyBorder="1" applyAlignment="1" applyProtection="1">
      <alignment horizontal="center" vertical="center"/>
    </xf>
    <xf numFmtId="164" fontId="39" fillId="7" borderId="3" xfId="8" applyNumberFormat="1" applyFont="1" applyFill="1" applyBorder="1" applyAlignment="1" applyProtection="1">
      <alignment horizontal="center" vertical="center"/>
    </xf>
    <xf numFmtId="164" fontId="21" fillId="5" borderId="3" xfId="8" applyNumberFormat="1" applyFont="1" applyFill="1" applyBorder="1" applyAlignment="1" applyProtection="1">
      <alignment horizontal="center" vertical="center"/>
    </xf>
    <xf numFmtId="4" fontId="21" fillId="7" borderId="3" xfId="8" applyNumberFormat="1" applyFont="1" applyFill="1" applyBorder="1" applyAlignment="1" applyProtection="1">
      <alignment horizontal="center" vertical="center"/>
    </xf>
    <xf numFmtId="164" fontId="39" fillId="7" borderId="3" xfId="6" applyNumberFormat="1" applyFont="1" applyFill="1" applyBorder="1" applyAlignment="1" applyProtection="1">
      <alignment horizontal="center" vertical="center"/>
    </xf>
    <xf numFmtId="10" fontId="39" fillId="7" borderId="3" xfId="6" applyNumberFormat="1" applyFont="1" applyFill="1" applyBorder="1" applyAlignment="1" applyProtection="1">
      <alignment horizontal="center" vertical="center"/>
    </xf>
    <xf numFmtId="164" fontId="20" fillId="7" borderId="3" xfId="6" applyNumberFormat="1" applyFont="1" applyFill="1" applyBorder="1" applyAlignment="1" applyProtection="1">
      <alignment horizontal="center" vertical="center"/>
    </xf>
    <xf numFmtId="164" fontId="39" fillId="0" borderId="2" xfId="6" applyNumberFormat="1" applyFont="1" applyFill="1" applyBorder="1" applyAlignment="1" applyProtection="1">
      <alignment horizontal="center" vertical="center" wrapText="1"/>
    </xf>
    <xf numFmtId="164" fontId="39" fillId="0" borderId="2" xfId="6" applyNumberFormat="1" applyFont="1" applyBorder="1" applyAlignment="1" applyProtection="1">
      <alignment horizontal="center" vertical="center" wrapText="1"/>
    </xf>
    <xf numFmtId="10" fontId="21" fillId="7" borderId="3" xfId="6" applyNumberFormat="1" applyFont="1" applyFill="1" applyBorder="1" applyAlignment="1" applyProtection="1">
      <alignment horizontal="center" vertical="center"/>
    </xf>
    <xf numFmtId="164" fontId="44" fillId="7" borderId="3" xfId="6" applyNumberFormat="1" applyFont="1" applyFill="1" applyBorder="1" applyAlignment="1" applyProtection="1">
      <alignment horizontal="center" vertical="center"/>
    </xf>
    <xf numFmtId="9" fontId="20" fillId="0" borderId="3" xfId="8" applyFont="1" applyBorder="1" applyAlignment="1" applyProtection="1">
      <alignment horizontal="center" vertical="center" wrapText="1"/>
    </xf>
    <xf numFmtId="0" fontId="11" fillId="7" borderId="2" xfId="1" applyFont="1" applyFill="1" applyBorder="1" applyAlignment="1" applyProtection="1">
      <alignment horizontal="center" vertical="center" wrapText="1"/>
    </xf>
    <xf numFmtId="0" fontId="20" fillId="0" borderId="3" xfId="0" applyFont="1" applyBorder="1" applyAlignment="1" applyProtection="1">
      <alignment horizontal="center" vertical="center" wrapText="1"/>
    </xf>
    <xf numFmtId="9" fontId="22" fillId="4" borderId="9" xfId="3" applyFont="1" applyFill="1" applyBorder="1" applyAlignment="1" applyProtection="1">
      <alignment horizontal="center" vertical="center"/>
    </xf>
    <xf numFmtId="0" fontId="20" fillId="0" borderId="1" xfId="1" applyFont="1" applyAlignment="1" applyProtection="1">
      <alignment vertical="center"/>
    </xf>
    <xf numFmtId="0" fontId="29" fillId="15" borderId="2" xfId="23" applyFont="1" applyFill="1" applyBorder="1" applyAlignment="1">
      <alignment horizontal="center" vertical="center"/>
    </xf>
    <xf numFmtId="0" fontId="14" fillId="12" borderId="7" xfId="1" applyFont="1" applyFill="1" applyBorder="1" applyAlignment="1" applyProtection="1">
      <alignment vertical="center"/>
    </xf>
    <xf numFmtId="0" fontId="14" fillId="12" borderId="11" xfId="1" applyFont="1" applyFill="1" applyBorder="1" applyAlignment="1" applyProtection="1">
      <alignment vertical="center"/>
    </xf>
    <xf numFmtId="0" fontId="14" fillId="12" borderId="6" xfId="1" applyFont="1" applyFill="1" applyBorder="1" applyAlignment="1" applyProtection="1">
      <alignment vertical="center"/>
    </xf>
    <xf numFmtId="0" fontId="54" fillId="0" borderId="0" xfId="0" applyFont="1" applyFill="1" applyAlignment="1" applyProtection="1">
      <alignment horizontal="center" vertical="center"/>
    </xf>
    <xf numFmtId="0" fontId="8" fillId="0" borderId="1" xfId="23" applyAlignment="1">
      <alignment horizontal="center" vertical="center"/>
    </xf>
    <xf numFmtId="0" fontId="30" fillId="0" borderId="1" xfId="23" applyFont="1" applyAlignment="1">
      <alignment horizontal="center" vertical="center"/>
    </xf>
    <xf numFmtId="0" fontId="8" fillId="0" borderId="1" xfId="23"/>
    <xf numFmtId="164" fontId="39" fillId="5" borderId="3" xfId="8" applyNumberFormat="1" applyFont="1" applyFill="1" applyBorder="1" applyAlignment="1" applyProtection="1">
      <alignment horizontal="center" vertical="center"/>
    </xf>
    <xf numFmtId="9" fontId="39" fillId="5" borderId="3" xfId="8" applyFont="1" applyFill="1" applyBorder="1" applyAlignment="1" applyProtection="1">
      <alignment horizontal="center" vertical="center"/>
    </xf>
    <xf numFmtId="164" fontId="39" fillId="5" borderId="3" xfId="6" applyNumberFormat="1" applyFont="1" applyFill="1" applyBorder="1" applyAlignment="1" applyProtection="1">
      <alignment horizontal="center" vertical="center"/>
    </xf>
    <xf numFmtId="9" fontId="56" fillId="5" borderId="3" xfId="6" applyNumberFormat="1" applyFont="1" applyFill="1" applyBorder="1" applyAlignment="1" applyProtection="1">
      <alignment horizontal="center" vertical="center"/>
    </xf>
    <xf numFmtId="9" fontId="39" fillId="5" borderId="3" xfId="6" applyNumberFormat="1" applyFont="1" applyFill="1" applyBorder="1" applyAlignment="1" applyProtection="1">
      <alignment horizontal="center" vertical="center"/>
    </xf>
    <xf numFmtId="164" fontId="21" fillId="0" borderId="3" xfId="8" applyNumberFormat="1" applyFont="1" applyFill="1" applyBorder="1" applyAlignment="1" applyProtection="1">
      <alignment horizontal="center" vertical="center"/>
    </xf>
    <xf numFmtId="9" fontId="9" fillId="0" borderId="0" xfId="0" applyNumberFormat="1" applyFont="1" applyAlignment="1">
      <alignment vertical="center"/>
    </xf>
    <xf numFmtId="9" fontId="21" fillId="0" borderId="3" xfId="8" applyNumberFormat="1" applyFont="1" applyFill="1" applyBorder="1" applyAlignment="1" applyProtection="1">
      <alignment horizontal="center" vertical="center"/>
    </xf>
    <xf numFmtId="164" fontId="42" fillId="5" borderId="3" xfId="8" applyNumberFormat="1" applyFont="1" applyFill="1" applyBorder="1" applyAlignment="1" applyProtection="1">
      <alignment horizontal="center" vertical="center"/>
    </xf>
    <xf numFmtId="164" fontId="56" fillId="5" borderId="3" xfId="8" applyNumberFormat="1" applyFont="1" applyFill="1" applyBorder="1" applyAlignment="1" applyProtection="1">
      <alignment horizontal="center" vertical="center"/>
    </xf>
    <xf numFmtId="10" fontId="42" fillId="5" borderId="3" xfId="8" applyNumberFormat="1" applyFont="1" applyFill="1" applyBorder="1" applyAlignment="1" applyProtection="1">
      <alignment horizontal="center" vertical="center"/>
    </xf>
    <xf numFmtId="10" fontId="56" fillId="5" borderId="3" xfId="8" applyNumberFormat="1" applyFont="1" applyFill="1" applyBorder="1" applyAlignment="1" applyProtection="1">
      <alignment horizontal="center" vertical="center"/>
    </xf>
    <xf numFmtId="3" fontId="20" fillId="0" borderId="2" xfId="20" applyNumberFormat="1" applyFont="1" applyBorder="1" applyAlignment="1" applyProtection="1">
      <alignment horizontal="center" vertical="center" wrapText="1"/>
    </xf>
    <xf numFmtId="164" fontId="20" fillId="0" borderId="2" xfId="6" applyNumberFormat="1" applyFont="1" applyBorder="1" applyAlignment="1" applyProtection="1">
      <alignment horizontal="center" vertical="center" wrapText="1"/>
    </xf>
    <xf numFmtId="3" fontId="20" fillId="0" borderId="31" xfId="20" applyNumberFormat="1" applyFont="1" applyBorder="1" applyAlignment="1" applyProtection="1">
      <alignment horizontal="center" vertical="center" wrapText="1"/>
    </xf>
    <xf numFmtId="164" fontId="20" fillId="0" borderId="31" xfId="6" applyNumberFormat="1" applyFont="1" applyBorder="1" applyAlignment="1" applyProtection="1">
      <alignment horizontal="center" vertical="center" wrapText="1"/>
    </xf>
    <xf numFmtId="3" fontId="20" fillId="18" borderId="2" xfId="20" applyNumberFormat="1" applyFont="1" applyFill="1" applyBorder="1" applyAlignment="1" applyProtection="1">
      <alignment horizontal="center" vertical="center" wrapText="1"/>
    </xf>
    <xf numFmtId="164" fontId="9" fillId="0" borderId="0" xfId="6" applyNumberFormat="1" applyFont="1" applyAlignment="1" applyProtection="1">
      <alignment vertical="center"/>
    </xf>
    <xf numFmtId="164" fontId="32" fillId="0" borderId="0" xfId="6" applyNumberFormat="1" applyFont="1" applyAlignment="1" applyProtection="1">
      <alignment horizontal="center" vertical="center"/>
    </xf>
    <xf numFmtId="0" fontId="61" fillId="0" borderId="0" xfId="0" applyFont="1" applyAlignment="1" applyProtection="1">
      <alignment horizontal="center" vertical="center"/>
    </xf>
    <xf numFmtId="164" fontId="61" fillId="0" borderId="0" xfId="0" applyNumberFormat="1" applyFont="1" applyAlignment="1" applyProtection="1">
      <alignment horizontal="center" vertical="center"/>
    </xf>
    <xf numFmtId="164" fontId="20" fillId="0" borderId="31" xfId="20" applyNumberFormat="1" applyFont="1" applyBorder="1" applyAlignment="1" applyProtection="1">
      <alignment horizontal="center" vertical="center" wrapText="1"/>
    </xf>
    <xf numFmtId="0" fontId="9" fillId="0" borderId="1" xfId="0" applyFont="1" applyBorder="1" applyAlignment="1" applyProtection="1">
      <alignment horizontal="center" vertical="center"/>
    </xf>
    <xf numFmtId="0" fontId="20" fillId="18" borderId="31" xfId="20" applyFont="1" applyFill="1" applyBorder="1" applyAlignment="1" applyProtection="1">
      <alignment horizontal="center" vertical="center" wrapText="1"/>
    </xf>
    <xf numFmtId="0" fontId="20" fillId="0" borderId="31" xfId="34" applyFont="1" applyBorder="1" applyAlignment="1" applyProtection="1">
      <alignment horizontal="center" vertical="center" wrapText="1"/>
    </xf>
    <xf numFmtId="0" fontId="20" fillId="18" borderId="31" xfId="0" applyFont="1" applyFill="1" applyBorder="1" applyAlignment="1" applyProtection="1">
      <alignment horizontal="center" vertical="center" wrapText="1"/>
    </xf>
    <xf numFmtId="164" fontId="20" fillId="18" borderId="31" xfId="6" applyNumberFormat="1" applyFont="1" applyFill="1" applyBorder="1" applyAlignment="1" applyProtection="1">
      <alignment horizontal="center" vertical="center" wrapText="1"/>
    </xf>
    <xf numFmtId="164" fontId="20" fillId="18" borderId="31" xfId="20" applyNumberFormat="1" applyFont="1" applyFill="1" applyBorder="1" applyAlignment="1" applyProtection="1">
      <alignment horizontal="center" vertical="center" wrapText="1"/>
    </xf>
    <xf numFmtId="166" fontId="20" fillId="0" borderId="2" xfId="20" applyNumberFormat="1" applyFont="1" applyBorder="1" applyAlignment="1" applyProtection="1">
      <alignment horizontal="center" vertical="center" wrapText="1"/>
    </xf>
    <xf numFmtId="4" fontId="20" fillId="0" borderId="2" xfId="20" applyNumberFormat="1" applyFont="1" applyBorder="1" applyAlignment="1" applyProtection="1">
      <alignment horizontal="center" vertical="center" wrapText="1"/>
    </xf>
    <xf numFmtId="166" fontId="20" fillId="0" borderId="31" xfId="20" applyNumberFormat="1" applyFont="1" applyBorder="1" applyAlignment="1" applyProtection="1">
      <alignment horizontal="center" vertical="center" wrapText="1"/>
    </xf>
    <xf numFmtId="4" fontId="20" fillId="0" borderId="31" xfId="20" applyNumberFormat="1" applyFont="1" applyBorder="1" applyAlignment="1" applyProtection="1">
      <alignment horizontal="center" vertical="center" wrapText="1"/>
    </xf>
    <xf numFmtId="164" fontId="20" fillId="18" borderId="2" xfId="6" applyNumberFormat="1" applyFont="1" applyFill="1" applyBorder="1" applyAlignment="1" applyProtection="1">
      <alignment horizontal="center" vertical="center" wrapText="1"/>
    </xf>
    <xf numFmtId="164" fontId="20" fillId="18" borderId="6" xfId="6" applyNumberFormat="1" applyFont="1" applyFill="1" applyBorder="1" applyAlignment="1" applyProtection="1">
      <alignment horizontal="center" vertical="center" wrapText="1"/>
    </xf>
    <xf numFmtId="164" fontId="55" fillId="5" borderId="3" xfId="8" applyNumberFormat="1" applyFont="1" applyFill="1" applyBorder="1" applyAlignment="1" applyProtection="1">
      <alignment horizontal="center" vertical="center"/>
    </xf>
    <xf numFmtId="164" fontId="53" fillId="5" borderId="3" xfId="8" applyNumberFormat="1" applyFont="1" applyFill="1" applyBorder="1" applyAlignment="1" applyProtection="1">
      <alignment horizontal="center" vertical="center"/>
    </xf>
    <xf numFmtId="9" fontId="20" fillId="0" borderId="2" xfId="20" applyNumberFormat="1" applyFont="1" applyBorder="1" applyAlignment="1" applyProtection="1">
      <alignment horizontal="center" vertical="center" wrapText="1"/>
    </xf>
    <xf numFmtId="9" fontId="20" fillId="0" borderId="31" xfId="6" applyFont="1" applyBorder="1" applyAlignment="1" applyProtection="1">
      <alignment horizontal="center" vertical="center" wrapText="1"/>
    </xf>
    <xf numFmtId="10" fontId="39" fillId="5" borderId="3" xfId="8" applyNumberFormat="1" applyFont="1" applyFill="1" applyBorder="1" applyAlignment="1" applyProtection="1">
      <alignment horizontal="center" vertical="center"/>
    </xf>
    <xf numFmtId="9" fontId="39" fillId="5" borderId="3" xfId="8" applyNumberFormat="1" applyFont="1" applyFill="1" applyBorder="1" applyAlignment="1" applyProtection="1">
      <alignment horizontal="center" vertical="center"/>
    </xf>
    <xf numFmtId="164" fontId="20" fillId="18" borderId="2" xfId="34" applyNumberFormat="1" applyFont="1" applyFill="1" applyBorder="1" applyAlignment="1" applyProtection="1">
      <alignment horizontal="center" vertical="center" wrapText="1"/>
    </xf>
    <xf numFmtId="164" fontId="20" fillId="18" borderId="3" xfId="6" applyNumberFormat="1" applyFont="1" applyFill="1" applyBorder="1" applyAlignment="1" applyProtection="1">
      <alignment horizontal="center" vertical="center" wrapText="1"/>
    </xf>
    <xf numFmtId="10" fontId="20" fillId="18" borderId="3" xfId="6" applyNumberFormat="1" applyFont="1" applyFill="1" applyBorder="1" applyAlignment="1" applyProtection="1">
      <alignment horizontal="center" vertical="center" wrapText="1"/>
    </xf>
    <xf numFmtId="10" fontId="32" fillId="0" borderId="0" xfId="6" applyNumberFormat="1" applyFont="1" applyAlignment="1" applyProtection="1">
      <alignment horizontal="center" vertical="center"/>
    </xf>
    <xf numFmtId="164" fontId="20" fillId="3" borderId="31" xfId="6" applyNumberFormat="1" applyFont="1" applyFill="1" applyBorder="1" applyAlignment="1" applyProtection="1">
      <alignment horizontal="center" vertical="center" wrapText="1"/>
    </xf>
    <xf numFmtId="164" fontId="20" fillId="3" borderId="6" xfId="6" applyNumberFormat="1" applyFont="1" applyFill="1" applyBorder="1" applyAlignment="1" applyProtection="1">
      <alignment horizontal="center" vertical="center" wrapText="1"/>
    </xf>
    <xf numFmtId="10" fontId="20" fillId="3" borderId="3" xfId="6" applyNumberFormat="1" applyFont="1" applyFill="1" applyBorder="1" applyAlignment="1" applyProtection="1">
      <alignment horizontal="center" vertical="center" wrapText="1"/>
    </xf>
    <xf numFmtId="164" fontId="20" fillId="3" borderId="3" xfId="6" applyNumberFormat="1" applyFont="1" applyFill="1" applyBorder="1" applyAlignment="1" applyProtection="1">
      <alignment horizontal="center" vertical="center" wrapText="1"/>
    </xf>
    <xf numFmtId="9" fontId="20" fillId="0" borderId="2" xfId="34" applyNumberFormat="1" applyFont="1" applyBorder="1" applyAlignment="1" applyProtection="1">
      <alignment horizontal="center" vertical="center" wrapText="1"/>
    </xf>
    <xf numFmtId="4" fontId="45" fillId="18" borderId="2" xfId="0" applyNumberFormat="1" applyFont="1" applyFill="1" applyBorder="1" applyAlignment="1" applyProtection="1">
      <alignment horizontal="center" vertical="center" wrapText="1"/>
    </xf>
    <xf numFmtId="3" fontId="45" fillId="18" borderId="2" xfId="0" applyNumberFormat="1" applyFont="1" applyFill="1" applyBorder="1" applyAlignment="1" applyProtection="1">
      <alignment horizontal="center" vertical="center" wrapText="1"/>
    </xf>
    <xf numFmtId="166" fontId="45" fillId="18" borderId="2" xfId="0" applyNumberFormat="1" applyFont="1" applyFill="1" applyBorder="1" applyAlignment="1" applyProtection="1">
      <alignment horizontal="center" vertical="center" wrapText="1"/>
    </xf>
    <xf numFmtId="3" fontId="20" fillId="18" borderId="2" xfId="34" applyNumberFormat="1" applyFont="1" applyFill="1" applyBorder="1" applyAlignment="1" applyProtection="1">
      <alignment horizontal="center" vertical="center" wrapText="1"/>
    </xf>
    <xf numFmtId="164" fontId="21" fillId="18" borderId="31" xfId="34" applyNumberFormat="1" applyFont="1" applyFill="1" applyBorder="1" applyAlignment="1" applyProtection="1">
      <alignment horizontal="center" vertical="center" wrapText="1"/>
    </xf>
    <xf numFmtId="3" fontId="20" fillId="0" borderId="2" xfId="34" applyNumberFormat="1" applyFont="1" applyBorder="1" applyAlignment="1" applyProtection="1">
      <alignment horizontal="center" vertical="center" wrapText="1"/>
    </xf>
    <xf numFmtId="10" fontId="20" fillId="0" borderId="31" xfId="6" applyNumberFormat="1" applyFont="1" applyBorder="1" applyAlignment="1" applyProtection="1">
      <alignment horizontal="center" vertical="center" wrapText="1"/>
    </xf>
    <xf numFmtId="10" fontId="21" fillId="0" borderId="31" xfId="34" applyNumberFormat="1" applyFont="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9" fontId="20" fillId="3" borderId="2" xfId="20" applyNumberFormat="1" applyFont="1" applyFill="1" applyBorder="1" applyAlignment="1" applyProtection="1">
      <alignment horizontal="center" vertical="center" wrapText="1"/>
    </xf>
    <xf numFmtId="164" fontId="20" fillId="3" borderId="2" xfId="20" applyNumberFormat="1" applyFont="1" applyFill="1" applyBorder="1" applyAlignment="1" applyProtection="1">
      <alignment horizontal="center" vertical="center" wrapText="1"/>
    </xf>
    <xf numFmtId="164" fontId="20" fillId="3" borderId="31" xfId="20" applyNumberFormat="1" applyFont="1" applyFill="1" applyBorder="1" applyAlignment="1" applyProtection="1">
      <alignment horizontal="center" vertical="center" wrapText="1"/>
    </xf>
    <xf numFmtId="1" fontId="39" fillId="3" borderId="3" xfId="5" applyNumberFormat="1" applyFont="1" applyFill="1" applyBorder="1" applyAlignment="1" applyProtection="1">
      <alignment horizontal="center" vertical="center" wrapText="1"/>
    </xf>
    <xf numFmtId="4" fontId="20" fillId="3" borderId="31" xfId="20" applyNumberFormat="1" applyFont="1" applyFill="1" applyBorder="1" applyAlignment="1" applyProtection="1">
      <alignment horizontal="center" vertical="center" wrapText="1"/>
    </xf>
    <xf numFmtId="0" fontId="62" fillId="0" borderId="53" xfId="0" applyFont="1" applyBorder="1" applyAlignment="1" applyProtection="1">
      <alignment horizontal="left" vertical="center"/>
    </xf>
    <xf numFmtId="0" fontId="62" fillId="0" borderId="52" xfId="0" applyFont="1" applyBorder="1" applyAlignment="1" applyProtection="1">
      <alignment horizontal="center" vertical="center"/>
    </xf>
    <xf numFmtId="0" fontId="62" fillId="0" borderId="51" xfId="0" applyFont="1" applyBorder="1" applyAlignment="1" applyProtection="1">
      <alignment horizontal="right" vertical="center"/>
    </xf>
    <xf numFmtId="0" fontId="62" fillId="0" borderId="1" xfId="0" applyFont="1" applyBorder="1" applyAlignment="1" applyProtection="1">
      <alignment vertical="center"/>
    </xf>
    <xf numFmtId="0" fontId="35" fillId="0" borderId="3" xfId="0" applyFont="1" applyBorder="1" applyAlignment="1">
      <alignment vertical="center"/>
    </xf>
    <xf numFmtId="0" fontId="35" fillId="0" borderId="3" xfId="0" applyFont="1" applyBorder="1" applyAlignment="1">
      <alignment vertical="center" wrapText="1"/>
    </xf>
    <xf numFmtId="0" fontId="35" fillId="0" borderId="5" xfId="0" applyFont="1" applyBorder="1" applyAlignment="1">
      <alignment horizontal="center" vertical="center"/>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0" fillId="0" borderId="2" xfId="0" applyBorder="1" applyAlignment="1">
      <alignment horizontal="center" vertical="center"/>
    </xf>
    <xf numFmtId="0" fontId="8" fillId="7" borderId="2" xfId="0" applyFont="1" applyFill="1" applyBorder="1" applyAlignment="1">
      <alignment horizontal="justify" vertical="center"/>
    </xf>
    <xf numFmtId="0" fontId="0" fillId="0" borderId="2" xfId="0" applyBorder="1" applyAlignment="1">
      <alignment horizontal="justify" vertical="center" wrapText="1"/>
    </xf>
    <xf numFmtId="9" fontId="40"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1" fontId="40" fillId="24" borderId="2" xfId="0" applyNumberFormat="1" applyFont="1" applyFill="1" applyBorder="1" applyAlignment="1" applyProtection="1">
      <alignment horizontal="center" vertical="center"/>
      <protection hidden="1"/>
    </xf>
    <xf numFmtId="1" fontId="40" fillId="0" borderId="2" xfId="0" applyNumberFormat="1" applyFont="1" applyBorder="1" applyAlignment="1">
      <alignment horizontal="center" vertical="center"/>
    </xf>
    <xf numFmtId="0" fontId="8" fillId="25" borderId="2" xfId="0" applyFont="1" applyFill="1" applyBorder="1" applyAlignment="1">
      <alignment horizontal="justify" vertical="center"/>
    </xf>
    <xf numFmtId="0" fontId="8" fillId="0" borderId="2" xfId="0" applyFont="1" applyBorder="1" applyAlignment="1">
      <alignment horizontal="center" vertical="center"/>
    </xf>
    <xf numFmtId="0" fontId="0" fillId="26" borderId="2" xfId="0" applyFill="1" applyBorder="1" applyAlignment="1">
      <alignment horizontal="justify" vertical="center"/>
    </xf>
    <xf numFmtId="0" fontId="0" fillId="7" borderId="2" xfId="0" applyFill="1" applyBorder="1" applyAlignment="1">
      <alignment horizontal="justify" vertical="center"/>
    </xf>
    <xf numFmtId="0" fontId="0" fillId="25"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8"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8" fillId="0" borderId="2" xfId="0" applyFont="1" applyBorder="1" applyAlignment="1">
      <alignment horizontal="center" vertical="center" wrapText="1"/>
    </xf>
    <xf numFmtId="9" fontId="0" fillId="0" borderId="2" xfId="6" applyFont="1" applyBorder="1" applyAlignment="1">
      <alignment horizontal="center" vertical="center"/>
    </xf>
    <xf numFmtId="0" fontId="66" fillId="0" borderId="2" xfId="0" applyFont="1" applyBorder="1" applyAlignment="1">
      <alignment horizontal="justify" vertical="center"/>
    </xf>
    <xf numFmtId="3" fontId="8" fillId="0" borderId="2" xfId="0" applyNumberFormat="1" applyFont="1" applyBorder="1" applyAlignment="1" applyProtection="1">
      <alignment horizontal="center" vertical="center" wrapText="1"/>
    </xf>
    <xf numFmtId="1" fontId="0" fillId="0" borderId="2" xfId="0" applyNumberFormat="1" applyBorder="1" applyAlignment="1">
      <alignment horizontal="center" vertical="center"/>
    </xf>
    <xf numFmtId="0" fontId="66" fillId="0" borderId="2" xfId="0" applyFont="1" applyBorder="1" applyAlignment="1">
      <alignment horizontal="justify" vertical="center" wrapText="1"/>
    </xf>
    <xf numFmtId="0" fontId="0" fillId="3" borderId="2" xfId="0" applyFill="1" applyBorder="1" applyAlignment="1">
      <alignment horizontal="justify" vertical="center"/>
    </xf>
    <xf numFmtId="0" fontId="66" fillId="0" borderId="0" xfId="0" applyFont="1" applyAlignment="1">
      <alignment horizontal="justify" vertical="center"/>
    </xf>
    <xf numFmtId="0" fontId="8" fillId="0" borderId="1" xfId="9"/>
    <xf numFmtId="0" fontId="20" fillId="0" borderId="2" xfId="34" applyFont="1" applyBorder="1" applyAlignment="1" applyProtection="1">
      <alignment horizontal="left" vertical="center" wrapText="1"/>
    </xf>
    <xf numFmtId="0" fontId="23" fillId="0" borderId="6" xfId="34" applyFont="1" applyBorder="1" applyAlignment="1" applyProtection="1">
      <alignment horizontal="left" vertical="center" wrapText="1"/>
    </xf>
    <xf numFmtId="0" fontId="50" fillId="0" borderId="1" xfId="52" applyFont="1" applyAlignment="1" applyProtection="1">
      <alignment horizontal="center" vertical="center" wrapText="1"/>
      <protection hidden="1"/>
    </xf>
    <xf numFmtId="0" fontId="50" fillId="0" borderId="1" xfId="52" applyFont="1" applyFill="1" applyAlignment="1" applyProtection="1">
      <alignment horizontal="center" vertical="center" wrapText="1"/>
      <protection hidden="1"/>
    </xf>
    <xf numFmtId="0" fontId="67" fillId="0" borderId="1" xfId="52" applyFont="1" applyProtection="1">
      <protection hidden="1"/>
    </xf>
    <xf numFmtId="49" fontId="67" fillId="0" borderId="1" xfId="52" applyNumberFormat="1" applyFont="1" applyProtection="1">
      <protection hidden="1"/>
    </xf>
    <xf numFmtId="0" fontId="67" fillId="0" borderId="1" xfId="52" applyFont="1" applyAlignment="1" applyProtection="1">
      <alignment horizontal="center" vertical="center"/>
      <protection hidden="1"/>
    </xf>
    <xf numFmtId="0" fontId="67" fillId="0" borderId="1" xfId="52" applyFont="1" applyFill="1" applyAlignment="1" applyProtection="1">
      <alignment horizontal="left" vertical="center"/>
      <protection hidden="1"/>
    </xf>
    <xf numFmtId="0" fontId="4" fillId="0" borderId="1" xfId="52" applyProtection="1">
      <protection hidden="1"/>
    </xf>
    <xf numFmtId="0" fontId="68" fillId="0" borderId="1" xfId="9" applyFont="1" applyProtection="1">
      <protection hidden="1"/>
    </xf>
    <xf numFmtId="0" fontId="50" fillId="0" borderId="1" xfId="52" applyFont="1" applyProtection="1">
      <protection hidden="1"/>
    </xf>
    <xf numFmtId="0" fontId="67" fillId="0" borderId="1" xfId="52" applyFont="1" applyFill="1" applyBorder="1" applyProtection="1">
      <protection hidden="1"/>
    </xf>
    <xf numFmtId="0" fontId="67" fillId="0" borderId="1" xfId="52" applyFont="1" applyFill="1" applyBorder="1" applyAlignment="1" applyProtection="1">
      <alignment horizontal="center" vertical="center"/>
      <protection hidden="1"/>
    </xf>
    <xf numFmtId="0" fontId="24" fillId="0" borderId="0" xfId="0" applyFont="1" applyProtection="1">
      <protection hidden="1"/>
    </xf>
    <xf numFmtId="0" fontId="24" fillId="0" borderId="1" xfId="0" applyFont="1" applyBorder="1" applyAlignment="1" applyProtection="1">
      <alignment horizontal="center" vertical="center"/>
      <protection hidden="1"/>
    </xf>
    <xf numFmtId="0" fontId="24" fillId="0" borderId="1" xfId="0" applyFont="1" applyBorder="1" applyProtection="1">
      <protection hidden="1"/>
    </xf>
    <xf numFmtId="0" fontId="24" fillId="0" borderId="0" xfId="0" applyFont="1" applyAlignment="1" applyProtection="1">
      <alignment horizontal="justify" vertical="center"/>
      <protection hidden="1"/>
    </xf>
    <xf numFmtId="0" fontId="11" fillId="0" borderId="1" xfId="0" applyFont="1" applyBorder="1" applyAlignment="1" applyProtection="1">
      <alignment horizontal="justify" vertical="center"/>
      <protection hidden="1"/>
    </xf>
    <xf numFmtId="0" fontId="43" fillId="0" borderId="1" xfId="0" applyFont="1" applyBorder="1" applyAlignment="1" applyProtection="1">
      <alignment horizontal="justify" vertical="center"/>
      <protection hidden="1"/>
    </xf>
    <xf numFmtId="0" fontId="69" fillId="0" borderId="0" xfId="0" applyFont="1" applyProtection="1">
      <protection hidden="1"/>
    </xf>
    <xf numFmtId="0" fontId="24" fillId="0" borderId="0" xfId="0" applyFont="1" applyAlignment="1" applyProtection="1">
      <alignment horizontal="center" vertical="center"/>
      <protection hidden="1"/>
    </xf>
    <xf numFmtId="0" fontId="24" fillId="0" borderId="58" xfId="0" applyFont="1" applyBorder="1" applyProtection="1">
      <protection hidden="1"/>
    </xf>
    <xf numFmtId="0" fontId="24" fillId="0" borderId="5" xfId="0" applyFont="1" applyBorder="1" applyAlignment="1" applyProtection="1">
      <alignment horizontal="center" vertical="center"/>
      <protection hidden="1"/>
    </xf>
    <xf numFmtId="164" fontId="24" fillId="0" borderId="2" xfId="0" applyNumberFormat="1" applyFont="1" applyBorder="1" applyAlignment="1" applyProtection="1">
      <alignment horizontal="center" vertical="center" wrapText="1"/>
      <protection hidden="1"/>
    </xf>
    <xf numFmtId="164" fontId="24" fillId="0" borderId="1" xfId="0" applyNumberFormat="1" applyFont="1" applyBorder="1" applyAlignment="1" applyProtection="1">
      <alignment horizontal="center" vertical="center" wrapText="1"/>
      <protection hidden="1"/>
    </xf>
    <xf numFmtId="0" fontId="24" fillId="0" borderId="40" xfId="0" applyFont="1" applyBorder="1" applyProtection="1">
      <protection hidden="1"/>
    </xf>
    <xf numFmtId="0" fontId="24" fillId="0" borderId="59" xfId="0" applyFont="1" applyBorder="1" applyProtection="1">
      <protection hidden="1"/>
    </xf>
    <xf numFmtId="164" fontId="25" fillId="0" borderId="1" xfId="0" applyNumberFormat="1" applyFont="1" applyBorder="1" applyAlignment="1" applyProtection="1">
      <alignment horizontal="center" vertical="center" wrapText="1"/>
      <protection hidden="1"/>
    </xf>
    <xf numFmtId="0" fontId="20" fillId="0" borderId="0" xfId="0" applyFont="1" applyProtection="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justify" vertical="center"/>
      <protection hidden="1"/>
    </xf>
    <xf numFmtId="0" fontId="11" fillId="28" borderId="0" xfId="0" applyFont="1" applyFill="1" applyProtection="1">
      <protection hidden="1"/>
    </xf>
    <xf numFmtId="3" fontId="24" fillId="0" borderId="2" xfId="0" applyNumberFormat="1" applyFont="1" applyBorder="1" applyAlignment="1" applyProtection="1">
      <alignment horizontal="center" vertical="center"/>
      <protection hidden="1"/>
    </xf>
    <xf numFmtId="0" fontId="24" fillId="0" borderId="2" xfId="0" applyFont="1" applyBorder="1" applyAlignment="1" applyProtection="1">
      <alignment horizontal="justify" vertical="center" wrapText="1"/>
      <protection hidden="1"/>
    </xf>
    <xf numFmtId="0" fontId="24" fillId="0" borderId="2" xfId="0" applyFont="1" applyBorder="1" applyAlignment="1" applyProtection="1">
      <alignment horizontal="center" vertical="center" wrapText="1"/>
      <protection hidden="1"/>
    </xf>
    <xf numFmtId="166" fontId="24" fillId="0" borderId="2" xfId="0" applyNumberFormat="1" applyFont="1" applyBorder="1" applyAlignment="1" applyProtection="1">
      <alignment horizontal="center" vertical="center"/>
      <protection hidden="1"/>
    </xf>
    <xf numFmtId="164" fontId="24" fillId="0" borderId="2" xfId="8" applyNumberFormat="1" applyFont="1" applyFill="1" applyBorder="1" applyAlignment="1" applyProtection="1">
      <alignment horizontal="center" vertical="center" wrapText="1"/>
      <protection hidden="1"/>
    </xf>
    <xf numFmtId="164" fontId="24" fillId="0" borderId="2" xfId="8" applyNumberFormat="1" applyFont="1" applyFill="1" applyBorder="1" applyAlignment="1" applyProtection="1">
      <alignment horizontal="center" vertical="center"/>
      <protection hidden="1"/>
    </xf>
    <xf numFmtId="164" fontId="25" fillId="0" borderId="2" xfId="0" applyNumberFormat="1" applyFont="1" applyBorder="1" applyAlignment="1" applyProtection="1">
      <alignment horizontal="center" vertical="center" wrapText="1"/>
      <protection hidden="1"/>
    </xf>
    <xf numFmtId="0" fontId="25" fillId="28" borderId="0" xfId="0" applyFont="1" applyFill="1" applyProtection="1">
      <protection hidden="1"/>
    </xf>
    <xf numFmtId="9" fontId="24" fillId="0" borderId="2" xfId="0" applyNumberFormat="1" applyFont="1" applyBorder="1" applyAlignment="1" applyProtection="1">
      <alignment horizontal="center" vertical="center" wrapText="1"/>
      <protection hidden="1"/>
    </xf>
    <xf numFmtId="9" fontId="40" fillId="0" borderId="2" xfId="0" applyNumberFormat="1" applyFont="1" applyBorder="1" applyAlignment="1" applyProtection="1">
      <alignment horizontal="center" vertical="center" wrapText="1"/>
      <protection hidden="1"/>
    </xf>
    <xf numFmtId="0" fontId="11" fillId="0" borderId="0" xfId="0" applyFont="1" applyProtection="1">
      <protection hidden="1"/>
    </xf>
    <xf numFmtId="164" fontId="24" fillId="3" borderId="2" xfId="0" applyNumberFormat="1" applyFont="1" applyFill="1" applyBorder="1" applyAlignment="1" applyProtection="1">
      <alignment horizontal="center" vertical="center" wrapText="1"/>
      <protection hidden="1"/>
    </xf>
    <xf numFmtId="164" fontId="24" fillId="0" borderId="0" xfId="0" applyNumberFormat="1" applyFont="1" applyProtection="1">
      <protection hidden="1"/>
    </xf>
    <xf numFmtId="9" fontId="25" fillId="0" borderId="1" xfId="0" applyNumberFormat="1" applyFont="1" applyBorder="1" applyAlignment="1" applyProtection="1">
      <alignment horizontal="center" vertical="center" wrapText="1"/>
      <protection hidden="1"/>
    </xf>
    <xf numFmtId="9" fontId="24" fillId="0" borderId="6" xfId="0" applyNumberFormat="1" applyFont="1" applyBorder="1" applyAlignment="1" applyProtection="1">
      <alignment horizontal="center" vertical="center" wrapText="1"/>
      <protection hidden="1"/>
    </xf>
    <xf numFmtId="166" fontId="24" fillId="0" borderId="2" xfId="51" applyNumberFormat="1" applyFont="1" applyFill="1" applyBorder="1" applyAlignment="1" applyProtection="1">
      <alignment horizontal="center" vertical="center"/>
      <protection hidden="1"/>
    </xf>
    <xf numFmtId="166" fontId="24" fillId="0" borderId="0" xfId="0" applyNumberFormat="1" applyFont="1" applyProtection="1">
      <protection hidden="1"/>
    </xf>
    <xf numFmtId="164" fontId="40" fillId="0" borderId="2" xfId="8" applyNumberFormat="1" applyFont="1" applyFill="1" applyBorder="1" applyAlignment="1" applyProtection="1">
      <alignment horizontal="center" vertical="center" wrapText="1"/>
      <protection hidden="1"/>
    </xf>
    <xf numFmtId="9" fontId="24" fillId="0" borderId="2" xfId="8" applyFont="1" applyFill="1" applyBorder="1" applyAlignment="1" applyProtection="1">
      <alignment horizontal="center" vertical="center" wrapText="1"/>
      <protection hidden="1"/>
    </xf>
    <xf numFmtId="164" fontId="40" fillId="0" borderId="2" xfId="0" applyNumberFormat="1" applyFont="1" applyBorder="1" applyAlignment="1" applyProtection="1">
      <alignment horizontal="center" vertical="center" wrapText="1"/>
      <protection hidden="1"/>
    </xf>
    <xf numFmtId="164" fontId="24" fillId="0" borderId="1" xfId="8" applyNumberFormat="1" applyFont="1" applyFill="1" applyProtection="1">
      <protection hidden="1"/>
    </xf>
    <xf numFmtId="9" fontId="24" fillId="0" borderId="1" xfId="8" applyFont="1" applyFill="1" applyProtection="1">
      <protection hidden="1"/>
    </xf>
    <xf numFmtId="43" fontId="24" fillId="0" borderId="0" xfId="5" applyFont="1" applyFill="1" applyProtection="1">
      <protection hidden="1"/>
    </xf>
    <xf numFmtId="10" fontId="25" fillId="0" borderId="2" xfId="0" applyNumberFormat="1" applyFont="1" applyBorder="1" applyAlignment="1" applyProtection="1">
      <alignment horizontal="center" vertical="center" wrapText="1"/>
      <protection hidden="1"/>
    </xf>
    <xf numFmtId="9" fontId="24" fillId="0" borderId="2" xfId="0" applyNumberFormat="1" applyFont="1" applyBorder="1" applyAlignment="1" applyProtection="1">
      <alignment horizontal="justify" vertical="center" wrapText="1"/>
      <protection hidden="1"/>
    </xf>
    <xf numFmtId="0" fontId="25" fillId="0" borderId="1" xfId="0" applyFont="1" applyBorder="1" applyAlignment="1" applyProtection="1">
      <alignment horizontal="center"/>
      <protection hidden="1"/>
    </xf>
    <xf numFmtId="3" fontId="24" fillId="0" borderId="2" xfId="51" applyNumberFormat="1" applyFont="1" applyFill="1" applyBorder="1" applyAlignment="1" applyProtection="1">
      <alignment horizontal="center" vertical="center"/>
      <protection hidden="1"/>
    </xf>
    <xf numFmtId="0" fontId="43" fillId="0" borderId="1" xfId="0" applyFont="1" applyBorder="1" applyAlignment="1" applyProtection="1">
      <protection hidden="1"/>
    </xf>
    <xf numFmtId="0" fontId="69" fillId="0" borderId="0" xfId="0" applyFont="1" applyAlignment="1" applyProtection="1">
      <alignment horizontal="justify" vertical="center"/>
      <protection hidden="1"/>
    </xf>
    <xf numFmtId="0" fontId="11" fillId="28" borderId="0" xfId="0" applyFont="1" applyFill="1" applyAlignment="1" applyProtection="1">
      <alignment horizontal="justify" vertical="center"/>
      <protection hidden="1"/>
    </xf>
    <xf numFmtId="0" fontId="25" fillId="28" borderId="0" xfId="0" applyFont="1" applyFill="1" applyAlignment="1" applyProtection="1">
      <alignment horizontal="justify" vertical="center"/>
      <protection hidden="1"/>
    </xf>
    <xf numFmtId="0" fontId="11"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protection hidden="1"/>
    </xf>
    <xf numFmtId="9" fontId="24" fillId="0" borderId="2" xfId="6" applyFont="1" applyBorder="1" applyAlignment="1" applyProtection="1">
      <alignment horizontal="center" vertical="center"/>
      <protection hidden="1"/>
    </xf>
    <xf numFmtId="3" fontId="24" fillId="0" borderId="55" xfId="0" applyNumberFormat="1" applyFon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164" fontId="40" fillId="3" borderId="2" xfId="0"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24" fillId="0" borderId="2" xfId="6" applyFont="1" applyFill="1" applyBorder="1" applyAlignment="1" applyProtection="1">
      <alignment horizontal="center" vertical="center"/>
      <protection hidden="1"/>
    </xf>
    <xf numFmtId="9" fontId="40" fillId="0" borderId="2" xfId="8" applyFont="1" applyFill="1" applyBorder="1" applyAlignment="1" applyProtection="1">
      <alignment horizontal="center" vertical="center" wrapText="1"/>
      <protection hidden="1"/>
    </xf>
    <xf numFmtId="4" fontId="24" fillId="0" borderId="2" xfId="51" applyNumberFormat="1" applyFont="1" applyFill="1" applyBorder="1" applyAlignment="1" applyProtection="1">
      <alignment horizontal="center" vertical="center"/>
      <protection hidden="1"/>
    </xf>
    <xf numFmtId="0" fontId="24" fillId="0" borderId="0" xfId="0" applyFont="1"/>
    <xf numFmtId="0" fontId="24" fillId="0" borderId="1" xfId="0" applyFont="1" applyBorder="1" applyAlignment="1">
      <alignment horizontal="center" vertical="center"/>
    </xf>
    <xf numFmtId="0" fontId="24" fillId="0" borderId="0" xfId="0" applyFont="1" applyAlignment="1">
      <alignment horizontal="center" vertical="center"/>
    </xf>
    <xf numFmtId="0" fontId="70" fillId="0" borderId="0" xfId="0" applyFont="1"/>
    <xf numFmtId="0" fontId="25" fillId="0" borderId="1" xfId="0" applyFont="1" applyBorder="1" applyAlignment="1">
      <alignment horizontal="center" vertical="center" wrapText="1"/>
    </xf>
    <xf numFmtId="0" fontId="24" fillId="0" borderId="2" xfId="0" applyFont="1" applyBorder="1"/>
    <xf numFmtId="164" fontId="24" fillId="0" borderId="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xf numFmtId="0" fontId="25" fillId="0" borderId="60" xfId="0" applyFont="1" applyBorder="1"/>
    <xf numFmtId="9" fontId="25" fillId="0" borderId="1" xfId="0" applyNumberFormat="1" applyFont="1" applyBorder="1" applyAlignment="1">
      <alignment horizontal="center" vertical="center" wrapText="1"/>
    </xf>
    <xf numFmtId="0" fontId="20" fillId="0" borderId="0" xfId="0" applyFont="1"/>
    <xf numFmtId="0" fontId="20" fillId="0" borderId="0" xfId="0" applyFont="1" applyAlignment="1">
      <alignment horizontal="center" vertical="center"/>
    </xf>
    <xf numFmtId="0" fontId="25" fillId="25" borderId="2" xfId="0" applyFont="1" applyFill="1" applyBorder="1" applyAlignment="1">
      <alignment horizontal="center" vertical="center" wrapText="1"/>
    </xf>
    <xf numFmtId="0" fontId="25" fillId="25" borderId="41" xfId="0" applyFont="1" applyFill="1" applyBorder="1" applyAlignment="1">
      <alignment horizontal="center" vertical="center" wrapText="1"/>
    </xf>
    <xf numFmtId="0" fontId="24" fillId="0" borderId="40" xfId="0" applyFont="1" applyBorder="1"/>
    <xf numFmtId="1" fontId="24" fillId="30" borderId="2" xfId="0" applyNumberFormat="1" applyFont="1" applyFill="1" applyBorder="1" applyAlignment="1">
      <alignment horizontal="center" vertical="center" wrapText="1"/>
    </xf>
    <xf numFmtId="1" fontId="24" fillId="30" borderId="41" xfId="0" applyNumberFormat="1" applyFont="1" applyFill="1" applyBorder="1" applyAlignment="1">
      <alignment horizontal="center" vertical="center" wrapText="1"/>
    </xf>
    <xf numFmtId="0" fontId="25" fillId="0" borderId="56" xfId="0" applyFont="1" applyBorder="1"/>
    <xf numFmtId="1" fontId="25" fillId="30" borderId="57" xfId="0" applyNumberFormat="1" applyFont="1" applyFill="1" applyBorder="1" applyAlignment="1">
      <alignment horizontal="center" vertical="center" wrapText="1"/>
    </xf>
    <xf numFmtId="1" fontId="25" fillId="30" borderId="63" xfId="0" applyNumberFormat="1" applyFont="1" applyFill="1" applyBorder="1" applyAlignment="1">
      <alignment horizontal="center" vertical="center" wrapText="1"/>
    </xf>
    <xf numFmtId="0" fontId="43" fillId="0" borderId="1" xfId="0" applyFont="1" applyBorder="1" applyAlignment="1">
      <alignment horizontal="center" vertical="center"/>
    </xf>
    <xf numFmtId="1" fontId="24" fillId="0" borderId="6" xfId="0" applyNumberFormat="1" applyFont="1" applyBorder="1" applyAlignment="1">
      <alignment horizontal="center" vertical="center"/>
    </xf>
    <xf numFmtId="1" fontId="24" fillId="0" borderId="0" xfId="0" applyNumberFormat="1" applyFont="1" applyAlignment="1">
      <alignment horizontal="center" vertical="center"/>
    </xf>
    <xf numFmtId="1" fontId="24" fillId="31" borderId="2" xfId="0" applyNumberFormat="1" applyFont="1" applyFill="1" applyBorder="1" applyAlignment="1">
      <alignment horizontal="center" vertical="center" wrapText="1"/>
    </xf>
    <xf numFmtId="1" fontId="24" fillId="32" borderId="2" xfId="0" applyNumberFormat="1" applyFont="1" applyFill="1" applyBorder="1" applyAlignment="1">
      <alignment horizontal="center" vertical="center" wrapText="1"/>
    </xf>
    <xf numFmtId="0" fontId="52" fillId="0" borderId="0" xfId="0" applyFont="1" applyAlignment="1" applyProtection="1">
      <alignment vertical="center" wrapText="1"/>
      <protection hidden="1"/>
    </xf>
    <xf numFmtId="0" fontId="25" fillId="0" borderId="1" xfId="0" applyFont="1" applyBorder="1" applyAlignment="1" applyProtection="1">
      <alignment horizontal="center" vertical="center"/>
      <protection hidden="1"/>
    </xf>
    <xf numFmtId="0" fontId="70" fillId="0" borderId="2" xfId="0" applyFont="1" applyBorder="1" applyProtection="1">
      <protection hidden="1"/>
    </xf>
    <xf numFmtId="0" fontId="35" fillId="0" borderId="2" xfId="0" applyFont="1" applyBorder="1" applyAlignment="1">
      <alignment horizontal="justify" vertical="center"/>
    </xf>
    <xf numFmtId="0" fontId="11" fillId="0" borderId="2" xfId="0" applyFont="1" applyBorder="1" applyAlignment="1">
      <alignment horizontal="center" vertical="center"/>
    </xf>
    <xf numFmtId="0" fontId="69"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11" fillId="0" borderId="8" xfId="0" applyFont="1" applyFill="1" applyBorder="1" applyAlignment="1">
      <alignment horizontal="center" vertical="center"/>
    </xf>
    <xf numFmtId="0" fontId="0" fillId="0" borderId="1" xfId="0" applyBorder="1"/>
    <xf numFmtId="0" fontId="24" fillId="0" borderId="2" xfId="0" applyFont="1" applyBorder="1" applyProtection="1">
      <protection hidden="1"/>
    </xf>
    <xf numFmtId="0" fontId="24" fillId="0" borderId="2" xfId="0" applyFont="1" applyBorder="1" applyAlignment="1" applyProtection="1">
      <alignment horizontal="center" vertical="center"/>
      <protection hidden="1"/>
    </xf>
    <xf numFmtId="0" fontId="25" fillId="0" borderId="2" xfId="0" applyFont="1" applyBorder="1"/>
    <xf numFmtId="1" fontId="25" fillId="30" borderId="2" xfId="0" applyNumberFormat="1" applyFont="1" applyFill="1" applyBorder="1" applyAlignment="1">
      <alignment horizontal="center" vertical="center" wrapText="1"/>
    </xf>
    <xf numFmtId="1" fontId="25" fillId="31" borderId="2" xfId="0" applyNumberFormat="1" applyFont="1" applyFill="1" applyBorder="1" applyAlignment="1">
      <alignment horizontal="center" vertical="center" wrapText="1"/>
    </xf>
    <xf numFmtId="1" fontId="25" fillId="32" borderId="2" xfId="0" applyNumberFormat="1" applyFont="1" applyFill="1" applyBorder="1" applyAlignment="1">
      <alignment horizontal="center" vertical="center" wrapText="1"/>
    </xf>
    <xf numFmtId="0" fontId="11" fillId="8" borderId="2"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25" fillId="29" borderId="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43" fillId="0" borderId="1" xfId="0" applyFont="1" applyBorder="1" applyAlignment="1" applyProtection="1">
      <alignment horizontal="center"/>
      <protection hidden="1"/>
    </xf>
    <xf numFmtId="0" fontId="11" fillId="0" borderId="1" xfId="0" applyFont="1" applyBorder="1" applyAlignment="1">
      <alignment horizontal="center" vertical="center"/>
    </xf>
    <xf numFmtId="0" fontId="25" fillId="25" borderId="2"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9" fillId="0" borderId="1" xfId="1" applyFont="1" applyBorder="1" applyAlignment="1" applyProtection="1">
      <alignment horizontal="left" vertical="center"/>
    </xf>
    <xf numFmtId="0" fontId="47"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center" vertical="center" wrapText="1"/>
    </xf>
    <xf numFmtId="164" fontId="8" fillId="0" borderId="2" xfId="0" applyNumberFormat="1" applyFont="1" applyFill="1" applyBorder="1" applyAlignment="1" applyProtection="1">
      <alignment horizontal="justify" vertical="center" wrapText="1"/>
      <protection hidden="1"/>
    </xf>
    <xf numFmtId="164" fontId="24" fillId="0" borderId="2" xfId="6" applyNumberFormat="1" applyFont="1" applyFill="1" applyBorder="1" applyAlignment="1" applyProtection="1">
      <alignment horizontal="center" vertical="center"/>
      <protection hidden="1"/>
    </xf>
    <xf numFmtId="0" fontId="9" fillId="0" borderId="1" xfId="1" applyFont="1" applyBorder="1" applyAlignment="1" applyProtection="1">
      <alignment horizontal="left" vertical="center"/>
    </xf>
    <xf numFmtId="0" fontId="20" fillId="0" borderId="1" xfId="1" applyFont="1" applyBorder="1" applyAlignment="1" applyProtection="1">
      <alignment horizontal="left" vertical="center"/>
    </xf>
    <xf numFmtId="164" fontId="22" fillId="4" borderId="9" xfId="3" applyNumberFormat="1" applyFont="1" applyFill="1" applyBorder="1" applyAlignment="1" applyProtection="1">
      <alignment horizontal="center" vertical="center"/>
    </xf>
    <xf numFmtId="164" fontId="24" fillId="0" borderId="0" xfId="6" applyNumberFormat="1" applyFont="1" applyProtection="1">
      <protection hidden="1"/>
    </xf>
    <xf numFmtId="10" fontId="24" fillId="0" borderId="0" xfId="6" applyNumberFormat="1" applyFont="1" applyProtection="1">
      <protection hidden="1"/>
    </xf>
    <xf numFmtId="43" fontId="24" fillId="0" borderId="0" xfId="5" applyFont="1" applyProtection="1">
      <protection hidden="1"/>
    </xf>
    <xf numFmtId="164" fontId="40" fillId="0" borderId="2" xfId="0" applyNumberFormat="1" applyFont="1" applyBorder="1" applyAlignment="1" applyProtection="1">
      <alignment horizontal="justify" vertical="center" wrapText="1"/>
      <protection hidden="1"/>
    </xf>
    <xf numFmtId="164" fontId="25" fillId="0" borderId="1" xfId="0" applyNumberFormat="1" applyFont="1" applyBorder="1" applyAlignment="1" applyProtection="1">
      <alignment horizontal="justify" vertical="center" wrapText="1"/>
      <protection hidden="1"/>
    </xf>
    <xf numFmtId="164" fontId="40" fillId="0" borderId="1" xfId="0" applyNumberFormat="1" applyFont="1" applyBorder="1" applyAlignment="1" applyProtection="1">
      <alignment horizontal="justify" vertical="center" wrapText="1"/>
      <protection hidden="1"/>
    </xf>
    <xf numFmtId="0" fontId="20" fillId="0" borderId="3" xfId="0" applyFont="1" applyBorder="1" applyAlignment="1" applyProtection="1">
      <alignment horizontal="center" vertical="center" wrapText="1"/>
    </xf>
    <xf numFmtId="0" fontId="20" fillId="0" borderId="3" xfId="0" applyFont="1" applyBorder="1" applyAlignment="1">
      <alignment horizontal="justify" vertical="center" wrapText="1"/>
    </xf>
    <xf numFmtId="9" fontId="22" fillId="4" borderId="49" xfId="3" applyFont="1" applyFill="1" applyBorder="1" applyAlignment="1" applyProtection="1">
      <alignment horizontal="center" vertical="center"/>
    </xf>
    <xf numFmtId="0" fontId="24" fillId="32" borderId="0" xfId="0" applyFont="1" applyFill="1"/>
    <xf numFmtId="0" fontId="67" fillId="0" borderId="0" xfId="0" applyFont="1"/>
    <xf numFmtId="0" fontId="24" fillId="23" borderId="0" xfId="0" applyFont="1" applyFill="1"/>
    <xf numFmtId="0" fontId="24" fillId="33" borderId="0" xfId="0" applyFont="1" applyFill="1"/>
    <xf numFmtId="0" fontId="20" fillId="3" borderId="65" xfId="34" applyFont="1" applyFill="1" applyBorder="1" applyAlignment="1" applyProtection="1">
      <alignment horizontal="left" vertical="center" wrapText="1"/>
    </xf>
    <xf numFmtId="0" fontId="20" fillId="3" borderId="65" xfId="34" applyFont="1" applyFill="1" applyBorder="1" applyAlignment="1" applyProtection="1">
      <alignment horizontal="center" vertical="center" wrapText="1"/>
    </xf>
    <xf numFmtId="9" fontId="20" fillId="3" borderId="2" xfId="0" applyNumberFormat="1" applyFont="1" applyFill="1" applyBorder="1" applyAlignment="1" applyProtection="1">
      <alignment horizontal="center" vertical="center" wrapText="1"/>
    </xf>
    <xf numFmtId="9" fontId="20" fillId="0" borderId="3" xfId="0" applyNumberFormat="1" applyFont="1" applyBorder="1" applyAlignment="1">
      <alignment horizontal="center" vertical="center" wrapText="1"/>
    </xf>
    <xf numFmtId="0" fontId="20" fillId="0" borderId="65" xfId="0" applyFont="1" applyBorder="1" applyAlignment="1">
      <alignment horizontal="justify" vertical="center" wrapText="1"/>
    </xf>
    <xf numFmtId="0" fontId="20" fillId="0" borderId="6" xfId="34" applyFont="1" applyBorder="1" applyAlignment="1">
      <alignment horizontal="justify" vertical="center" wrapText="1"/>
    </xf>
    <xf numFmtId="9" fontId="39" fillId="11" borderId="3" xfId="8" applyFont="1" applyFill="1" applyBorder="1" applyAlignment="1" applyProtection="1">
      <alignment horizontal="center" vertical="center"/>
    </xf>
    <xf numFmtId="0" fontId="20" fillId="2" borderId="3" xfId="1" applyFont="1" applyFill="1" applyBorder="1" applyAlignment="1" applyProtection="1">
      <alignment horizontal="center" vertical="center" wrapText="1"/>
      <protection locked="0"/>
    </xf>
    <xf numFmtId="0" fontId="20" fillId="0" borderId="2" xfId="34" applyFont="1" applyBorder="1" applyAlignment="1" applyProtection="1">
      <alignment horizontal="justify" vertical="center" wrapText="1"/>
      <protection locked="0"/>
    </xf>
    <xf numFmtId="0" fontId="20" fillId="3" borderId="6" xfId="34" applyFont="1" applyFill="1" applyBorder="1" applyAlignment="1" applyProtection="1">
      <alignment horizontal="left" vertical="center" wrapText="1"/>
      <protection locked="0"/>
    </xf>
    <xf numFmtId="0" fontId="20" fillId="3" borderId="6" xfId="34" applyFont="1" applyFill="1" applyBorder="1" applyAlignment="1" applyProtection="1">
      <alignment horizontal="center" vertical="center" wrapText="1"/>
      <protection locked="0"/>
    </xf>
    <xf numFmtId="0" fontId="20" fillId="0" borderId="3" xfId="34" applyFont="1" applyBorder="1" applyAlignment="1" applyProtection="1">
      <alignment horizontal="center" vertical="center" wrapText="1"/>
      <protection locked="0"/>
    </xf>
    <xf numFmtId="166" fontId="39" fillId="0" borderId="3" xfId="5" applyNumberFormat="1" applyFont="1" applyBorder="1" applyAlignment="1" applyProtection="1">
      <alignment horizontal="center" vertical="center" wrapText="1"/>
    </xf>
    <xf numFmtId="10" fontId="20" fillId="0" borderId="3" xfId="6" applyNumberFormat="1" applyFont="1" applyFill="1" applyBorder="1" applyAlignment="1" applyProtection="1">
      <alignment horizontal="center" vertical="center" wrapText="1"/>
    </xf>
    <xf numFmtId="0" fontId="23" fillId="0" borderId="0" xfId="0" applyFont="1" applyAlignment="1">
      <alignment vertical="center"/>
    </xf>
    <xf numFmtId="3" fontId="20" fillId="0" borderId="2" xfId="20" applyNumberFormat="1" applyFont="1" applyFill="1" applyBorder="1" applyAlignment="1" applyProtection="1">
      <alignment horizontal="center" vertical="center" wrapText="1"/>
    </xf>
    <xf numFmtId="4" fontId="20" fillId="18" borderId="2" xfId="0" applyNumberFormat="1" applyFont="1" applyFill="1" applyBorder="1" applyAlignment="1" applyProtection="1">
      <alignment horizontal="center" vertical="center" wrapText="1"/>
    </xf>
    <xf numFmtId="166" fontId="20" fillId="18" borderId="2" xfId="0" applyNumberFormat="1" applyFont="1" applyFill="1" applyBorder="1" applyAlignment="1" applyProtection="1">
      <alignment horizontal="center" vertical="center" wrapText="1"/>
    </xf>
    <xf numFmtId="10" fontId="20" fillId="18" borderId="6" xfId="6" applyNumberFormat="1" applyFont="1" applyFill="1" applyBorder="1" applyAlignment="1" applyProtection="1">
      <alignment horizontal="center" vertical="center" wrapText="1"/>
    </xf>
    <xf numFmtId="0" fontId="43" fillId="0" borderId="1" xfId="0" applyFont="1" applyBorder="1" applyAlignment="1">
      <alignment horizontal="center"/>
    </xf>
    <xf numFmtId="0" fontId="47" fillId="9" borderId="5" xfId="0" applyFont="1" applyFill="1" applyBorder="1" applyAlignment="1">
      <alignment horizontal="center" vertical="center" wrapText="1"/>
    </xf>
    <xf numFmtId="1" fontId="24" fillId="24" borderId="6" xfId="0" applyNumberFormat="1" applyFont="1" applyFill="1" applyBorder="1" applyAlignment="1">
      <alignment horizontal="center" vertical="center" wrapText="1"/>
    </xf>
    <xf numFmtId="1" fontId="25" fillId="24" borderId="6" xfId="0" applyNumberFormat="1" applyFont="1" applyFill="1" applyBorder="1" applyAlignment="1">
      <alignment horizontal="center" vertical="center" wrapText="1"/>
    </xf>
    <xf numFmtId="1" fontId="24" fillId="33" borderId="2" xfId="0" applyNumberFormat="1" applyFont="1" applyFill="1" applyBorder="1" applyAlignment="1">
      <alignment horizontal="center" vertical="center" wrapText="1"/>
    </xf>
    <xf numFmtId="1" fontId="25" fillId="33" borderId="2" xfId="0" applyNumberFormat="1" applyFont="1" applyFill="1" applyBorder="1" applyAlignment="1">
      <alignment horizontal="center" vertical="center" wrapText="1"/>
    </xf>
    <xf numFmtId="1" fontId="20" fillId="30" borderId="2" xfId="0" applyNumberFormat="1" applyFont="1" applyFill="1" applyBorder="1" applyAlignment="1">
      <alignment horizontal="center" vertical="center" wrapText="1"/>
    </xf>
    <xf numFmtId="10" fontId="21" fillId="0" borderId="3" xfId="6" applyNumberFormat="1" applyFont="1" applyBorder="1" applyAlignment="1" applyProtection="1">
      <alignment horizontal="center" vertical="center" wrapText="1"/>
    </xf>
    <xf numFmtId="10" fontId="56" fillId="5" borderId="3" xfId="6" applyNumberFormat="1" applyFont="1" applyFill="1" applyBorder="1" applyAlignment="1" applyProtection="1">
      <alignment horizontal="center" vertical="center"/>
    </xf>
    <xf numFmtId="10" fontId="20" fillId="0" borderId="2" xfId="20" applyNumberFormat="1" applyFont="1" applyBorder="1" applyAlignment="1" applyProtection="1">
      <alignment horizontal="center" vertical="center" wrapText="1"/>
    </xf>
    <xf numFmtId="10" fontId="24" fillId="0" borderId="2" xfId="6" applyNumberFormat="1" applyFont="1" applyBorder="1" applyAlignment="1" applyProtection="1">
      <alignment horizontal="center" vertical="center"/>
      <protection hidden="1"/>
    </xf>
    <xf numFmtId="10" fontId="24" fillId="0" borderId="2" xfId="0" applyNumberFormat="1" applyFont="1" applyBorder="1" applyAlignment="1" applyProtection="1">
      <alignment horizontal="center" vertical="center"/>
      <protection hidden="1"/>
    </xf>
    <xf numFmtId="0" fontId="60" fillId="0" borderId="0" xfId="0" applyFont="1"/>
    <xf numFmtId="0" fontId="60" fillId="0" borderId="0" xfId="0" applyFont="1" applyAlignment="1">
      <alignment horizontal="center" vertical="center"/>
    </xf>
    <xf numFmtId="9" fontId="60" fillId="0" borderId="1" xfId="0" applyNumberFormat="1" applyFont="1" applyBorder="1"/>
    <xf numFmtId="0" fontId="60" fillId="0" borderId="1" xfId="0" applyFont="1" applyBorder="1"/>
    <xf numFmtId="0" fontId="60" fillId="0" borderId="1" xfId="0" applyFont="1" applyBorder="1" applyAlignment="1">
      <alignment horizontal="center" vertical="center"/>
    </xf>
    <xf numFmtId="1" fontId="60" fillId="0" borderId="1" xfId="0" applyNumberFormat="1" applyFont="1" applyBorder="1" applyAlignment="1">
      <alignment horizontal="center" vertical="center"/>
    </xf>
    <xf numFmtId="0" fontId="71" fillId="35" borderId="68" xfId="0" applyFont="1" applyFill="1" applyBorder="1" applyAlignment="1">
      <alignment horizontal="center" vertical="center" wrapText="1" readingOrder="1"/>
    </xf>
    <xf numFmtId="1" fontId="72" fillId="0" borderId="69" xfId="0" applyNumberFormat="1" applyFont="1" applyBorder="1" applyAlignment="1">
      <alignment horizontal="center" vertical="center" wrapText="1" readingOrder="1"/>
    </xf>
    <xf numFmtId="1" fontId="72" fillId="0" borderId="68" xfId="0" applyNumberFormat="1" applyFont="1" applyBorder="1" applyAlignment="1">
      <alignment horizontal="center" vertical="center" wrapText="1" readingOrder="1"/>
    </xf>
    <xf numFmtId="0" fontId="72" fillId="0" borderId="68" xfId="0" applyFont="1" applyBorder="1" applyAlignment="1">
      <alignment horizontal="justify" vertical="center" wrapText="1" readingOrder="1"/>
    </xf>
    <xf numFmtId="9" fontId="74" fillId="35" borderId="68" xfId="0" applyNumberFormat="1" applyFont="1" applyFill="1" applyBorder="1" applyAlignment="1">
      <alignment horizontal="center" vertical="center" wrapText="1" readingOrder="1"/>
    </xf>
    <xf numFmtId="0" fontId="71" fillId="35" borderId="68" xfId="0" applyFont="1" applyFill="1" applyBorder="1" applyAlignment="1">
      <alignment horizontal="right" vertical="center" wrapText="1" readingOrder="1"/>
    </xf>
    <xf numFmtId="0" fontId="71" fillId="0" borderId="1" xfId="0" applyFont="1" applyFill="1" applyBorder="1" applyAlignment="1">
      <alignment horizontal="right" vertical="center" wrapText="1" readingOrder="1"/>
    </xf>
    <xf numFmtId="0" fontId="74" fillId="0" borderId="1" xfId="0" applyFont="1" applyFill="1" applyBorder="1" applyAlignment="1">
      <alignment horizontal="center" vertical="center" wrapText="1" readingOrder="1"/>
    </xf>
    <xf numFmtId="9" fontId="74" fillId="0" borderId="1" xfId="0" applyNumberFormat="1" applyFont="1" applyFill="1" applyBorder="1" applyAlignment="1">
      <alignment horizontal="center" vertical="center" wrapText="1" readingOrder="1"/>
    </xf>
    <xf numFmtId="0" fontId="24" fillId="0" borderId="0" xfId="0" applyFont="1" applyFill="1"/>
    <xf numFmtId="0" fontId="24" fillId="0" borderId="0" xfId="0" applyFont="1" applyFill="1" applyAlignment="1">
      <alignment horizontal="center" vertical="center"/>
    </xf>
    <xf numFmtId="1" fontId="74" fillId="35" borderId="68" xfId="0" applyNumberFormat="1" applyFont="1" applyFill="1" applyBorder="1" applyAlignment="1">
      <alignment horizontal="center" vertical="center" wrapText="1" readingOrder="1"/>
    </xf>
    <xf numFmtId="164" fontId="25" fillId="0" borderId="1"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center" vertical="center" wrapText="1"/>
      <protection hidden="1"/>
    </xf>
    <xf numFmtId="0" fontId="24" fillId="0" borderId="0" xfId="0" applyFont="1" applyFill="1" applyProtection="1">
      <protection hidden="1"/>
    </xf>
    <xf numFmtId="0" fontId="24" fillId="0" borderId="0" xfId="0" applyFont="1" applyFill="1" applyAlignment="1" applyProtection="1">
      <alignment horizontal="justify" vertical="center"/>
      <protection hidden="1"/>
    </xf>
    <xf numFmtId="0" fontId="76"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protection hidden="1"/>
    </xf>
    <xf numFmtId="0" fontId="72" fillId="0" borderId="69" xfId="0" applyFont="1" applyBorder="1" applyAlignment="1">
      <alignment horizontal="justify" vertical="center" wrapText="1" readingOrder="1"/>
    </xf>
    <xf numFmtId="0" fontId="29" fillId="34" borderId="57" xfId="0" applyFont="1" applyFill="1" applyBorder="1" applyAlignment="1" applyProtection="1">
      <alignment horizontal="center" vertical="center" wrapText="1"/>
      <protection hidden="1"/>
    </xf>
    <xf numFmtId="0" fontId="29" fillId="34" borderId="63" xfId="0" applyFont="1" applyFill="1" applyBorder="1" applyAlignment="1" applyProtection="1">
      <alignment horizontal="center" vertical="center"/>
      <protection hidden="1"/>
    </xf>
    <xf numFmtId="0" fontId="14" fillId="11" borderId="60" xfId="0" applyFont="1" applyFill="1" applyBorder="1" applyAlignment="1" applyProtection="1">
      <alignment horizontal="center" vertical="center"/>
      <protection hidden="1"/>
    </xf>
    <xf numFmtId="0" fontId="11" fillId="11" borderId="61" xfId="0" applyFont="1" applyFill="1" applyBorder="1" applyAlignment="1" applyProtection="1">
      <alignment horizontal="center" vertical="center"/>
      <protection hidden="1"/>
    </xf>
    <xf numFmtId="164" fontId="11" fillId="11" borderId="61" xfId="0" applyNumberFormat="1" applyFont="1" applyFill="1" applyBorder="1" applyAlignment="1" applyProtection="1">
      <alignment horizontal="center" vertical="center" wrapText="1"/>
      <protection hidden="1"/>
    </xf>
    <xf numFmtId="0" fontId="14" fillId="11" borderId="60" xfId="0" applyFont="1" applyFill="1" applyBorder="1" applyAlignment="1" applyProtection="1">
      <alignment horizontal="center" vertical="center" wrapText="1"/>
      <protection hidden="1"/>
    </xf>
    <xf numFmtId="164" fontId="20" fillId="0" borderId="31" xfId="6" applyNumberFormat="1" applyFont="1" applyFill="1" applyBorder="1" applyAlignment="1" applyProtection="1">
      <alignment horizontal="center" vertical="center" wrapText="1"/>
    </xf>
    <xf numFmtId="166" fontId="24" fillId="0" borderId="0" xfId="0" applyNumberFormat="1" applyFont="1" applyAlignment="1" applyProtection="1">
      <alignment horizontal="center" vertical="center"/>
      <protection hidden="1"/>
    </xf>
    <xf numFmtId="9" fontId="24" fillId="0" borderId="0" xfId="6" applyFont="1" applyAlignment="1" applyProtection="1">
      <alignment horizontal="center" vertical="center"/>
      <protection hidden="1"/>
    </xf>
    <xf numFmtId="10" fontId="24" fillId="0" borderId="0" xfId="0" applyNumberFormat="1" applyFont="1" applyAlignment="1" applyProtection="1">
      <alignment vertical="center"/>
      <protection hidden="1"/>
    </xf>
    <xf numFmtId="10" fontId="24" fillId="0" borderId="0" xfId="6" applyNumberFormat="1" applyFont="1" applyAlignment="1" applyProtection="1">
      <alignment horizontal="center" vertical="center"/>
      <protection hidden="1"/>
    </xf>
    <xf numFmtId="164" fontId="24" fillId="0" borderId="0" xfId="0" applyNumberFormat="1" applyFont="1" applyAlignment="1">
      <alignment horizontal="center" vertical="center"/>
    </xf>
    <xf numFmtId="0" fontId="75" fillId="34" borderId="70" xfId="0" applyFont="1" applyFill="1" applyBorder="1" applyAlignment="1">
      <alignment horizontal="center" vertical="center" wrapText="1" readingOrder="1"/>
    </xf>
    <xf numFmtId="9" fontId="72" fillId="0" borderId="71" xfId="0" applyNumberFormat="1" applyFont="1" applyBorder="1" applyAlignment="1">
      <alignment horizontal="center" vertical="center" wrapText="1" readingOrder="1"/>
    </xf>
    <xf numFmtId="9" fontId="72" fillId="0" borderId="72" xfId="0" applyNumberFormat="1" applyFont="1" applyBorder="1" applyAlignment="1">
      <alignment horizontal="center" vertical="center" wrapText="1" readingOrder="1"/>
    </xf>
    <xf numFmtId="9" fontId="73" fillId="0" borderId="72" xfId="0" applyNumberFormat="1" applyFont="1" applyBorder="1" applyAlignment="1">
      <alignment horizontal="center" vertical="center" wrapText="1" readingOrder="1"/>
    </xf>
    <xf numFmtId="0" fontId="75" fillId="34" borderId="73" xfId="0" applyFont="1" applyFill="1" applyBorder="1" applyAlignment="1">
      <alignment horizontal="center" vertical="center" wrapText="1" readingOrder="1"/>
    </xf>
    <xf numFmtId="9" fontId="74" fillId="35" borderId="69" xfId="0" applyNumberFormat="1" applyFont="1" applyFill="1" applyBorder="1" applyAlignment="1">
      <alignment horizontal="center" vertical="center" wrapText="1" readingOrder="1"/>
    </xf>
    <xf numFmtId="0" fontId="75" fillId="34" borderId="74" xfId="0" applyFont="1" applyFill="1" applyBorder="1" applyAlignment="1">
      <alignment horizontal="center" vertical="center" wrapText="1" readingOrder="1"/>
    </xf>
    <xf numFmtId="9" fontId="72" fillId="0" borderId="2" xfId="0" applyNumberFormat="1" applyFont="1" applyBorder="1" applyAlignment="1">
      <alignment horizontal="center" vertical="center" wrapText="1" readingOrder="1"/>
    </xf>
    <xf numFmtId="9" fontId="73" fillId="0" borderId="2" xfId="0" applyNumberFormat="1" applyFont="1" applyBorder="1" applyAlignment="1">
      <alignment horizontal="center" vertical="center" wrapText="1" readingOrder="1"/>
    </xf>
    <xf numFmtId="0" fontId="11" fillId="8" borderId="2" xfId="0" applyFont="1" applyFill="1" applyBorder="1" applyAlignment="1">
      <alignment horizontal="center" vertical="center" wrapText="1"/>
    </xf>
    <xf numFmtId="0" fontId="9" fillId="0" borderId="1" xfId="1" applyFont="1" applyAlignment="1">
      <alignment horizontal="left" vertical="center"/>
    </xf>
    <xf numFmtId="0" fontId="12" fillId="0" borderId="2" xfId="1" applyFont="1" applyBorder="1" applyAlignment="1">
      <alignment horizontal="center" vertical="center" wrapText="1"/>
    </xf>
    <xf numFmtId="0" fontId="12" fillId="9" borderId="2" xfId="1" applyFont="1" applyFill="1" applyBorder="1" applyAlignment="1">
      <alignment horizontal="center" vertical="center" wrapText="1"/>
    </xf>
    <xf numFmtId="164" fontId="24" fillId="0" borderId="0" xfId="0" applyNumberFormat="1" applyFont="1"/>
    <xf numFmtId="10" fontId="77" fillId="0" borderId="31" xfId="6" applyNumberFormat="1" applyFont="1" applyFill="1" applyBorder="1" applyAlignment="1" applyProtection="1">
      <alignment horizontal="center" vertical="center" wrapText="1"/>
    </xf>
    <xf numFmtId="164" fontId="77" fillId="0" borderId="31" xfId="6" applyNumberFormat="1" applyFont="1" applyFill="1" applyBorder="1" applyAlignment="1" applyProtection="1">
      <alignment horizontal="center" vertical="center" wrapText="1"/>
    </xf>
    <xf numFmtId="10" fontId="77" fillId="0" borderId="31" xfId="6" applyNumberFormat="1" applyFont="1" applyBorder="1" applyAlignment="1" applyProtection="1">
      <alignment horizontal="center" vertical="center" wrapText="1"/>
    </xf>
    <xf numFmtId="164" fontId="77" fillId="18" borderId="2" xfId="6" applyNumberFormat="1" applyFont="1" applyFill="1" applyBorder="1" applyAlignment="1" applyProtection="1">
      <alignment horizontal="center" vertical="center" wrapText="1"/>
    </xf>
    <xf numFmtId="164" fontId="77" fillId="0" borderId="31" xfId="6" applyNumberFormat="1" applyFont="1" applyBorder="1" applyAlignment="1" applyProtection="1">
      <alignment horizontal="center" vertical="center" wrapText="1"/>
    </xf>
    <xf numFmtId="164" fontId="77" fillId="3" borderId="31" xfId="6" applyNumberFormat="1" applyFont="1" applyFill="1" applyBorder="1" applyAlignment="1" applyProtection="1">
      <alignment horizontal="center" vertical="center" wrapText="1"/>
    </xf>
    <xf numFmtId="164" fontId="77" fillId="18" borderId="31" xfId="6" applyNumberFormat="1" applyFont="1" applyFill="1" applyBorder="1" applyAlignment="1" applyProtection="1">
      <alignment horizontal="center" vertical="center" wrapText="1"/>
    </xf>
    <xf numFmtId="10" fontId="77" fillId="18" borderId="3" xfId="6" applyNumberFormat="1" applyFont="1" applyFill="1" applyBorder="1" applyAlignment="1" applyProtection="1">
      <alignment horizontal="center" vertical="center" wrapText="1"/>
    </xf>
    <xf numFmtId="10" fontId="77" fillId="3" borderId="3" xfId="6" applyNumberFormat="1" applyFont="1" applyFill="1" applyBorder="1" applyAlignment="1" applyProtection="1">
      <alignment horizontal="center" vertical="center" wrapText="1"/>
    </xf>
    <xf numFmtId="164" fontId="77" fillId="3" borderId="3" xfId="6" applyNumberFormat="1" applyFont="1" applyFill="1" applyBorder="1" applyAlignment="1" applyProtection="1">
      <alignment horizontal="center" vertical="center" wrapText="1"/>
    </xf>
    <xf numFmtId="9" fontId="20" fillId="0" borderId="2" xfId="8" applyNumberFormat="1" applyFont="1" applyBorder="1" applyAlignment="1" applyProtection="1">
      <alignment horizontal="center" vertical="center" wrapText="1"/>
    </xf>
    <xf numFmtId="164" fontId="24" fillId="0" borderId="0" xfId="6" applyNumberFormat="1" applyFont="1" applyFill="1" applyProtection="1">
      <protection hidden="1"/>
    </xf>
    <xf numFmtId="3" fontId="24" fillId="0" borderId="1" xfId="51" applyNumberFormat="1" applyFont="1" applyFill="1" applyBorder="1" applyAlignment="1" applyProtection="1">
      <alignment horizontal="center" vertical="center"/>
      <protection hidden="1"/>
    </xf>
    <xf numFmtId="10" fontId="21" fillId="0" borderId="4" xfId="20" applyNumberFormat="1" applyFont="1" applyBorder="1" applyAlignment="1" applyProtection="1">
      <alignment horizontal="center" vertical="center" wrapText="1"/>
    </xf>
    <xf numFmtId="0" fontId="9" fillId="0" borderId="0" xfId="0" applyFont="1" applyAlignment="1">
      <alignment horizontal="center" vertical="center"/>
    </xf>
    <xf numFmtId="0" fontId="62" fillId="0" borderId="51" xfId="0" applyFont="1" applyBorder="1" applyAlignment="1">
      <alignment horizontal="right" vertical="center"/>
    </xf>
    <xf numFmtId="0" fontId="62" fillId="0" borderId="52" xfId="0" applyFont="1" applyBorder="1" applyAlignment="1">
      <alignment horizontal="center" vertical="center"/>
    </xf>
    <xf numFmtId="0" fontId="62" fillId="0" borderId="53" xfId="0" applyFont="1" applyBorder="1" applyAlignment="1">
      <alignment horizontal="left" vertical="center"/>
    </xf>
    <xf numFmtId="0" fontId="62" fillId="0" borderId="1" xfId="0" applyFont="1" applyBorder="1" applyAlignment="1">
      <alignment vertical="center"/>
    </xf>
    <xf numFmtId="0" fontId="9" fillId="0" borderId="1" xfId="0" applyFont="1" applyBorder="1" applyAlignment="1">
      <alignment horizontal="center" vertical="center"/>
    </xf>
    <xf numFmtId="0" fontId="11" fillId="38" borderId="2" xfId="0"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39" fillId="0" borderId="55" xfId="5" applyNumberFormat="1" applyFont="1" applyBorder="1" applyAlignment="1" applyProtection="1">
      <alignment horizontal="center" vertical="center" wrapText="1"/>
    </xf>
    <xf numFmtId="3" fontId="20" fillId="0" borderId="2" xfId="34" applyNumberFormat="1" applyFont="1" applyBorder="1" applyAlignment="1">
      <alignment horizontal="center" vertical="center" wrapText="1"/>
    </xf>
    <xf numFmtId="164" fontId="20" fillId="0" borderId="65" xfId="8" applyNumberFormat="1" applyFont="1" applyBorder="1" applyAlignment="1" applyProtection="1">
      <alignment horizontal="center" vertical="center" wrapText="1"/>
    </xf>
    <xf numFmtId="164" fontId="20" fillId="0" borderId="65" xfId="8" applyNumberFormat="1" applyFont="1" applyFill="1" applyBorder="1" applyAlignment="1" applyProtection="1">
      <alignment horizontal="center" vertical="center" wrapText="1"/>
    </xf>
    <xf numFmtId="164" fontId="20" fillId="0" borderId="2" xfId="8" applyNumberFormat="1" applyFont="1" applyBorder="1" applyAlignment="1" applyProtection="1">
      <alignment horizontal="center" vertical="center" wrapText="1"/>
    </xf>
    <xf numFmtId="9" fontId="20" fillId="0" borderId="55" xfId="8" applyFont="1" applyBorder="1" applyAlignment="1" applyProtection="1">
      <alignment horizontal="center" vertical="center" wrapText="1"/>
    </xf>
    <xf numFmtId="0" fontId="20" fillId="18" borderId="2" xfId="0" applyFont="1" applyFill="1" applyBorder="1" applyAlignment="1">
      <alignment horizontal="justify" vertical="center" wrapText="1"/>
    </xf>
    <xf numFmtId="3" fontId="20" fillId="18" borderId="2" xfId="0" applyNumberFormat="1" applyFont="1" applyFill="1" applyBorder="1" applyAlignment="1">
      <alignment horizontal="center" vertical="center" wrapText="1"/>
    </xf>
    <xf numFmtId="0" fontId="20" fillId="18" borderId="65" xfId="0" applyFont="1" applyFill="1" applyBorder="1" applyAlignment="1">
      <alignment horizontal="justify" vertical="center" wrapText="1"/>
    </xf>
    <xf numFmtId="0" fontId="20" fillId="18" borderId="6" xfId="34" applyFont="1" applyFill="1" applyBorder="1" applyAlignment="1">
      <alignment horizontal="justify" vertical="center" wrapText="1"/>
    </xf>
    <xf numFmtId="3" fontId="39" fillId="18" borderId="55" xfId="5" applyNumberFormat="1" applyFont="1" applyFill="1" applyBorder="1" applyAlignment="1" applyProtection="1">
      <alignment horizontal="center" vertical="center" wrapText="1"/>
    </xf>
    <xf numFmtId="3" fontId="20" fillId="18" borderId="2" xfId="34" applyNumberFormat="1" applyFont="1" applyFill="1" applyBorder="1" applyAlignment="1">
      <alignment horizontal="center" vertical="center" wrapText="1"/>
    </xf>
    <xf numFmtId="164" fontId="20" fillId="18" borderId="65" xfId="8" applyNumberFormat="1" applyFont="1" applyFill="1" applyBorder="1" applyAlignment="1" applyProtection="1">
      <alignment horizontal="center" vertical="center" wrapText="1"/>
    </xf>
    <xf numFmtId="166" fontId="20" fillId="0" borderId="2" xfId="34" applyNumberFormat="1" applyFont="1" applyBorder="1" applyAlignment="1">
      <alignment horizontal="center" vertical="center" wrapText="1"/>
    </xf>
    <xf numFmtId="0" fontId="20" fillId="0" borderId="2" xfId="0" applyFont="1" applyBorder="1" applyAlignment="1">
      <alignment horizontal="center" vertical="center" wrapText="1"/>
    </xf>
    <xf numFmtId="0" fontId="39" fillId="0" borderId="2" xfId="0" applyFont="1" applyBorder="1" applyAlignment="1">
      <alignment horizontal="justify" vertical="top" wrapText="1" readingOrder="1"/>
    </xf>
    <xf numFmtId="1" fontId="39" fillId="0" borderId="2" xfId="0" applyNumberFormat="1" applyFont="1" applyBorder="1" applyAlignment="1">
      <alignment horizontal="center" vertical="center" wrapText="1" readingOrder="1"/>
    </xf>
    <xf numFmtId="9" fontId="39" fillId="0" borderId="2" xfId="0" applyNumberFormat="1" applyFont="1" applyBorder="1" applyAlignment="1">
      <alignment horizontal="center" vertical="center" wrapText="1" readingOrder="1"/>
    </xf>
    <xf numFmtId="4" fontId="20" fillId="0" borderId="2" xfId="34" applyNumberFormat="1" applyFont="1" applyBorder="1" applyAlignment="1">
      <alignment horizontal="center" vertical="center" wrapText="1"/>
    </xf>
    <xf numFmtId="164" fontId="20" fillId="18" borderId="2" xfId="8" applyNumberFormat="1" applyFont="1" applyFill="1" applyBorder="1" applyAlignment="1" applyProtection="1">
      <alignment horizontal="center" vertical="center" wrapText="1"/>
    </xf>
    <xf numFmtId="164" fontId="20" fillId="18" borderId="6" xfId="8" applyNumberFormat="1" applyFont="1" applyFill="1" applyBorder="1" applyAlignment="1" applyProtection="1">
      <alignment horizontal="center" vertical="center" wrapText="1"/>
    </xf>
    <xf numFmtId="9" fontId="39" fillId="0" borderId="55" xfId="5" applyNumberFormat="1" applyFont="1" applyBorder="1" applyAlignment="1" applyProtection="1">
      <alignment horizontal="center" vertical="center" wrapText="1"/>
    </xf>
    <xf numFmtId="1" fontId="39" fillId="0" borderId="55" xfId="5" applyNumberFormat="1" applyFont="1" applyBorder="1" applyAlignment="1" applyProtection="1">
      <alignment horizontal="center" vertical="center" wrapText="1"/>
    </xf>
    <xf numFmtId="1" fontId="39" fillId="3" borderId="55" xfId="5" applyNumberFormat="1" applyFont="1" applyFill="1" applyBorder="1" applyAlignment="1" applyProtection="1">
      <alignment horizontal="center" vertical="center" wrapText="1"/>
    </xf>
    <xf numFmtId="9" fontId="39" fillId="18" borderId="55" xfId="5" applyNumberFormat="1" applyFont="1" applyFill="1" applyBorder="1" applyAlignment="1" applyProtection="1">
      <alignment horizontal="center" vertical="center" wrapText="1"/>
    </xf>
    <xf numFmtId="164" fontId="20" fillId="18" borderId="2" xfId="34" applyNumberFormat="1" applyFont="1" applyFill="1" applyBorder="1" applyAlignment="1">
      <alignment horizontal="center" vertical="center" wrapText="1"/>
    </xf>
    <xf numFmtId="9" fontId="20" fillId="18" borderId="2" xfId="34" applyNumberFormat="1" applyFont="1" applyFill="1" applyBorder="1" applyAlignment="1">
      <alignment horizontal="center" vertical="center" wrapText="1"/>
    </xf>
    <xf numFmtId="164" fontId="20" fillId="18" borderId="55" xfId="8" applyNumberFormat="1" applyFont="1" applyFill="1" applyBorder="1" applyAlignment="1" applyProtection="1">
      <alignment horizontal="center" vertical="center" wrapText="1"/>
    </xf>
    <xf numFmtId="10" fontId="20" fillId="18" borderId="55" xfId="8" applyNumberFormat="1" applyFont="1" applyFill="1" applyBorder="1" applyAlignment="1" applyProtection="1">
      <alignment horizontal="center" vertical="center" wrapText="1"/>
    </xf>
    <xf numFmtId="1" fontId="39" fillId="18" borderId="55" xfId="5" applyNumberFormat="1" applyFont="1" applyFill="1" applyBorder="1" applyAlignment="1" applyProtection="1">
      <alignment horizontal="center" vertical="center" wrapText="1"/>
    </xf>
    <xf numFmtId="10" fontId="20" fillId="3" borderId="55" xfId="8" applyNumberFormat="1" applyFont="1" applyFill="1" applyBorder="1" applyAlignment="1" applyProtection="1">
      <alignment horizontal="center" vertical="center" wrapText="1"/>
    </xf>
    <xf numFmtId="164" fontId="20" fillId="3" borderId="55" xfId="8" applyNumberFormat="1" applyFont="1" applyFill="1" applyBorder="1" applyAlignment="1" applyProtection="1">
      <alignment horizontal="center" vertical="center" wrapText="1"/>
    </xf>
    <xf numFmtId="9" fontId="20" fillId="0" borderId="55" xfId="8" applyFont="1" applyBorder="1" applyAlignment="1" applyProtection="1">
      <alignment horizontal="center" vertical="center" wrapText="1"/>
    </xf>
    <xf numFmtId="0" fontId="20" fillId="0" borderId="55" xfId="0" applyFont="1" applyBorder="1" applyAlignment="1">
      <alignment horizontal="justify" vertical="center" wrapText="1"/>
    </xf>
    <xf numFmtId="0" fontId="39" fillId="18" borderId="2" xfId="0" applyFont="1" applyFill="1" applyBorder="1" applyAlignment="1">
      <alignment horizontal="justify" vertical="top" wrapText="1" readingOrder="1"/>
    </xf>
    <xf numFmtId="9" fontId="39" fillId="18" borderId="2" xfId="0" applyNumberFormat="1" applyFont="1" applyFill="1" applyBorder="1" applyAlignment="1">
      <alignment horizontal="center" vertical="center" wrapText="1" readingOrder="1"/>
    </xf>
    <xf numFmtId="9" fontId="42" fillId="0" borderId="5" xfId="0" applyNumberFormat="1" applyFont="1" applyBorder="1" applyAlignment="1">
      <alignment horizontal="center" vertical="center" wrapText="1"/>
    </xf>
    <xf numFmtId="10" fontId="20" fillId="0" borderId="65" xfId="8" applyNumberFormat="1" applyFont="1" applyBorder="1" applyAlignment="1" applyProtection="1">
      <alignment horizontal="center" vertical="center" wrapText="1"/>
    </xf>
    <xf numFmtId="0" fontId="42" fillId="0" borderId="2" xfId="0" applyFont="1" applyBorder="1" applyAlignment="1">
      <alignment horizontal="justify" vertical="top" wrapText="1"/>
    </xf>
    <xf numFmtId="0" fontId="42" fillId="3" borderId="2" xfId="0" applyFont="1" applyFill="1" applyBorder="1" applyAlignment="1">
      <alignment horizontal="justify" vertical="top" wrapText="1"/>
    </xf>
    <xf numFmtId="0" fontId="14" fillId="12" borderId="7" xfId="1" applyFont="1" applyFill="1" applyBorder="1" applyAlignment="1">
      <alignment vertical="center"/>
    </xf>
    <xf numFmtId="0" fontId="14" fillId="12" borderId="11" xfId="1" applyFont="1" applyFill="1" applyBorder="1" applyAlignment="1">
      <alignment vertical="center"/>
    </xf>
    <xf numFmtId="0" fontId="14" fillId="12" borderId="11" xfId="1" applyFont="1" applyFill="1" applyBorder="1" applyAlignment="1">
      <alignment horizontal="center" vertical="center"/>
    </xf>
    <xf numFmtId="164" fontId="14" fillId="12" borderId="11" xfId="1" applyNumberFormat="1" applyFont="1" applyFill="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horizontal="left" vertical="center"/>
    </xf>
    <xf numFmtId="0" fontId="24" fillId="39" borderId="0" xfId="0" applyFont="1" applyFill="1"/>
    <xf numFmtId="0" fontId="25" fillId="11" borderId="2" xfId="0" applyFont="1" applyFill="1" applyBorder="1" applyAlignment="1">
      <alignment horizontal="center" vertical="center"/>
    </xf>
    <xf numFmtId="3" fontId="24" fillId="0" borderId="2" xfId="6" applyNumberFormat="1" applyFont="1" applyFill="1" applyBorder="1" applyAlignment="1" applyProtection="1">
      <alignment horizontal="center" vertical="center" wrapText="1"/>
    </xf>
    <xf numFmtId="0" fontId="24" fillId="0" borderId="2" xfId="0" applyFont="1" applyBorder="1" applyAlignment="1">
      <alignment horizontal="justify" vertical="center" wrapText="1"/>
    </xf>
    <xf numFmtId="9" fontId="24" fillId="0" borderId="2" xfId="6" applyFont="1" applyBorder="1" applyAlignment="1" applyProtection="1">
      <alignment horizontal="center" vertical="center" wrapText="1"/>
    </xf>
    <xf numFmtId="0" fontId="20" fillId="0" borderId="2" xfId="0" applyFont="1" applyBorder="1" applyAlignment="1">
      <alignment horizontal="justify" vertical="center" wrapText="1" readingOrder="1"/>
    </xf>
    <xf numFmtId="9" fontId="24" fillId="0" borderId="6" xfId="6" applyFont="1" applyFill="1" applyBorder="1" applyAlignment="1" applyProtection="1">
      <alignment horizontal="center" vertical="center" wrapText="1"/>
    </xf>
    <xf numFmtId="1" fontId="24" fillId="0" borderId="2" xfId="6" applyNumberFormat="1" applyFont="1" applyFill="1" applyBorder="1" applyAlignment="1" applyProtection="1">
      <alignment horizontal="center" vertical="center" wrapText="1"/>
    </xf>
    <xf numFmtId="0" fontId="20" fillId="5" borderId="2" xfId="0" applyFont="1" applyFill="1" applyBorder="1" applyAlignment="1">
      <alignment horizontal="justify" vertical="center" wrapText="1" readingOrder="1"/>
    </xf>
    <xf numFmtId="1" fontId="24" fillId="5" borderId="2" xfId="6" applyNumberFormat="1" applyFont="1" applyFill="1" applyBorder="1" applyAlignment="1" applyProtection="1">
      <alignment horizontal="center" vertical="center" wrapText="1"/>
    </xf>
    <xf numFmtId="9" fontId="24" fillId="5" borderId="6" xfId="6" applyFont="1" applyFill="1" applyBorder="1" applyAlignment="1" applyProtection="1">
      <alignment horizontal="center" vertical="center" wrapText="1"/>
    </xf>
    <xf numFmtId="0" fontId="24" fillId="5" borderId="2" xfId="0" applyFont="1" applyFill="1" applyBorder="1" applyAlignment="1">
      <alignment horizontal="justify" vertical="center" wrapText="1"/>
    </xf>
    <xf numFmtId="1" fontId="24" fillId="0" borderId="2" xfId="0" applyNumberFormat="1" applyFont="1" applyBorder="1" applyAlignment="1">
      <alignment horizontal="center" vertical="center" wrapText="1"/>
    </xf>
    <xf numFmtId="9" fontId="24" fillId="0" borderId="2" xfId="6" applyFont="1" applyFill="1" applyBorder="1" applyAlignment="1" applyProtection="1">
      <alignment horizontal="center" vertical="center" wrapText="1"/>
    </xf>
    <xf numFmtId="9" fontId="20" fillId="5" borderId="2" xfId="0" applyNumberFormat="1" applyFont="1" applyFill="1" applyBorder="1" applyAlignment="1">
      <alignment horizontal="center" vertical="center" wrapText="1" readingOrder="1"/>
    </xf>
    <xf numFmtId="164" fontId="24" fillId="5" borderId="2" xfId="6" applyNumberFormat="1" applyFont="1" applyFill="1" applyBorder="1" applyAlignment="1" applyProtection="1">
      <alignment horizontal="center" vertical="center" wrapText="1"/>
    </xf>
    <xf numFmtId="9" fontId="24" fillId="5" borderId="2" xfId="6" applyFont="1" applyFill="1" applyBorder="1" applyAlignment="1" applyProtection="1">
      <alignment horizontal="center" vertical="center" wrapText="1"/>
    </xf>
    <xf numFmtId="0" fontId="24" fillId="0" borderId="5" xfId="0" applyFont="1" applyBorder="1" applyAlignment="1">
      <alignment horizontal="justify" vertical="center" wrapText="1"/>
    </xf>
    <xf numFmtId="0" fontId="24" fillId="3" borderId="2" xfId="0" applyFont="1" applyFill="1" applyBorder="1" applyAlignment="1">
      <alignment horizontal="justify" vertical="center" wrapText="1"/>
    </xf>
    <xf numFmtId="9" fontId="24" fillId="3" borderId="2" xfId="6" applyFont="1" applyFill="1" applyBorder="1" applyAlignment="1" applyProtection="1">
      <alignment horizontal="center" vertical="center" wrapText="1"/>
    </xf>
    <xf numFmtId="0" fontId="79" fillId="9" borderId="2" xfId="0" applyFont="1" applyFill="1" applyBorder="1" applyAlignment="1">
      <alignment horizontal="center"/>
    </xf>
    <xf numFmtId="0" fontId="79" fillId="9" borderId="2" xfId="0" applyFont="1" applyFill="1" applyBorder="1" applyAlignment="1">
      <alignment horizontal="center" vertical="center"/>
    </xf>
    <xf numFmtId="169" fontId="24" fillId="39" borderId="0" xfId="0" applyNumberFormat="1" applyFont="1" applyFill="1"/>
    <xf numFmtId="0" fontId="25" fillId="39" borderId="7" xfId="0" applyFont="1" applyFill="1" applyBorder="1"/>
    <xf numFmtId="0" fontId="25" fillId="39" borderId="2" xfId="0" applyFont="1" applyFill="1" applyBorder="1" applyAlignment="1">
      <alignment wrapText="1"/>
    </xf>
    <xf numFmtId="1" fontId="24" fillId="5" borderId="2" xfId="0" applyNumberFormat="1" applyFont="1" applyFill="1" applyBorder="1" applyAlignment="1">
      <alignment horizontal="center" vertical="center" wrapText="1"/>
    </xf>
    <xf numFmtId="0" fontId="24" fillId="9" borderId="2" xfId="0" applyFont="1" applyFill="1" applyBorder="1" applyAlignment="1">
      <alignment vertical="center" wrapText="1"/>
    </xf>
    <xf numFmtId="14" fontId="24" fillId="39" borderId="6" xfId="0" applyNumberFormat="1" applyFont="1" applyFill="1" applyBorder="1" applyAlignment="1">
      <alignment horizontal="center" vertical="center" wrapText="1"/>
    </xf>
    <xf numFmtId="0" fontId="24" fillId="39" borderId="1" xfId="0" applyFont="1" applyFill="1" applyBorder="1" applyAlignment="1">
      <alignment horizontal="center" vertical="center" wrapText="1"/>
    </xf>
    <xf numFmtId="9" fontId="39" fillId="0" borderId="55" xfId="6" applyFont="1" applyBorder="1" applyAlignment="1" applyProtection="1">
      <alignment horizontal="center" vertical="center" wrapText="1"/>
    </xf>
    <xf numFmtId="166" fontId="39" fillId="0" borderId="55" xfId="5" applyNumberFormat="1" applyFont="1" applyBorder="1" applyAlignment="1" applyProtection="1">
      <alignment horizontal="center" vertical="center" wrapText="1"/>
    </xf>
    <xf numFmtId="0" fontId="9" fillId="0" borderId="0" xfId="0" applyFont="1" applyFill="1" applyAlignment="1">
      <alignment vertical="center"/>
    </xf>
    <xf numFmtId="9" fontId="20" fillId="0" borderId="2" xfId="6" applyFont="1" applyBorder="1" applyAlignment="1">
      <alignment horizontal="center" vertical="center" wrapText="1"/>
    </xf>
    <xf numFmtId="0" fontId="39" fillId="0" borderId="55" xfId="0" applyFont="1" applyBorder="1" applyAlignment="1">
      <alignment horizontal="justify" vertical="top" wrapText="1"/>
    </xf>
    <xf numFmtId="0" fontId="39" fillId="2" borderId="2" xfId="1" applyFont="1" applyFill="1" applyBorder="1" applyAlignment="1">
      <alignment horizontal="justify" vertical="top" wrapText="1"/>
    </xf>
    <xf numFmtId="0" fontId="39" fillId="0" borderId="2" xfId="0" applyFont="1" applyBorder="1" applyAlignment="1">
      <alignment horizontal="justify" vertical="top" wrapText="1"/>
    </xf>
    <xf numFmtId="9" fontId="20" fillId="0" borderId="2" xfId="8" applyNumberFormat="1" applyFont="1" applyFill="1" applyBorder="1" applyAlignment="1" applyProtection="1">
      <alignment horizontal="center" vertical="center" wrapText="1"/>
    </xf>
    <xf numFmtId="3" fontId="20" fillId="0" borderId="55" xfId="5" applyNumberFormat="1" applyFont="1" applyBorder="1" applyAlignment="1" applyProtection="1">
      <alignment horizontal="justify" vertical="center" wrapText="1"/>
    </xf>
    <xf numFmtId="9" fontId="20" fillId="18" borderId="2" xfId="6" applyFont="1" applyFill="1" applyBorder="1" applyAlignment="1">
      <alignment horizontal="center" vertical="center" wrapText="1"/>
    </xf>
    <xf numFmtId="164" fontId="20" fillId="0" borderId="2" xfId="6" applyNumberFormat="1" applyFont="1" applyBorder="1" applyAlignment="1">
      <alignment horizontal="center" vertical="center" wrapText="1"/>
    </xf>
    <xf numFmtId="10" fontId="20" fillId="0" borderId="2" xfId="6" applyNumberFormat="1" applyFont="1" applyBorder="1" applyAlignment="1">
      <alignment horizontal="center" vertical="center" wrapText="1"/>
    </xf>
    <xf numFmtId="3" fontId="24" fillId="18" borderId="2" xfId="34" applyNumberFormat="1" applyFont="1" applyFill="1" applyBorder="1" applyAlignment="1">
      <alignment horizontal="center" vertical="center" wrapText="1"/>
    </xf>
    <xf numFmtId="164" fontId="24" fillId="18" borderId="2" xfId="8" applyNumberFormat="1" applyFont="1" applyFill="1" applyBorder="1" applyAlignment="1" applyProtection="1">
      <alignment horizontal="center" vertical="center" wrapText="1"/>
    </xf>
    <xf numFmtId="9" fontId="20" fillId="0" borderId="2" xfId="6" applyNumberFormat="1" applyFont="1" applyBorder="1" applyAlignment="1">
      <alignment horizontal="center" vertical="center" wrapText="1"/>
    </xf>
    <xf numFmtId="10" fontId="20" fillId="18" borderId="2" xfId="34" applyNumberFormat="1" applyFont="1" applyFill="1" applyBorder="1" applyAlignment="1">
      <alignment horizontal="center" vertical="center" wrapText="1"/>
    </xf>
    <xf numFmtId="2" fontId="39" fillId="18" borderId="55" xfId="5" applyNumberFormat="1" applyFont="1" applyFill="1" applyBorder="1" applyAlignment="1" applyProtection="1">
      <alignment horizontal="center" vertical="center" wrapText="1"/>
    </xf>
    <xf numFmtId="4" fontId="20" fillId="18" borderId="2" xfId="34" applyNumberFormat="1" applyFont="1" applyFill="1" applyBorder="1" applyAlignment="1">
      <alignment horizontal="center" vertical="center" wrapText="1"/>
    </xf>
    <xf numFmtId="9" fontId="20" fillId="0" borderId="65" xfId="6" applyFont="1" applyBorder="1" applyAlignment="1" applyProtection="1">
      <alignment horizontal="center" vertical="center" wrapText="1"/>
    </xf>
    <xf numFmtId="4" fontId="20" fillId="0" borderId="65" xfId="8" applyNumberFormat="1" applyFont="1" applyBorder="1" applyAlignment="1" applyProtection="1">
      <alignment horizontal="center" vertical="center" wrapText="1"/>
    </xf>
    <xf numFmtId="4" fontId="20" fillId="18" borderId="65" xfId="8" applyNumberFormat="1" applyFont="1" applyFill="1" applyBorder="1" applyAlignment="1" applyProtection="1">
      <alignment horizontal="center" vertical="center" wrapText="1"/>
    </xf>
    <xf numFmtId="3" fontId="20" fillId="0" borderId="2" xfId="34" applyNumberFormat="1" applyFont="1" applyFill="1" applyBorder="1" applyAlignment="1">
      <alignment horizontal="center" vertical="center" wrapText="1"/>
    </xf>
    <xf numFmtId="10" fontId="21" fillId="0" borderId="2" xfId="20" applyNumberFormat="1" applyFont="1" applyBorder="1" applyAlignment="1" applyProtection="1">
      <alignment horizontal="center" vertical="center" wrapText="1"/>
    </xf>
    <xf numFmtId="0" fontId="39" fillId="0" borderId="55" xfId="0" applyFont="1" applyBorder="1" applyAlignment="1">
      <alignment horizontal="justify" vertical="top" wrapText="1" readingOrder="1"/>
    </xf>
    <xf numFmtId="0" fontId="39" fillId="18" borderId="55" xfId="0" applyFont="1" applyFill="1" applyBorder="1" applyAlignment="1">
      <alignment horizontal="justify" vertical="top" wrapText="1" readingOrder="1"/>
    </xf>
    <xf numFmtId="0" fontId="28" fillId="0" borderId="1" xfId="0" applyFont="1" applyBorder="1" applyAlignment="1">
      <alignment horizontal="center" vertical="center" wrapText="1"/>
    </xf>
    <xf numFmtId="0" fontId="39" fillId="0" borderId="2" xfId="0" applyFont="1" applyBorder="1" applyAlignment="1">
      <alignment horizontal="justify" vertical="top" wrapText="1" readingOrder="1"/>
    </xf>
    <xf numFmtId="164" fontId="21" fillId="18" borderId="4" xfId="20" applyNumberFormat="1" applyFont="1" applyFill="1" applyBorder="1" applyAlignment="1" applyProtection="1">
      <alignment horizontal="center" vertical="center" wrapText="1"/>
    </xf>
    <xf numFmtId="164" fontId="21" fillId="0" borderId="3" xfId="20" applyNumberFormat="1" applyFont="1" applyBorder="1" applyAlignment="1" applyProtection="1">
      <alignment horizontal="center" vertical="center" wrapText="1"/>
    </xf>
    <xf numFmtId="0" fontId="14" fillId="12" borderId="2" xfId="1" applyFont="1" applyFill="1" applyBorder="1" applyAlignment="1" applyProtection="1">
      <alignment vertical="center"/>
    </xf>
    <xf numFmtId="0" fontId="28" fillId="0" borderId="1" xfId="0" applyFont="1" applyBorder="1" applyAlignment="1">
      <alignment horizontal="center" vertical="center" wrapText="1"/>
    </xf>
    <xf numFmtId="3" fontId="20" fillId="18" borderId="65" xfId="34" applyNumberFormat="1" applyFont="1" applyFill="1" applyBorder="1" applyAlignment="1">
      <alignment horizontal="center" vertical="center" wrapText="1"/>
    </xf>
    <xf numFmtId="9" fontId="20" fillId="18" borderId="65" xfId="6" applyFont="1" applyFill="1" applyBorder="1" applyAlignment="1">
      <alignment horizontal="center" vertical="center" wrapText="1"/>
    </xf>
    <xf numFmtId="14" fontId="76" fillId="34" borderId="6" xfId="0" applyNumberFormat="1" applyFont="1" applyFill="1" applyBorder="1" applyAlignment="1">
      <alignment horizontal="center" vertical="center"/>
    </xf>
    <xf numFmtId="4" fontId="20" fillId="0" borderId="2" xfId="34" applyNumberFormat="1" applyFont="1" applyFill="1" applyBorder="1" applyAlignment="1">
      <alignment horizontal="center" vertical="center" wrapText="1"/>
    </xf>
    <xf numFmtId="10" fontId="21" fillId="0" borderId="8" xfId="20" applyNumberFormat="1" applyFont="1" applyBorder="1" applyAlignment="1" applyProtection="1">
      <alignment horizontal="center" vertical="center" wrapText="1"/>
    </xf>
    <xf numFmtId="164" fontId="21" fillId="18" borderId="67" xfId="34" applyNumberFormat="1" applyFont="1" applyFill="1" applyBorder="1" applyAlignment="1" applyProtection="1">
      <alignment horizontal="center" vertical="center" wrapText="1"/>
    </xf>
    <xf numFmtId="10" fontId="21" fillId="0" borderId="67" xfId="34" applyNumberFormat="1" applyFont="1" applyBorder="1" applyAlignment="1" applyProtection="1">
      <alignment horizontal="center" vertical="center" wrapText="1"/>
    </xf>
    <xf numFmtId="164" fontId="21" fillId="18" borderId="2" xfId="20" applyNumberFormat="1" applyFont="1" applyFill="1" applyBorder="1" applyAlignment="1" applyProtection="1">
      <alignment horizontal="center" vertical="center" wrapText="1"/>
    </xf>
    <xf numFmtId="164" fontId="21" fillId="18" borderId="2" xfId="34" applyNumberFormat="1" applyFont="1" applyFill="1" applyBorder="1" applyAlignment="1" applyProtection="1">
      <alignment horizontal="center" vertical="center" wrapText="1"/>
    </xf>
    <xf numFmtId="10" fontId="21" fillId="0" borderId="2" xfId="34" applyNumberFormat="1" applyFont="1" applyBorder="1" applyAlignment="1" applyProtection="1">
      <alignment horizontal="center" vertical="center" wrapText="1"/>
    </xf>
    <xf numFmtId="164"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64" fontId="21" fillId="0" borderId="1" xfId="34" applyNumberFormat="1" applyFont="1" applyFill="1" applyBorder="1" applyAlignment="1" applyProtection="1">
      <alignment horizontal="center" vertical="center" wrapText="1"/>
    </xf>
    <xf numFmtId="0" fontId="21" fillId="0" borderId="1" xfId="34" applyFont="1" applyFill="1" applyBorder="1" applyAlignment="1" applyProtection="1">
      <alignment horizontal="center" vertical="center" wrapText="1"/>
    </xf>
    <xf numFmtId="10" fontId="21" fillId="0" borderId="1" xfId="34" applyNumberFormat="1" applyFont="1" applyFill="1" applyBorder="1" applyAlignment="1" applyProtection="1">
      <alignment horizontal="center" vertical="center" wrapText="1"/>
    </xf>
    <xf numFmtId="10"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21" fillId="0" borderId="1" xfId="20" applyNumberFormat="1" applyFont="1" applyFill="1" applyBorder="1" applyAlignment="1" applyProtection="1">
      <alignment horizontal="center" vertical="center" wrapText="1"/>
    </xf>
    <xf numFmtId="164" fontId="21" fillId="0" borderId="1" xfId="20" applyNumberFormat="1" applyFont="1" applyFill="1" applyBorder="1" applyAlignment="1" applyProtection="1">
      <alignment horizontal="center" vertical="center" wrapText="1"/>
    </xf>
    <xf numFmtId="164" fontId="21" fillId="0" borderId="1" xfId="6" applyNumberFormat="1" applyFont="1" applyFill="1" applyBorder="1" applyAlignment="1" applyProtection="1">
      <alignment horizontal="center" vertical="center" wrapText="1"/>
    </xf>
    <xf numFmtId="0" fontId="21" fillId="0" borderId="1" xfId="20" applyFont="1" applyFill="1" applyBorder="1" applyAlignment="1" applyProtection="1">
      <alignment horizontal="center" vertical="center" wrapText="1"/>
    </xf>
    <xf numFmtId="164" fontId="14" fillId="12" borderId="50" xfId="1" applyNumberFormat="1" applyFont="1" applyFill="1" applyBorder="1" applyAlignment="1">
      <alignment horizontal="center" vertical="center"/>
    </xf>
    <xf numFmtId="164" fontId="14" fillId="12" borderId="51" xfId="1" applyNumberFormat="1" applyFont="1" applyFill="1" applyBorder="1" applyAlignment="1">
      <alignment horizontal="center" vertical="center"/>
    </xf>
    <xf numFmtId="10" fontId="21" fillId="0" borderId="7" xfId="20" applyNumberFormat="1" applyFont="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0" fontId="14" fillId="12" borderId="75" xfId="1" applyFont="1" applyFill="1" applyBorder="1" applyAlignment="1">
      <alignment vertical="center"/>
    </xf>
    <xf numFmtId="164" fontId="14" fillId="12" borderId="27" xfId="1" applyNumberFormat="1" applyFont="1" applyFill="1" applyBorder="1" applyAlignment="1">
      <alignment horizontal="center" vertical="center"/>
    </xf>
    <xf numFmtId="0" fontId="81" fillId="0" borderId="2" xfId="0" applyFont="1" applyBorder="1" applyAlignment="1">
      <alignment horizontal="right" vertical="center"/>
    </xf>
    <xf numFmtId="0" fontId="14" fillId="8" borderId="75" xfId="0" applyFont="1" applyFill="1" applyBorder="1" applyAlignment="1">
      <alignment horizontal="center" vertical="center" wrapText="1"/>
    </xf>
    <xf numFmtId="0" fontId="39" fillId="0" borderId="1" xfId="0" applyFont="1" applyBorder="1" applyAlignment="1">
      <alignment vertical="center"/>
    </xf>
    <xf numFmtId="0" fontId="15" fillId="0" borderId="0" xfId="0" applyFont="1" applyAlignment="1" applyProtection="1">
      <alignment vertical="center"/>
      <protection hidden="1"/>
    </xf>
    <xf numFmtId="0" fontId="9" fillId="0" borderId="0" xfId="0" applyFont="1" applyAlignment="1" applyProtection="1">
      <alignment vertical="center"/>
      <protection hidden="1"/>
    </xf>
    <xf numFmtId="0" fontId="25" fillId="24" borderId="2" xfId="0" applyFont="1" applyFill="1" applyBorder="1" applyAlignment="1">
      <alignment horizontal="center" vertical="center"/>
    </xf>
    <xf numFmtId="0" fontId="25" fillId="24" borderId="2" xfId="0" applyFont="1" applyFill="1" applyBorder="1" applyAlignment="1">
      <alignment horizontal="center" vertical="center" wrapText="1"/>
    </xf>
    <xf numFmtId="0" fontId="81" fillId="0" borderId="1" xfId="0" applyFont="1" applyBorder="1" applyAlignment="1">
      <alignment horizontal="center" vertical="center"/>
    </xf>
    <xf numFmtId="0" fontId="14" fillId="12" borderId="1" xfId="1" applyFont="1" applyFill="1" applyBorder="1" applyAlignment="1">
      <alignment vertical="center"/>
    </xf>
    <xf numFmtId="3" fontId="39" fillId="0" borderId="55" xfId="0" applyNumberFormat="1" applyFont="1" applyBorder="1" applyAlignment="1">
      <alignment horizontal="justify" vertical="center" wrapText="1" readingOrder="1"/>
    </xf>
    <xf numFmtId="3" fontId="39" fillId="0" borderId="55" xfId="0" applyNumberFormat="1" applyFont="1" applyBorder="1" applyAlignment="1">
      <alignment horizontal="center" vertical="center" wrapText="1" readingOrder="1"/>
    </xf>
    <xf numFmtId="3" fontId="39" fillId="18" borderId="55" xfId="0" applyNumberFormat="1" applyFont="1" applyFill="1" applyBorder="1" applyAlignment="1">
      <alignment horizontal="center" vertical="center" wrapText="1" readingOrder="1"/>
    </xf>
    <xf numFmtId="9" fontId="39" fillId="0" borderId="55" xfId="6" applyFont="1" applyBorder="1" applyAlignment="1">
      <alignment horizontal="center" vertical="center" wrapText="1" readingOrder="1"/>
    </xf>
    <xf numFmtId="9" fontId="39" fillId="18" borderId="55" xfId="6" applyFont="1" applyFill="1" applyBorder="1" applyAlignment="1">
      <alignment horizontal="center" vertical="center" wrapText="1" readingOrder="1"/>
    </xf>
    <xf numFmtId="3" fontId="39" fillId="18" borderId="55" xfId="0" applyNumberFormat="1" applyFont="1" applyFill="1" applyBorder="1" applyAlignment="1">
      <alignment horizontal="justify" vertical="center" wrapText="1" readingOrder="1"/>
    </xf>
    <xf numFmtId="9" fontId="39" fillId="0" borderId="55" xfId="6" applyFont="1" applyBorder="1" applyAlignment="1">
      <alignment horizontal="justify" vertical="center" wrapText="1" readingOrder="1"/>
    </xf>
    <xf numFmtId="9" fontId="39" fillId="18" borderId="55" xfId="6" applyFont="1" applyFill="1" applyBorder="1" applyAlignment="1">
      <alignment horizontal="justify" vertical="center" wrapText="1" readingOrder="1"/>
    </xf>
    <xf numFmtId="164" fontId="37" fillId="12" borderId="78" xfId="1" applyNumberFormat="1" applyFont="1" applyFill="1" applyBorder="1" applyAlignment="1">
      <alignment horizontal="center" vertical="center"/>
    </xf>
    <xf numFmtId="0" fontId="82" fillId="0" borderId="40" xfId="0" applyFont="1" applyBorder="1" applyAlignment="1">
      <alignment horizontal="justify" vertical="center" wrapText="1"/>
    </xf>
    <xf numFmtId="10" fontId="21" fillId="0" borderId="41" xfId="20" applyNumberFormat="1" applyFont="1" applyBorder="1" applyAlignment="1" applyProtection="1">
      <alignment horizontal="center" vertical="center" wrapText="1"/>
    </xf>
    <xf numFmtId="0" fontId="82" fillId="18" borderId="40" xfId="0" applyFont="1" applyFill="1" applyBorder="1" applyAlignment="1">
      <alignment horizontal="justify" vertical="center" wrapText="1"/>
    </xf>
    <xf numFmtId="0" fontId="37" fillId="12" borderId="35" xfId="1" applyFont="1" applyFill="1" applyBorder="1" applyAlignment="1">
      <alignment horizontal="right" vertical="center"/>
    </xf>
    <xf numFmtId="0" fontId="84" fillId="3" borderId="1" xfId="0" applyFont="1" applyFill="1" applyBorder="1" applyAlignment="1">
      <alignment vertical="center"/>
    </xf>
    <xf numFmtId="0" fontId="85" fillId="3" borderId="1" xfId="0" applyFont="1" applyFill="1" applyBorder="1" applyAlignment="1">
      <alignment vertical="center"/>
    </xf>
    <xf numFmtId="0" fontId="84" fillId="3" borderId="1" xfId="0" applyFont="1" applyFill="1" applyBorder="1" applyAlignment="1" applyProtection="1">
      <alignment vertical="center"/>
      <protection hidden="1"/>
    </xf>
    <xf numFmtId="0" fontId="85" fillId="3" borderId="1" xfId="0" applyFont="1" applyFill="1" applyBorder="1" applyAlignment="1" applyProtection="1">
      <alignment vertical="center"/>
      <protection hidden="1"/>
    </xf>
    <xf numFmtId="0" fontId="58" fillId="3" borderId="1" xfId="0" applyFont="1" applyFill="1" applyBorder="1" applyAlignment="1" applyProtection="1">
      <alignment horizontal="justify" vertical="top" wrapText="1" readingOrder="1"/>
      <protection hidden="1"/>
    </xf>
    <xf numFmtId="164" fontId="57" fillId="3" borderId="1" xfId="20" applyNumberFormat="1" applyFont="1" applyFill="1" applyBorder="1" applyAlignment="1" applyProtection="1">
      <alignment horizontal="center" vertical="center" wrapText="1"/>
      <protection hidden="1"/>
    </xf>
    <xf numFmtId="164" fontId="59" fillId="3" borderId="1" xfId="0" applyNumberFormat="1" applyFont="1" applyFill="1" applyBorder="1" applyAlignment="1" applyProtection="1">
      <alignment horizontal="center" vertical="center"/>
      <protection hidden="1"/>
    </xf>
    <xf numFmtId="10" fontId="85" fillId="3" borderId="1" xfId="0" applyNumberFormat="1" applyFont="1" applyFill="1" applyBorder="1" applyAlignment="1">
      <alignment vertical="center"/>
    </xf>
    <xf numFmtId="164" fontId="39" fillId="0" borderId="55" xfId="6" applyNumberFormat="1" applyFont="1" applyBorder="1" applyAlignment="1">
      <alignment horizontal="center" vertical="center" wrapText="1" readingOrder="1"/>
    </xf>
    <xf numFmtId="4" fontId="39" fillId="0" borderId="55" xfId="0" applyNumberFormat="1" applyFont="1" applyBorder="1" applyAlignment="1">
      <alignment horizontal="center" vertical="center" wrapText="1" readingOrder="1"/>
    </xf>
    <xf numFmtId="164" fontId="39" fillId="0" borderId="4" xfId="6" applyNumberFormat="1" applyFont="1" applyBorder="1" applyAlignment="1">
      <alignment horizontal="center" vertical="center" wrapText="1" readingOrder="1"/>
    </xf>
    <xf numFmtId="9" fontId="39" fillId="0" borderId="54" xfId="6" applyFont="1" applyBorder="1" applyAlignment="1">
      <alignment horizontal="center" vertical="center" wrapText="1" readingOrder="1"/>
    </xf>
    <xf numFmtId="9" fontId="39" fillId="18" borderId="54" xfId="6" applyFont="1" applyFill="1" applyBorder="1" applyAlignment="1">
      <alignment horizontal="center" vertical="center" wrapText="1" readingOrder="1"/>
    </xf>
    <xf numFmtId="9" fontId="39" fillId="0" borderId="2" xfId="6" applyFont="1" applyBorder="1" applyAlignment="1">
      <alignment horizontal="center" vertical="center" wrapText="1" readingOrder="1"/>
    </xf>
    <xf numFmtId="164" fontId="39" fillId="0" borderId="2" xfId="6" applyNumberFormat="1" applyFont="1" applyBorder="1" applyAlignment="1">
      <alignment horizontal="center" vertical="center" wrapText="1" readingOrder="1"/>
    </xf>
    <xf numFmtId="9" fontId="39" fillId="18" borderId="2"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164" fontId="39" fillId="18" borderId="55" xfId="6" applyNumberFormat="1" applyFont="1" applyFill="1" applyBorder="1" applyAlignment="1">
      <alignment horizontal="center" vertical="center" wrapText="1" readingOrder="1"/>
    </xf>
    <xf numFmtId="0" fontId="39" fillId="18" borderId="75" xfId="0" applyFont="1" applyFill="1" applyBorder="1" applyAlignment="1">
      <alignment horizontal="justify" vertical="top" wrapText="1" readingOrder="1"/>
    </xf>
    <xf numFmtId="9" fontId="39" fillId="18" borderId="55" xfId="6" applyFont="1" applyFill="1" applyBorder="1" applyAlignment="1">
      <alignment horizontal="center" vertical="center" wrapText="1" readingOrder="1"/>
    </xf>
    <xf numFmtId="0" fontId="39" fillId="0" borderId="55" xfId="0" applyFont="1" applyBorder="1" applyAlignment="1">
      <alignment horizontal="justify" vertical="top" wrapText="1" readingOrder="1"/>
    </xf>
    <xf numFmtId="0" fontId="39" fillId="0" borderId="4" xfId="0" applyFont="1" applyBorder="1" applyAlignment="1">
      <alignment horizontal="justify" vertical="top" wrapText="1" readingOrder="1"/>
    </xf>
    <xf numFmtId="0" fontId="39" fillId="0" borderId="5" xfId="0" applyFont="1" applyBorder="1" applyAlignment="1">
      <alignment horizontal="justify" vertical="top" wrapText="1" readingOrder="1"/>
    </xf>
    <xf numFmtId="0" fontId="39" fillId="0" borderId="2" xfId="0" applyFont="1" applyBorder="1" applyAlignment="1">
      <alignment horizontal="justify" vertical="top" wrapText="1" readingOrder="1"/>
    </xf>
    <xf numFmtId="0" fontId="28" fillId="0" borderId="1" xfId="0" applyFont="1" applyBorder="1" applyAlignment="1">
      <alignment horizontal="center" vertical="center" wrapText="1"/>
    </xf>
    <xf numFmtId="0" fontId="20" fillId="0" borderId="2" xfId="0" applyFont="1" applyFill="1" applyBorder="1" applyAlignment="1">
      <alignment horizontal="justify" vertical="center" wrapText="1"/>
    </xf>
    <xf numFmtId="0" fontId="28" fillId="0" borderId="1" xfId="0" applyFont="1" applyBorder="1" applyAlignment="1">
      <alignment vertical="center" wrapText="1"/>
    </xf>
    <xf numFmtId="0" fontId="28" fillId="0" borderId="51" xfId="0" applyFont="1" applyBorder="1" applyAlignment="1">
      <alignment horizontal="center" vertical="center" wrapText="1"/>
    </xf>
    <xf numFmtId="0" fontId="86" fillId="0" borderId="51" xfId="0" applyFont="1" applyBorder="1" applyAlignment="1">
      <alignment horizontal="center" vertical="center" wrapText="1"/>
    </xf>
    <xf numFmtId="3" fontId="39" fillId="0" borderId="55" xfId="57" applyNumberFormat="1" applyFont="1" applyBorder="1" applyAlignment="1" applyProtection="1">
      <alignment horizontal="center" vertical="center" wrapText="1"/>
    </xf>
    <xf numFmtId="0" fontId="44" fillId="0" borderId="55" xfId="7" applyNumberFormat="1"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164" fontId="21" fillId="0" borderId="3" xfId="6" applyNumberFormat="1" applyFont="1" applyBorder="1" applyAlignment="1" applyProtection="1">
      <alignment horizontal="center" vertical="center" wrapText="1"/>
    </xf>
    <xf numFmtId="164" fontId="21" fillId="0" borderId="3" xfId="6" applyNumberFormat="1" applyFont="1" applyFill="1" applyBorder="1" applyAlignment="1" applyProtection="1">
      <alignment horizontal="center" vertical="center" wrapText="1"/>
    </xf>
    <xf numFmtId="4" fontId="20" fillId="0" borderId="2" xfId="20" applyNumberFormat="1" applyFont="1" applyFill="1" applyBorder="1" applyAlignment="1" applyProtection="1">
      <alignment horizontal="center" vertical="center" wrapText="1"/>
    </xf>
    <xf numFmtId="10" fontId="20" fillId="18" borderId="2" xfId="34" applyNumberFormat="1" applyFont="1" applyFill="1" applyBorder="1" applyAlignment="1" applyProtection="1">
      <alignment horizontal="center" vertical="center" wrapText="1"/>
    </xf>
    <xf numFmtId="164" fontId="24" fillId="0" borderId="0" xfId="6" applyNumberFormat="1" applyFont="1" applyFill="1" applyAlignment="1" applyProtection="1">
      <alignment horizontal="center" vertical="center"/>
      <protection hidden="1"/>
    </xf>
    <xf numFmtId="166" fontId="24" fillId="0" borderId="0" xfId="0" applyNumberFormat="1" applyFont="1" applyFill="1" applyAlignment="1" applyProtection="1">
      <alignment horizontal="center" vertical="center"/>
      <protection hidden="1"/>
    </xf>
    <xf numFmtId="4" fontId="24" fillId="0" borderId="0" xfId="0" applyNumberFormat="1" applyFont="1" applyAlignment="1" applyProtection="1">
      <alignment horizontal="center" vertical="center"/>
      <protection hidden="1"/>
    </xf>
    <xf numFmtId="10" fontId="24" fillId="0" borderId="2" xfId="8" applyNumberFormat="1" applyFont="1" applyFill="1" applyBorder="1" applyAlignment="1" applyProtection="1">
      <alignment horizontal="center" vertical="center"/>
      <protection hidden="1"/>
    </xf>
    <xf numFmtId="164" fontId="72" fillId="0" borderId="2" xfId="0" applyNumberFormat="1" applyFont="1" applyBorder="1" applyAlignment="1">
      <alignment horizontal="center" vertical="center" wrapText="1" readingOrder="1"/>
    </xf>
    <xf numFmtId="164" fontId="73" fillId="0" borderId="2" xfId="0" applyNumberFormat="1" applyFont="1" applyBorder="1" applyAlignment="1">
      <alignment horizontal="center" vertical="center" wrapText="1" readingOrder="1"/>
    </xf>
    <xf numFmtId="0" fontId="24" fillId="44" borderId="0" xfId="0" applyFont="1" applyFill="1"/>
    <xf numFmtId="0" fontId="25" fillId="0" borderId="1" xfId="0" applyFont="1" applyBorder="1"/>
    <xf numFmtId="1" fontId="24" fillId="0" borderId="1" xfId="0" applyNumberFormat="1" applyFont="1" applyBorder="1" applyAlignment="1">
      <alignment horizontal="center" vertical="center"/>
    </xf>
    <xf numFmtId="1" fontId="25" fillId="0" borderId="1" xfId="0" applyNumberFormat="1" applyFont="1" applyFill="1" applyBorder="1" applyAlignment="1">
      <alignment horizontal="center" vertical="center" wrapText="1"/>
    </xf>
    <xf numFmtId="0" fontId="88" fillId="0" borderId="1" xfId="0" applyFont="1" applyFill="1" applyBorder="1" applyAlignment="1">
      <alignment horizontal="center" vertical="center" wrapText="1"/>
    </xf>
    <xf numFmtId="1" fontId="88" fillId="0" borderId="1" xfId="0" applyNumberFormat="1" applyFont="1" applyBorder="1" applyAlignment="1">
      <alignment horizontal="center" vertical="center"/>
    </xf>
    <xf numFmtId="0" fontId="87" fillId="0" borderId="1" xfId="0" applyFont="1" applyBorder="1" applyAlignment="1">
      <alignment horizontal="center" vertical="center"/>
    </xf>
    <xf numFmtId="9" fontId="87" fillId="0" borderId="1" xfId="6" applyFont="1" applyBorder="1" applyAlignment="1">
      <alignment horizontal="center" vertical="center"/>
    </xf>
    <xf numFmtId="0" fontId="87" fillId="0" borderId="1" xfId="0" applyFont="1" applyBorder="1"/>
    <xf numFmtId="3" fontId="39" fillId="0" borderId="55" xfId="0" applyNumberFormat="1" applyFont="1" applyFill="1" applyBorder="1" applyAlignment="1">
      <alignment horizontal="center" vertical="center" wrapText="1" readingOrder="1"/>
    </xf>
    <xf numFmtId="9" fontId="39" fillId="0" borderId="55" xfId="6" applyFont="1" applyFill="1" applyBorder="1" applyAlignment="1">
      <alignment horizontal="center" vertical="center" wrapText="1" readingOrder="1"/>
    </xf>
    <xf numFmtId="9" fontId="20" fillId="3" borderId="2" xfId="6" applyFont="1" applyFill="1" applyBorder="1" applyAlignment="1">
      <alignment horizontal="center" vertical="center" wrapText="1"/>
    </xf>
    <xf numFmtId="0" fontId="89" fillId="0" borderId="2" xfId="0" applyFont="1" applyBorder="1" applyAlignment="1">
      <alignment horizontal="center" vertical="center"/>
    </xf>
    <xf numFmtId="0" fontId="44" fillId="0" borderId="55" xfId="7" applyNumberFormat="1" applyFont="1" applyFill="1" applyBorder="1" applyAlignment="1" applyProtection="1">
      <alignment horizontal="center" vertical="center" wrapText="1"/>
      <protection locked="0"/>
    </xf>
    <xf numFmtId="0" fontId="44" fillId="0" borderId="55" xfId="7" applyNumberFormat="1" applyFont="1" applyBorder="1" applyAlignment="1" applyProtection="1">
      <alignment horizontal="center" vertical="center" wrapText="1"/>
      <protection locked="0"/>
    </xf>
    <xf numFmtId="3" fontId="39" fillId="0" borderId="55" xfId="57" applyNumberFormat="1" applyFont="1" applyFill="1" applyBorder="1" applyAlignment="1" applyProtection="1">
      <alignment horizontal="center" vertical="center" wrapText="1"/>
      <protection locked="0"/>
    </xf>
    <xf numFmtId="3" fontId="39" fillId="18" borderId="55" xfId="57" applyNumberFormat="1" applyFont="1" applyFill="1" applyBorder="1" applyAlignment="1" applyProtection="1">
      <alignment horizontal="center" vertical="center" wrapText="1"/>
    </xf>
    <xf numFmtId="3" fontId="39" fillId="0" borderId="2" xfId="57" applyNumberFormat="1" applyFont="1" applyFill="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39" fillId="0" borderId="55" xfId="7" applyNumberFormat="1" applyFont="1" applyBorder="1" applyAlignment="1" applyProtection="1">
      <alignment horizontal="center" vertical="center" wrapText="1"/>
    </xf>
    <xf numFmtId="0" fontId="69" fillId="0" borderId="0" xfId="0" applyFont="1" applyFill="1" applyProtection="1">
      <protection hidden="1"/>
    </xf>
    <xf numFmtId="3" fontId="24" fillId="0" borderId="2" xfId="0" applyNumberFormat="1" applyFont="1" applyFill="1" applyBorder="1" applyAlignment="1" applyProtection="1">
      <alignment horizontal="center" vertical="center" wrapText="1"/>
      <protection locked="0"/>
    </xf>
    <xf numFmtId="3" fontId="24" fillId="5" borderId="2" xfId="0" applyNumberFormat="1" applyFont="1" applyFill="1" applyBorder="1" applyAlignment="1" applyProtection="1">
      <alignment horizontal="center" vertical="center" wrapText="1"/>
      <protection locked="0"/>
    </xf>
    <xf numFmtId="0" fontId="25" fillId="9" borderId="46" xfId="0" applyFont="1" applyFill="1" applyBorder="1" applyAlignment="1">
      <alignment horizontal="center" vertical="center"/>
    </xf>
    <xf numFmtId="0" fontId="9" fillId="0" borderId="0" xfId="0" applyFont="1" applyFill="1" applyAlignment="1" applyProtection="1">
      <alignment vertical="center"/>
    </xf>
    <xf numFmtId="164" fontId="20" fillId="0" borderId="2" xfId="6" applyNumberFormat="1" applyFont="1" applyFill="1" applyBorder="1" applyAlignment="1" applyProtection="1">
      <alignment horizontal="center" vertical="center" wrapText="1"/>
    </xf>
    <xf numFmtId="164" fontId="20" fillId="0" borderId="2" xfId="20" applyNumberFormat="1" applyFont="1" applyBorder="1" applyAlignment="1" applyProtection="1">
      <alignment horizontal="center" vertical="center" wrapText="1"/>
    </xf>
    <xf numFmtId="9" fontId="21" fillId="7" borderId="3" xfId="6" applyNumberFormat="1" applyFont="1" applyFill="1" applyBorder="1" applyAlignment="1" applyProtection="1">
      <alignment horizontal="center" vertical="center"/>
    </xf>
    <xf numFmtId="164" fontId="24" fillId="0" borderId="2" xfId="6" applyNumberFormat="1" applyFont="1" applyBorder="1" applyAlignment="1" applyProtection="1">
      <alignment horizontal="center" vertical="center"/>
      <protection hidden="1"/>
    </xf>
    <xf numFmtId="0" fontId="90" fillId="0" borderId="0" xfId="0" applyFont="1" applyAlignment="1">
      <alignment vertical="center"/>
    </xf>
    <xf numFmtId="0" fontId="91" fillId="0" borderId="0" xfId="0" applyFont="1" applyAlignment="1">
      <alignment vertical="center"/>
    </xf>
    <xf numFmtId="0" fontId="90" fillId="3" borderId="1" xfId="0" applyFont="1" applyFill="1" applyBorder="1" applyAlignment="1">
      <alignment vertical="center"/>
    </xf>
    <xf numFmtId="0" fontId="91" fillId="3" borderId="1" xfId="0" applyFont="1" applyFill="1" applyBorder="1" applyAlignment="1">
      <alignment vertical="center"/>
    </xf>
    <xf numFmtId="0" fontId="39" fillId="0" borderId="55" xfId="0" applyFont="1" applyBorder="1" applyAlignment="1">
      <alignment horizontal="justify" vertical="center" wrapText="1" readingOrder="1"/>
    </xf>
    <xf numFmtId="0" fontId="39" fillId="18" borderId="55" xfId="0" applyFont="1" applyFill="1" applyBorder="1" applyAlignment="1">
      <alignment horizontal="justify" vertical="center" wrapText="1" readingOrder="1"/>
    </xf>
    <xf numFmtId="0" fontId="39" fillId="0" borderId="2" xfId="0" applyFont="1" applyBorder="1" applyAlignment="1">
      <alignment horizontal="justify" vertical="center" wrapText="1" readingOrder="1"/>
    </xf>
    <xf numFmtId="0" fontId="39" fillId="18" borderId="2" xfId="0" applyFont="1" applyFill="1" applyBorder="1" applyAlignment="1">
      <alignment horizontal="justify" vertical="center" wrapText="1" readingOrder="1"/>
    </xf>
    <xf numFmtId="0" fontId="42" fillId="0" borderId="2" xfId="0" applyFont="1" applyBorder="1" applyAlignment="1">
      <alignment horizontal="justify" vertical="center" wrapText="1"/>
    </xf>
    <xf numFmtId="0" fontId="42" fillId="3" borderId="2" xfId="0" applyFont="1" applyFill="1" applyBorder="1" applyAlignment="1">
      <alignment horizontal="justify" vertical="center" wrapText="1"/>
    </xf>
    <xf numFmtId="0" fontId="78" fillId="39" borderId="67" xfId="0" applyFont="1" applyFill="1" applyBorder="1" applyAlignment="1">
      <alignment vertical="center"/>
    </xf>
    <xf numFmtId="0" fontId="78" fillId="39" borderId="1" xfId="0" applyFont="1" applyFill="1" applyBorder="1" applyAlignment="1">
      <alignment vertical="center"/>
    </xf>
    <xf numFmtId="0" fontId="78" fillId="39" borderId="47" xfId="0" applyFont="1" applyFill="1" applyBorder="1" applyAlignment="1">
      <alignment vertical="center"/>
    </xf>
    <xf numFmtId="168" fontId="24" fillId="39" borderId="76" xfId="0" applyNumberFormat="1" applyFont="1" applyFill="1" applyBorder="1" applyAlignment="1">
      <alignment horizontal="left"/>
    </xf>
    <xf numFmtId="168" fontId="24" fillId="39" borderId="83" xfId="0" applyNumberFormat="1" applyFont="1" applyFill="1" applyBorder="1"/>
    <xf numFmtId="0" fontId="25" fillId="39" borderId="6" xfId="0" applyFont="1" applyFill="1" applyBorder="1" applyAlignment="1">
      <alignment horizontal="left"/>
    </xf>
    <xf numFmtId="164" fontId="52" fillId="9" borderId="2" xfId="6" applyNumberFormat="1" applyFont="1" applyFill="1" applyBorder="1" applyAlignment="1" applyProtection="1">
      <alignment horizontal="center"/>
    </xf>
    <xf numFmtId="0" fontId="25" fillId="15" borderId="2" xfId="0" applyFont="1" applyFill="1" applyBorder="1" applyAlignment="1">
      <alignment vertical="center" wrapText="1"/>
    </xf>
    <xf numFmtId="0" fontId="25" fillId="3" borderId="55" xfId="23" applyFont="1" applyFill="1" applyBorder="1" applyAlignment="1">
      <alignment horizontal="left"/>
    </xf>
    <xf numFmtId="0" fontId="25" fillId="3" borderId="80" xfId="23" applyFont="1" applyFill="1" applyBorder="1" applyAlignment="1">
      <alignment horizontal="left"/>
    </xf>
    <xf numFmtId="0" fontId="24" fillId="3" borderId="75" xfId="23" applyFont="1" applyFill="1" applyBorder="1" applyAlignment="1">
      <alignment horizontal="left"/>
    </xf>
    <xf numFmtId="0" fontId="24" fillId="3" borderId="81" xfId="23" applyFont="1" applyFill="1" applyBorder="1" applyAlignment="1">
      <alignment horizontal="center"/>
    </xf>
    <xf numFmtId="0" fontId="25" fillId="9" borderId="2" xfId="23" applyFont="1" applyFill="1" applyBorder="1" applyAlignment="1">
      <alignment horizontal="center" vertical="center"/>
    </xf>
    <xf numFmtId="9" fontId="20" fillId="0" borderId="2" xfId="20" applyNumberFormat="1" applyFont="1" applyFill="1" applyBorder="1" applyAlignment="1" applyProtection="1">
      <alignment horizontal="center" vertical="center" wrapText="1"/>
    </xf>
    <xf numFmtId="9" fontId="25" fillId="0" borderId="62" xfId="0" applyNumberFormat="1" applyFont="1" applyBorder="1" applyAlignment="1">
      <alignment horizontal="center" vertical="center" wrapText="1"/>
    </xf>
    <xf numFmtId="164" fontId="20" fillId="18" borderId="2" xfId="0" applyNumberFormat="1" applyFont="1" applyFill="1" applyBorder="1" applyAlignment="1" applyProtection="1">
      <alignment horizontal="center" vertical="center" wrapText="1"/>
    </xf>
    <xf numFmtId="164" fontId="39" fillId="18" borderId="3" xfId="6" applyNumberFormat="1" applyFont="1" applyFill="1" applyBorder="1" applyAlignment="1" applyProtection="1">
      <alignment horizontal="center" vertical="center"/>
    </xf>
    <xf numFmtId="0" fontId="20" fillId="0" borderId="3" xfId="0" applyFont="1" applyBorder="1" applyAlignment="1" applyProtection="1">
      <alignment horizontal="center" vertical="center" wrapText="1"/>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24" fillId="18" borderId="2" xfId="0" applyFont="1" applyFill="1" applyBorder="1" applyAlignment="1" applyProtection="1">
      <alignment horizontal="justify" vertical="center" wrapText="1"/>
    </xf>
    <xf numFmtId="9" fontId="24" fillId="18" borderId="2" xfId="6" applyFont="1" applyFill="1" applyBorder="1" applyAlignment="1" applyProtection="1">
      <alignment horizontal="center" vertical="center" wrapText="1"/>
    </xf>
    <xf numFmtId="9" fontId="24" fillId="18" borderId="2" xfId="0" applyNumberFormat="1" applyFont="1" applyFill="1" applyBorder="1" applyAlignment="1" applyProtection="1">
      <alignment horizontal="center" vertical="center" wrapText="1"/>
    </xf>
    <xf numFmtId="0" fontId="24" fillId="18" borderId="3" xfId="0" applyFont="1" applyFill="1" applyBorder="1" applyAlignment="1" applyProtection="1">
      <alignment horizontal="center" vertical="center" wrapText="1"/>
    </xf>
    <xf numFmtId="0" fontId="24" fillId="18" borderId="2" xfId="0" applyNumberFormat="1" applyFont="1" applyFill="1" applyBorder="1" applyAlignment="1" applyProtection="1">
      <alignment horizontal="justify" vertical="center" wrapText="1"/>
    </xf>
    <xf numFmtId="0" fontId="24" fillId="18" borderId="2" xfId="20" applyFont="1" applyFill="1" applyBorder="1" applyAlignment="1" applyProtection="1">
      <alignment horizontal="justify" vertical="center" wrapText="1"/>
    </xf>
    <xf numFmtId="0" fontId="24" fillId="18" borderId="2" xfId="0" applyNumberFormat="1" applyFont="1" applyFill="1" applyBorder="1" applyAlignment="1" applyProtection="1">
      <alignment horizontal="center" vertical="center" wrapText="1"/>
    </xf>
    <xf numFmtId="0" fontId="20" fillId="0" borderId="55" xfId="0" applyFont="1" applyBorder="1" applyAlignment="1" applyProtection="1">
      <alignment horizontal="justify" vertical="center" wrapText="1"/>
    </xf>
    <xf numFmtId="0" fontId="20" fillId="0" borderId="65" xfId="0" applyFont="1" applyBorder="1" applyAlignment="1" applyProtection="1">
      <alignment horizontal="justify" vertical="center" wrapText="1"/>
    </xf>
    <xf numFmtId="0" fontId="20" fillId="0" borderId="55" xfId="36" applyNumberFormat="1" applyFont="1" applyBorder="1" applyAlignment="1" applyProtection="1">
      <alignment horizontal="center" vertical="center" wrapText="1"/>
    </xf>
    <xf numFmtId="9" fontId="42" fillId="18" borderId="2" xfId="5" applyNumberFormat="1" applyFont="1" applyFill="1" applyBorder="1" applyAlignment="1" applyProtection="1">
      <alignment horizontal="center" vertical="center" wrapText="1"/>
    </xf>
    <xf numFmtId="9" fontId="21" fillId="0" borderId="55" xfId="8" applyFont="1" applyBorder="1" applyAlignment="1" applyProtection="1">
      <alignment horizontal="center" vertical="center" wrapText="1"/>
    </xf>
    <xf numFmtId="10" fontId="21" fillId="0" borderId="55" xfId="8" applyNumberFormat="1" applyFont="1" applyBorder="1" applyAlignment="1" applyProtection="1">
      <alignment horizontal="center" vertical="center" wrapText="1"/>
    </xf>
    <xf numFmtId="164" fontId="21" fillId="0" borderId="55" xfId="8" applyNumberFormat="1" applyFont="1" applyBorder="1" applyAlignment="1" applyProtection="1">
      <alignment horizontal="center" vertical="center" wrapText="1"/>
    </xf>
    <xf numFmtId="0" fontId="21" fillId="0" borderId="55" xfId="57" applyNumberFormat="1" applyFont="1" applyBorder="1" applyAlignment="1" applyProtection="1">
      <alignment horizontal="center" vertical="center" wrapText="1"/>
    </xf>
    <xf numFmtId="9" fontId="21" fillId="0" borderId="55" xfId="8" applyFont="1" applyFill="1" applyBorder="1" applyAlignment="1" applyProtection="1">
      <alignment horizontal="center" vertical="center" wrapText="1"/>
    </xf>
    <xf numFmtId="10" fontId="21" fillId="0" borderId="55" xfId="8" applyNumberFormat="1" applyFont="1" applyFill="1" applyBorder="1" applyAlignment="1" applyProtection="1">
      <alignment horizontal="center" vertical="center" wrapText="1"/>
    </xf>
    <xf numFmtId="0" fontId="21" fillId="0" borderId="55" xfId="57" applyNumberFormat="1" applyFont="1" applyFill="1" applyBorder="1" applyAlignment="1" applyProtection="1">
      <alignment horizontal="center" vertical="center" wrapText="1"/>
    </xf>
    <xf numFmtId="0" fontId="39" fillId="0" borderId="55" xfId="36" applyNumberFormat="1" applyFont="1" applyBorder="1" applyAlignment="1" applyProtection="1">
      <alignment horizontal="center" vertical="center" wrapText="1"/>
    </xf>
    <xf numFmtId="0" fontId="21" fillId="0" borderId="55" xfId="57" applyNumberFormat="1" applyFont="1" applyBorder="1" applyAlignment="1" applyProtection="1">
      <alignment horizontal="center" vertical="center" wrapText="1"/>
      <protection locked="0"/>
    </xf>
    <xf numFmtId="0" fontId="21" fillId="0" borderId="55" xfId="57" applyNumberFormat="1" applyFont="1" applyFill="1" applyBorder="1" applyAlignment="1" applyProtection="1">
      <alignment horizontal="center" vertical="center" wrapText="1"/>
      <protection locked="0"/>
    </xf>
    <xf numFmtId="0" fontId="39" fillId="0" borderId="55" xfId="36" applyNumberFormat="1" applyFont="1" applyFill="1" applyBorder="1" applyAlignment="1" applyProtection="1">
      <alignment horizontal="center" vertical="center" wrapText="1"/>
    </xf>
    <xf numFmtId="9" fontId="39" fillId="0" borderId="55" xfId="8" applyFont="1" applyBorder="1" applyAlignment="1" applyProtection="1">
      <alignment horizontal="center" vertical="center" wrapText="1"/>
    </xf>
    <xf numFmtId="0" fontId="20" fillId="0" borderId="6" xfId="34" applyFont="1" applyBorder="1" applyAlignment="1">
      <alignment horizontal="center" vertical="center" wrapText="1"/>
    </xf>
    <xf numFmtId="3" fontId="20" fillId="0" borderId="6" xfId="34" applyNumberFormat="1" applyFont="1" applyBorder="1" applyAlignment="1">
      <alignment horizontal="center" vertical="center" wrapText="1"/>
    </xf>
    <xf numFmtId="0" fontId="20" fillId="0" borderId="55" xfId="0" applyFont="1" applyBorder="1" applyAlignment="1">
      <alignment horizontal="center" vertical="center" wrapText="1"/>
    </xf>
    <xf numFmtId="0" fontId="20" fillId="0" borderId="2" xfId="34" applyFont="1" applyBorder="1" applyAlignment="1">
      <alignment horizontal="justify" vertical="center" wrapText="1"/>
    </xf>
    <xf numFmtId="9" fontId="44" fillId="0" borderId="55" xfId="8" applyFont="1" applyBorder="1" applyAlignment="1" applyProtection="1">
      <alignment horizontal="center" vertical="center" wrapText="1"/>
    </xf>
    <xf numFmtId="0" fontId="44" fillId="0" borderId="55" xfId="7" applyNumberFormat="1" applyFont="1" applyFill="1" applyBorder="1" applyAlignment="1" applyProtection="1">
      <alignment horizontal="center" vertical="center" wrapText="1"/>
    </xf>
    <xf numFmtId="0" fontId="21" fillId="0" borderId="55" xfId="7" applyNumberFormat="1" applyFont="1" applyBorder="1" applyAlignment="1" applyProtection="1">
      <alignment horizontal="center" vertical="center" wrapText="1"/>
    </xf>
    <xf numFmtId="0" fontId="21" fillId="0" borderId="55" xfId="7" applyNumberFormat="1" applyFont="1" applyFill="1" applyBorder="1" applyAlignment="1" applyProtection="1">
      <alignment horizontal="center" vertical="center" wrapText="1"/>
    </xf>
    <xf numFmtId="0" fontId="21" fillId="0" borderId="55" xfId="0" applyFont="1" applyBorder="1" applyAlignment="1">
      <alignment horizontal="center" vertical="center" wrapText="1"/>
    </xf>
    <xf numFmtId="9" fontId="39" fillId="0" borderId="55" xfId="7" applyNumberFormat="1" applyFont="1" applyBorder="1" applyAlignment="1" applyProtection="1">
      <alignment horizontal="center" vertical="center" wrapText="1"/>
    </xf>
    <xf numFmtId="2" fontId="39" fillId="0" borderId="55" xfId="7" applyNumberFormat="1" applyFont="1" applyBorder="1" applyAlignment="1" applyProtection="1">
      <alignment horizontal="center" vertical="center" wrapText="1"/>
    </xf>
    <xf numFmtId="2" fontId="39" fillId="0" borderId="55" xfId="8" applyNumberFormat="1" applyFont="1" applyBorder="1" applyAlignment="1" applyProtection="1">
      <alignment horizontal="center" vertical="center" wrapText="1"/>
    </xf>
    <xf numFmtId="10" fontId="39" fillId="0" borderId="55" xfId="7" applyNumberFormat="1" applyFont="1" applyBorder="1" applyAlignment="1" applyProtection="1">
      <alignment horizontal="center" vertical="center" wrapText="1"/>
    </xf>
    <xf numFmtId="164" fontId="39" fillId="0" borderId="55" xfId="8" applyNumberFormat="1" applyFont="1" applyBorder="1" applyAlignment="1" applyProtection="1">
      <alignment horizontal="center" vertical="center" wrapText="1"/>
    </xf>
    <xf numFmtId="0" fontId="39" fillId="0" borderId="55" xfId="7" applyNumberFormat="1" applyFont="1" applyFill="1" applyBorder="1" applyAlignment="1" applyProtection="1">
      <alignment horizontal="center" vertical="center" wrapText="1"/>
    </xf>
    <xf numFmtId="2" fontId="39" fillId="0" borderId="55" xfId="7" applyNumberFormat="1" applyFont="1" applyFill="1" applyBorder="1" applyAlignment="1" applyProtection="1">
      <alignment horizontal="center" vertical="center" wrapText="1"/>
    </xf>
    <xf numFmtId="9" fontId="58" fillId="0" borderId="55" xfId="8" applyFont="1" applyBorder="1" applyAlignment="1" applyProtection="1">
      <alignment horizontal="center" vertical="center" wrapText="1"/>
    </xf>
    <xf numFmtId="10" fontId="39" fillId="3" borderId="55" xfId="36" applyNumberFormat="1" applyFont="1" applyFill="1" applyBorder="1" applyAlignment="1" applyProtection="1">
      <alignment horizontal="center" vertical="center" wrapText="1"/>
    </xf>
    <xf numFmtId="10" fontId="39" fillId="0" borderId="55" xfId="36" applyNumberFormat="1" applyFont="1" applyBorder="1" applyAlignment="1" applyProtection="1">
      <alignment horizontal="center" vertical="center" wrapText="1"/>
    </xf>
    <xf numFmtId="10" fontId="39" fillId="0" borderId="55" xfId="8" applyNumberFormat="1" applyFont="1" applyBorder="1" applyAlignment="1" applyProtection="1">
      <alignment horizontal="center" vertical="center" wrapText="1"/>
    </xf>
    <xf numFmtId="0" fontId="39" fillId="0" borderId="55" xfId="37" applyNumberFormat="1" applyFont="1" applyBorder="1" applyAlignment="1" applyProtection="1">
      <alignment horizontal="center" vertical="center" wrapText="1"/>
    </xf>
    <xf numFmtId="0" fontId="39" fillId="0" borderId="55" xfId="38" applyNumberFormat="1" applyFont="1" applyBorder="1" applyAlignment="1" applyProtection="1">
      <alignment horizontal="center" vertical="center" wrapText="1"/>
    </xf>
    <xf numFmtId="10" fontId="39" fillId="0" borderId="55" xfId="36" applyNumberFormat="1" applyFont="1" applyFill="1" applyBorder="1" applyAlignment="1" applyProtection="1">
      <alignment horizontal="center" vertical="center" wrapText="1"/>
    </xf>
    <xf numFmtId="0" fontId="39" fillId="0" borderId="55" xfId="39" applyNumberFormat="1" applyFont="1" applyBorder="1" applyAlignment="1" applyProtection="1">
      <alignment horizontal="center" vertical="center" wrapText="1"/>
    </xf>
    <xf numFmtId="0" fontId="39" fillId="0" borderId="55" xfId="39" applyNumberFormat="1" applyFont="1" applyFill="1" applyBorder="1" applyAlignment="1" applyProtection="1">
      <alignment horizontal="center" vertical="center" wrapText="1"/>
    </xf>
    <xf numFmtId="0" fontId="39" fillId="0" borderId="55" xfId="40" applyNumberFormat="1" applyFont="1" applyBorder="1" applyAlignment="1" applyProtection="1">
      <alignment horizontal="center" vertical="center" wrapText="1"/>
    </xf>
    <xf numFmtId="3" fontId="39" fillId="7" borderId="3" xfId="8" applyNumberFormat="1" applyFont="1" applyFill="1" applyBorder="1" applyAlignment="1" applyProtection="1">
      <alignment horizontal="center" vertical="center"/>
    </xf>
    <xf numFmtId="164" fontId="39" fillId="0" borderId="55" xfId="8" applyNumberFormat="1" applyFont="1" applyFill="1" applyBorder="1" applyAlignment="1" applyProtection="1">
      <alignment horizontal="center" vertical="center" wrapText="1"/>
    </xf>
    <xf numFmtId="9" fontId="39" fillId="0" borderId="55" xfId="8" applyFont="1" applyFill="1" applyBorder="1" applyAlignment="1" applyProtection="1">
      <alignment horizontal="center" vertical="center" wrapText="1"/>
    </xf>
    <xf numFmtId="9" fontId="39" fillId="7" borderId="55" xfId="8" applyFont="1" applyFill="1" applyBorder="1" applyAlignment="1" applyProtection="1">
      <alignment horizontal="center" vertical="center"/>
    </xf>
    <xf numFmtId="0" fontId="20" fillId="0" borderId="6" xfId="34" applyFont="1" applyBorder="1" applyAlignment="1">
      <alignment horizontal="left" vertical="center" wrapText="1"/>
    </xf>
    <xf numFmtId="9" fontId="39" fillId="0" borderId="55" xfId="36" applyNumberFormat="1" applyFont="1" applyBorder="1" applyAlignment="1" applyProtection="1">
      <alignment horizontal="center" vertical="center" wrapText="1"/>
    </xf>
    <xf numFmtId="9" fontId="20" fillId="0" borderId="55" xfId="7" applyNumberFormat="1" applyFont="1" applyBorder="1" applyAlignment="1" applyProtection="1">
      <alignment horizontal="center" vertical="center" wrapText="1"/>
    </xf>
    <xf numFmtId="0" fontId="20" fillId="0" borderId="55" xfId="7" applyNumberFormat="1" applyFont="1" applyBorder="1" applyAlignment="1" applyProtection="1">
      <alignment horizontal="center" vertical="center" wrapText="1"/>
    </xf>
    <xf numFmtId="0" fontId="20" fillId="0" borderId="55" xfId="7" applyNumberFormat="1" applyFont="1" applyFill="1" applyBorder="1" applyAlignment="1" applyProtection="1">
      <alignment horizontal="center" vertical="center" wrapText="1"/>
    </xf>
    <xf numFmtId="0" fontId="14" fillId="0" borderId="0" xfId="0" applyFont="1"/>
    <xf numFmtId="0" fontId="93" fillId="25" borderId="2" xfId="0" applyFont="1" applyFill="1" applyBorder="1" applyAlignment="1">
      <alignment horizontal="justify" vertical="center"/>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14" fontId="94" fillId="0" borderId="0" xfId="0" applyNumberFormat="1" applyFont="1" applyAlignment="1">
      <alignment horizontal="center"/>
    </xf>
    <xf numFmtId="0" fontId="25" fillId="29"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wrapText="1"/>
      <protection hidden="1"/>
    </xf>
    <xf numFmtId="0" fontId="69" fillId="0" borderId="0" xfId="0" applyFont="1" applyAlignment="1" applyProtection="1">
      <alignment horizontal="right"/>
      <protection hidden="1"/>
    </xf>
    <xf numFmtId="10" fontId="21" fillId="0" borderId="3" xfId="8" applyNumberFormat="1" applyFont="1" applyBorder="1" applyAlignment="1" applyProtection="1">
      <alignment horizontal="center" vertical="center" wrapText="1"/>
    </xf>
    <xf numFmtId="9" fontId="39" fillId="7" borderId="3" xfId="8" applyNumberFormat="1" applyFont="1" applyFill="1" applyBorder="1" applyAlignment="1" applyProtection="1">
      <alignment horizontal="center" vertical="center"/>
    </xf>
    <xf numFmtId="164" fontId="39" fillId="0" borderId="55" xfId="36" applyNumberFormat="1" applyFont="1" applyBorder="1" applyAlignment="1" applyProtection="1">
      <alignment horizontal="center" vertical="center" wrapText="1"/>
    </xf>
    <xf numFmtId="164" fontId="20" fillId="0" borderId="55" xfId="7" applyNumberFormat="1" applyFont="1" applyBorder="1" applyAlignment="1" applyProtection="1">
      <alignment horizontal="center" vertical="center" wrapText="1"/>
    </xf>
    <xf numFmtId="4" fontId="95" fillId="7" borderId="3" xfId="8" applyNumberFormat="1" applyFont="1" applyFill="1" applyBorder="1" applyAlignment="1" applyProtection="1">
      <alignment horizontal="center" vertical="center"/>
    </xf>
    <xf numFmtId="3" fontId="95" fillId="7" borderId="3" xfId="8" applyNumberFormat="1" applyFont="1" applyFill="1" applyBorder="1" applyAlignment="1" applyProtection="1">
      <alignment horizontal="center" vertical="center"/>
    </xf>
    <xf numFmtId="9" fontId="53" fillId="5" borderId="3" xfId="8" applyFont="1" applyFill="1" applyBorder="1" applyAlignment="1" applyProtection="1">
      <alignment horizontal="center" vertical="center"/>
    </xf>
    <xf numFmtId="9" fontId="57" fillId="0" borderId="3" xfId="8" applyFont="1" applyFill="1" applyBorder="1" applyAlignment="1" applyProtection="1">
      <alignment horizontal="center" vertical="center"/>
    </xf>
    <xf numFmtId="164" fontId="57" fillId="0" borderId="3" xfId="8" applyNumberFormat="1" applyFont="1" applyFill="1" applyBorder="1" applyAlignment="1" applyProtection="1">
      <alignment horizontal="center" vertical="center"/>
    </xf>
    <xf numFmtId="164" fontId="95" fillId="7" borderId="3" xfId="6" applyNumberFormat="1" applyFont="1" applyFill="1" applyBorder="1" applyAlignment="1" applyProtection="1">
      <alignment horizontal="center" vertical="center"/>
    </xf>
    <xf numFmtId="3" fontId="96" fillId="7" borderId="3" xfId="0" applyNumberFormat="1" applyFont="1" applyFill="1" applyBorder="1" applyAlignment="1" applyProtection="1">
      <alignment horizontal="center" vertical="center"/>
    </xf>
    <xf numFmtId="9" fontId="57" fillId="0" borderId="3" xfId="6" applyFont="1" applyFill="1" applyBorder="1" applyAlignment="1" applyProtection="1">
      <alignment horizontal="center" vertical="center"/>
    </xf>
    <xf numFmtId="164" fontId="57" fillId="0" borderId="3" xfId="6" applyNumberFormat="1" applyFont="1" applyFill="1" applyBorder="1" applyAlignment="1" applyProtection="1">
      <alignment horizontal="center" vertical="center"/>
    </xf>
    <xf numFmtId="9" fontId="58" fillId="0" borderId="3" xfId="6" applyFont="1" applyBorder="1" applyAlignment="1" applyProtection="1">
      <alignment horizontal="center" vertical="center" wrapText="1"/>
    </xf>
    <xf numFmtId="9" fontId="95" fillId="7" borderId="3" xfId="6" applyFont="1" applyFill="1" applyBorder="1" applyAlignment="1" applyProtection="1">
      <alignment horizontal="center" vertical="center"/>
    </xf>
    <xf numFmtId="9" fontId="57" fillId="0" borderId="3" xfId="8" applyNumberFormat="1" applyFont="1" applyFill="1" applyBorder="1" applyAlignment="1" applyProtection="1">
      <alignment horizontal="center" vertical="center"/>
    </xf>
    <xf numFmtId="9" fontId="58" fillId="0" borderId="55" xfId="6" applyFont="1" applyBorder="1" applyAlignment="1" applyProtection="1">
      <alignment horizontal="center" vertical="center" wrapText="1"/>
    </xf>
    <xf numFmtId="10" fontId="95" fillId="7" borderId="3" xfId="6" applyNumberFormat="1" applyFont="1" applyFill="1" applyBorder="1" applyAlignment="1" applyProtection="1">
      <alignment horizontal="center" vertical="center"/>
    </xf>
    <xf numFmtId="164" fontId="57" fillId="0" borderId="2" xfId="8" applyNumberFormat="1" applyFont="1" applyFill="1" applyBorder="1" applyAlignment="1" applyProtection="1">
      <alignment horizontal="center" vertical="center"/>
    </xf>
    <xf numFmtId="164" fontId="58" fillId="0" borderId="2" xfId="6" applyNumberFormat="1" applyFont="1" applyBorder="1" applyAlignment="1" applyProtection="1">
      <alignment horizontal="center" vertical="center" wrapText="1"/>
    </xf>
    <xf numFmtId="164" fontId="58" fillId="0" borderId="55" xfId="8" applyNumberFormat="1" applyFont="1" applyBorder="1" applyAlignment="1" applyProtection="1">
      <alignment horizontal="center" vertical="center" wrapText="1"/>
    </xf>
    <xf numFmtId="0" fontId="58" fillId="0" borderId="55" xfId="7" applyNumberFormat="1" applyFont="1" applyBorder="1" applyAlignment="1" applyProtection="1">
      <alignment horizontal="center" vertical="center" wrapText="1"/>
    </xf>
    <xf numFmtId="164" fontId="59" fillId="0" borderId="55" xfId="8" applyNumberFormat="1" applyFont="1" applyBorder="1" applyAlignment="1" applyProtection="1">
      <alignment horizontal="center" vertical="center" wrapText="1"/>
    </xf>
    <xf numFmtId="9" fontId="58" fillId="0" borderId="3" xfId="6" applyFont="1" applyBorder="1" applyAlignment="1" applyProtection="1">
      <alignment horizontal="center" vertical="center" wrapText="1"/>
      <protection locked="0"/>
    </xf>
    <xf numFmtId="10" fontId="57" fillId="0" borderId="3" xfId="8" applyNumberFormat="1" applyFont="1" applyFill="1" applyBorder="1" applyAlignment="1" applyProtection="1">
      <alignment horizontal="center" vertical="center"/>
    </xf>
    <xf numFmtId="3" fontId="95" fillId="7" borderId="3" xfId="6" applyNumberFormat="1" applyFont="1" applyFill="1" applyBorder="1" applyAlignment="1" applyProtection="1">
      <alignment horizontal="center" vertical="center"/>
    </xf>
    <xf numFmtId="0" fontId="25" fillId="25"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43" fillId="0" borderId="1" xfId="0" applyFont="1" applyBorder="1" applyAlignment="1">
      <alignment horizontal="center"/>
    </xf>
    <xf numFmtId="0" fontId="43" fillId="0" borderId="1" xfId="0" applyFont="1" applyBorder="1" applyAlignment="1" applyProtection="1">
      <alignment horizontal="center"/>
      <protection hidden="1"/>
    </xf>
    <xf numFmtId="0" fontId="29" fillId="34" borderId="57"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166" fontId="24" fillId="0" borderId="2" xfId="0" applyNumberFormat="1" applyFont="1" applyFill="1" applyBorder="1" applyAlignment="1" applyProtection="1">
      <alignment horizontal="center" vertical="center"/>
      <protection hidden="1"/>
    </xf>
    <xf numFmtId="164" fontId="20" fillId="0" borderId="2" xfId="6" applyNumberFormat="1" applyFont="1" applyFill="1" applyBorder="1" applyAlignment="1" applyProtection="1">
      <alignment horizontal="center" vertical="center"/>
      <protection hidden="1"/>
    </xf>
    <xf numFmtId="0" fontId="25" fillId="0" borderId="11" xfId="0" applyFont="1" applyBorder="1" applyAlignment="1" applyProtection="1">
      <protection hidden="1"/>
    </xf>
    <xf numFmtId="0" fontId="25" fillId="0" borderId="6" xfId="0" applyFont="1" applyBorder="1" applyAlignment="1" applyProtection="1">
      <protection hidden="1"/>
    </xf>
    <xf numFmtId="0" fontId="25" fillId="0" borderId="2" xfId="0" applyFont="1" applyBorder="1" applyAlignment="1" applyProtection="1">
      <protection hidden="1"/>
    </xf>
    <xf numFmtId="165" fontId="24" fillId="0" borderId="0" xfId="0" applyNumberFormat="1" applyFont="1" applyProtection="1">
      <protection hidden="1"/>
    </xf>
    <xf numFmtId="165" fontId="24" fillId="0" borderId="0" xfId="0" applyNumberFormat="1" applyFont="1" applyAlignment="1">
      <alignment horizontal="center" vertical="center"/>
    </xf>
    <xf numFmtId="0" fontId="25" fillId="9" borderId="76" xfId="0" applyFont="1" applyFill="1" applyBorder="1" applyAlignment="1">
      <alignment vertical="center" wrapText="1"/>
    </xf>
    <xf numFmtId="0" fontId="25" fillId="9" borderId="83" xfId="0" applyFont="1" applyFill="1" applyBorder="1" applyAlignment="1">
      <alignment vertical="center" wrapText="1"/>
    </xf>
    <xf numFmtId="0" fontId="25" fillId="9" borderId="82" xfId="0" applyFont="1" applyFill="1" applyBorder="1" applyAlignment="1">
      <alignment horizontal="right" vertical="center" wrapText="1"/>
    </xf>
    <xf numFmtId="0" fontId="97" fillId="0" borderId="0" xfId="0" applyFont="1" applyAlignment="1">
      <alignment vertical="center"/>
    </xf>
    <xf numFmtId="0" fontId="24" fillId="0" borderId="0" xfId="0" applyFont="1" applyAlignment="1">
      <alignment horizontal="right"/>
    </xf>
    <xf numFmtId="165" fontId="24" fillId="0" borderId="0" xfId="0" applyNumberFormat="1" applyFont="1" applyAlignment="1" applyProtection="1">
      <alignment horizontal="left"/>
      <protection hidden="1"/>
    </xf>
    <xf numFmtId="1" fontId="24" fillId="0" borderId="6" xfId="0" applyNumberFormat="1" applyFont="1" applyFill="1" applyBorder="1" applyAlignment="1">
      <alignment horizontal="center" vertical="center"/>
    </xf>
    <xf numFmtId="10" fontId="20" fillId="0" borderId="2" xfId="8" applyNumberFormat="1" applyFont="1" applyBorder="1" applyAlignment="1">
      <alignment horizontal="center" vertical="center" wrapText="1"/>
    </xf>
    <xf numFmtId="9" fontId="20" fillId="0" borderId="2" xfId="8" applyFont="1" applyBorder="1" applyAlignment="1">
      <alignment horizontal="center" vertical="center" wrapText="1"/>
    </xf>
    <xf numFmtId="164" fontId="20" fillId="0" borderId="2" xfId="8" applyNumberFormat="1" applyFont="1" applyBorder="1" applyAlignment="1">
      <alignment horizontal="center" vertical="center" wrapText="1"/>
    </xf>
    <xf numFmtId="1" fontId="39" fillId="18" borderId="55" xfId="57" applyNumberFormat="1" applyFont="1" applyFill="1" applyBorder="1" applyAlignment="1" applyProtection="1">
      <alignment horizontal="center" vertical="center" wrapText="1"/>
    </xf>
    <xf numFmtId="1" fontId="39" fillId="0" borderId="55" xfId="57" applyNumberFormat="1" applyFont="1" applyBorder="1" applyAlignment="1" applyProtection="1">
      <alignment horizontal="center" vertical="center" wrapText="1"/>
    </xf>
    <xf numFmtId="2" fontId="39" fillId="18" borderId="55" xfId="57" applyNumberFormat="1" applyFont="1" applyFill="1" applyBorder="1" applyAlignment="1" applyProtection="1">
      <alignment horizontal="center" vertical="center" wrapText="1"/>
    </xf>
    <xf numFmtId="164" fontId="8" fillId="0" borderId="2" xfId="0" applyNumberFormat="1" applyFont="1" applyBorder="1" applyAlignment="1" applyProtection="1">
      <alignment horizontal="justify" vertical="center" wrapText="1"/>
      <protection hidden="1"/>
    </xf>
    <xf numFmtId="165" fontId="69" fillId="0" borderId="0" xfId="0" applyNumberFormat="1" applyFont="1" applyAlignment="1" applyProtection="1">
      <alignment horizontal="justify"/>
      <protection hidden="1"/>
    </xf>
    <xf numFmtId="164" fontId="40" fillId="0" borderId="2" xfId="0" applyNumberFormat="1" applyFont="1" applyFill="1" applyBorder="1" applyAlignment="1" applyProtection="1">
      <alignment horizontal="justify" vertical="center" wrapText="1"/>
      <protection hidden="1"/>
    </xf>
    <xf numFmtId="164" fontId="24" fillId="0" borderId="2"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3" fontId="39" fillId="0" borderId="55" xfId="0" applyNumberFormat="1" applyFont="1" applyBorder="1" applyAlignment="1">
      <alignment horizontal="center" vertical="center" wrapText="1" readingOrder="1"/>
    </xf>
    <xf numFmtId="0" fontId="20" fillId="0" borderId="55" xfId="0" applyFont="1" applyBorder="1" applyAlignment="1">
      <alignment horizontal="justify" vertical="center" wrapText="1"/>
    </xf>
    <xf numFmtId="0" fontId="24" fillId="0" borderId="2" xfId="0" applyFont="1" applyFill="1" applyBorder="1" applyAlignment="1">
      <alignment horizontal="justify" vertical="center" wrapText="1"/>
    </xf>
    <xf numFmtId="164" fontId="24" fillId="0" borderId="2" xfId="6" applyNumberFormat="1" applyFont="1" applyBorder="1" applyAlignment="1" applyProtection="1">
      <alignment horizontal="center" vertical="center" wrapText="1"/>
    </xf>
    <xf numFmtId="9" fontId="24" fillId="0" borderId="2" xfId="8" applyFont="1" applyBorder="1" applyAlignment="1" applyProtection="1">
      <alignment horizontal="center" vertical="center" wrapText="1"/>
    </xf>
    <xf numFmtId="164" fontId="39" fillId="0" borderId="55" xfId="6" applyNumberFormat="1" applyFont="1" applyBorder="1" applyAlignment="1" applyProtection="1">
      <alignment horizontal="center" vertical="center" wrapText="1"/>
    </xf>
    <xf numFmtId="10" fontId="39" fillId="0" borderId="55" xfId="6" applyNumberFormat="1" applyFont="1" applyBorder="1" applyAlignment="1" applyProtection="1">
      <alignment horizontal="center" vertical="center" wrapText="1"/>
    </xf>
    <xf numFmtId="164" fontId="21" fillId="0" borderId="2" xfId="8" applyNumberFormat="1" applyFont="1" applyFill="1" applyBorder="1" applyAlignment="1" applyProtection="1">
      <alignment horizontal="center" vertical="center"/>
    </xf>
    <xf numFmtId="166" fontId="21" fillId="7" borderId="3" xfId="8" applyNumberFormat="1" applyFont="1" applyFill="1" applyBorder="1" applyAlignment="1" applyProtection="1">
      <alignment horizontal="center" vertical="center"/>
    </xf>
    <xf numFmtId="164" fontId="44" fillId="0" borderId="55" xfId="8" applyNumberFormat="1" applyFont="1" applyBorder="1" applyAlignment="1" applyProtection="1">
      <alignment horizontal="center" vertical="center" wrapText="1"/>
    </xf>
    <xf numFmtId="10" fontId="39" fillId="0" borderId="55" xfId="8" applyNumberFormat="1" applyFont="1" applyFill="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9" fontId="39" fillId="18" borderId="55"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9" fontId="39" fillId="0" borderId="55" xfId="6" applyFont="1" applyBorder="1" applyAlignment="1">
      <alignment horizontal="center" vertical="center" wrapText="1" readingOrder="1"/>
    </xf>
    <xf numFmtId="164" fontId="21" fillId="18" borderId="2" xfId="20" applyNumberFormat="1" applyFont="1" applyFill="1" applyBorder="1" applyAlignment="1" applyProtection="1">
      <alignment horizontal="center" vertical="center" wrapText="1"/>
    </xf>
    <xf numFmtId="164" fontId="21" fillId="0" borderId="3" xfId="20" applyNumberFormat="1" applyFont="1" applyBorder="1" applyAlignment="1" applyProtection="1">
      <alignment horizontal="center" vertical="center" wrapText="1"/>
    </xf>
    <xf numFmtId="164" fontId="21" fillId="18" borderId="54" xfId="0" applyNumberFormat="1" applyFont="1" applyFill="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164" fontId="21" fillId="0" borderId="54" xfId="34" applyNumberFormat="1" applyFont="1" applyBorder="1" applyAlignment="1" applyProtection="1">
      <alignment horizontal="center" vertical="center" wrapText="1"/>
    </xf>
    <xf numFmtId="164" fontId="21" fillId="18" borderId="54" xfId="34" applyNumberFormat="1" applyFont="1" applyFill="1" applyBorder="1" applyAlignment="1" applyProtection="1">
      <alignment horizontal="center" vertical="center" wrapText="1"/>
    </xf>
    <xf numFmtId="164" fontId="21" fillId="0" borderId="54" xfId="20" applyNumberFormat="1" applyFont="1" applyBorder="1" applyAlignment="1" applyProtection="1">
      <alignment horizontal="center" vertical="center" wrapText="1"/>
    </xf>
    <xf numFmtId="0" fontId="11" fillId="45" borderId="3" xfId="0" applyFont="1" applyFill="1" applyBorder="1" applyAlignment="1" applyProtection="1">
      <alignment horizontal="center" vertical="center" wrapText="1"/>
    </xf>
    <xf numFmtId="0" fontId="11" fillId="45" borderId="5" xfId="0" applyFont="1" applyFill="1" applyBorder="1" applyAlignment="1" applyProtection="1">
      <alignment horizontal="center" vertical="center" wrapText="1"/>
    </xf>
    <xf numFmtId="9" fontId="20" fillId="3" borderId="2" xfId="6" applyNumberFormat="1" applyFont="1" applyFill="1" applyBorder="1" applyAlignment="1">
      <alignment horizontal="center" vertical="center" wrapText="1"/>
    </xf>
    <xf numFmtId="0" fontId="29" fillId="34" borderId="2" xfId="0" applyFont="1" applyFill="1" applyBorder="1" applyAlignment="1">
      <alignment horizontal="center" vertical="center"/>
    </xf>
    <xf numFmtId="0" fontId="76" fillId="46" borderId="2" xfId="0" applyFont="1" applyFill="1" applyBorder="1" applyAlignment="1">
      <alignment horizontal="center" vertical="center" wrapText="1"/>
    </xf>
    <xf numFmtId="0" fontId="76" fillId="46" borderId="75" xfId="0" applyFont="1" applyFill="1" applyBorder="1" applyAlignment="1">
      <alignment horizontal="center" vertical="center" wrapText="1"/>
    </xf>
    <xf numFmtId="164" fontId="39" fillId="0" borderId="2" xfId="6" applyNumberFormat="1" applyFont="1" applyFill="1" applyBorder="1" applyAlignment="1">
      <alignment horizontal="center" vertical="center" wrapText="1" readingOrder="1"/>
    </xf>
    <xf numFmtId="10" fontId="39" fillId="0" borderId="2" xfId="6" applyNumberFormat="1" applyFont="1" applyFill="1" applyBorder="1" applyAlignment="1">
      <alignment horizontal="center" vertical="center" wrapText="1" readingOrder="1"/>
    </xf>
    <xf numFmtId="10" fontId="39" fillId="0" borderId="2" xfId="6" applyNumberFormat="1" applyFont="1" applyBorder="1" applyAlignment="1">
      <alignment horizontal="center" vertical="center" wrapText="1" readingOrder="1"/>
    </xf>
    <xf numFmtId="10" fontId="20" fillId="0" borderId="65" xfId="34" applyNumberFormat="1" applyFont="1" applyBorder="1" applyAlignment="1">
      <alignment horizontal="center" vertical="center" wrapText="1"/>
    </xf>
    <xf numFmtId="10" fontId="20" fillId="18" borderId="65" xfId="34" applyNumberFormat="1" applyFont="1" applyFill="1" applyBorder="1" applyAlignment="1">
      <alignment horizontal="center" vertical="center" wrapText="1"/>
    </xf>
    <xf numFmtId="10" fontId="20" fillId="18" borderId="2" xfId="8" applyNumberFormat="1" applyFont="1" applyFill="1" applyBorder="1" applyAlignment="1" applyProtection="1">
      <alignment horizontal="center" vertical="center" wrapText="1"/>
    </xf>
    <xf numFmtId="10" fontId="20" fillId="0" borderId="65" xfId="34" applyNumberFormat="1" applyFont="1" applyFill="1" applyBorder="1" applyAlignment="1">
      <alignment horizontal="center" vertical="center" wrapText="1"/>
    </xf>
    <xf numFmtId="10" fontId="20" fillId="3" borderId="65" xfId="34" applyNumberFormat="1" applyFont="1" applyFill="1" applyBorder="1" applyAlignment="1">
      <alignment horizontal="center" vertical="center" wrapText="1"/>
    </xf>
    <xf numFmtId="10" fontId="20" fillId="18" borderId="65" xfId="8" applyNumberFormat="1" applyFont="1" applyFill="1" applyBorder="1" applyAlignment="1" applyProtection="1">
      <alignment horizontal="center" vertical="center" wrapText="1"/>
    </xf>
    <xf numFmtId="10" fontId="39" fillId="0" borderId="55" xfId="6" applyNumberFormat="1" applyFont="1" applyBorder="1" applyAlignment="1">
      <alignment horizontal="center" vertical="center" wrapText="1" readingOrder="1"/>
    </xf>
    <xf numFmtId="10" fontId="39" fillId="18" borderId="55" xfId="6" applyNumberFormat="1" applyFont="1" applyFill="1" applyBorder="1" applyAlignment="1">
      <alignment horizontal="center" vertical="center" wrapText="1" readingOrder="1"/>
    </xf>
    <xf numFmtId="10" fontId="39" fillId="0" borderId="55" xfId="6" applyNumberFormat="1" applyFont="1" applyFill="1" applyBorder="1" applyAlignment="1">
      <alignment horizontal="center" vertical="center" wrapText="1" readingOrder="1"/>
    </xf>
    <xf numFmtId="10" fontId="21" fillId="18" borderId="54" xfId="0" applyNumberFormat="1" applyFont="1" applyFill="1" applyBorder="1" applyAlignment="1" applyProtection="1">
      <alignment horizontal="center" vertical="center" wrapText="1"/>
    </xf>
    <xf numFmtId="10" fontId="21" fillId="18" borderId="54" xfId="34" applyNumberFormat="1" applyFont="1" applyFill="1" applyBorder="1" applyAlignment="1" applyProtection="1">
      <alignment horizontal="center" vertical="center" wrapText="1"/>
    </xf>
    <xf numFmtId="10" fontId="21" fillId="18" borderId="2" xfId="34" applyNumberFormat="1" applyFont="1" applyFill="1" applyBorder="1" applyAlignment="1" applyProtection="1">
      <alignment horizontal="center" vertical="center" wrapText="1"/>
    </xf>
    <xf numFmtId="164" fontId="21" fillId="0" borderId="2" xfId="20" applyNumberFormat="1" applyFont="1" applyBorder="1" applyAlignment="1" applyProtection="1">
      <alignment horizontal="center" vertical="center" wrapText="1"/>
    </xf>
    <xf numFmtId="164" fontId="21" fillId="0" borderId="7" xfId="20" applyNumberFormat="1" applyFont="1" applyBorder="1" applyAlignment="1" applyProtection="1">
      <alignment horizontal="center" vertical="center" wrapText="1"/>
    </xf>
    <xf numFmtId="164" fontId="21" fillId="0" borderId="2" xfId="34" applyNumberFormat="1" applyFont="1" applyBorder="1" applyAlignment="1" applyProtection="1">
      <alignment horizontal="center" vertical="center" wrapText="1"/>
    </xf>
    <xf numFmtId="10" fontId="21" fillId="18" borderId="41" xfId="20" applyNumberFormat="1" applyFont="1" applyFill="1" applyBorder="1" applyAlignment="1" applyProtection="1">
      <alignment horizontal="center" vertical="center" wrapText="1"/>
    </xf>
    <xf numFmtId="10" fontId="21" fillId="18" borderId="41" xfId="6" applyNumberFormat="1" applyFont="1" applyFill="1" applyBorder="1" applyAlignment="1" applyProtection="1">
      <alignment horizontal="center" vertical="center" wrapText="1"/>
    </xf>
    <xf numFmtId="10" fontId="21" fillId="0" borderId="41" xfId="34" applyNumberFormat="1" applyFont="1" applyBorder="1" applyAlignment="1" applyProtection="1">
      <alignment horizontal="center" vertical="center" wrapText="1"/>
    </xf>
    <xf numFmtId="0" fontId="81" fillId="0" borderId="1" xfId="0" applyFont="1" applyBorder="1" applyAlignment="1">
      <alignment vertical="center"/>
    </xf>
    <xf numFmtId="0" fontId="81" fillId="0" borderId="2" xfId="0" applyFont="1" applyBorder="1" applyAlignment="1">
      <alignment vertical="center"/>
    </xf>
    <xf numFmtId="164" fontId="98" fillId="0" borderId="31" xfId="6" applyNumberFormat="1" applyFont="1" applyFill="1" applyBorder="1" applyAlignment="1" applyProtection="1">
      <alignment horizontal="center" vertical="center" wrapText="1"/>
    </xf>
    <xf numFmtId="164" fontId="98" fillId="18" borderId="3" xfId="6" applyNumberFormat="1" applyFont="1" applyFill="1" applyBorder="1" applyAlignment="1" applyProtection="1">
      <alignment horizontal="center" vertical="center" wrapText="1"/>
    </xf>
    <xf numFmtId="164" fontId="98" fillId="0" borderId="31" xfId="6" applyNumberFormat="1" applyFont="1" applyBorder="1" applyAlignment="1" applyProtection="1">
      <alignment horizontal="center" vertical="center" wrapText="1"/>
    </xf>
    <xf numFmtId="164" fontId="98" fillId="3" borderId="31" xfId="6" applyNumberFormat="1" applyFont="1" applyFill="1" applyBorder="1" applyAlignment="1" applyProtection="1">
      <alignment horizontal="center" vertical="center" wrapText="1"/>
    </xf>
    <xf numFmtId="4" fontId="24" fillId="0" borderId="2" xfId="0" applyNumberFormat="1" applyFont="1" applyBorder="1" applyAlignment="1" applyProtection="1">
      <alignment horizontal="center" vertical="center"/>
      <protection hidden="1"/>
    </xf>
    <xf numFmtId="172" fontId="24" fillId="0" borderId="0" xfId="0" applyNumberFormat="1" applyFont="1" applyAlignment="1" applyProtection="1">
      <alignment horizontal="center" vertical="center"/>
      <protection hidden="1"/>
    </xf>
    <xf numFmtId="9" fontId="20" fillId="0" borderId="55" xfId="8" applyFont="1" applyBorder="1" applyAlignment="1" applyProtection="1">
      <alignment horizontal="center" vertical="center" wrapText="1"/>
    </xf>
    <xf numFmtId="0" fontId="20" fillId="0" borderId="55" xfId="0" applyFont="1" applyBorder="1" applyAlignment="1">
      <alignment horizontal="justify" vertical="center" wrapText="1"/>
    </xf>
    <xf numFmtId="10" fontId="20" fillId="0" borderId="65" xfId="6" applyNumberFormat="1" applyFont="1" applyBorder="1" applyAlignment="1">
      <alignment horizontal="center" vertical="center" wrapText="1"/>
    </xf>
    <xf numFmtId="164" fontId="20" fillId="3" borderId="65" xfId="8" applyNumberFormat="1" applyFont="1" applyFill="1" applyBorder="1" applyAlignment="1" applyProtection="1">
      <alignment horizontal="center" vertical="center" wrapText="1"/>
    </xf>
    <xf numFmtId="164" fontId="20" fillId="23" borderId="55" xfId="8" applyNumberFormat="1" applyFont="1" applyFill="1" applyBorder="1" applyAlignment="1" applyProtection="1">
      <alignment horizontal="center" vertical="center" wrapText="1"/>
    </xf>
    <xf numFmtId="164" fontId="39" fillId="0" borderId="55" xfId="7" applyNumberFormat="1" applyFont="1" applyBorder="1" applyAlignment="1" applyProtection="1">
      <alignment horizontal="center" vertical="center" wrapText="1"/>
    </xf>
    <xf numFmtId="9" fontId="39" fillId="0" borderId="55" xfId="6" applyFont="1" applyFill="1" applyBorder="1" applyAlignment="1" applyProtection="1">
      <alignment horizontal="center" vertical="center" wrapText="1"/>
    </xf>
    <xf numFmtId="10" fontId="39" fillId="0" borderId="55" xfId="6" applyNumberFormat="1" applyFont="1" applyFill="1" applyBorder="1" applyAlignment="1" applyProtection="1">
      <alignment horizontal="center" vertical="center" wrapText="1"/>
    </xf>
    <xf numFmtId="9" fontId="20" fillId="3" borderId="31" xfId="6" applyNumberFormat="1" applyFont="1" applyFill="1" applyBorder="1" applyAlignment="1" applyProtection="1">
      <alignment horizontal="center" vertical="center" wrapText="1"/>
    </xf>
    <xf numFmtId="9" fontId="24" fillId="0" borderId="2" xfId="8" applyNumberFormat="1" applyFont="1" applyFill="1" applyBorder="1" applyAlignment="1" applyProtection="1">
      <alignment horizontal="center" vertical="center"/>
      <protection hidden="1"/>
    </xf>
    <xf numFmtId="10" fontId="24" fillId="0" borderId="2" xfId="8" applyNumberFormat="1" applyFont="1" applyFill="1" applyBorder="1" applyAlignment="1" applyProtection="1">
      <alignment horizontal="center" vertical="center" wrapText="1"/>
      <protection hidden="1"/>
    </xf>
    <xf numFmtId="10" fontId="21" fillId="0" borderId="3" xfId="8" applyNumberFormat="1" applyFont="1" applyFill="1" applyBorder="1" applyAlignment="1" applyProtection="1">
      <alignment horizontal="center" vertical="center" wrapText="1"/>
    </xf>
    <xf numFmtId="164" fontId="98" fillId="0" borderId="3" xfId="6" applyNumberFormat="1" applyFont="1" applyFill="1" applyBorder="1" applyAlignment="1" applyProtection="1">
      <alignment horizontal="center" vertical="center" wrapText="1"/>
    </xf>
    <xf numFmtId="173" fontId="39" fillId="0" borderId="3" xfId="5" applyNumberFormat="1" applyFont="1" applyBorder="1" applyAlignment="1" applyProtection="1">
      <alignment horizontal="center" vertical="center" wrapText="1"/>
    </xf>
    <xf numFmtId="9" fontId="14" fillId="12" borderId="2" xfId="1" applyNumberFormat="1" applyFont="1" applyFill="1" applyBorder="1" applyAlignment="1" applyProtection="1">
      <alignment horizontal="center" vertical="center"/>
    </xf>
    <xf numFmtId="164" fontId="99" fillId="12" borderId="2" xfId="1" applyNumberFormat="1" applyFont="1" applyFill="1" applyBorder="1" applyAlignment="1" applyProtection="1">
      <alignment horizontal="center" vertical="center"/>
    </xf>
    <xf numFmtId="0" fontId="99" fillId="12" borderId="11" xfId="1" applyFont="1" applyFill="1" applyBorder="1" applyAlignment="1" applyProtection="1">
      <alignment vertical="center"/>
    </xf>
    <xf numFmtId="0" fontId="40" fillId="0" borderId="38" xfId="0" applyFont="1" applyBorder="1" applyAlignment="1" applyProtection="1">
      <alignment horizontal="center"/>
    </xf>
    <xf numFmtId="0" fontId="40" fillId="0" borderId="37" xfId="0" applyFont="1" applyBorder="1" applyAlignment="1" applyProtection="1">
      <alignment horizontal="center"/>
    </xf>
    <xf numFmtId="0" fontId="40" fillId="0" borderId="40" xfId="0" applyFont="1" applyBorder="1" applyAlignment="1" applyProtection="1">
      <alignment horizontal="center"/>
    </xf>
    <xf numFmtId="0" fontId="40" fillId="0" borderId="2" xfId="0" applyFont="1" applyBorder="1" applyAlignment="1" applyProtection="1">
      <alignment horizontal="center"/>
    </xf>
    <xf numFmtId="0" fontId="11" fillId="0" borderId="37"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35" fillId="0" borderId="37" xfId="0" applyFont="1" applyBorder="1" applyAlignment="1" applyProtection="1">
      <alignment horizontal="left" vertical="center"/>
    </xf>
    <xf numFmtId="0" fontId="35" fillId="0" borderId="39" xfId="0" applyFont="1" applyBorder="1" applyAlignment="1" applyProtection="1">
      <alignment horizontal="left" vertical="center"/>
    </xf>
    <xf numFmtId="0" fontId="35" fillId="0" borderId="2" xfId="0" applyFont="1" applyBorder="1" applyAlignment="1" applyProtection="1">
      <alignment horizontal="left" vertical="center" wrapText="1"/>
    </xf>
    <xf numFmtId="0" fontId="35" fillId="0" borderId="41" xfId="0" applyFont="1" applyBorder="1" applyAlignment="1" applyProtection="1">
      <alignment horizontal="left" vertical="center" wrapText="1"/>
    </xf>
    <xf numFmtId="0" fontId="40" fillId="0" borderId="34" xfId="0" applyFont="1" applyBorder="1" applyAlignment="1" applyProtection="1">
      <alignment horizontal="center" wrapText="1"/>
    </xf>
    <xf numFmtId="0" fontId="40" fillId="0" borderId="1" xfId="0" applyFont="1" applyBorder="1" applyAlignment="1" applyProtection="1">
      <alignment horizontal="center" wrapText="1"/>
    </xf>
    <xf numFmtId="0" fontId="40" fillId="0" borderId="36" xfId="0" applyFont="1" applyBorder="1" applyAlignment="1" applyProtection="1">
      <alignment horizontal="center" wrapText="1"/>
    </xf>
    <xf numFmtId="0" fontId="33" fillId="19" borderId="2" xfId="0" applyFont="1" applyFill="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7" xfId="0" applyFont="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11" xfId="0" applyFont="1" applyBorder="1" applyAlignment="1" applyProtection="1">
      <alignment horizontal="center" vertical="center"/>
    </xf>
    <xf numFmtId="0" fontId="24" fillId="0" borderId="6" xfId="0" applyFont="1" applyBorder="1" applyAlignment="1" applyProtection="1">
      <alignment horizontal="center" vertical="center"/>
    </xf>
    <xf numFmtId="0" fontId="14" fillId="9" borderId="7" xfId="0" applyFont="1" applyFill="1" applyBorder="1" applyAlignment="1" applyProtection="1">
      <alignment horizontal="center" vertical="center"/>
    </xf>
    <xf numFmtId="0" fontId="14" fillId="9" borderId="42" xfId="0" applyFont="1" applyFill="1" applyBorder="1" applyAlignment="1" applyProtection="1">
      <alignment horizontal="center" vertical="center"/>
    </xf>
    <xf numFmtId="0" fontId="14" fillId="9" borderId="43" xfId="0" applyFont="1" applyFill="1" applyBorder="1" applyAlignment="1" applyProtection="1">
      <alignment horizontal="center" wrapText="1"/>
    </xf>
    <xf numFmtId="0" fontId="14" fillId="9" borderId="11" xfId="0" applyFont="1" applyFill="1" applyBorder="1" applyAlignment="1" applyProtection="1">
      <alignment horizontal="center" wrapText="1"/>
    </xf>
    <xf numFmtId="0" fontId="14" fillId="9" borderId="6" xfId="0" applyFont="1" applyFill="1" applyBorder="1" applyAlignment="1" applyProtection="1">
      <alignment horizontal="center" wrapText="1"/>
    </xf>
    <xf numFmtId="0" fontId="14" fillId="0" borderId="34" xfId="0" applyFont="1" applyFill="1" applyBorder="1" applyAlignment="1" applyProtection="1">
      <alignment horizontal="center" wrapText="1"/>
    </xf>
    <xf numFmtId="0" fontId="14" fillId="0" borderId="1" xfId="0" applyFont="1" applyFill="1" applyBorder="1" applyAlignment="1" applyProtection="1">
      <alignment horizontal="center" wrapText="1"/>
    </xf>
    <xf numFmtId="0" fontId="14" fillId="0" borderId="1"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24" fillId="0" borderId="34"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40" fillId="0" borderId="35" xfId="0" applyFont="1" applyBorder="1" applyAlignment="1" applyProtection="1">
      <alignment horizontal="center" wrapText="1"/>
    </xf>
    <xf numFmtId="0" fontId="40" fillId="0" borderId="27" xfId="0" applyFont="1" applyBorder="1" applyAlignment="1" applyProtection="1">
      <alignment horizontal="center" wrapText="1"/>
    </xf>
    <xf numFmtId="0" fontId="40" fillId="0" borderId="23" xfId="0" applyFont="1" applyBorder="1" applyAlignment="1" applyProtection="1">
      <alignment horizontal="center" wrapText="1"/>
    </xf>
    <xf numFmtId="0" fontId="25" fillId="0" borderId="34" xfId="0" applyFont="1" applyBorder="1" applyAlignment="1" applyProtection="1">
      <alignment horizontal="justify" vertical="top" wrapText="1"/>
    </xf>
    <xf numFmtId="0" fontId="25" fillId="0" borderId="1" xfId="0" applyFont="1" applyBorder="1" applyAlignment="1" applyProtection="1">
      <alignment horizontal="justify" vertical="top"/>
    </xf>
    <xf numFmtId="0" fontId="25" fillId="0" borderId="36" xfId="0" applyFont="1" applyBorder="1" applyAlignment="1" applyProtection="1">
      <alignment horizontal="justify" vertical="top"/>
    </xf>
    <xf numFmtId="0" fontId="25" fillId="0" borderId="34" xfId="0" applyFont="1" applyBorder="1" applyAlignment="1" applyProtection="1">
      <alignment horizontal="justify" vertical="top"/>
    </xf>
    <xf numFmtId="0" fontId="47" fillId="25" borderId="2" xfId="0" applyFont="1" applyFill="1" applyBorder="1" applyAlignment="1" applyProtection="1">
      <alignment horizontal="center" vertical="center"/>
      <protection hidden="1"/>
    </xf>
    <xf numFmtId="0" fontId="47" fillId="25" borderId="2" xfId="0" applyFont="1" applyFill="1" applyBorder="1" applyAlignment="1" applyProtection="1">
      <alignment horizontal="center" vertical="center" wrapText="1"/>
      <protection hidden="1"/>
    </xf>
    <xf numFmtId="0" fontId="39" fillId="0" borderId="2" xfId="0" applyFont="1" applyBorder="1" applyAlignment="1">
      <alignment horizontal="center" vertical="center"/>
    </xf>
    <xf numFmtId="0" fontId="35" fillId="0" borderId="5" xfId="0" applyFont="1" applyBorder="1" applyAlignment="1">
      <alignment horizontal="center" vertical="center"/>
    </xf>
    <xf numFmtId="0" fontId="35" fillId="22" borderId="54" xfId="0" applyFont="1" applyFill="1" applyBorder="1" applyAlignment="1" applyProtection="1">
      <alignment horizontal="center" vertical="center" wrapText="1"/>
      <protection hidden="1"/>
    </xf>
    <xf numFmtId="0" fontId="35" fillId="22" borderId="11" xfId="0" applyFont="1" applyFill="1" applyBorder="1" applyAlignment="1" applyProtection="1">
      <alignment horizontal="center" vertical="center" wrapText="1"/>
      <protection hidden="1"/>
    </xf>
    <xf numFmtId="0" fontId="35" fillId="23" borderId="7" xfId="0" applyFont="1" applyFill="1" applyBorder="1" applyAlignment="1" applyProtection="1">
      <alignment horizontal="center" vertical="center" wrapText="1"/>
      <protection hidden="1"/>
    </xf>
    <xf numFmtId="0" fontId="35" fillId="23" borderId="11" xfId="0" applyFont="1" applyFill="1" applyBorder="1" applyAlignment="1" applyProtection="1">
      <alignment horizontal="center" vertical="center" wrapText="1"/>
      <protection hidden="1"/>
    </xf>
    <xf numFmtId="0" fontId="35" fillId="23" borderId="6" xfId="0" applyFont="1" applyFill="1" applyBorder="1" applyAlignment="1" applyProtection="1">
      <alignment horizontal="center" vertical="center" wrapText="1"/>
      <protection hidden="1"/>
    </xf>
    <xf numFmtId="0" fontId="63" fillId="21" borderId="7" xfId="0" applyFont="1" applyFill="1" applyBorder="1" applyAlignment="1" applyProtection="1">
      <alignment horizontal="center" vertical="center" wrapText="1"/>
      <protection hidden="1"/>
    </xf>
    <xf numFmtId="0" fontId="63" fillId="21" borderId="11" xfId="0" applyFont="1" applyFill="1" applyBorder="1" applyAlignment="1" applyProtection="1">
      <alignment horizontal="center" vertical="center" wrapText="1"/>
      <protection hidden="1"/>
    </xf>
    <xf numFmtId="0" fontId="25" fillId="25" borderId="2" xfId="0" applyFont="1" applyFill="1" applyBorder="1" applyAlignment="1">
      <alignment horizontal="center" vertical="center" wrapText="1"/>
    </xf>
    <xf numFmtId="0" fontId="86" fillId="0" borderId="2" xfId="0" applyFont="1" applyBorder="1" applyAlignment="1">
      <alignment horizontal="center" vertical="center" wrapText="1"/>
    </xf>
    <xf numFmtId="0" fontId="83" fillId="42" borderId="79" xfId="0" applyFont="1" applyFill="1" applyBorder="1" applyAlignment="1">
      <alignment horizontal="center" vertical="center" wrapText="1"/>
    </xf>
    <xf numFmtId="0" fontId="83" fillId="42" borderId="17" xfId="0" applyFont="1" applyFill="1" applyBorder="1" applyAlignment="1">
      <alignment horizontal="center" vertical="center" wrapText="1"/>
    </xf>
    <xf numFmtId="0" fontId="37" fillId="8" borderId="59"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49" fillId="40" borderId="80" xfId="0" applyFont="1" applyFill="1" applyBorder="1" applyAlignment="1">
      <alignment horizontal="center" vertical="center" wrapText="1"/>
    </xf>
    <xf numFmtId="0" fontId="49" fillId="40" borderId="81" xfId="0" applyFont="1" applyFill="1" applyBorder="1" applyAlignment="1">
      <alignment horizontal="center" vertical="center" wrapText="1"/>
    </xf>
    <xf numFmtId="0" fontId="37" fillId="0" borderId="55" xfId="0" applyFont="1" applyBorder="1" applyAlignment="1">
      <alignment horizontal="center" vertical="center" wrapText="1"/>
    </xf>
    <xf numFmtId="0" fontId="37" fillId="0" borderId="75" xfId="0" applyFont="1" applyBorder="1" applyAlignment="1">
      <alignment horizontal="center" vertical="center" wrapText="1"/>
    </xf>
    <xf numFmtId="10" fontId="21" fillId="0" borderId="55" xfId="20" applyNumberFormat="1" applyFont="1" applyBorder="1" applyAlignment="1" applyProtection="1">
      <alignment horizontal="center" vertical="center" wrapText="1"/>
    </xf>
    <xf numFmtId="10" fontId="21" fillId="0" borderId="4" xfId="20" applyNumberFormat="1" applyFont="1" applyBorder="1" applyAlignment="1" applyProtection="1">
      <alignment horizontal="center" vertical="center" wrapText="1"/>
    </xf>
    <xf numFmtId="10" fontId="21" fillId="0" borderId="75" xfId="20" applyNumberFormat="1" applyFont="1" applyBorder="1" applyAlignment="1" applyProtection="1">
      <alignment horizontal="center" vertical="center" wrapText="1"/>
    </xf>
    <xf numFmtId="0" fontId="14" fillId="36" borderId="55" xfId="0" applyFont="1" applyFill="1" applyBorder="1" applyAlignment="1">
      <alignment horizontal="center" vertical="center" wrapText="1"/>
    </xf>
    <xf numFmtId="0" fontId="14" fillId="36" borderId="5" xfId="0" applyFont="1" applyFill="1" applyBorder="1" applyAlignment="1">
      <alignment horizontal="center" vertical="center" wrapText="1"/>
    </xf>
    <xf numFmtId="0" fontId="52" fillId="40" borderId="55" xfId="0" applyFont="1" applyFill="1" applyBorder="1" applyAlignment="1">
      <alignment horizontal="center" vertical="center" wrapText="1"/>
    </xf>
    <xf numFmtId="0" fontId="52" fillId="40" borderId="75" xfId="0" applyFont="1" applyFill="1" applyBorder="1" applyAlignment="1">
      <alignment horizontal="center" vertical="center" wrapText="1"/>
    </xf>
    <xf numFmtId="0" fontId="43" fillId="0" borderId="55" xfId="0" applyFont="1" applyBorder="1" applyAlignment="1">
      <alignment horizontal="justify" vertical="top" wrapText="1"/>
    </xf>
    <xf numFmtId="0" fontId="43" fillId="0" borderId="4" xfId="0" applyFont="1" applyBorder="1" applyAlignment="1">
      <alignment horizontal="justify" vertical="top" wrapText="1"/>
    </xf>
    <xf numFmtId="0" fontId="86" fillId="0" borderId="29" xfId="0" applyFont="1" applyBorder="1" applyAlignment="1">
      <alignment horizontal="center" vertical="center" wrapText="1"/>
    </xf>
    <xf numFmtId="0" fontId="86" fillId="0" borderId="35" xfId="0" applyFont="1" applyBorder="1" applyAlignment="1">
      <alignment horizontal="center" vertical="center" wrapText="1"/>
    </xf>
    <xf numFmtId="0" fontId="81" fillId="0" borderId="7" xfId="0" applyFont="1" applyBorder="1" applyAlignment="1">
      <alignment horizontal="center" vertical="center"/>
    </xf>
    <xf numFmtId="0" fontId="81" fillId="0" borderId="6" xfId="0" applyFont="1" applyBorder="1" applyAlignment="1">
      <alignment horizontal="center" vertical="center"/>
    </xf>
    <xf numFmtId="0" fontId="76" fillId="43" borderId="1" xfId="0" applyFont="1" applyFill="1" applyBorder="1" applyAlignment="1" applyProtection="1">
      <alignment horizontal="center" vertical="center" wrapText="1"/>
      <protection hidden="1"/>
    </xf>
    <xf numFmtId="0" fontId="76" fillId="3" borderId="1" xfId="0" applyFont="1" applyFill="1" applyBorder="1" applyAlignment="1" applyProtection="1">
      <alignment horizontal="center" vertical="center" wrapText="1"/>
      <protection hidden="1"/>
    </xf>
    <xf numFmtId="0" fontId="43" fillId="0" borderId="5" xfId="0" applyFont="1" applyBorder="1" applyAlignment="1">
      <alignment horizontal="justify" vertical="top" wrapText="1"/>
    </xf>
    <xf numFmtId="10" fontId="21" fillId="0" borderId="55" xfId="34" applyNumberFormat="1" applyFont="1" applyBorder="1" applyAlignment="1" applyProtection="1">
      <alignment horizontal="center" vertical="center" wrapText="1"/>
    </xf>
    <xf numFmtId="10" fontId="21" fillId="0" borderId="4" xfId="34" applyNumberFormat="1" applyFont="1" applyBorder="1" applyAlignment="1" applyProtection="1">
      <alignment horizontal="center" vertical="center" wrapText="1"/>
    </xf>
    <xf numFmtId="10" fontId="21" fillId="0" borderId="77" xfId="34" applyNumberFormat="1" applyFont="1" applyBorder="1" applyAlignment="1" applyProtection="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4" fillId="8" borderId="75" xfId="0" applyFont="1" applyFill="1" applyBorder="1" applyAlignment="1">
      <alignment horizontal="center" vertical="center" wrapText="1"/>
    </xf>
    <xf numFmtId="10" fontId="21" fillId="18" borderId="55" xfId="6" applyNumberFormat="1" applyFont="1" applyFill="1" applyBorder="1" applyAlignment="1" applyProtection="1">
      <alignment horizontal="center" vertical="center" wrapText="1"/>
    </xf>
    <xf numFmtId="10" fontId="21" fillId="18" borderId="4" xfId="6" applyNumberFormat="1" applyFont="1" applyFill="1" applyBorder="1" applyAlignment="1" applyProtection="1">
      <alignment horizontal="center" vertical="center" wrapText="1"/>
    </xf>
    <xf numFmtId="10" fontId="21" fillId="18" borderId="75" xfId="6" applyNumberFormat="1" applyFont="1" applyFill="1" applyBorder="1" applyAlignment="1" applyProtection="1">
      <alignment horizontal="center" vertical="center" wrapText="1"/>
    </xf>
    <xf numFmtId="0" fontId="43" fillId="18" borderId="4" xfId="0" applyFont="1" applyFill="1" applyBorder="1" applyAlignment="1">
      <alignment horizontal="justify" vertical="top" wrapText="1"/>
    </xf>
    <xf numFmtId="0" fontId="43" fillId="18" borderId="5" xfId="0" applyFont="1" applyFill="1" applyBorder="1" applyAlignment="1">
      <alignment horizontal="justify" vertical="top" wrapText="1"/>
    </xf>
    <xf numFmtId="10" fontId="21" fillId="18" borderId="55" xfId="20" applyNumberFormat="1" applyFont="1" applyFill="1" applyBorder="1" applyAlignment="1" applyProtection="1">
      <alignment horizontal="center" vertical="center" wrapText="1"/>
    </xf>
    <xf numFmtId="10" fontId="21" fillId="18" borderId="4" xfId="20" applyNumberFormat="1" applyFont="1" applyFill="1" applyBorder="1" applyAlignment="1" applyProtection="1">
      <alignment horizontal="center" vertical="center" wrapText="1"/>
    </xf>
    <xf numFmtId="10" fontId="21" fillId="18" borderId="75" xfId="20" applyNumberFormat="1" applyFont="1" applyFill="1" applyBorder="1" applyAlignment="1" applyProtection="1">
      <alignment horizontal="center" vertical="center" wrapText="1"/>
    </xf>
    <xf numFmtId="0" fontId="43" fillId="18" borderId="55" xfId="0" applyFont="1" applyFill="1" applyBorder="1" applyAlignment="1">
      <alignment horizontal="justify" vertical="top" wrapText="1"/>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14" fillId="8" borderId="67" xfId="0" applyFont="1" applyFill="1" applyBorder="1" applyAlignment="1">
      <alignment horizontal="center" vertical="center" wrapText="1"/>
    </xf>
    <xf numFmtId="0" fontId="14" fillId="36" borderId="65" xfId="0" applyFont="1" applyFill="1" applyBorder="1" applyAlignment="1">
      <alignment horizontal="center" vertical="center" wrapText="1"/>
    </xf>
    <xf numFmtId="0" fontId="52" fillId="40" borderId="2" xfId="0" applyFont="1" applyFill="1" applyBorder="1" applyAlignment="1">
      <alignment horizontal="center" vertical="center" wrapText="1"/>
    </xf>
    <xf numFmtId="0" fontId="14" fillId="8" borderId="5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1" fillId="36" borderId="55" xfId="0" applyFont="1" applyFill="1" applyBorder="1" applyAlignment="1">
      <alignment horizontal="center" vertical="center" wrapText="1"/>
    </xf>
    <xf numFmtId="0" fontId="11" fillId="36" borderId="5" xfId="0" applyFont="1" applyFill="1" applyBorder="1" applyAlignment="1">
      <alignment horizontal="center" vertical="center" wrapText="1"/>
    </xf>
    <xf numFmtId="10" fontId="21" fillId="0" borderId="2" xfId="20" applyNumberFormat="1" applyFont="1" applyBorder="1" applyAlignment="1" applyProtection="1">
      <alignment horizontal="center" vertical="center" wrapText="1"/>
    </xf>
    <xf numFmtId="0" fontId="43" fillId="0" borderId="75" xfId="0" applyFont="1" applyBorder="1" applyAlignment="1">
      <alignment horizontal="justify" vertical="top" wrapText="1"/>
    </xf>
    <xf numFmtId="3" fontId="39" fillId="0" borderId="55" xfId="0" applyNumberFormat="1" applyFont="1" applyBorder="1" applyAlignment="1">
      <alignment horizontal="center" vertical="center" wrapText="1" readingOrder="1"/>
    </xf>
    <xf numFmtId="3" fontId="39" fillId="0" borderId="75" xfId="0" applyNumberFormat="1" applyFont="1" applyBorder="1" applyAlignment="1">
      <alignment horizontal="center" vertical="center" wrapText="1" readingOrder="1"/>
    </xf>
    <xf numFmtId="0" fontId="39" fillId="0" borderId="55" xfId="0" applyFont="1" applyBorder="1" applyAlignment="1">
      <alignment horizontal="justify" vertical="center" wrapText="1" readingOrder="1"/>
    </xf>
    <xf numFmtId="0" fontId="39" fillId="0" borderId="75" xfId="0" applyFont="1" applyBorder="1" applyAlignment="1">
      <alignment horizontal="justify" vertical="center" wrapText="1" readingOrder="1"/>
    </xf>
    <xf numFmtId="9" fontId="39" fillId="0" borderId="55" xfId="6" applyFont="1" applyBorder="1" applyAlignment="1">
      <alignment horizontal="center" vertical="center" wrapText="1" readingOrder="1"/>
    </xf>
    <xf numFmtId="9" fontId="39" fillId="0" borderId="75" xfId="6" applyFont="1" applyBorder="1" applyAlignment="1">
      <alignment horizontal="center" vertical="center" wrapText="1" readingOrder="1"/>
    </xf>
    <xf numFmtId="10" fontId="21" fillId="0" borderId="75" xfId="34" applyNumberFormat="1" applyFont="1" applyBorder="1" applyAlignment="1" applyProtection="1">
      <alignment horizontal="center" vertical="center" wrapText="1"/>
    </xf>
    <xf numFmtId="0" fontId="39" fillId="18" borderId="55" xfId="0" applyFont="1" applyFill="1" applyBorder="1" applyAlignment="1">
      <alignment horizontal="justify" vertical="center" wrapText="1" readingOrder="1"/>
    </xf>
    <xf numFmtId="0" fontId="39" fillId="18" borderId="4" xfId="0" applyFont="1" applyFill="1" applyBorder="1" applyAlignment="1">
      <alignment horizontal="justify" vertical="center" wrapText="1" readingOrder="1"/>
    </xf>
    <xf numFmtId="0" fontId="39" fillId="18" borderId="75" xfId="0" applyFont="1" applyFill="1" applyBorder="1" applyAlignment="1">
      <alignment horizontal="justify" vertical="center" wrapText="1" readingOrder="1"/>
    </xf>
    <xf numFmtId="9" fontId="39" fillId="18" borderId="55"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9" fontId="39" fillId="18" borderId="75" xfId="6" applyFont="1" applyFill="1" applyBorder="1" applyAlignment="1">
      <alignment horizontal="center" vertical="center" wrapText="1" readingOrder="1"/>
    </xf>
    <xf numFmtId="10" fontId="21" fillId="18" borderId="55" xfId="34" applyNumberFormat="1" applyFont="1" applyFill="1" applyBorder="1" applyAlignment="1" applyProtection="1">
      <alignment horizontal="center" vertical="center" wrapText="1"/>
    </xf>
    <xf numFmtId="10" fontId="21" fillId="18" borderId="4" xfId="34" applyNumberFormat="1" applyFont="1" applyFill="1" applyBorder="1" applyAlignment="1" applyProtection="1">
      <alignment horizontal="center" vertical="center" wrapText="1"/>
    </xf>
    <xf numFmtId="10" fontId="21" fillId="18" borderId="75" xfId="34" applyNumberFormat="1" applyFont="1" applyFill="1" applyBorder="1" applyAlignment="1" applyProtection="1">
      <alignment horizontal="center" vertical="center" wrapText="1"/>
    </xf>
    <xf numFmtId="0" fontId="39" fillId="0" borderId="55" xfId="0" applyFont="1" applyBorder="1" applyAlignment="1">
      <alignment horizontal="justify" vertical="top" wrapText="1" readingOrder="1"/>
    </xf>
    <xf numFmtId="0" fontId="39" fillId="0" borderId="5" xfId="0" applyFont="1" applyBorder="1" applyAlignment="1">
      <alignment horizontal="justify" vertical="top" wrapText="1" readingOrder="1"/>
    </xf>
    <xf numFmtId="9" fontId="39" fillId="0" borderId="55" xfId="0" applyNumberFormat="1" applyFont="1" applyBorder="1" applyAlignment="1">
      <alignment horizontal="center" vertical="center" wrapText="1" readingOrder="1"/>
    </xf>
    <xf numFmtId="9" fontId="39" fillId="0" borderId="5" xfId="0" applyNumberFormat="1" applyFont="1" applyBorder="1" applyAlignment="1">
      <alignment horizontal="center" vertical="center" wrapText="1" readingOrder="1"/>
    </xf>
    <xf numFmtId="164" fontId="21" fillId="0" borderId="54" xfId="34" applyNumberFormat="1" applyFont="1" applyBorder="1" applyAlignment="1" applyProtection="1">
      <alignment horizontal="center" vertical="center" wrapText="1"/>
    </xf>
    <xf numFmtId="0" fontId="21" fillId="0" borderId="76" xfId="34" applyFont="1" applyBorder="1" applyAlignment="1" applyProtection="1">
      <alignment horizontal="center" vertical="center" wrapText="1"/>
    </xf>
    <xf numFmtId="0" fontId="39" fillId="0" borderId="4" xfId="0" applyFont="1" applyBorder="1" applyAlignment="1">
      <alignment horizontal="justify" vertical="top" wrapText="1" readingOrder="1"/>
    </xf>
    <xf numFmtId="0" fontId="39" fillId="0" borderId="75" xfId="0" applyFont="1" applyBorder="1" applyAlignment="1">
      <alignment horizontal="justify" vertical="top" wrapText="1" readingOrder="1"/>
    </xf>
    <xf numFmtId="0" fontId="39" fillId="0" borderId="2" xfId="0" applyFont="1" applyBorder="1" applyAlignment="1">
      <alignment horizontal="justify" vertical="top" wrapText="1" readingOrder="1"/>
    </xf>
    <xf numFmtId="9" fontId="39" fillId="0" borderId="55" xfId="0" applyNumberFormat="1" applyFont="1" applyBorder="1" applyAlignment="1">
      <alignment horizontal="center" vertical="top" wrapText="1" readingOrder="1"/>
    </xf>
    <xf numFmtId="9" fontId="39" fillId="0" borderId="4" xfId="0" applyNumberFormat="1" applyFont="1" applyBorder="1" applyAlignment="1">
      <alignment horizontal="center" vertical="top" wrapText="1" readingOrder="1"/>
    </xf>
    <xf numFmtId="9" fontId="39" fillId="0" borderId="5" xfId="0" applyNumberFormat="1" applyFont="1" applyBorder="1" applyAlignment="1">
      <alignment horizontal="center" vertical="top" wrapText="1" readingOrder="1"/>
    </xf>
    <xf numFmtId="9" fontId="42" fillId="0" borderId="55" xfId="0" applyNumberFormat="1" applyFont="1" applyBorder="1" applyAlignment="1">
      <alignment horizontal="center" vertical="center" wrapText="1"/>
    </xf>
    <xf numFmtId="9" fontId="42" fillId="0" borderId="75" xfId="0" applyNumberFormat="1" applyFont="1" applyBorder="1" applyAlignment="1">
      <alignment horizontal="center" vertical="center" wrapText="1"/>
    </xf>
    <xf numFmtId="0" fontId="39" fillId="0" borderId="55" xfId="0" applyFont="1" applyBorder="1" applyAlignment="1">
      <alignment horizontal="justify" vertical="center" wrapText="1"/>
    </xf>
    <xf numFmtId="0" fontId="39" fillId="0" borderId="75" xfId="0" applyFont="1" applyBorder="1" applyAlignment="1">
      <alignment horizontal="justify" vertical="center" wrapText="1"/>
    </xf>
    <xf numFmtId="0" fontId="42" fillId="0" borderId="55" xfId="0" applyFont="1" applyBorder="1" applyAlignment="1">
      <alignment horizontal="justify" vertical="center" wrapText="1"/>
    </xf>
    <xf numFmtId="0" fontId="42" fillId="0" borderId="75" xfId="0" applyFont="1" applyBorder="1" applyAlignment="1">
      <alignment horizontal="justify" vertical="center" wrapText="1"/>
    </xf>
    <xf numFmtId="10" fontId="20" fillId="0" borderId="55" xfId="6" applyNumberFormat="1" applyFont="1" applyBorder="1" applyAlignment="1">
      <alignment horizontal="center" vertical="center" wrapText="1"/>
    </xf>
    <xf numFmtId="10" fontId="20" fillId="0" borderId="4" xfId="6" applyNumberFormat="1" applyFont="1" applyBorder="1" applyAlignment="1">
      <alignment horizontal="center" vertical="center" wrapText="1"/>
    </xf>
    <xf numFmtId="10" fontId="20" fillId="0" borderId="75" xfId="6" applyNumberFormat="1" applyFont="1" applyBorder="1" applyAlignment="1">
      <alignment horizontal="center" vertical="center" wrapText="1"/>
    </xf>
    <xf numFmtId="164" fontId="20" fillId="18" borderId="55" xfId="8" applyNumberFormat="1" applyFont="1" applyFill="1" applyBorder="1" applyAlignment="1" applyProtection="1">
      <alignment horizontal="center" vertical="center" wrapText="1"/>
    </xf>
    <xf numFmtId="164" fontId="20" fillId="18" borderId="75" xfId="8" applyNumberFormat="1" applyFont="1" applyFill="1" applyBorder="1" applyAlignment="1" applyProtection="1">
      <alignment horizontal="center" vertical="center" wrapText="1"/>
    </xf>
    <xf numFmtId="164" fontId="20" fillId="18" borderId="4" xfId="8" applyNumberFormat="1" applyFont="1" applyFill="1" applyBorder="1" applyAlignment="1" applyProtection="1">
      <alignment horizontal="center" vertical="center" wrapText="1"/>
    </xf>
    <xf numFmtId="9" fontId="20" fillId="0" borderId="55" xfId="6" applyFont="1" applyBorder="1" applyAlignment="1">
      <alignment horizontal="center" vertical="center" wrapText="1"/>
    </xf>
    <xf numFmtId="9" fontId="20" fillId="0" borderId="4" xfId="6" applyFont="1" applyBorder="1" applyAlignment="1">
      <alignment horizontal="center" vertical="center" wrapText="1"/>
    </xf>
    <xf numFmtId="9" fontId="20" fillId="0" borderId="75" xfId="6" applyFont="1" applyBorder="1" applyAlignment="1">
      <alignment horizontal="center" vertical="center" wrapText="1"/>
    </xf>
    <xf numFmtId="10" fontId="21" fillId="0" borderId="3" xfId="20" applyNumberFormat="1" applyFont="1" applyBorder="1" applyAlignment="1" applyProtection="1">
      <alignment horizontal="center" vertical="center" wrapText="1"/>
    </xf>
    <xf numFmtId="10" fontId="21" fillId="0" borderId="5" xfId="20" applyNumberFormat="1" applyFont="1" applyBorder="1" applyAlignment="1" applyProtection="1">
      <alignment horizontal="center"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164" fontId="21" fillId="0" borderId="54" xfId="20" applyNumberFormat="1" applyFont="1" applyBorder="1" applyAlignment="1" applyProtection="1">
      <alignment horizontal="center" vertical="center" wrapText="1"/>
    </xf>
    <xf numFmtId="0" fontId="21" fillId="0" borderId="8" xfId="20" applyFont="1" applyBorder="1" applyAlignment="1" applyProtection="1">
      <alignment horizontal="center" vertical="center" wrapText="1"/>
    </xf>
    <xf numFmtId="0" fontId="21" fillId="0" borderId="76" xfId="20" applyFont="1" applyBorder="1" applyAlignment="1" applyProtection="1">
      <alignment horizontal="center" vertical="center" wrapText="1"/>
    </xf>
    <xf numFmtId="0" fontId="39" fillId="0" borderId="5" xfId="0" applyFont="1" applyBorder="1" applyAlignment="1">
      <alignment horizontal="center" vertical="center" wrapText="1" readingOrder="1"/>
    </xf>
    <xf numFmtId="9" fontId="39" fillId="0" borderId="4" xfId="0" applyNumberFormat="1" applyFont="1" applyBorder="1" applyAlignment="1">
      <alignment horizontal="center" vertical="center" wrapText="1" readingOrder="1"/>
    </xf>
    <xf numFmtId="0" fontId="39" fillId="0" borderId="4" xfId="0" applyFont="1" applyBorder="1" applyAlignment="1">
      <alignment horizontal="center" vertical="center" wrapText="1" readingOrder="1"/>
    </xf>
    <xf numFmtId="164" fontId="21" fillId="0" borderId="3" xfId="20" applyNumberFormat="1" applyFont="1" applyBorder="1" applyAlignment="1" applyProtection="1">
      <alignment horizontal="center" vertical="center" wrapText="1"/>
    </xf>
    <xf numFmtId="164" fontId="21" fillId="0" borderId="4" xfId="20" applyNumberFormat="1" applyFont="1" applyBorder="1" applyAlignment="1" applyProtection="1">
      <alignment horizontal="center" vertical="center" wrapText="1"/>
    </xf>
    <xf numFmtId="3" fontId="39" fillId="0" borderId="55" xfId="0" applyNumberFormat="1" applyFont="1" applyBorder="1" applyAlignment="1">
      <alignment horizontal="center" vertical="top" wrapText="1" readingOrder="1"/>
    </xf>
    <xf numFmtId="3" fontId="39" fillId="0" borderId="4" xfId="0" applyNumberFormat="1" applyFont="1" applyBorder="1" applyAlignment="1">
      <alignment horizontal="center" vertical="top" wrapText="1" readingOrder="1"/>
    </xf>
    <xf numFmtId="3" fontId="39" fillId="0" borderId="5" xfId="0" applyNumberFormat="1" applyFont="1" applyBorder="1" applyAlignment="1">
      <alignment horizontal="center" vertical="top" wrapText="1" readingOrder="1"/>
    </xf>
    <xf numFmtId="0" fontId="39" fillId="18" borderId="55" xfId="0" applyFont="1" applyFill="1" applyBorder="1" applyAlignment="1">
      <alignment horizontal="justify" vertical="top" wrapText="1" readingOrder="1"/>
    </xf>
    <xf numFmtId="0" fontId="39" fillId="18" borderId="4" xfId="0" applyFont="1" applyFill="1" applyBorder="1" applyAlignment="1">
      <alignment horizontal="justify" vertical="top" wrapText="1" readingOrder="1"/>
    </xf>
    <xf numFmtId="0" fontId="39" fillId="18" borderId="5" xfId="0" applyFont="1" applyFill="1" applyBorder="1" applyAlignment="1">
      <alignment horizontal="justify" vertical="top" wrapText="1" readingOrder="1"/>
    </xf>
    <xf numFmtId="1" fontId="39" fillId="0" borderId="55" xfId="0" applyNumberFormat="1" applyFont="1" applyBorder="1" applyAlignment="1">
      <alignment horizontal="center" vertical="top" wrapText="1" readingOrder="1"/>
    </xf>
    <xf numFmtId="1" fontId="39" fillId="0" borderId="4" xfId="0" applyNumberFormat="1" applyFont="1" applyBorder="1" applyAlignment="1">
      <alignment horizontal="center" vertical="top" wrapText="1" readingOrder="1"/>
    </xf>
    <xf numFmtId="0" fontId="39" fillId="0" borderId="4" xfId="0" applyFont="1" applyBorder="1" applyAlignment="1">
      <alignment horizontal="center" vertical="top" wrapText="1" readingOrder="1"/>
    </xf>
    <xf numFmtId="0" fontId="39" fillId="0" borderId="5" xfId="0" applyFont="1" applyBorder="1" applyAlignment="1">
      <alignment horizontal="center" vertical="top" wrapText="1" readingOrder="1"/>
    </xf>
    <xf numFmtId="9" fontId="39" fillId="18" borderId="55" xfId="0" applyNumberFormat="1" applyFont="1" applyFill="1" applyBorder="1" applyAlignment="1">
      <alignment horizontal="center" vertical="top" wrapText="1" readingOrder="1"/>
    </xf>
    <xf numFmtId="9" fontId="39" fillId="18" borderId="4" xfId="0" applyNumberFormat="1" applyFont="1" applyFill="1" applyBorder="1" applyAlignment="1">
      <alignment horizontal="center" vertical="top" wrapText="1" readingOrder="1"/>
    </xf>
    <xf numFmtId="9" fontId="39" fillId="18" borderId="5" xfId="0" applyNumberFormat="1" applyFont="1" applyFill="1" applyBorder="1" applyAlignment="1">
      <alignment horizontal="center" vertical="top" wrapText="1" readingOrder="1"/>
    </xf>
    <xf numFmtId="164" fontId="21" fillId="18" borderId="54" xfId="34" applyNumberFormat="1" applyFont="1" applyFill="1" applyBorder="1" applyAlignment="1" applyProtection="1">
      <alignment horizontal="center" vertical="center" wrapText="1"/>
    </xf>
    <xf numFmtId="0" fontId="21" fillId="18" borderId="8" xfId="34" applyFont="1" applyFill="1" applyBorder="1" applyAlignment="1" applyProtection="1">
      <alignment horizontal="center" vertical="center" wrapText="1"/>
    </xf>
    <xf numFmtId="0" fontId="21" fillId="18" borderId="76" xfId="34" applyFont="1" applyFill="1" applyBorder="1" applyAlignment="1" applyProtection="1">
      <alignment horizontal="center" vertical="center" wrapText="1"/>
    </xf>
    <xf numFmtId="0" fontId="20" fillId="0" borderId="55" xfId="0" applyFont="1" applyFill="1" applyBorder="1" applyAlignment="1">
      <alignment horizontal="justify" vertical="center" wrapText="1"/>
    </xf>
    <xf numFmtId="0" fontId="20" fillId="0" borderId="5" xfId="0" applyFont="1" applyFill="1" applyBorder="1" applyAlignment="1">
      <alignment horizontal="justify" vertical="center" wrapText="1"/>
    </xf>
    <xf numFmtId="9" fontId="20" fillId="0" borderId="55"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10" fontId="20" fillId="0" borderId="55" xfId="34" applyNumberFormat="1" applyFont="1" applyBorder="1" applyAlignment="1">
      <alignment horizontal="center" vertical="center" wrapText="1"/>
    </xf>
    <xf numFmtId="10" fontId="20" fillId="0" borderId="5" xfId="34" applyNumberFormat="1" applyFont="1" applyBorder="1" applyAlignment="1">
      <alignment horizontal="center" vertical="center" wrapText="1"/>
    </xf>
    <xf numFmtId="0" fontId="39" fillId="18" borderId="4" xfId="0" applyFont="1" applyFill="1" applyBorder="1" applyAlignment="1">
      <alignment horizontal="center" vertical="top" wrapText="1" readingOrder="1"/>
    </xf>
    <xf numFmtId="0" fontId="39" fillId="18" borderId="5" xfId="0" applyFont="1" applyFill="1" applyBorder="1" applyAlignment="1">
      <alignment horizontal="center" vertical="top" wrapText="1" readingOrder="1"/>
    </xf>
    <xf numFmtId="9" fontId="39" fillId="0" borderId="75" xfId="0" applyNumberFormat="1" applyFont="1" applyBorder="1" applyAlignment="1">
      <alignment horizontal="center" vertical="top" wrapText="1" readingOrder="1"/>
    </xf>
    <xf numFmtId="0" fontId="20" fillId="0" borderId="55"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9" fontId="20" fillId="0" borderId="4" xfId="8" applyFont="1" applyBorder="1" applyAlignment="1" applyProtection="1">
      <alignment horizontal="center" vertical="center" wrapText="1"/>
    </xf>
    <xf numFmtId="9" fontId="20" fillId="0" borderId="75" xfId="8" applyFont="1" applyBorder="1" applyAlignment="1" applyProtection="1">
      <alignment horizontal="center" vertical="center" wrapText="1"/>
    </xf>
    <xf numFmtId="1" fontId="39" fillId="0" borderId="55" xfId="0" applyNumberFormat="1" applyFont="1" applyBorder="1" applyAlignment="1">
      <alignment horizontal="center" vertical="center" wrapText="1" readingOrder="1"/>
    </xf>
    <xf numFmtId="1" fontId="39" fillId="0" borderId="5" xfId="0" applyNumberFormat="1" applyFont="1" applyBorder="1" applyAlignment="1">
      <alignment horizontal="center" vertical="center" wrapText="1" readingOrder="1"/>
    </xf>
    <xf numFmtId="0" fontId="39" fillId="18" borderId="75" xfId="0" applyFont="1" applyFill="1" applyBorder="1" applyAlignment="1">
      <alignment horizontal="justify" vertical="top" wrapText="1" readingOrder="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9" fontId="39" fillId="18" borderId="55" xfId="0" applyNumberFormat="1" applyFont="1" applyFill="1" applyBorder="1" applyAlignment="1">
      <alignment horizontal="center" vertical="center" wrapText="1" readingOrder="1"/>
    </xf>
    <xf numFmtId="9" fontId="39" fillId="18" borderId="5" xfId="0" applyNumberFormat="1" applyFont="1" applyFill="1" applyBorder="1" applyAlignment="1">
      <alignment horizontal="center" vertical="center" wrapText="1" readingOrder="1"/>
    </xf>
    <xf numFmtId="1" fontId="39" fillId="18" borderId="55" xfId="0" applyNumberFormat="1" applyFont="1" applyFill="1" applyBorder="1" applyAlignment="1">
      <alignment horizontal="center" vertical="center" wrapText="1" readingOrder="1"/>
    </xf>
    <xf numFmtId="1" fontId="39" fillId="18" borderId="5" xfId="0" applyNumberFormat="1" applyFont="1" applyFill="1" applyBorder="1" applyAlignment="1">
      <alignment horizontal="center" vertical="center" wrapText="1" readingOrder="1"/>
    </xf>
    <xf numFmtId="1" fontId="39" fillId="18" borderId="4" xfId="0" applyNumberFormat="1" applyFont="1" applyFill="1" applyBorder="1" applyAlignment="1">
      <alignment horizontal="center" vertical="center" wrapText="1" readingOrder="1"/>
    </xf>
    <xf numFmtId="9" fontId="39" fillId="18" borderId="4" xfId="0" applyNumberFormat="1" applyFont="1" applyFill="1" applyBorder="1" applyAlignment="1">
      <alignment horizontal="center" vertical="center" wrapText="1" readingOrder="1"/>
    </xf>
    <xf numFmtId="0" fontId="11" fillId="8"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55"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37" borderId="55"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38" borderId="7" xfId="0" applyFont="1" applyFill="1" applyBorder="1" applyAlignment="1">
      <alignment horizontal="center" vertical="center" wrapText="1"/>
    </xf>
    <xf numFmtId="0" fontId="11" fillId="38" borderId="6" xfId="0" applyFont="1" applyFill="1" applyBorder="1" applyAlignment="1">
      <alignment horizontal="center" vertical="center" wrapText="1"/>
    </xf>
    <xf numFmtId="0" fontId="11" fillId="20" borderId="55"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28" fillId="36" borderId="7" xfId="0" applyFont="1" applyFill="1" applyBorder="1" applyAlignment="1">
      <alignment horizontal="center" vertical="center" wrapText="1"/>
    </xf>
    <xf numFmtId="0" fontId="28" fillId="36" borderId="11" xfId="0" applyFont="1" applyFill="1" applyBorder="1" applyAlignment="1">
      <alignment horizontal="center" vertical="center" wrapText="1"/>
    </xf>
    <xf numFmtId="0" fontId="28" fillId="36" borderId="6" xfId="0" applyFont="1" applyFill="1" applyBorder="1" applyAlignment="1">
      <alignment horizontal="center" vertical="center" wrapText="1"/>
    </xf>
    <xf numFmtId="0" fontId="11" fillId="20" borderId="75" xfId="0" applyFont="1" applyFill="1" applyBorder="1" applyAlignment="1">
      <alignment horizontal="center" vertical="center" wrapText="1"/>
    </xf>
    <xf numFmtId="0" fontId="11" fillId="41" borderId="3" xfId="0" applyFont="1" applyFill="1" applyBorder="1" applyAlignment="1" applyProtection="1">
      <alignment horizontal="center" vertical="center" wrapText="1"/>
    </xf>
    <xf numFmtId="0" fontId="11" fillId="41" borderId="5" xfId="0" applyFont="1" applyFill="1" applyBorder="1" applyAlignment="1" applyProtection="1">
      <alignment horizontal="center" vertical="center" wrapText="1"/>
    </xf>
    <xf numFmtId="0" fontId="28" fillId="8" borderId="7"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6" xfId="0" applyFont="1" applyFill="1" applyBorder="1" applyAlignment="1">
      <alignment horizontal="center" vertical="center" wrapText="1"/>
    </xf>
    <xf numFmtId="164" fontId="21" fillId="18" borderId="54" xfId="0" applyNumberFormat="1" applyFont="1" applyFill="1" applyBorder="1" applyAlignment="1" applyProtection="1">
      <alignment horizontal="center" vertical="center" wrapText="1"/>
    </xf>
    <xf numFmtId="0" fontId="21" fillId="18" borderId="8" xfId="0" applyFont="1" applyFill="1" applyBorder="1" applyAlignment="1" applyProtection="1">
      <alignment horizontal="center" vertical="center" wrapText="1"/>
    </xf>
    <xf numFmtId="0" fontId="21" fillId="18" borderId="76" xfId="0" applyFont="1" applyFill="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164" fontId="21" fillId="18" borderId="8" xfId="6" applyNumberFormat="1" applyFont="1" applyFill="1" applyBorder="1" applyAlignment="1" applyProtection="1">
      <alignment horizontal="center" vertical="center" wrapText="1"/>
    </xf>
    <xf numFmtId="164" fontId="21" fillId="18" borderId="76" xfId="6" applyNumberFormat="1" applyFont="1" applyFill="1" applyBorder="1" applyAlignment="1" applyProtection="1">
      <alignment horizontal="center" vertical="center" wrapText="1"/>
    </xf>
    <xf numFmtId="164" fontId="20" fillId="0" borderId="55" xfId="8" applyNumberFormat="1" applyFont="1" applyBorder="1" applyAlignment="1" applyProtection="1">
      <alignment horizontal="center" vertical="center" wrapText="1"/>
    </xf>
    <xf numFmtId="164" fontId="20" fillId="0" borderId="4" xfId="8" applyNumberFormat="1" applyFont="1" applyBorder="1" applyAlignment="1" applyProtection="1">
      <alignment horizontal="center" vertical="center" wrapText="1"/>
    </xf>
    <xf numFmtId="164" fontId="20" fillId="0" borderId="75" xfId="8" applyNumberFormat="1" applyFont="1" applyBorder="1" applyAlignment="1" applyProtection="1">
      <alignment horizontal="center" vertical="center" wrapText="1"/>
    </xf>
    <xf numFmtId="0" fontId="12" fillId="9" borderId="2" xfId="1" applyFont="1" applyFill="1" applyBorder="1" applyAlignment="1">
      <alignment horizontal="center" vertical="center" wrapText="1"/>
    </xf>
    <xf numFmtId="0" fontId="25" fillId="40" borderId="2" xfId="0" applyFont="1" applyFill="1" applyBorder="1" applyAlignment="1">
      <alignment horizontal="center" vertical="center" wrapText="1"/>
    </xf>
    <xf numFmtId="0" fontId="14" fillId="36" borderId="7" xfId="0" applyFont="1" applyFill="1" applyBorder="1" applyAlignment="1">
      <alignment horizontal="center" vertical="center" wrapText="1"/>
    </xf>
    <xf numFmtId="0" fontId="14" fillId="36" borderId="11" xfId="0" applyFont="1" applyFill="1" applyBorder="1" applyAlignment="1">
      <alignment horizontal="center" vertical="center" wrapText="1"/>
    </xf>
    <xf numFmtId="0" fontId="14" fillId="36" borderId="6" xfId="0" applyFont="1" applyFill="1" applyBorder="1" applyAlignment="1">
      <alignment horizontal="center" vertical="center" wrapText="1"/>
    </xf>
    <xf numFmtId="164" fontId="21" fillId="18" borderId="2" xfId="20" applyNumberFormat="1" applyFont="1" applyFill="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64" fontId="21" fillId="18" borderId="75" xfId="20" applyNumberFormat="1" applyFont="1" applyFill="1" applyBorder="1" applyAlignment="1" applyProtection="1">
      <alignment horizontal="center" vertical="center" wrapText="1"/>
    </xf>
    <xf numFmtId="0" fontId="25" fillId="24" borderId="7" xfId="0" applyFont="1" applyFill="1" applyBorder="1" applyAlignment="1">
      <alignment horizontal="center" vertical="center" wrapText="1"/>
    </xf>
    <xf numFmtId="0" fontId="25" fillId="24" borderId="11" xfId="0" applyFont="1" applyFill="1" applyBorder="1" applyAlignment="1">
      <alignment horizontal="center" vertical="center" wrapText="1"/>
    </xf>
    <xf numFmtId="164" fontId="21" fillId="0" borderId="5" xfId="20" applyNumberFormat="1" applyFont="1" applyBorder="1" applyAlignment="1" applyProtection="1">
      <alignment horizontal="center" vertical="center" wrapText="1"/>
    </xf>
    <xf numFmtId="10" fontId="20" fillId="0" borderId="4" xfId="34" applyNumberFormat="1" applyFont="1" applyBorder="1" applyAlignment="1">
      <alignment horizontal="center" vertical="center" wrapText="1"/>
    </xf>
    <xf numFmtId="10" fontId="20" fillId="0" borderId="75" xfId="34" applyNumberFormat="1" applyFont="1" applyBorder="1" applyAlignment="1">
      <alignment horizontal="center" vertical="center" wrapText="1"/>
    </xf>
    <xf numFmtId="10" fontId="21" fillId="0" borderId="54" xfId="20" applyNumberFormat="1" applyFont="1" applyBorder="1" applyAlignment="1" applyProtection="1">
      <alignment horizontal="center" vertical="center" wrapText="1"/>
    </xf>
    <xf numFmtId="10" fontId="21" fillId="0" borderId="8" xfId="20" applyNumberFormat="1" applyFont="1" applyBorder="1" applyAlignment="1" applyProtection="1">
      <alignment horizontal="center" vertical="center" wrapText="1"/>
    </xf>
    <xf numFmtId="10" fontId="21" fillId="0" borderId="76"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0" fontId="24" fillId="0" borderId="55" xfId="0" applyFont="1" applyBorder="1" applyAlignment="1">
      <alignment horizontal="justify" vertical="center" wrapText="1"/>
    </xf>
    <xf numFmtId="0" fontId="24" fillId="0" borderId="4" xfId="0" applyFont="1" applyBorder="1" applyAlignment="1">
      <alignment horizontal="justify" vertical="center" wrapText="1"/>
    </xf>
    <xf numFmtId="0" fontId="24" fillId="0" borderId="5" xfId="0" applyFont="1" applyBorder="1" applyAlignment="1">
      <alignment horizontal="justify" vertical="center" wrapText="1"/>
    </xf>
    <xf numFmtId="169" fontId="24" fillId="0" borderId="55" xfId="0" applyNumberFormat="1" applyFont="1" applyBorder="1" applyAlignment="1">
      <alignment horizontal="center" vertical="center" wrapText="1"/>
    </xf>
    <xf numFmtId="169" fontId="24" fillId="0" borderId="4" xfId="0" applyNumberFormat="1" applyFont="1" applyBorder="1" applyAlignment="1">
      <alignment horizontal="center" vertical="center" wrapText="1"/>
    </xf>
    <xf numFmtId="169" fontId="24" fillId="0" borderId="5" xfId="0" applyNumberFormat="1" applyFont="1" applyBorder="1" applyAlignment="1">
      <alignment horizontal="center" vertical="center" wrapText="1"/>
    </xf>
    <xf numFmtId="0" fontId="24" fillId="5" borderId="4" xfId="0" applyFont="1" applyFill="1" applyBorder="1" applyAlignment="1">
      <alignment horizontal="justify" vertical="center" wrapText="1"/>
    </xf>
    <xf numFmtId="0" fontId="24" fillId="5" borderId="5" xfId="0" applyFont="1" applyFill="1" applyBorder="1" applyAlignment="1">
      <alignment horizontal="justify" vertical="center" wrapText="1"/>
    </xf>
    <xf numFmtId="169" fontId="24" fillId="0" borderId="2" xfId="0" applyNumberFormat="1" applyFont="1" applyBorder="1" applyAlignment="1">
      <alignment horizontal="center" vertical="center" wrapText="1"/>
    </xf>
    <xf numFmtId="0" fontId="25" fillId="15" borderId="4"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24" fillId="0" borderId="2" xfId="0" applyFont="1" applyBorder="1" applyAlignment="1">
      <alignment horizontal="justify" vertical="center" wrapText="1"/>
    </xf>
    <xf numFmtId="170" fontId="24" fillId="0" borderId="55" xfId="0" applyNumberFormat="1" applyFont="1" applyBorder="1" applyAlignment="1">
      <alignment horizontal="center" vertical="center" wrapText="1"/>
    </xf>
    <xf numFmtId="170" fontId="24" fillId="0" borderId="4" xfId="0" applyNumberFormat="1" applyFont="1" applyBorder="1" applyAlignment="1">
      <alignment horizontal="center" vertical="center" wrapText="1"/>
    </xf>
    <xf numFmtId="170" fontId="24" fillId="0" borderId="5" xfId="0" applyNumberFormat="1" applyFont="1" applyBorder="1" applyAlignment="1">
      <alignment horizontal="center" vertical="center" wrapText="1"/>
    </xf>
    <xf numFmtId="0" fontId="24" fillId="5" borderId="2" xfId="0" applyFont="1" applyFill="1" applyBorder="1" applyAlignment="1">
      <alignment horizontal="justify" vertical="center" wrapText="1"/>
    </xf>
    <xf numFmtId="0" fontId="25" fillId="9" borderId="2" xfId="0" applyFont="1" applyFill="1" applyBorder="1" applyAlignment="1">
      <alignment horizontal="center" vertical="center"/>
    </xf>
    <xf numFmtId="0" fontId="25" fillId="9" borderId="75" xfId="0" applyFont="1" applyFill="1" applyBorder="1" applyAlignment="1">
      <alignment horizontal="center" vertical="center" wrapText="1"/>
    </xf>
    <xf numFmtId="0" fontId="80" fillId="39" borderId="55" xfId="0" applyFont="1" applyFill="1" applyBorder="1" applyAlignment="1">
      <alignment horizontal="center" vertical="center" wrapText="1"/>
    </xf>
    <xf numFmtId="0" fontId="80" fillId="39" borderId="4" xfId="0" applyFont="1" applyFill="1" applyBorder="1" applyAlignment="1">
      <alignment horizontal="center" vertical="center"/>
    </xf>
    <xf numFmtId="0" fontId="80" fillId="39" borderId="5" xfId="0" applyFont="1" applyFill="1" applyBorder="1" applyAlignment="1">
      <alignment horizontal="center" vertical="center"/>
    </xf>
    <xf numFmtId="0" fontId="24" fillId="39" borderId="47" xfId="0" applyFont="1" applyFill="1" applyBorder="1" applyAlignment="1">
      <alignment horizontal="center"/>
    </xf>
    <xf numFmtId="0" fontId="25" fillId="39" borderId="54" xfId="0" applyFont="1" applyFill="1" applyBorder="1" applyAlignment="1">
      <alignment horizontal="left"/>
    </xf>
    <xf numFmtId="0" fontId="25" fillId="39" borderId="65" xfId="0" applyFont="1" applyFill="1" applyBorder="1" applyAlignment="1">
      <alignment horizontal="left"/>
    </xf>
    <xf numFmtId="0" fontId="78" fillId="39" borderId="54" xfId="0" applyFont="1" applyFill="1" applyBorder="1" applyAlignment="1">
      <alignment horizontal="center" vertical="center"/>
    </xf>
    <xf numFmtId="0" fontId="78" fillId="39" borderId="67" xfId="0" applyFont="1" applyFill="1" applyBorder="1" applyAlignment="1">
      <alignment horizontal="center" vertical="center"/>
    </xf>
    <xf numFmtId="0" fontId="78" fillId="39" borderId="8" xfId="0" applyFont="1" applyFill="1" applyBorder="1" applyAlignment="1">
      <alignment horizontal="center" vertical="center"/>
    </xf>
    <xf numFmtId="0" fontId="78" fillId="39" borderId="1" xfId="0" applyFont="1" applyFill="1" applyBorder="1" applyAlignment="1">
      <alignment horizontal="center" vertical="center"/>
    </xf>
    <xf numFmtId="0" fontId="78" fillId="39" borderId="76" xfId="0" applyFont="1" applyFill="1" applyBorder="1" applyAlignment="1">
      <alignment horizontal="center" vertical="center"/>
    </xf>
    <xf numFmtId="0" fontId="78" fillId="39" borderId="82" xfId="0" applyFont="1" applyFill="1" applyBorder="1" applyAlignment="1">
      <alignment horizontal="center" vertical="center"/>
    </xf>
    <xf numFmtId="0" fontId="20" fillId="0" borderId="2" xfId="23" applyFont="1" applyBorder="1" applyAlignment="1">
      <alignment horizontal="left" vertical="center" wrapText="1"/>
    </xf>
    <xf numFmtId="0" fontId="92" fillId="0" borderId="13" xfId="23" applyFont="1" applyBorder="1" applyAlignment="1">
      <alignment horizontal="center" vertical="center" wrapText="1"/>
    </xf>
    <xf numFmtId="0" fontId="92" fillId="0" borderId="14" xfId="23" applyFont="1" applyBorder="1" applyAlignment="1">
      <alignment horizontal="center" vertical="center"/>
    </xf>
    <xf numFmtId="0" fontId="92" fillId="0" borderId="15" xfId="23" applyFont="1" applyBorder="1" applyAlignment="1">
      <alignment horizontal="center" vertical="center"/>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5" fillId="3" borderId="16" xfId="23" applyFont="1" applyFill="1" applyBorder="1" applyAlignment="1">
      <alignment horizontal="left"/>
    </xf>
    <xf numFmtId="0" fontId="24" fillId="3" borderId="17" xfId="23" applyFont="1" applyFill="1" applyBorder="1" applyAlignment="1">
      <alignment horizontal="left"/>
    </xf>
    <xf numFmtId="0" fontId="25" fillId="3" borderId="54" xfId="23" applyFont="1" applyFill="1" applyBorder="1" applyAlignment="1">
      <alignment horizontal="left"/>
    </xf>
    <xf numFmtId="0" fontId="24" fillId="3" borderId="84" xfId="23" applyFont="1" applyFill="1" applyBorder="1" applyAlignment="1">
      <alignment horizontal="left"/>
    </xf>
    <xf numFmtId="168" fontId="24" fillId="39" borderId="76" xfId="0" applyNumberFormat="1" applyFont="1" applyFill="1" applyBorder="1" applyAlignment="1" applyProtection="1">
      <alignment horizontal="left"/>
      <protection locked="0"/>
    </xf>
    <xf numFmtId="168" fontId="24" fillId="39" borderId="83" xfId="0" applyNumberFormat="1" applyFont="1" applyFill="1" applyBorder="1" applyAlignment="1" applyProtection="1">
      <alignment horizontal="left"/>
      <protection locked="0"/>
    </xf>
    <xf numFmtId="0" fontId="25" fillId="9" borderId="29" xfId="23" applyFont="1" applyFill="1" applyBorder="1" applyAlignment="1">
      <alignment horizontal="center" vertical="center"/>
    </xf>
    <xf numFmtId="0" fontId="25" fillId="9" borderId="25" xfId="23" applyFont="1" applyFill="1" applyBorder="1" applyAlignment="1">
      <alignment horizontal="center" vertical="center"/>
    </xf>
    <xf numFmtId="0" fontId="25" fillId="9" borderId="30" xfId="23" applyFont="1" applyFill="1" applyBorder="1" applyAlignment="1">
      <alignment horizontal="center" vertical="center"/>
    </xf>
    <xf numFmtId="0" fontId="25" fillId="9" borderId="2" xfId="23" applyFont="1" applyFill="1" applyBorder="1" applyAlignment="1">
      <alignment horizontal="center" vertical="center"/>
    </xf>
    <xf numFmtId="0" fontId="66" fillId="0" borderId="1" xfId="1" applyFont="1" applyAlignment="1">
      <alignment horizontal="left" vertical="center" wrapText="1"/>
    </xf>
    <xf numFmtId="0" fontId="31" fillId="0" borderId="2" xfId="23" applyFont="1" applyBorder="1" applyAlignment="1">
      <alignment horizontal="left" vertical="center" wrapText="1"/>
    </xf>
    <xf numFmtId="0" fontId="52" fillId="0" borderId="2" xfId="0" applyFont="1" applyBorder="1" applyAlignment="1" applyProtection="1">
      <alignment horizontal="center" vertical="center" wrapText="1"/>
      <protection hidden="1"/>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25" fillId="25" borderId="13" xfId="0" applyFont="1" applyFill="1" applyBorder="1" applyAlignment="1">
      <alignment horizontal="center" vertical="center"/>
    </xf>
    <xf numFmtId="0" fontId="25" fillId="25" borderId="58" xfId="0" applyFont="1" applyFill="1" applyBorder="1" applyAlignment="1">
      <alignment horizontal="center" vertical="center"/>
    </xf>
    <xf numFmtId="0" fontId="25" fillId="25" borderId="64"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5" fillId="25" borderId="32"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60" fillId="0" borderId="1" xfId="0" applyFont="1" applyBorder="1" applyAlignment="1">
      <alignment horizontal="center" vertical="center" wrapText="1"/>
    </xf>
    <xf numFmtId="0" fontId="43" fillId="0" borderId="1" xfId="0" applyFont="1" applyBorder="1" applyAlignment="1">
      <alignment horizontal="center"/>
    </xf>
    <xf numFmtId="0" fontId="25" fillId="9" borderId="7"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54" xfId="0" applyFont="1" applyFill="1" applyBorder="1" applyAlignment="1">
      <alignment horizontal="center" vertical="center" wrapText="1"/>
    </xf>
    <xf numFmtId="0" fontId="25" fillId="9" borderId="67" xfId="0" applyFont="1" applyFill="1" applyBorder="1" applyAlignment="1">
      <alignment horizontal="center" vertical="center" wrapText="1"/>
    </xf>
    <xf numFmtId="0" fontId="25" fillId="9" borderId="65" xfId="0" applyFont="1" applyFill="1" applyBorder="1" applyAlignment="1">
      <alignment horizontal="center" vertical="center" wrapText="1"/>
    </xf>
    <xf numFmtId="171" fontId="25" fillId="9" borderId="82" xfId="0" applyNumberFormat="1" applyFont="1" applyFill="1" applyBorder="1" applyAlignment="1">
      <alignment horizontal="left" vertical="center" wrapText="1"/>
    </xf>
    <xf numFmtId="0" fontId="29" fillId="34" borderId="38" xfId="0" applyFont="1" applyFill="1" applyBorder="1" applyAlignment="1" applyProtection="1">
      <alignment horizontal="center" vertical="center"/>
      <protection hidden="1"/>
    </xf>
    <xf numFmtId="0" fontId="29" fillId="34" borderId="56" xfId="0" applyFont="1" applyFill="1" applyBorder="1" applyAlignment="1" applyProtection="1">
      <alignment horizontal="center" vertical="center"/>
      <protection hidden="1"/>
    </xf>
    <xf numFmtId="0" fontId="29" fillId="34" borderId="37" xfId="0" applyFont="1" applyFill="1" applyBorder="1" applyAlignment="1" applyProtection="1">
      <alignment horizontal="center" vertical="center" wrapText="1"/>
      <protection hidden="1"/>
    </xf>
    <xf numFmtId="0" fontId="29" fillId="34" borderId="57" xfId="0" applyFont="1" applyFill="1" applyBorder="1" applyAlignment="1" applyProtection="1">
      <alignment horizontal="center" vertical="center" wrapText="1"/>
      <protection hidden="1"/>
    </xf>
    <xf numFmtId="0" fontId="29" fillId="34" borderId="39" xfId="0" applyFont="1" applyFill="1" applyBorder="1" applyAlignment="1" applyProtection="1">
      <alignment horizontal="center" vertical="center" wrapText="1"/>
      <protection hidden="1"/>
    </xf>
    <xf numFmtId="0" fontId="76" fillId="0" borderId="35" xfId="0" applyFont="1" applyFill="1" applyBorder="1" applyAlignment="1" applyProtection="1">
      <alignment horizontal="center" vertical="center"/>
      <protection hidden="1"/>
    </xf>
    <xf numFmtId="0" fontId="76" fillId="0" borderId="27" xfId="0" applyFont="1" applyFill="1" applyBorder="1" applyAlignment="1" applyProtection="1">
      <alignment horizontal="center" vertical="center"/>
      <protection hidden="1"/>
    </xf>
    <xf numFmtId="0" fontId="76" fillId="0" borderId="23" xfId="0" applyFont="1" applyFill="1" applyBorder="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43" fillId="0" borderId="1" xfId="0" applyFont="1" applyBorder="1" applyAlignment="1" applyProtection="1">
      <alignment horizontal="center"/>
      <protection hidden="1"/>
    </xf>
    <xf numFmtId="0" fontId="75" fillId="34" borderId="29" xfId="0" applyFont="1" applyFill="1" applyBorder="1" applyAlignment="1">
      <alignment horizontal="center" vertical="center" wrapText="1" readingOrder="1"/>
    </xf>
    <xf numFmtId="0" fontId="75" fillId="34" borderId="35" xfId="0" applyFont="1" applyFill="1" applyBorder="1" applyAlignment="1">
      <alignment horizontal="center" vertical="center" wrapText="1" readingOrder="1"/>
    </xf>
    <xf numFmtId="0" fontId="75" fillId="34" borderId="37" xfId="0" applyFont="1" applyFill="1" applyBorder="1" applyAlignment="1">
      <alignment horizontal="center" vertical="center" wrapText="1" readingOrder="1"/>
    </xf>
    <xf numFmtId="0" fontId="75" fillId="34" borderId="57" xfId="0" applyFont="1" applyFill="1" applyBorder="1" applyAlignment="1">
      <alignment horizontal="center" vertical="center" wrapText="1" readingOrder="1"/>
    </xf>
    <xf numFmtId="0" fontId="75" fillId="34" borderId="7" xfId="0" applyFont="1" applyFill="1" applyBorder="1" applyAlignment="1">
      <alignment horizontal="center" vertical="center" wrapText="1" readingOrder="1"/>
    </xf>
    <xf numFmtId="0" fontId="75" fillId="34" borderId="11" xfId="0" applyFont="1" applyFill="1" applyBorder="1" applyAlignment="1">
      <alignment horizontal="center" vertical="center" wrapText="1" readingOrder="1"/>
    </xf>
    <xf numFmtId="0" fontId="75" fillId="34" borderId="6" xfId="0" applyFont="1" applyFill="1" applyBorder="1" applyAlignment="1">
      <alignment horizontal="center" vertical="center" wrapText="1" readingOrder="1"/>
    </xf>
    <xf numFmtId="0" fontId="42" fillId="0" borderId="55" xfId="0" applyFont="1" applyBorder="1" applyAlignment="1" applyProtection="1">
      <alignment horizontal="left" vertical="top" wrapText="1"/>
    </xf>
    <xf numFmtId="0" fontId="42" fillId="0" borderId="75" xfId="0" applyFont="1" applyBorder="1" applyAlignment="1" applyProtection="1">
      <alignment horizontal="left" vertical="top" wrapText="1"/>
    </xf>
    <xf numFmtId="0" fontId="39" fillId="18" borderId="55" xfId="0" applyFont="1" applyFill="1" applyBorder="1" applyAlignment="1" applyProtection="1">
      <alignment horizontal="justify" vertical="top" wrapText="1" readingOrder="1"/>
    </xf>
    <xf numFmtId="0" fontId="39" fillId="18" borderId="75" xfId="0" applyFont="1" applyFill="1" applyBorder="1" applyAlignment="1" applyProtection="1">
      <alignment horizontal="justify" vertical="top" wrapText="1" readingOrder="1"/>
    </xf>
    <xf numFmtId="0" fontId="39" fillId="18" borderId="4" xfId="0" applyFont="1" applyFill="1" applyBorder="1" applyAlignment="1" applyProtection="1">
      <alignment horizontal="justify" vertical="top" wrapText="1" readingOrder="1"/>
    </xf>
    <xf numFmtId="0" fontId="43" fillId="18" borderId="3" xfId="0" applyFont="1" applyFill="1" applyBorder="1" applyAlignment="1" applyProtection="1">
      <alignment horizontal="justify" vertical="top" wrapText="1"/>
    </xf>
    <xf numFmtId="0" fontId="43" fillId="18" borderId="4" xfId="0" applyFont="1" applyFill="1" applyBorder="1" applyAlignment="1" applyProtection="1">
      <alignment horizontal="justify" vertical="top" wrapText="1"/>
    </xf>
    <xf numFmtId="0" fontId="43" fillId="18" borderId="5" xfId="0" applyFont="1" applyFill="1" applyBorder="1" applyAlignment="1" applyProtection="1">
      <alignment horizontal="justify" vertical="top" wrapText="1"/>
    </xf>
    <xf numFmtId="0" fontId="15" fillId="0" borderId="33" xfId="1" applyFont="1" applyBorder="1" applyAlignment="1" applyProtection="1">
      <alignment horizontal="center" vertical="center"/>
    </xf>
    <xf numFmtId="0" fontId="39" fillId="0" borderId="55" xfId="0" applyFont="1" applyBorder="1" applyAlignment="1" applyProtection="1">
      <alignment horizontal="justify" vertical="top" wrapText="1" readingOrder="1"/>
    </xf>
    <xf numFmtId="0" fontId="39" fillId="0" borderId="75" xfId="0" applyFont="1" applyBorder="1" applyAlignment="1" applyProtection="1">
      <alignment horizontal="justify" vertical="top" wrapText="1" readingOrder="1"/>
    </xf>
    <xf numFmtId="0" fontId="39" fillId="0" borderId="3" xfId="0" applyFont="1" applyBorder="1" applyAlignment="1" applyProtection="1">
      <alignment horizontal="justify" vertical="top" wrapText="1" readingOrder="1"/>
    </xf>
    <xf numFmtId="0" fontId="39" fillId="0" borderId="5" xfId="0" applyFont="1" applyBorder="1" applyAlignment="1" applyProtection="1">
      <alignment horizontal="justify" vertical="top" wrapText="1" readingOrder="1"/>
    </xf>
    <xf numFmtId="0" fontId="39" fillId="0" borderId="4" xfId="0" applyFont="1" applyBorder="1" applyAlignment="1" applyProtection="1">
      <alignment horizontal="justify" vertical="top" wrapText="1" readingOrder="1"/>
    </xf>
    <xf numFmtId="0" fontId="43" fillId="0" borderId="3" xfId="0" applyFont="1" applyBorder="1" applyAlignment="1" applyProtection="1">
      <alignment horizontal="justify" vertical="top" wrapText="1"/>
    </xf>
    <xf numFmtId="0" fontId="43" fillId="0" borderId="4" xfId="0" applyFont="1" applyBorder="1" applyAlignment="1" applyProtection="1">
      <alignment horizontal="justify" vertical="top" wrapText="1"/>
    </xf>
    <xf numFmtId="0" fontId="43" fillId="0" borderId="5" xfId="0" applyFont="1" applyBorder="1" applyAlignment="1" applyProtection="1">
      <alignment horizontal="justify" vertical="top" wrapText="1"/>
    </xf>
    <xf numFmtId="0" fontId="42" fillId="18" borderId="3" xfId="0" applyFont="1" applyFill="1" applyBorder="1" applyAlignment="1" applyProtection="1">
      <alignment horizontal="justify" vertical="top" wrapText="1" readingOrder="1"/>
    </xf>
    <xf numFmtId="0" fontId="42" fillId="18" borderId="4" xfId="0" applyFont="1" applyFill="1" applyBorder="1" applyAlignment="1" applyProtection="1">
      <alignment horizontal="justify" vertical="top" wrapText="1" readingOrder="1"/>
    </xf>
    <xf numFmtId="0" fontId="42" fillId="18" borderId="5" xfId="0" applyFont="1" applyFill="1" applyBorder="1" applyAlignment="1" applyProtection="1">
      <alignment horizontal="justify" vertical="top" wrapText="1" readingOrder="1"/>
    </xf>
    <xf numFmtId="0" fontId="39" fillId="18" borderId="3" xfId="0" applyFont="1" applyFill="1" applyBorder="1" applyAlignment="1" applyProtection="1">
      <alignment horizontal="justify" vertical="top" wrapText="1" readingOrder="1"/>
    </xf>
    <xf numFmtId="0" fontId="39" fillId="18" borderId="5" xfId="0" applyFont="1" applyFill="1" applyBorder="1" applyAlignment="1" applyProtection="1">
      <alignment horizontal="justify" vertical="top" wrapText="1" readingOrder="1"/>
    </xf>
    <xf numFmtId="9" fontId="20" fillId="0" borderId="3" xfId="8"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20" fillId="0" borderId="5" xfId="0" applyFont="1" applyBorder="1" applyAlignment="1" applyProtection="1">
      <alignment horizontal="justify" vertical="center" wrapText="1"/>
    </xf>
    <xf numFmtId="0" fontId="39" fillId="0" borderId="3" xfId="0" applyFont="1" applyFill="1" applyBorder="1" applyAlignment="1" applyProtection="1">
      <alignment horizontal="justify" vertical="top" wrapText="1" readingOrder="1"/>
    </xf>
    <xf numFmtId="0" fontId="39" fillId="0" borderId="5" xfId="0" applyFont="1" applyFill="1" applyBorder="1" applyAlignment="1" applyProtection="1">
      <alignment horizontal="justify" vertical="top" wrapText="1" readingOrder="1"/>
    </xf>
    <xf numFmtId="0" fontId="20" fillId="0" borderId="3" xfId="0" applyFont="1" applyBorder="1" applyAlignment="1">
      <alignment horizontal="justify" vertical="center" wrapText="1"/>
    </xf>
    <xf numFmtId="0" fontId="39" fillId="0" borderId="3" xfId="0" applyFont="1" applyBorder="1" applyAlignment="1">
      <alignment horizontal="justify" vertical="top" wrapText="1" readingOrder="1"/>
    </xf>
    <xf numFmtId="0" fontId="14" fillId="12" borderId="7" xfId="1" applyFont="1" applyFill="1" applyBorder="1" applyAlignment="1" applyProtection="1">
      <alignment horizontal="right" vertical="center"/>
    </xf>
    <xf numFmtId="0" fontId="14" fillId="12" borderId="11" xfId="1" applyFont="1" applyFill="1" applyBorder="1" applyAlignment="1" applyProtection="1">
      <alignment horizontal="right" vertical="center"/>
    </xf>
    <xf numFmtId="0" fontId="25" fillId="3" borderId="16" xfId="0" applyFont="1" applyFill="1" applyBorder="1" applyAlignment="1" applyProtection="1">
      <alignment horizontal="left"/>
    </xf>
    <xf numFmtId="0" fontId="24" fillId="3" borderId="17" xfId="0" applyFont="1" applyFill="1" applyBorder="1" applyAlignment="1" applyProtection="1">
      <alignment horizontal="left"/>
    </xf>
    <xf numFmtId="0" fontId="25" fillId="3" borderId="20" xfId="0" applyFont="1" applyFill="1" applyBorder="1" applyAlignment="1" applyProtection="1">
      <alignment horizontal="left"/>
    </xf>
    <xf numFmtId="0" fontId="24" fillId="3" borderId="21" xfId="0" applyFont="1" applyFill="1" applyBorder="1" applyAlignment="1" applyProtection="1">
      <alignment horizontal="left"/>
    </xf>
    <xf numFmtId="165" fontId="24" fillId="3" borderId="22" xfId="0" quotePrefix="1" applyNumberFormat="1" applyFont="1" applyFill="1" applyBorder="1" applyAlignment="1">
      <alignment horizontal="left"/>
    </xf>
    <xf numFmtId="165" fontId="24" fillId="3" borderId="23" xfId="0" applyNumberFormat="1" applyFont="1" applyFill="1" applyBorder="1" applyAlignment="1">
      <alignment horizontal="left"/>
    </xf>
    <xf numFmtId="0" fontId="32" fillId="0" borderId="1" xfId="0" applyFont="1" applyBorder="1" applyAlignment="1" applyProtection="1">
      <alignment horizontal="left" vertical="center"/>
    </xf>
    <xf numFmtId="0" fontId="11" fillId="8" borderId="3"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28" fillId="0" borderId="24"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6" fillId="10" borderId="2" xfId="1"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39" fillId="0" borderId="4" xfId="0" applyFont="1" applyFill="1" applyBorder="1" applyAlignment="1" applyProtection="1">
      <alignment horizontal="justify" vertical="top" wrapText="1" readingOrder="1"/>
    </xf>
    <xf numFmtId="0" fontId="25" fillId="9" borderId="76" xfId="0" applyFont="1" applyFill="1" applyBorder="1" applyAlignment="1">
      <alignment horizontal="right" vertical="center" wrapText="1"/>
    </xf>
    <xf numFmtId="0" fontId="25" fillId="9" borderId="82" xfId="0" applyFont="1" applyFill="1" applyBorder="1" applyAlignment="1">
      <alignment horizontal="right" vertical="center" wrapText="1"/>
    </xf>
    <xf numFmtId="0" fontId="25" fillId="29" borderId="76" xfId="0" applyFont="1" applyFill="1" applyBorder="1" applyAlignment="1" applyProtection="1">
      <alignment horizontal="center" vertical="center" wrapText="1"/>
      <protection hidden="1"/>
    </xf>
    <xf numFmtId="0" fontId="25" fillId="29" borderId="82" xfId="0" applyFont="1" applyFill="1" applyBorder="1" applyAlignment="1" applyProtection="1">
      <alignment horizontal="center" vertical="center" wrapText="1"/>
      <protection hidden="1"/>
    </xf>
    <xf numFmtId="0" fontId="25" fillId="29" borderId="83" xfId="0" applyFont="1" applyFill="1" applyBorder="1" applyAlignment="1" applyProtection="1">
      <alignment horizontal="center" vertical="center" wrapText="1"/>
      <protection hidden="1"/>
    </xf>
    <xf numFmtId="0" fontId="25" fillId="29" borderId="75"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wrapText="1"/>
      <protection hidden="1"/>
    </xf>
    <xf numFmtId="0" fontId="25" fillId="27" borderId="75"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11" fillId="11" borderId="51" xfId="0" applyFont="1" applyFill="1" applyBorder="1" applyAlignment="1" applyProtection="1">
      <alignment horizontal="center" vertical="center"/>
      <protection hidden="1"/>
    </xf>
    <xf numFmtId="0" fontId="11" fillId="11" borderId="52" xfId="0" applyFont="1" applyFill="1" applyBorder="1" applyAlignment="1" applyProtection="1">
      <alignment horizontal="center" vertical="center"/>
      <protection hidden="1"/>
    </xf>
    <xf numFmtId="0" fontId="11" fillId="11" borderId="53" xfId="0" applyFont="1" applyFill="1" applyBorder="1" applyAlignment="1" applyProtection="1">
      <alignment horizontal="center" vertical="center"/>
      <protection hidden="1"/>
    </xf>
    <xf numFmtId="0" fontId="11" fillId="18" borderId="51" xfId="0" applyFont="1" applyFill="1" applyBorder="1" applyAlignment="1" applyProtection="1">
      <alignment horizontal="center" vertical="center"/>
      <protection hidden="1"/>
    </xf>
    <xf numFmtId="0" fontId="11" fillId="18" borderId="52" xfId="0" applyFont="1" applyFill="1" applyBorder="1" applyAlignment="1" applyProtection="1">
      <alignment horizontal="center" vertical="center"/>
      <protection hidden="1"/>
    </xf>
    <xf numFmtId="0" fontId="11" fillId="18" borderId="53" xfId="0" applyFont="1" applyFill="1" applyBorder="1" applyAlignment="1" applyProtection="1">
      <alignment horizontal="center" vertical="center"/>
      <protection hidden="1"/>
    </xf>
    <xf numFmtId="0" fontId="11" fillId="40" borderId="51" xfId="0" applyFont="1" applyFill="1" applyBorder="1" applyAlignment="1" applyProtection="1">
      <alignment horizontal="center" vertical="center"/>
      <protection hidden="1"/>
    </xf>
    <xf numFmtId="0" fontId="11" fillId="40" borderId="52" xfId="0" applyFont="1" applyFill="1" applyBorder="1" applyAlignment="1" applyProtection="1">
      <alignment horizontal="center" vertical="center"/>
      <protection hidden="1"/>
    </xf>
    <xf numFmtId="0" fontId="11" fillId="40" borderId="53" xfId="0" applyFont="1" applyFill="1" applyBorder="1" applyAlignment="1" applyProtection="1">
      <alignment horizontal="center" vertical="center"/>
      <protection hidden="1"/>
    </xf>
    <xf numFmtId="0" fontId="35" fillId="7" borderId="2" xfId="0" applyFont="1" applyFill="1" applyBorder="1" applyAlignment="1" applyProtection="1">
      <alignment horizontal="center" vertical="center"/>
      <protection hidden="1"/>
    </xf>
    <xf numFmtId="0" fontId="25" fillId="29" borderId="2" xfId="0" applyFont="1" applyFill="1" applyBorder="1" applyAlignment="1" applyProtection="1">
      <alignment horizontal="center" vertical="center"/>
      <protection hidden="1"/>
    </xf>
    <xf numFmtId="0" fontId="52" fillId="0" borderId="7" xfId="0" applyFont="1" applyBorder="1" applyAlignment="1" applyProtection="1">
      <alignment horizontal="center" vertical="center" wrapText="1"/>
      <protection hidden="1"/>
    </xf>
    <xf numFmtId="0" fontId="37" fillId="0" borderId="54" xfId="0" applyFont="1" applyBorder="1" applyAlignment="1" applyProtection="1">
      <alignment horizontal="center" vertical="center" wrapText="1"/>
      <protection hidden="1"/>
    </xf>
    <xf numFmtId="0" fontId="37" fillId="0" borderId="67" xfId="0" applyFont="1" applyBorder="1" applyAlignment="1" applyProtection="1">
      <alignment horizontal="center" vertical="center" wrapText="1"/>
      <protection hidden="1"/>
    </xf>
    <xf numFmtId="0" fontId="37" fillId="0" borderId="65"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3" fillId="0" borderId="76" xfId="0" applyFont="1" applyBorder="1" applyAlignment="1" applyProtection="1">
      <alignment horizontal="center"/>
      <protection hidden="1"/>
    </xf>
    <xf numFmtId="0" fontId="43" fillId="0" borderId="82" xfId="0" applyFont="1" applyBorder="1" applyAlignment="1" applyProtection="1">
      <alignment horizontal="center"/>
      <protection hidden="1"/>
    </xf>
    <xf numFmtId="0" fontId="43" fillId="0" borderId="83" xfId="0" applyFont="1" applyBorder="1" applyAlignment="1" applyProtection="1">
      <alignment horizontal="center"/>
      <protection hidden="1"/>
    </xf>
    <xf numFmtId="0" fontId="25" fillId="0" borderId="7" xfId="0" applyFont="1" applyBorder="1" applyAlignment="1" applyProtection="1">
      <alignment horizontal="center"/>
      <protection hidden="1"/>
    </xf>
    <xf numFmtId="0" fontId="25" fillId="0" borderId="11" xfId="0" applyFont="1" applyBorder="1" applyAlignment="1" applyProtection="1">
      <alignment horizontal="center"/>
      <protection hidden="1"/>
    </xf>
    <xf numFmtId="9" fontId="20" fillId="0" borderId="3" xfId="8" applyFont="1" applyFill="1" applyBorder="1" applyAlignment="1" applyProtection="1">
      <alignment horizontal="center" vertical="center" wrapText="1"/>
    </xf>
    <xf numFmtId="9" fontId="20" fillId="0" borderId="5" xfId="8" applyFont="1" applyFill="1" applyBorder="1" applyAlignment="1" applyProtection="1">
      <alignment horizontal="center" vertical="center" wrapText="1"/>
    </xf>
    <xf numFmtId="0" fontId="20" fillId="0" borderId="3"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20" fillId="0" borderId="4" xfId="0" applyFont="1" applyBorder="1" applyAlignment="1" applyProtection="1">
      <alignment horizontal="justify"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29"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28" fillId="8" borderId="7" xfId="0" applyFont="1" applyFill="1" applyBorder="1" applyAlignment="1" applyProtection="1">
      <alignment horizontal="center" vertical="center" wrapText="1"/>
    </xf>
    <xf numFmtId="0" fontId="28" fillId="8" borderId="11" xfId="0" applyFont="1" applyFill="1" applyBorder="1" applyAlignment="1" applyProtection="1">
      <alignment horizontal="center" vertical="center" wrapText="1"/>
    </xf>
    <xf numFmtId="0" fontId="28" fillId="8" borderId="6" xfId="0" applyFont="1" applyFill="1" applyBorder="1" applyAlignment="1" applyProtection="1">
      <alignment horizontal="center" vertical="center" wrapText="1"/>
    </xf>
    <xf numFmtId="0" fontId="11" fillId="38" borderId="3" xfId="0" applyFont="1" applyFill="1" applyBorder="1" applyAlignment="1" applyProtection="1">
      <alignment horizontal="center" vertical="center" wrapText="1"/>
    </xf>
    <xf numFmtId="0" fontId="11" fillId="38" borderId="5" xfId="0" applyFont="1" applyFill="1" applyBorder="1" applyAlignment="1" applyProtection="1">
      <alignment horizontal="center" vertical="center" wrapText="1"/>
    </xf>
    <xf numFmtId="0" fontId="11" fillId="20" borderId="3" xfId="0" applyFont="1" applyFill="1" applyBorder="1" applyAlignment="1" applyProtection="1">
      <alignment horizontal="center" vertical="center" wrapText="1"/>
    </xf>
    <xf numFmtId="0" fontId="11" fillId="20" borderId="5" xfId="0" applyFont="1" applyFill="1" applyBorder="1" applyAlignment="1" applyProtection="1">
      <alignment horizontal="center" vertical="center" wrapText="1"/>
    </xf>
    <xf numFmtId="164" fontId="21" fillId="0" borderId="3" xfId="34" applyNumberFormat="1" applyFont="1" applyBorder="1" applyAlignment="1" applyProtection="1">
      <alignment horizontal="center" vertical="center" wrapText="1"/>
    </xf>
    <xf numFmtId="0" fontId="21" fillId="0" borderId="5" xfId="34" applyFont="1" applyBorder="1" applyAlignment="1" applyProtection="1">
      <alignment horizontal="center" vertical="center" wrapText="1"/>
    </xf>
    <xf numFmtId="164" fontId="21" fillId="18" borderId="3" xfId="6" applyNumberFormat="1" applyFont="1" applyFill="1" applyBorder="1" applyAlignment="1" applyProtection="1">
      <alignment horizontal="center" vertical="center" wrapText="1"/>
    </xf>
    <xf numFmtId="164" fontId="21" fillId="18" borderId="4" xfId="6" applyNumberFormat="1" applyFont="1" applyFill="1" applyBorder="1" applyAlignment="1" applyProtection="1">
      <alignment horizontal="center" vertical="center" wrapText="1"/>
    </xf>
    <xf numFmtId="164" fontId="21" fillId="18" borderId="5" xfId="6" applyNumberFormat="1" applyFont="1" applyFill="1" applyBorder="1" applyAlignment="1" applyProtection="1">
      <alignment horizontal="center" vertical="center" wrapText="1"/>
    </xf>
    <xf numFmtId="0" fontId="21" fillId="0" borderId="4" xfId="20" applyFont="1" applyBorder="1" applyAlignment="1" applyProtection="1">
      <alignment horizontal="center" vertical="center" wrapText="1"/>
    </xf>
    <xf numFmtId="0" fontId="21" fillId="0" borderId="5" xfId="20" applyFont="1" applyBorder="1" applyAlignment="1" applyProtection="1">
      <alignment horizontal="center" vertical="center" wrapText="1"/>
    </xf>
    <xf numFmtId="164" fontId="21" fillId="18" borderId="3" xfId="34" applyNumberFormat="1" applyFont="1" applyFill="1" applyBorder="1" applyAlignment="1" applyProtection="1">
      <alignment horizontal="center" vertical="center" wrapText="1"/>
    </xf>
    <xf numFmtId="0" fontId="21" fillId="18" borderId="4" xfId="34" applyFont="1" applyFill="1" applyBorder="1" applyAlignment="1" applyProtection="1">
      <alignment horizontal="center" vertical="center" wrapText="1"/>
    </xf>
    <xf numFmtId="0" fontId="21" fillId="18" borderId="5" xfId="34" applyFont="1" applyFill="1" applyBorder="1" applyAlignment="1" applyProtection="1">
      <alignment horizontal="center" vertical="center" wrapText="1"/>
    </xf>
    <xf numFmtId="164" fontId="20" fillId="0" borderId="3" xfId="20" applyNumberFormat="1" applyFont="1" applyBorder="1" applyAlignment="1" applyProtection="1">
      <alignment horizontal="center" vertical="center" wrapText="1"/>
    </xf>
    <xf numFmtId="164" fontId="20" fillId="0" borderId="5" xfId="20" applyNumberFormat="1" applyFont="1" applyBorder="1" applyAlignment="1" applyProtection="1">
      <alignment horizontal="center" vertical="center" wrapText="1"/>
    </xf>
    <xf numFmtId="164" fontId="21" fillId="18" borderId="3" xfId="0" applyNumberFormat="1" applyFont="1" applyFill="1" applyBorder="1" applyAlignment="1" applyProtection="1">
      <alignment horizontal="center" vertical="center" wrapText="1"/>
    </xf>
    <xf numFmtId="0" fontId="21" fillId="18" borderId="4" xfId="0" applyFont="1" applyFill="1" applyBorder="1" applyAlignment="1" applyProtection="1">
      <alignment horizontal="center" vertical="center" wrapText="1"/>
    </xf>
    <xf numFmtId="0" fontId="21" fillId="18" borderId="5" xfId="0" applyFont="1" applyFill="1" applyBorder="1" applyAlignment="1" applyProtection="1">
      <alignment horizontal="center" vertical="center" wrapText="1"/>
    </xf>
    <xf numFmtId="164" fontId="20" fillId="0" borderId="4" xfId="20" applyNumberFormat="1" applyFont="1" applyBorder="1" applyAlignment="1" applyProtection="1">
      <alignment horizontal="center" vertical="center" wrapText="1"/>
    </xf>
    <xf numFmtId="164" fontId="21" fillId="18" borderId="55" xfId="20" applyNumberFormat="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33" fillId="10" borderId="3" xfId="1" applyFont="1" applyFill="1" applyBorder="1" applyAlignment="1" applyProtection="1">
      <alignment horizontal="center" vertical="center" wrapText="1"/>
    </xf>
    <xf numFmtId="0" fontId="33" fillId="10" borderId="4" xfId="1" applyFont="1" applyFill="1" applyBorder="1" applyAlignment="1" applyProtection="1">
      <alignment horizontal="center" vertical="center" wrapText="1"/>
    </xf>
    <xf numFmtId="0" fontId="33" fillId="10" borderId="5" xfId="1" applyFont="1" applyFill="1" applyBorder="1" applyAlignment="1" applyProtection="1">
      <alignment horizontal="center" vertical="center" wrapText="1"/>
    </xf>
    <xf numFmtId="0" fontId="11" fillId="14" borderId="7" xfId="1"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14" borderId="6" xfId="1" applyFont="1" applyFill="1" applyBorder="1" applyAlignment="1">
      <alignment horizontal="center" vertical="center" wrapText="1"/>
    </xf>
    <xf numFmtId="0" fontId="33" fillId="14" borderId="3" xfId="1" applyFont="1" applyFill="1" applyBorder="1" applyAlignment="1" applyProtection="1">
      <alignment horizontal="center" vertical="center" wrapText="1"/>
    </xf>
    <xf numFmtId="0" fontId="33" fillId="14" borderId="4" xfId="1" applyFont="1" applyFill="1" applyBorder="1" applyAlignment="1" applyProtection="1">
      <alignment horizontal="center" vertical="center" wrapText="1"/>
    </xf>
    <xf numFmtId="0" fontId="33" fillId="14" borderId="5" xfId="1" applyFont="1" applyFill="1" applyBorder="1" applyAlignment="1" applyProtection="1">
      <alignment horizontal="center" vertical="center" wrapText="1"/>
    </xf>
    <xf numFmtId="0" fontId="20" fillId="0" borderId="12" xfId="1" applyFont="1" applyBorder="1" applyAlignment="1" applyProtection="1">
      <alignment horizontal="left" vertical="center"/>
    </xf>
    <xf numFmtId="0" fontId="20" fillId="0" borderId="1" xfId="1" applyFont="1" applyBorder="1" applyAlignment="1" applyProtection="1">
      <alignment horizontal="left" vertical="center"/>
    </xf>
    <xf numFmtId="0" fontId="20" fillId="0" borderId="8" xfId="1" applyFont="1" applyBorder="1" applyAlignment="1" applyProtection="1">
      <alignment horizontal="left" vertical="center"/>
    </xf>
    <xf numFmtId="0" fontId="13" fillId="10" borderId="2" xfId="1" applyFont="1" applyFill="1" applyBorder="1" applyAlignment="1" applyProtection="1">
      <alignment horizontal="center" vertical="center" wrapText="1"/>
    </xf>
    <xf numFmtId="0" fontId="12" fillId="7" borderId="2" xfId="1" applyFont="1" applyFill="1" applyBorder="1" applyAlignment="1" applyProtection="1">
      <alignment horizontal="center" vertical="center" wrapText="1"/>
    </xf>
    <xf numFmtId="0" fontId="29" fillId="13" borderId="7" xfId="1" applyFont="1" applyFill="1" applyBorder="1" applyAlignment="1">
      <alignment horizontal="center" vertical="center" wrapText="1"/>
    </xf>
    <xf numFmtId="0" fontId="29" fillId="13" borderId="11" xfId="1" applyFont="1" applyFill="1" applyBorder="1" applyAlignment="1">
      <alignment horizontal="center" vertical="center" wrapText="1"/>
    </xf>
    <xf numFmtId="0" fontId="29" fillId="13" borderId="6" xfId="1" applyFont="1" applyFill="1" applyBorder="1" applyAlignment="1">
      <alignment horizontal="center" vertical="center" wrapText="1"/>
    </xf>
    <xf numFmtId="0" fontId="34" fillId="13" borderId="3" xfId="1" applyFont="1" applyFill="1" applyBorder="1" applyAlignment="1" applyProtection="1">
      <alignment horizontal="center" vertical="center" wrapText="1"/>
    </xf>
    <xf numFmtId="0" fontId="34" fillId="13" borderId="4" xfId="1" applyFont="1" applyFill="1" applyBorder="1" applyAlignment="1" applyProtection="1">
      <alignment horizontal="center" vertical="center" wrapText="1"/>
    </xf>
    <xf numFmtId="0" fontId="34" fillId="13" borderId="5" xfId="1" applyFont="1" applyFill="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38" fillId="0" borderId="25" xfId="0" applyFont="1" applyBorder="1" applyAlignment="1" applyProtection="1">
      <alignment horizontal="center" vertical="center"/>
    </xf>
    <xf numFmtId="0" fontId="38" fillId="0" borderId="30"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36"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27" xfId="0" applyFont="1" applyBorder="1" applyAlignment="1" applyProtection="1">
      <alignment horizontal="center" vertical="center"/>
    </xf>
    <xf numFmtId="0" fontId="38" fillId="0" borderId="23" xfId="0" applyFont="1" applyBorder="1" applyAlignment="1" applyProtection="1">
      <alignment horizontal="center" vertical="center"/>
    </xf>
    <xf numFmtId="0" fontId="36" fillId="0" borderId="2" xfId="0" applyFont="1" applyBorder="1" applyAlignment="1" applyProtection="1">
      <alignment horizontal="left" vertical="center"/>
    </xf>
    <xf numFmtId="0" fontId="20" fillId="0" borderId="7" xfId="0" applyFont="1" applyBorder="1" applyAlignment="1" applyProtection="1">
      <alignment horizontal="justify" vertical="center"/>
    </xf>
    <xf numFmtId="0" fontId="20" fillId="0" borderId="6" xfId="0" applyFont="1" applyBorder="1" applyAlignment="1" applyProtection="1">
      <alignment horizontal="justify" vertical="center"/>
    </xf>
    <xf numFmtId="0" fontId="36" fillId="0" borderId="7" xfId="0" applyFont="1" applyBorder="1" applyAlignment="1" applyProtection="1">
      <alignment horizontal="left" vertical="center"/>
    </xf>
    <xf numFmtId="0" fontId="36" fillId="0" borderId="6" xfId="0" applyFont="1" applyBorder="1" applyAlignment="1" applyProtection="1">
      <alignment horizontal="left" vertical="center"/>
    </xf>
    <xf numFmtId="0" fontId="14" fillId="6" borderId="8" xfId="1" applyFont="1" applyFill="1" applyBorder="1" applyAlignment="1" applyProtection="1">
      <alignment horizontal="right" vertical="center"/>
    </xf>
    <xf numFmtId="0" fontId="14" fillId="6" borderId="1" xfId="1" applyFont="1" applyFill="1" applyBorder="1" applyAlignment="1" applyProtection="1">
      <alignment horizontal="right" vertical="center"/>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1" fillId="10" borderId="7"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9" fillId="0" borderId="1" xfId="1" applyFont="1" applyBorder="1" applyAlignment="1" applyProtection="1">
      <alignment horizontal="left" vertical="center"/>
    </xf>
    <xf numFmtId="0" fontId="20" fillId="0" borderId="1" xfId="1" applyFont="1" applyFill="1" applyBorder="1" applyAlignment="1" applyProtection="1">
      <alignment horizontal="left" vertical="center"/>
    </xf>
    <xf numFmtId="0" fontId="11" fillId="0" borderId="1" xfId="1" applyFont="1" applyFill="1" applyBorder="1" applyAlignment="1" applyProtection="1">
      <alignment horizontal="left" vertical="center"/>
    </xf>
    <xf numFmtId="0" fontId="9" fillId="0" borderId="1" xfId="1" applyFont="1" applyAlignment="1" applyProtection="1">
      <alignment vertical="center"/>
    </xf>
    <xf numFmtId="0" fontId="11" fillId="7" borderId="2" xfId="1" applyFont="1" applyFill="1" applyBorder="1" applyAlignment="1" applyProtection="1">
      <alignment horizontal="center" vertical="center" wrapText="1"/>
    </xf>
    <xf numFmtId="0" fontId="20" fillId="0" borderId="2" xfId="1" applyFont="1" applyBorder="1" applyAlignment="1" applyProtection="1">
      <alignment horizontal="left" vertical="center" wrapText="1"/>
    </xf>
    <xf numFmtId="10" fontId="22" fillId="4" borderId="44" xfId="3" applyNumberFormat="1" applyFont="1" applyFill="1" applyBorder="1" applyAlignment="1" applyProtection="1">
      <alignment horizontal="center" vertical="center"/>
    </xf>
    <xf numFmtId="10" fontId="22" fillId="4" borderId="45" xfId="3" applyNumberFormat="1" applyFont="1" applyFill="1" applyBorder="1" applyAlignment="1" applyProtection="1">
      <alignment horizontal="center" vertical="center"/>
    </xf>
    <xf numFmtId="10" fontId="22" fillId="4" borderId="9" xfId="3" applyNumberFormat="1" applyFont="1" applyFill="1" applyBorder="1" applyAlignment="1" applyProtection="1">
      <alignment horizontal="center" vertical="center"/>
    </xf>
    <xf numFmtId="0" fontId="20" fillId="0" borderId="55" xfId="0" applyFont="1" applyBorder="1" applyAlignment="1" applyProtection="1">
      <alignment horizontal="justify" vertical="center" wrapText="1"/>
    </xf>
    <xf numFmtId="0" fontId="20" fillId="0" borderId="75" xfId="0" applyFont="1" applyBorder="1" applyAlignment="1" applyProtection="1">
      <alignment horizontal="justify" vertical="center" wrapText="1"/>
    </xf>
    <xf numFmtId="0" fontId="9" fillId="0" borderId="1" xfId="1" applyFont="1" applyAlignment="1" applyProtection="1">
      <alignment horizontal="left" vertical="center"/>
    </xf>
    <xf numFmtId="0" fontId="20" fillId="0" borderId="1" xfId="1" applyFont="1" applyAlignment="1" applyProtection="1">
      <alignment horizontal="left" vertical="center"/>
    </xf>
    <xf numFmtId="0" fontId="11" fillId="0" borderId="1" xfId="1" applyFont="1" applyAlignment="1" applyProtection="1">
      <alignment horizontal="left" vertical="center"/>
    </xf>
    <xf numFmtId="0" fontId="11" fillId="0" borderId="20" xfId="1" applyFont="1" applyBorder="1" applyAlignment="1" applyProtection="1">
      <alignment horizontal="left" vertical="center" wrapText="1"/>
    </xf>
    <xf numFmtId="0" fontId="11" fillId="0" borderId="33" xfId="1" applyFont="1" applyBorder="1" applyAlignment="1" applyProtection="1">
      <alignment horizontal="left" vertical="center" wrapText="1"/>
    </xf>
    <xf numFmtId="0" fontId="11" fillId="0" borderId="31" xfId="1" applyFont="1" applyBorder="1" applyAlignment="1" applyProtection="1">
      <alignment horizontal="left" vertical="center" wrapText="1"/>
    </xf>
    <xf numFmtId="0" fontId="11" fillId="0" borderId="46" xfId="1" applyFont="1" applyBorder="1" applyAlignment="1" applyProtection="1">
      <alignment horizontal="left" vertical="center" wrapText="1"/>
    </xf>
    <xf numFmtId="0" fontId="11" fillId="0" borderId="47" xfId="1" applyFont="1" applyBorder="1" applyAlignment="1" applyProtection="1">
      <alignment horizontal="left" vertical="center" wrapText="1"/>
    </xf>
    <xf numFmtId="0" fontId="11" fillId="0" borderId="10"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0" fontId="14" fillId="6" borderId="1" xfId="1" applyFont="1" applyFill="1" applyAlignment="1" applyProtection="1">
      <alignment horizontal="right" vertical="center"/>
    </xf>
    <xf numFmtId="0" fontId="20" fillId="0" borderId="5" xfId="0" applyFont="1" applyBorder="1" applyAlignment="1" applyProtection="1">
      <alignment horizontal="center" vertical="center" wrapText="1"/>
    </xf>
    <xf numFmtId="0" fontId="14" fillId="12" borderId="6" xfId="1" applyFont="1" applyFill="1" applyBorder="1" applyAlignment="1" applyProtection="1">
      <alignment horizontal="right" vertical="center"/>
    </xf>
    <xf numFmtId="0" fontId="39" fillId="0" borderId="7" xfId="0" applyFont="1" applyBorder="1" applyAlignment="1" applyProtection="1">
      <alignment horizontal="justify" vertical="center"/>
    </xf>
    <xf numFmtId="0" fontId="39" fillId="0" borderId="6" xfId="0" applyFont="1" applyBorder="1" applyAlignment="1" applyProtection="1">
      <alignment horizontal="justify" vertical="center"/>
    </xf>
    <xf numFmtId="9" fontId="22" fillId="4" borderId="7" xfId="3" applyFont="1" applyFill="1" applyBorder="1" applyAlignment="1" applyProtection="1">
      <alignment horizontal="center" vertical="center"/>
    </xf>
    <xf numFmtId="9" fontId="22" fillId="4" borderId="11" xfId="3" applyFont="1" applyFill="1" applyBorder="1" applyAlignment="1" applyProtection="1">
      <alignment horizontal="center" vertical="center"/>
    </xf>
    <xf numFmtId="9" fontId="22" fillId="4" borderId="6" xfId="3" applyFont="1" applyFill="1" applyBorder="1" applyAlignment="1" applyProtection="1">
      <alignment horizontal="center" vertical="center"/>
    </xf>
    <xf numFmtId="0" fontId="39" fillId="0" borderId="2" xfId="0" applyFont="1" applyBorder="1" applyAlignment="1" applyProtection="1">
      <alignment horizontal="left" vertical="center"/>
    </xf>
    <xf numFmtId="0" fontId="44" fillId="0" borderId="2" xfId="0" applyFont="1" applyBorder="1" applyAlignment="1" applyProtection="1">
      <alignment horizontal="left" vertical="center"/>
    </xf>
    <xf numFmtId="9" fontId="22" fillId="4" borderId="44" xfId="3" applyFont="1" applyFill="1" applyBorder="1" applyAlignment="1" applyProtection="1">
      <alignment horizontal="center" vertical="center"/>
    </xf>
    <xf numFmtId="9" fontId="22" fillId="4" borderId="45"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9" fillId="0" borderId="1" xfId="1" applyFont="1" applyAlignment="1">
      <alignment horizontal="left" vertical="center"/>
    </xf>
    <xf numFmtId="0" fontId="15" fillId="0" borderId="33" xfId="1" applyFont="1" applyBorder="1" applyAlignment="1">
      <alignment horizontal="center" vertical="center"/>
    </xf>
    <xf numFmtId="0" fontId="14" fillId="12" borderId="7" xfId="1" applyFont="1" applyFill="1" applyBorder="1" applyAlignment="1">
      <alignment horizontal="right" vertical="center"/>
    </xf>
    <xf numFmtId="0" fontId="14" fillId="12" borderId="11" xfId="1" applyFont="1" applyFill="1" applyBorder="1" applyAlignment="1">
      <alignment horizontal="right" vertical="center"/>
    </xf>
    <xf numFmtId="0" fontId="14" fillId="12" borderId="6" xfId="1" applyFont="1" applyFill="1" applyBorder="1" applyAlignment="1">
      <alignment horizontal="right" vertical="center"/>
    </xf>
    <xf numFmtId="0" fontId="14" fillId="6" borderId="8" xfId="1" applyFont="1" applyFill="1" applyBorder="1" applyAlignment="1">
      <alignment horizontal="right" vertical="center"/>
    </xf>
    <xf numFmtId="0" fontId="14" fillId="6" borderId="1" xfId="1" applyFont="1" applyFill="1" applyAlignment="1">
      <alignment horizontal="right" vertical="center"/>
    </xf>
    <xf numFmtId="0" fontId="9" fillId="0" borderId="1" xfId="1" applyFont="1" applyAlignment="1">
      <alignment vertical="center"/>
    </xf>
    <xf numFmtId="0" fontId="11" fillId="7" borderId="2" xfId="1" applyFont="1" applyFill="1" applyBorder="1" applyAlignment="1">
      <alignment horizontal="center" vertical="center" wrapText="1"/>
    </xf>
    <xf numFmtId="0" fontId="20" fillId="0" borderId="1" xfId="1" applyFont="1" applyAlignment="1" applyProtection="1">
      <alignment horizontal="left" vertical="center"/>
      <protection locked="0"/>
    </xf>
    <xf numFmtId="0" fontId="11" fillId="0" borderId="1" xfId="1" applyFont="1" applyAlignment="1" applyProtection="1">
      <alignment horizontal="left" vertical="center"/>
      <protection locked="0"/>
    </xf>
    <xf numFmtId="0" fontId="20" fillId="0" borderId="54" xfId="1" applyFont="1" applyBorder="1" applyAlignment="1" applyProtection="1">
      <alignment horizontal="left" vertical="center" wrapText="1"/>
      <protection locked="0"/>
    </xf>
    <xf numFmtId="0" fontId="20" fillId="0" borderId="67" xfId="1" applyFont="1" applyBorder="1" applyAlignment="1" applyProtection="1">
      <alignment horizontal="left" vertical="center" wrapText="1"/>
      <protection locked="0"/>
    </xf>
    <xf numFmtId="0" fontId="20" fillId="0" borderId="65" xfId="1" applyFont="1" applyBorder="1" applyAlignment="1" applyProtection="1">
      <alignment horizontal="left" vertical="center" wrapText="1"/>
      <protection locked="0"/>
    </xf>
    <xf numFmtId="0" fontId="20" fillId="0" borderId="76" xfId="1" applyFont="1" applyBorder="1" applyAlignment="1" applyProtection="1">
      <alignment horizontal="left" vertical="center" wrapText="1"/>
      <protection locked="0"/>
    </xf>
    <xf numFmtId="0" fontId="20" fillId="0" borderId="82" xfId="1" applyFont="1" applyBorder="1" applyAlignment="1" applyProtection="1">
      <alignment horizontal="left" vertical="center" wrapText="1"/>
      <protection locked="0"/>
    </xf>
    <xf numFmtId="0" fontId="20" fillId="0" borderId="83" xfId="1" applyFont="1" applyBorder="1" applyAlignment="1" applyProtection="1">
      <alignment horizontal="left" vertical="center" wrapText="1"/>
      <protection locked="0"/>
    </xf>
    <xf numFmtId="0" fontId="12" fillId="0" borderId="2" xfId="1" applyFont="1" applyBorder="1" applyAlignment="1">
      <alignment horizontal="center" vertical="center" wrapText="1"/>
    </xf>
    <xf numFmtId="0" fontId="33" fillId="10" borderId="3" xfId="1" applyFont="1" applyFill="1" applyBorder="1" applyAlignment="1">
      <alignment horizontal="center" vertical="center" wrapText="1"/>
    </xf>
    <xf numFmtId="0" fontId="33" fillId="10" borderId="4" xfId="1" applyFont="1" applyFill="1" applyBorder="1" applyAlignment="1">
      <alignment horizontal="center" vertical="center" wrapText="1"/>
    </xf>
    <xf numFmtId="0" fontId="33" fillId="10" borderId="5" xfId="1" applyFont="1" applyFill="1" applyBorder="1" applyAlignment="1">
      <alignment horizontal="center" vertical="center" wrapText="1"/>
    </xf>
    <xf numFmtId="0" fontId="34" fillId="13" borderId="3" xfId="1" applyFont="1" applyFill="1" applyBorder="1" applyAlignment="1">
      <alignment horizontal="center" vertical="center" wrapText="1"/>
    </xf>
    <xf numFmtId="0" fontId="34" fillId="13" borderId="4"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33" fillId="14" borderId="3" xfId="1" applyFont="1" applyFill="1" applyBorder="1" applyAlignment="1">
      <alignment horizontal="center" vertical="center" wrapText="1"/>
    </xf>
    <xf numFmtId="0" fontId="33" fillId="14" borderId="4" xfId="1" applyFont="1" applyFill="1" applyBorder="1" applyAlignment="1">
      <alignment horizontal="center" vertical="center" wrapText="1"/>
    </xf>
    <xf numFmtId="0" fontId="33" fillId="14" borderId="5" xfId="1" applyFont="1" applyFill="1" applyBorder="1" applyAlignment="1">
      <alignment horizontal="center" vertical="center" wrapText="1"/>
    </xf>
    <xf numFmtId="0" fontId="20" fillId="0" borderId="12" xfId="1" applyFont="1" applyBorder="1" applyAlignment="1">
      <alignment horizontal="left" vertical="center"/>
    </xf>
    <xf numFmtId="0" fontId="20" fillId="0" borderId="1" xfId="1" applyFont="1" applyAlignment="1">
      <alignment horizontal="left" vertical="center"/>
    </xf>
    <xf numFmtId="0" fontId="20" fillId="0" borderId="8" xfId="1" applyFont="1" applyBorder="1" applyAlignment="1">
      <alignment horizontal="left" vertical="center"/>
    </xf>
    <xf numFmtId="0" fontId="36" fillId="0" borderId="2" xfId="0" applyFont="1" applyBorder="1" applyAlignment="1" applyProtection="1">
      <alignment horizontal="left" vertical="center"/>
      <protection locked="0"/>
    </xf>
    <xf numFmtId="0" fontId="20" fillId="0" borderId="7" xfId="0" applyFont="1" applyBorder="1" applyAlignment="1" applyProtection="1">
      <alignment horizontal="justify" vertical="center"/>
      <protection locked="0"/>
    </xf>
    <xf numFmtId="0" fontId="20" fillId="0" borderId="6" xfId="0" applyFont="1" applyBorder="1" applyAlignment="1" applyProtection="1">
      <alignment horizontal="justify" vertical="center"/>
      <protection locked="0"/>
    </xf>
    <xf numFmtId="0" fontId="12" fillId="7" borderId="2" xfId="1" applyFont="1" applyFill="1" applyBorder="1" applyAlignment="1">
      <alignment horizontal="center" vertical="center" wrapText="1"/>
    </xf>
    <xf numFmtId="0" fontId="38" fillId="0" borderId="29" xfId="0" applyFont="1" applyBorder="1" applyAlignment="1">
      <alignment horizontal="center" vertical="center" wrapText="1"/>
    </xf>
    <xf numFmtId="0" fontId="38" fillId="0" borderId="25" xfId="0" applyFont="1" applyBorder="1" applyAlignment="1">
      <alignment horizontal="center" vertical="center"/>
    </xf>
    <xf numFmtId="0" fontId="38" fillId="0" borderId="30" xfId="0" applyFont="1" applyBorder="1" applyAlignment="1">
      <alignment horizontal="center" vertical="center"/>
    </xf>
    <xf numFmtId="0" fontId="38" fillId="0" borderId="34" xfId="0" applyFont="1" applyBorder="1" applyAlignment="1">
      <alignment horizontal="center" vertical="center"/>
    </xf>
    <xf numFmtId="0" fontId="38" fillId="0" borderId="1" xfId="0" applyFont="1" applyBorder="1" applyAlignment="1">
      <alignment horizontal="center" vertical="center"/>
    </xf>
    <xf numFmtId="0" fontId="38" fillId="0" borderId="36" xfId="0" applyFont="1" applyBorder="1" applyAlignment="1">
      <alignment horizontal="center" vertical="center"/>
    </xf>
    <xf numFmtId="0" fontId="38" fillId="0" borderId="35" xfId="0" applyFont="1" applyBorder="1" applyAlignment="1">
      <alignment horizontal="center" vertical="center"/>
    </xf>
    <xf numFmtId="0" fontId="38" fillId="0" borderId="27" xfId="0" applyFont="1" applyBorder="1" applyAlignment="1">
      <alignment horizontal="center" vertical="center"/>
    </xf>
    <xf numFmtId="0" fontId="38" fillId="0" borderId="23" xfId="0" applyFont="1" applyBorder="1" applyAlignment="1">
      <alignment horizontal="center" vertical="center"/>
    </xf>
    <xf numFmtId="0" fontId="13" fillId="10" borderId="2" xfId="1" applyFont="1" applyFill="1" applyBorder="1" applyAlignment="1">
      <alignment horizontal="center" vertical="center" wrapText="1"/>
    </xf>
    <xf numFmtId="0" fontId="36" fillId="0" borderId="7"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20" fillId="0" borderId="20" xfId="1" applyFont="1" applyBorder="1" applyAlignment="1" applyProtection="1">
      <alignment horizontal="left" vertical="center" wrapText="1"/>
    </xf>
    <xf numFmtId="0" fontId="20" fillId="0" borderId="33" xfId="1" applyFont="1" applyBorder="1" applyAlignment="1" applyProtection="1">
      <alignment horizontal="left" vertical="center" wrapText="1"/>
    </xf>
    <xf numFmtId="0" fontId="20" fillId="0" borderId="31" xfId="1" applyFont="1" applyBorder="1" applyAlignment="1" applyProtection="1">
      <alignment horizontal="left" vertical="center" wrapText="1"/>
    </xf>
    <xf numFmtId="0" fontId="20" fillId="0" borderId="46" xfId="1" applyFont="1" applyBorder="1" applyAlignment="1" applyProtection="1">
      <alignment horizontal="left" vertical="center" wrapText="1"/>
    </xf>
    <xf numFmtId="0" fontId="20" fillId="0" borderId="47" xfId="1" applyFont="1" applyBorder="1" applyAlignment="1" applyProtection="1">
      <alignment horizontal="left" vertical="center" wrapText="1"/>
    </xf>
    <xf numFmtId="0" fontId="20" fillId="0" borderId="10" xfId="1" applyFont="1" applyBorder="1" applyAlignment="1" applyProtection="1">
      <alignment horizontal="left" vertical="center" wrapText="1"/>
    </xf>
    <xf numFmtId="0" fontId="11" fillId="0" borderId="3" xfId="0" applyFont="1" applyBorder="1" applyAlignment="1" applyProtection="1">
      <alignment horizontal="justify" vertical="center" wrapText="1"/>
    </xf>
    <xf numFmtId="0" fontId="11" fillId="0" borderId="4" xfId="0" applyFont="1" applyBorder="1" applyAlignment="1" applyProtection="1">
      <alignment horizontal="justify" vertical="center" wrapText="1"/>
    </xf>
    <xf numFmtId="0" fontId="14" fillId="6" borderId="2" xfId="1" applyFont="1" applyFill="1" applyBorder="1" applyAlignment="1" applyProtection="1">
      <alignment horizontal="right" vertical="center"/>
    </xf>
    <xf numFmtId="0" fontId="21" fillId="0" borderId="2" xfId="0" applyFont="1" applyBorder="1" applyAlignment="1" applyProtection="1">
      <alignment horizontal="left" vertical="center"/>
    </xf>
    <xf numFmtId="0" fontId="11" fillId="0" borderId="2" xfId="1" applyFont="1" applyBorder="1" applyAlignment="1" applyProtection="1">
      <alignment horizontal="center" vertical="center" wrapText="1"/>
    </xf>
    <xf numFmtId="0" fontId="11" fillId="9" borderId="2" xfId="1" applyFont="1" applyFill="1" applyBorder="1" applyAlignment="1" applyProtection="1">
      <alignment horizontal="center" vertical="center" wrapText="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11" fillId="12" borderId="6" xfId="1" applyFont="1" applyFill="1" applyBorder="1" applyAlignment="1" applyProtection="1">
      <alignment horizontal="right" vertical="center"/>
    </xf>
    <xf numFmtId="0" fontId="11" fillId="14" borderId="3" xfId="1" applyFont="1" applyFill="1" applyBorder="1" applyAlignment="1" applyProtection="1">
      <alignment horizontal="center" vertical="center" wrapText="1"/>
    </xf>
    <xf numFmtId="0" fontId="11" fillId="14" borderId="4" xfId="1" applyFont="1" applyFill="1" applyBorder="1" applyAlignment="1" applyProtection="1">
      <alignment horizontal="center" vertical="center" wrapText="1"/>
    </xf>
    <xf numFmtId="0" fontId="11" fillId="14" borderId="5" xfId="1" applyFont="1" applyFill="1" applyBorder="1" applyAlignment="1" applyProtection="1">
      <alignment horizontal="center" vertical="center" wrapText="1"/>
    </xf>
    <xf numFmtId="0" fontId="11" fillId="10" borderId="2" xfId="1" applyFont="1" applyFill="1" applyBorder="1" applyAlignment="1" applyProtection="1">
      <alignment horizontal="center" vertical="center" wrapText="1"/>
    </xf>
    <xf numFmtId="0" fontId="20" fillId="0" borderId="1" xfId="1" applyFont="1" applyAlignment="1" applyProtection="1">
      <alignment vertical="center"/>
    </xf>
    <xf numFmtId="0" fontId="44" fillId="0" borderId="3" xfId="0" applyFont="1" applyBorder="1" applyAlignment="1" applyProtection="1">
      <alignment horizontal="center" vertical="top" wrapText="1"/>
    </xf>
    <xf numFmtId="0" fontId="44" fillId="0" borderId="4" xfId="0" applyFont="1" applyBorder="1" applyAlignment="1" applyProtection="1">
      <alignment horizontal="center" vertical="top" wrapText="1"/>
    </xf>
    <xf numFmtId="0" fontId="44" fillId="0" borderId="5" xfId="0" applyFont="1" applyBorder="1" applyAlignment="1" applyProtection="1">
      <alignment horizontal="center" vertical="top" wrapText="1"/>
    </xf>
    <xf numFmtId="0" fontId="20" fillId="0" borderId="7" xfId="0" applyFont="1" applyBorder="1" applyAlignment="1" applyProtection="1">
      <alignment horizontal="left" vertical="center"/>
    </xf>
    <xf numFmtId="0" fontId="20" fillId="0" borderId="6" xfId="0" applyFont="1" applyBorder="1" applyAlignment="1" applyProtection="1">
      <alignment horizontal="left" vertical="center"/>
    </xf>
    <xf numFmtId="0" fontId="11" fillId="10" borderId="3" xfId="1" applyFont="1" applyFill="1" applyBorder="1" applyAlignment="1" applyProtection="1">
      <alignment horizontal="center" vertical="center" wrapText="1"/>
    </xf>
    <xf numFmtId="0" fontId="11" fillId="10" borderId="4" xfId="1" applyFont="1" applyFill="1" applyBorder="1" applyAlignment="1" applyProtection="1">
      <alignment horizontal="center" vertical="center" wrapText="1"/>
    </xf>
    <xf numFmtId="0" fontId="11" fillId="10" borderId="5" xfId="1" applyFont="1" applyFill="1" applyBorder="1" applyAlignment="1" applyProtection="1">
      <alignment horizontal="center" vertical="center" wrapText="1"/>
    </xf>
    <xf numFmtId="0" fontId="29" fillId="13" borderId="3" xfId="1" applyFont="1" applyFill="1" applyBorder="1" applyAlignment="1" applyProtection="1">
      <alignment horizontal="center" vertical="center" wrapText="1"/>
    </xf>
    <xf numFmtId="0" fontId="29" fillId="13" borderId="4" xfId="1" applyFont="1" applyFill="1" applyBorder="1" applyAlignment="1" applyProtection="1">
      <alignment horizontal="center" vertical="center" wrapText="1"/>
    </xf>
    <xf numFmtId="0" fontId="29" fillId="13" borderId="5" xfId="1" applyFont="1" applyFill="1" applyBorder="1" applyAlignment="1" applyProtection="1">
      <alignment horizontal="center" vertical="center" wrapText="1"/>
    </xf>
    <xf numFmtId="0" fontId="20" fillId="0" borderId="7" xfId="0" applyFont="1" applyBorder="1" applyAlignment="1" applyProtection="1">
      <alignment horizontal="justify" vertical="center" wrapText="1"/>
    </xf>
    <xf numFmtId="0" fontId="20" fillId="0" borderId="2" xfId="0" applyFont="1" applyBorder="1" applyAlignment="1" applyProtection="1">
      <alignment horizontal="left" vertical="center"/>
    </xf>
    <xf numFmtId="9" fontId="11" fillId="4" borderId="44" xfId="3" applyFont="1" applyFill="1" applyBorder="1" applyAlignment="1" applyProtection="1">
      <alignment horizontal="center" vertical="center"/>
    </xf>
    <xf numFmtId="9" fontId="11" fillId="4" borderId="45" xfId="3"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0" fontId="11" fillId="6" borderId="8" xfId="1" applyFont="1" applyFill="1" applyBorder="1" applyAlignment="1" applyProtection="1">
      <alignment horizontal="right" vertical="center"/>
    </xf>
    <xf numFmtId="0" fontId="11" fillId="6" borderId="1" xfId="1" applyFont="1" applyFill="1" applyAlignment="1" applyProtection="1">
      <alignment horizontal="right" vertical="center"/>
    </xf>
    <xf numFmtId="9" fontId="22" fillId="4" borderId="48" xfId="3" applyFont="1" applyFill="1" applyBorder="1" applyAlignment="1" applyProtection="1">
      <alignment horizontal="center" vertical="center"/>
    </xf>
    <xf numFmtId="9" fontId="22" fillId="4" borderId="49" xfId="3" applyFont="1" applyFill="1" applyBorder="1" applyAlignment="1" applyProtection="1">
      <alignment horizontal="center" vertical="center"/>
    </xf>
    <xf numFmtId="0" fontId="20" fillId="0" borderId="8"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54" xfId="1" applyFont="1" applyBorder="1" applyAlignment="1" applyProtection="1">
      <alignment horizontal="center" vertical="center" wrapText="1"/>
    </xf>
    <xf numFmtId="0" fontId="20" fillId="0" borderId="67" xfId="1" applyFont="1" applyBorder="1" applyAlignment="1" applyProtection="1">
      <alignment horizontal="center" vertical="center" wrapText="1"/>
    </xf>
    <xf numFmtId="0" fontId="20" fillId="0" borderId="65" xfId="1" applyFont="1" applyBorder="1" applyAlignment="1" applyProtection="1">
      <alignment horizontal="center" vertical="center" wrapText="1"/>
    </xf>
    <xf numFmtId="0" fontId="20" fillId="0" borderId="76" xfId="1" applyFont="1" applyBorder="1" applyAlignment="1" applyProtection="1">
      <alignment horizontal="center" vertical="center" wrapText="1"/>
    </xf>
    <xf numFmtId="0" fontId="20" fillId="0" borderId="82" xfId="1" applyFont="1" applyBorder="1" applyAlignment="1" applyProtection="1">
      <alignment horizontal="center" vertical="center" wrapText="1"/>
    </xf>
    <xf numFmtId="0" fontId="20" fillId="0" borderId="83" xfId="1" applyFont="1" applyBorder="1" applyAlignment="1" applyProtection="1">
      <alignment horizontal="center" vertical="center" wrapText="1"/>
    </xf>
    <xf numFmtId="0" fontId="9" fillId="0" borderId="1" xfId="1" applyFont="1" applyAlignment="1" applyProtection="1">
      <alignment horizontal="right" vertical="center"/>
    </xf>
    <xf numFmtId="0" fontId="14" fillId="12" borderId="47" xfId="1" applyFont="1" applyFill="1" applyBorder="1" applyAlignment="1" applyProtection="1">
      <alignment horizontal="right" vertical="center"/>
    </xf>
    <xf numFmtId="0" fontId="14" fillId="12" borderId="10" xfId="1" applyFont="1" applyFill="1" applyBorder="1" applyAlignment="1" applyProtection="1">
      <alignment horizontal="right" vertical="center"/>
    </xf>
    <xf numFmtId="0" fontId="15" fillId="0" borderId="1" xfId="1" applyFont="1" applyBorder="1" applyAlignment="1" applyProtection="1">
      <alignment horizontal="left" vertical="center"/>
    </xf>
    <xf numFmtId="9" fontId="22" fillId="4" borderId="66" xfId="3" applyFont="1" applyFill="1" applyBorder="1" applyAlignment="1" applyProtection="1">
      <alignment horizontal="center" vertical="center"/>
    </xf>
    <xf numFmtId="164" fontId="22" fillId="4" borderId="44" xfId="3" applyNumberFormat="1" applyFont="1" applyFill="1" applyBorder="1" applyAlignment="1" applyProtection="1">
      <alignment horizontal="center" vertical="center"/>
    </xf>
    <xf numFmtId="164" fontId="22" fillId="4" borderId="45" xfId="3" applyNumberFormat="1"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29" fillId="17" borderId="2" xfId="23" applyFont="1" applyFill="1" applyBorder="1" applyAlignment="1">
      <alignment horizontal="center"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4" fillId="0" borderId="24" xfId="23" applyFont="1" applyBorder="1" applyAlignment="1">
      <alignment horizontal="center" vertical="center"/>
    </xf>
    <xf numFmtId="0" fontId="14" fillId="0" borderId="25" xfId="23" applyFont="1" applyBorder="1" applyAlignment="1">
      <alignment horizontal="center" vertical="center"/>
    </xf>
    <xf numFmtId="0" fontId="14" fillId="0" borderId="8" xfId="23" applyFont="1" applyBorder="1" applyAlignment="1">
      <alignment horizontal="center" vertical="center"/>
    </xf>
    <xf numFmtId="0" fontId="14" fillId="0" borderId="1" xfId="23" applyFont="1" applyAlignment="1">
      <alignment horizontal="center" vertical="center"/>
    </xf>
    <xf numFmtId="0" fontId="14" fillId="0" borderId="22" xfId="23" applyFont="1" applyBorder="1" applyAlignment="1">
      <alignment horizontal="center" vertical="center"/>
    </xf>
    <xf numFmtId="0" fontId="14" fillId="0" borderId="27" xfId="23" applyFont="1" applyBorder="1" applyAlignment="1">
      <alignment horizontal="center" vertical="center"/>
    </xf>
    <xf numFmtId="0" fontId="25" fillId="3" borderId="20" xfId="23" applyFont="1" applyFill="1" applyBorder="1" applyAlignment="1">
      <alignment horizontal="left"/>
    </xf>
    <xf numFmtId="0" fontId="24" fillId="3" borderId="21" xfId="23" applyFont="1" applyFill="1" applyBorder="1" applyAlignment="1">
      <alignment horizontal="left"/>
    </xf>
    <xf numFmtId="165" fontId="24" fillId="3" borderId="22" xfId="23" quotePrefix="1" applyNumberFormat="1" applyFont="1" applyFill="1" applyBorder="1" applyAlignment="1">
      <alignment horizontal="left"/>
    </xf>
    <xf numFmtId="165" fontId="24" fillId="3" borderId="23" xfId="23" applyNumberFormat="1" applyFont="1" applyFill="1" applyBorder="1" applyAlignment="1">
      <alignment horizontal="left"/>
    </xf>
    <xf numFmtId="0" fontId="29" fillId="16" borderId="2" xfId="23" applyFont="1" applyFill="1" applyBorder="1" applyAlignment="1">
      <alignment horizontal="center" vertical="center"/>
    </xf>
    <xf numFmtId="0" fontId="20" fillId="0" borderId="2" xfId="23" applyFont="1" applyBorder="1" applyAlignment="1">
      <alignment horizontal="justify" vertical="center" wrapText="1"/>
    </xf>
    <xf numFmtId="0" fontId="29" fillId="15" borderId="2" xfId="23" applyFont="1" applyFill="1" applyBorder="1" applyAlignment="1">
      <alignment horizontal="center" vertical="center"/>
    </xf>
    <xf numFmtId="0" fontId="31" fillId="0" borderId="2" xfId="23" applyFont="1" applyBorder="1" applyAlignment="1">
      <alignment horizontal="justify" vertical="center" wrapText="1"/>
    </xf>
    <xf numFmtId="0" fontId="9" fillId="0" borderId="1" xfId="1" applyFont="1" applyBorder="1" applyAlignment="1" applyProtection="1">
      <alignment horizontal="left" vertical="center" wrapText="1"/>
    </xf>
  </cellXfs>
  <cellStyles count="68">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18" xfId="59" xr:uid="{F9294ADD-E5F1-4F8F-AE8B-FE73315DEF96}"/>
    <cellStyle name="Normal 19" xfId="62" xr:uid="{D3E44514-C990-46C0-9DEE-58589998133E}"/>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20" xfId="65" xr:uid="{4BF30963-F3BC-4DDB-BAB7-1CC296854E04}"/>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3 4" xfId="60" xr:uid="{1B2791B8-7C8F-4738-993E-0F4013A0E5F4}"/>
    <cellStyle name="Normal 3 5" xfId="63" xr:uid="{E7E7852A-CB02-4965-8405-F1BB828FC73A}"/>
    <cellStyle name="Normal 3 6" xfId="66" xr:uid="{619C25F4-DC6D-4649-B5C6-8A7816E7DBDE}"/>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 name="Porcentaje 5" xfId="61" xr:uid="{649DDA99-314B-43F0-8283-A450FA245AC9}"/>
    <cellStyle name="Porcentaje 6" xfId="64" xr:uid="{83ACF68D-A1E8-49AD-9E33-71BC72AA6628}"/>
    <cellStyle name="Porcentaje 7" xfId="67" xr:uid="{0011DA3C-BBFC-4933-80B6-1AAEEC690928}"/>
  </cellStyles>
  <dxfs count="904">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theme="3" tint="0.79998168889431442"/>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theme="3" tint="0.79998168889431442"/>
        </patternFill>
      </fill>
    </dxf>
    <dxf>
      <fill>
        <patternFill>
          <bgColor rgb="FFFFFF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0" tint="-0.14996795556505021"/>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theme="0" tint="-0.14996795556505021"/>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00B050"/>
        </patternFill>
      </fill>
    </dxf>
    <dxf>
      <fill>
        <patternFill>
          <bgColor rgb="FF0070C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0070C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theme="3" tint="0.79998168889431442"/>
        </patternFill>
      </fill>
    </dxf>
    <dxf>
      <fill>
        <patternFill>
          <bgColor rgb="FFFFFF00"/>
        </patternFill>
      </fill>
    </dxf>
    <dxf>
      <fill>
        <patternFill>
          <bgColor rgb="FF0070C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0070C0"/>
        </patternFill>
      </fill>
    </dxf>
    <dxf>
      <fill>
        <patternFill>
          <bgColor rgb="FF0070C0"/>
        </patternFill>
      </fill>
    </dxf>
    <dxf>
      <fill>
        <patternFill>
          <bgColor rgb="FFFF0000"/>
        </patternFill>
      </fill>
    </dxf>
    <dxf>
      <fill>
        <patternFill>
          <bgColor theme="0" tint="-4.9989318521683403E-2"/>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0" tint="-4.9989318521683403E-2"/>
        </patternFill>
      </fill>
    </dxf>
    <dxf>
      <fill>
        <patternFill>
          <bgColor rgb="FF0070C0"/>
        </patternFill>
      </fill>
    </dxf>
    <dxf>
      <fill>
        <patternFill>
          <bgColor rgb="FF00B050"/>
        </patternFill>
      </fill>
    </dxf>
    <dxf>
      <fill>
        <patternFill>
          <bgColor rgb="FFFF0000"/>
        </patternFill>
      </fill>
    </dxf>
    <dxf>
      <fill>
        <patternFill>
          <bgColor theme="3" tint="0.7999816888943144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4.9989318521683403E-2"/>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4.9989318521683403E-2"/>
        </patternFill>
      </fill>
    </dxf>
    <dxf>
      <fill>
        <patternFill>
          <bgColor rgb="FF0070C0"/>
        </patternFill>
      </fill>
    </dxf>
    <dxf>
      <fill>
        <patternFill>
          <bgColor rgb="FF00B050"/>
        </patternFill>
      </fill>
    </dxf>
    <dxf>
      <fill>
        <patternFill>
          <bgColor rgb="FFFF0000"/>
        </patternFill>
      </fill>
    </dxf>
    <dxf>
      <fill>
        <patternFill>
          <bgColor theme="0" tint="-4.9989318521683403E-2"/>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theme="0" tint="-4.9989318521683403E-2"/>
        </patternFill>
      </fill>
    </dxf>
    <dxf>
      <fill>
        <patternFill>
          <bgColor rgb="FFFFFF00"/>
        </patternFill>
      </fill>
    </dxf>
    <dxf>
      <fill>
        <patternFill>
          <bgColor rgb="FF00B050"/>
        </patternFill>
      </fill>
    </dxf>
    <dxf>
      <fill>
        <patternFill>
          <bgColor rgb="FFFF0000"/>
        </patternFill>
      </fill>
    </dxf>
    <dxf>
      <fill>
        <patternFill>
          <bgColor theme="0" tint="-4.9989318521683403E-2"/>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0" tint="-4.9989318521683403E-2"/>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70C0"/>
        </patternFill>
      </fill>
    </dxf>
    <dxf>
      <fill>
        <patternFill>
          <bgColor theme="0" tint="-0.1499679555650502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
      <numFmt numFmtId="164" formatCode="0.0%"/>
    </dxf>
    <dxf>
      <numFmt numFmtId="3" formatCode="#,##0"/>
    </dxf>
    <dxf>
      <numFmt numFmtId="174" formatCode="&quot;$&quot;\ #,##0"/>
    </dxf>
  </dxfs>
  <tableStyles count="0" defaultTableStyle="TableStyleMedium9" defaultPivotStyle="PivotStyleMedium4"/>
  <colors>
    <mruColors>
      <color rgb="FFFFFFCC"/>
      <color rgb="FF66FF33"/>
      <color rgb="FF00FF99"/>
      <color rgb="FF0099FF"/>
      <color rgb="FF99FF33"/>
      <color rgb="FFFFFF99"/>
      <color rgb="FFFF0000"/>
      <color rgb="FFFF66FF"/>
      <color rgb="FFFFCC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explosion val="5"/>
          <c:dPt>
            <c:idx val="0"/>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71-4DFC-A434-AD0CDDB3CC47}"/>
              </c:ext>
            </c:extLst>
          </c:dPt>
          <c:dPt>
            <c:idx val="1"/>
            <c:bubble3D val="0"/>
            <c:spPr>
              <a:solidFill>
                <a:srgbClr val="CC99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71-4DFC-A434-AD0CDDB3CC47}"/>
              </c:ext>
            </c:extLst>
          </c:dPt>
          <c:dPt>
            <c:idx val="2"/>
            <c:bubble3D val="0"/>
            <c:spPr>
              <a:solidFill>
                <a:srgbClr val="00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71-4DFC-A434-AD0CDDB3CC47}"/>
              </c:ext>
            </c:extLst>
          </c:dPt>
          <c:dPt>
            <c:idx val="3"/>
            <c:bubble3D val="0"/>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71-4DFC-A434-AD0CDDB3CC4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71-4DFC-A434-AD0CDDB3CC47}"/>
              </c:ext>
            </c:extLst>
          </c:dPt>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'3-Grado Cump Metas Estratégicas'!$C$66:$C$70</c:f>
              <c:strCache>
                <c:ptCount val="5"/>
                <c:pt idx="0">
                  <c:v>Objetivo Estratégico 1</c:v>
                </c:pt>
                <c:pt idx="1">
                  <c:v>Objetivo Estratégico 2</c:v>
                </c:pt>
                <c:pt idx="2">
                  <c:v>Objetivo Estratégico 3</c:v>
                </c:pt>
                <c:pt idx="3">
                  <c:v>Objetivo Estratégico 4</c:v>
                </c:pt>
                <c:pt idx="4">
                  <c:v>Objetivo Estratégico 5</c:v>
                </c:pt>
              </c:strCache>
            </c:strRef>
          </c:cat>
          <c:val>
            <c:numRef>
              <c:f>'3-Grado Cump Metas Estratégicas'!$D$66:$D$70</c:f>
              <c:numCache>
                <c:formatCode>0.0%</c:formatCode>
                <c:ptCount val="5"/>
                <c:pt idx="0">
                  <c:v>0.48538679520443978</c:v>
                </c:pt>
                <c:pt idx="1">
                  <c:v>0.42746533127889058</c:v>
                </c:pt>
                <c:pt idx="2">
                  <c:v>0.316416942371476</c:v>
                </c:pt>
                <c:pt idx="3">
                  <c:v>0.36511067124682328</c:v>
                </c:pt>
                <c:pt idx="4">
                  <c:v>0.25249999999999995</c:v>
                </c:pt>
              </c:numCache>
            </c:numRef>
          </c:val>
          <c:extLst>
            <c:ext xmlns:c16="http://schemas.microsoft.com/office/drawing/2014/chart" uri="{C3380CC4-5D6E-409C-BE32-E72D297353CC}">
              <c16:uniqueId val="{0000000A-9F71-4DFC-A434-AD0CDDB3CC4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1345370165839014E-2"/>
          <c:y val="0.91527219817446548"/>
          <c:w val="0.89258896247122199"/>
          <c:h val="7.625648911447434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'3-Grado Cump Metas Estratégicas'!$D$40</c:f>
              <c:strCache>
                <c:ptCount val="1"/>
                <c:pt idx="0">
                  <c:v>GRADO DE CUMPLIMIENTO POR META ESTRATÉGICA</c:v>
                </c:pt>
              </c:strCache>
            </c:strRef>
          </c:tx>
          <c:spPr>
            <a:solidFill>
              <a:srgbClr val="00FF99"/>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Estratégicas'!$C$41:$C$61</c:f>
              <c:strCache>
                <c:ptCount val="21"/>
                <c:pt idx="1">
                  <c:v>Meta Estratégica 1.1</c:v>
                </c:pt>
                <c:pt idx="2">
                  <c:v>Meta Estratégica 1.2</c:v>
                </c:pt>
                <c:pt idx="3">
                  <c:v>Meta Estratégica 1.3</c:v>
                </c:pt>
                <c:pt idx="4">
                  <c:v>Meta Estratégica 2.1</c:v>
                </c:pt>
                <c:pt idx="5">
                  <c:v>Meta Estratégica 2.2</c:v>
                </c:pt>
                <c:pt idx="6">
                  <c:v>Meta Estratégica 2.3</c:v>
                </c:pt>
                <c:pt idx="7">
                  <c:v>Meta Estratégica 3.1</c:v>
                </c:pt>
                <c:pt idx="8">
                  <c:v>Meta Estratégica 3.2</c:v>
                </c:pt>
                <c:pt idx="9">
                  <c:v>Meta Estratégica 3.3</c:v>
                </c:pt>
                <c:pt idx="10">
                  <c:v>Meta Estratégica 3.4</c:v>
                </c:pt>
                <c:pt idx="11">
                  <c:v>Meta Estratégica 4.1</c:v>
                </c:pt>
                <c:pt idx="12">
                  <c:v>Meta Estratégica 4.2</c:v>
                </c:pt>
                <c:pt idx="13">
                  <c:v>Meta Estratégica 4.3</c:v>
                </c:pt>
                <c:pt idx="14">
                  <c:v>Meta Estratégica 4.4</c:v>
                </c:pt>
                <c:pt idx="15">
                  <c:v>Meta Estratégica 4.5</c:v>
                </c:pt>
                <c:pt idx="16">
                  <c:v>Meta Estratégica 4.6</c:v>
                </c:pt>
                <c:pt idx="17">
                  <c:v>Meta Estratégica 4.7</c:v>
                </c:pt>
                <c:pt idx="18">
                  <c:v>Meta Estratégica 5.1</c:v>
                </c:pt>
                <c:pt idx="19">
                  <c:v>Meta Estratégica 5.2</c:v>
                </c:pt>
                <c:pt idx="20">
                  <c:v>Meta Estratégica 5.3</c:v>
                </c:pt>
              </c:strCache>
            </c:strRef>
          </c:cat>
          <c:val>
            <c:numRef>
              <c:f>'3-Grado Cump Metas Estratégicas'!$D$41:$D$61</c:f>
              <c:numCache>
                <c:formatCode>0.0%</c:formatCode>
                <c:ptCount val="21"/>
                <c:pt idx="1">
                  <c:v>0.49733040233556469</c:v>
                </c:pt>
                <c:pt idx="2">
                  <c:v>0.57425484057499543</c:v>
                </c:pt>
                <c:pt idx="3">
                  <c:v>0.22404545454545455</c:v>
                </c:pt>
                <c:pt idx="4">
                  <c:v>0.13636363636363635</c:v>
                </c:pt>
                <c:pt idx="5">
                  <c:v>0.53409090909090906</c:v>
                </c:pt>
                <c:pt idx="6">
                  <c:v>0.66101694915254239</c:v>
                </c:pt>
                <c:pt idx="7">
                  <c:v>0.29280798092868993</c:v>
                </c:pt>
                <c:pt idx="8">
                  <c:v>0.140625</c:v>
                </c:pt>
                <c:pt idx="9">
                  <c:v>0.375</c:v>
                </c:pt>
                <c:pt idx="10">
                  <c:v>0.40200000000000002</c:v>
                </c:pt>
                <c:pt idx="11">
                  <c:v>0.5</c:v>
                </c:pt>
                <c:pt idx="12">
                  <c:v>0.45127654182116611</c:v>
                </c:pt>
                <c:pt idx="13">
                  <c:v>0.19944372773436234</c:v>
                </c:pt>
                <c:pt idx="14">
                  <c:v>0.17576026757290703</c:v>
                </c:pt>
                <c:pt idx="15">
                  <c:v>0.42183783783783785</c:v>
                </c:pt>
                <c:pt idx="16">
                  <c:v>0.125</c:v>
                </c:pt>
                <c:pt idx="17">
                  <c:v>0.66666666666666663</c:v>
                </c:pt>
                <c:pt idx="18">
                  <c:v>0.125</c:v>
                </c:pt>
                <c:pt idx="19">
                  <c:v>0.375</c:v>
                </c:pt>
                <c:pt idx="20">
                  <c:v>0.3</c:v>
                </c:pt>
              </c:numCache>
            </c:numRef>
          </c:val>
          <c:extLst>
            <c:ext xmlns:c16="http://schemas.microsoft.com/office/drawing/2014/chart" uri="{C3380CC4-5D6E-409C-BE32-E72D297353CC}">
              <c16:uniqueId val="{00000000-8B16-4E83-BE0E-45ADBDD52DF8}"/>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33AB-48CD-B75F-50E0E4F829FF}"/>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3AB-48CD-B75F-50E0E4F829FF}"/>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33AB-48CD-B75F-50E0E4F829FF}"/>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B31-458E-984F-2518A6A397F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AB-48CD-B75F-50E0E4F829FF}"/>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AB-48CD-B75F-50E0E4F829FF}"/>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AB-48CD-B75F-50E0E4F829FF}"/>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CB31-458E-984F-2518A6A397F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T4'!$E$27:$E$30</c:f>
              <c:numCache>
                <c:formatCode>0</c:formatCode>
                <c:ptCount val="4"/>
                <c:pt idx="0">
                  <c:v>1</c:v>
                </c:pt>
                <c:pt idx="1">
                  <c:v>0</c:v>
                </c:pt>
                <c:pt idx="2">
                  <c:v>79</c:v>
                </c:pt>
                <c:pt idx="3">
                  <c:v>7</c:v>
                </c:pt>
              </c:numCache>
            </c:numRef>
          </c:val>
          <c:extLst>
            <c:ext xmlns:c16="http://schemas.microsoft.com/office/drawing/2014/chart" uri="{C3380CC4-5D6E-409C-BE32-E72D297353CC}">
              <c16:uniqueId val="{00000000-33AB-48CD-B75F-50E0E4F829FF}"/>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94D-4314-9259-011811DE746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094D-4314-9259-011811DE746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94D-4314-9259-011811DE746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094D-4314-9259-011811DE7469}"/>
              </c:ext>
            </c:extLst>
          </c:dPt>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08-CB31-458E-984F-2518A6A39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833-467E-BD75-E817C9B4A0F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2-1833-467E-BD75-E817C9B4A0F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833-467E-BD75-E817C9B4A0F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4-1833-467E-BD75-E817C9B4A0F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33-467E-BD75-E817C9B4A0F9}"/>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67E-BD75-E817C9B4A0F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T4'!$E$56:$E$59</c:f>
              <c:numCache>
                <c:formatCode>0</c:formatCode>
                <c:ptCount val="4"/>
                <c:pt idx="0">
                  <c:v>3</c:v>
                </c:pt>
                <c:pt idx="1">
                  <c:v>10</c:v>
                </c:pt>
                <c:pt idx="2">
                  <c:v>73</c:v>
                </c:pt>
                <c:pt idx="3">
                  <c:v>1</c:v>
                </c:pt>
              </c:numCache>
            </c:numRef>
          </c:val>
          <c:extLst>
            <c:ext xmlns:c16="http://schemas.microsoft.com/office/drawing/2014/chart" uri="{C3380CC4-5D6E-409C-BE32-E72D297353CC}">
              <c16:uniqueId val="{00000000-1833-467E-BD75-E817C9B4A0F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T1'!$C$8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134E-407E-98AF-660206D72788}"/>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134E-407E-98AF-660206D72788}"/>
              </c:ext>
            </c:extLst>
          </c:dPt>
          <c:dPt>
            <c:idx val="2"/>
            <c:invertIfNegative val="0"/>
            <c:bubble3D val="0"/>
            <c:extLst>
              <c:ext xmlns:c16="http://schemas.microsoft.com/office/drawing/2014/chart" uri="{C3380CC4-5D6E-409C-BE32-E72D297353CC}">
                <c16:uniqueId val="{00000005-134E-407E-98AF-660206D72788}"/>
              </c:ext>
            </c:extLst>
          </c:dPt>
          <c:dPt>
            <c:idx val="3"/>
            <c:invertIfNegative val="0"/>
            <c:bubble3D val="0"/>
            <c:extLst>
              <c:ext xmlns:c16="http://schemas.microsoft.com/office/drawing/2014/chart" uri="{C3380CC4-5D6E-409C-BE32-E72D297353CC}">
                <c16:uniqueId val="{00000007-134E-407E-98AF-660206D72788}"/>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134E-407E-98AF-660206D72788}"/>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134E-407E-98AF-660206D72788}"/>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D-134E-407E-98AF-660206D72788}"/>
              </c:ext>
            </c:extLst>
          </c:dPt>
          <c:dPt>
            <c:idx val="7"/>
            <c:invertIfNegative val="0"/>
            <c:bubble3D val="0"/>
            <c:extLst>
              <c:ext xmlns:c16="http://schemas.microsoft.com/office/drawing/2014/chart" uri="{C3380CC4-5D6E-409C-BE32-E72D297353CC}">
                <c16:uniqueId val="{0000000F-134E-407E-98AF-660206D72788}"/>
              </c:ext>
            </c:extLst>
          </c:dPt>
          <c:dPt>
            <c:idx val="8"/>
            <c:invertIfNegative val="0"/>
            <c:bubble3D val="0"/>
            <c:extLst>
              <c:ext xmlns:c16="http://schemas.microsoft.com/office/drawing/2014/chart" uri="{C3380CC4-5D6E-409C-BE32-E72D297353CC}">
                <c16:uniqueId val="{00000011-134E-407E-98AF-660206D72788}"/>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134E-407E-98AF-660206D72788}"/>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134E-407E-98AF-660206D72788}"/>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7-134E-407E-98AF-660206D72788}"/>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134E-407E-98AF-660206D72788}"/>
              </c:ext>
            </c:extLst>
          </c:dPt>
          <c:dPt>
            <c:idx val="13"/>
            <c:invertIfNegative val="0"/>
            <c:bubble3D val="0"/>
            <c:extLst>
              <c:ext xmlns:c16="http://schemas.microsoft.com/office/drawing/2014/chart" uri="{C3380CC4-5D6E-409C-BE32-E72D297353CC}">
                <c16:uniqueId val="{0000001B-134E-407E-98AF-660206D72788}"/>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134E-407E-98AF-660206D72788}"/>
              </c:ext>
            </c:extLst>
          </c:dPt>
          <c:dPt>
            <c:idx val="15"/>
            <c:invertIfNegative val="0"/>
            <c:bubble3D val="0"/>
            <c:extLst>
              <c:ext xmlns:c16="http://schemas.microsoft.com/office/drawing/2014/chart" uri="{C3380CC4-5D6E-409C-BE32-E72D297353CC}">
                <c16:uniqueId val="{0000001F-134E-407E-98AF-660206D727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T1'!$B$9:$B$24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T1'!$C$9:$C$24</c:f>
              <c:numCache>
                <c:formatCode>0.0%</c:formatCode>
                <c:ptCount val="16"/>
                <c:pt idx="0">
                  <c:v>0.30107142857142855</c:v>
                </c:pt>
                <c:pt idx="1">
                  <c:v>5.921052631578947E-2</c:v>
                </c:pt>
                <c:pt idx="2">
                  <c:v>0.17500000000000002</c:v>
                </c:pt>
                <c:pt idx="3">
                  <c:v>0.25</c:v>
                </c:pt>
                <c:pt idx="4">
                  <c:v>0.19990740740740742</c:v>
                </c:pt>
                <c:pt idx="5">
                  <c:v>0.22556159419572125</c:v>
                </c:pt>
                <c:pt idx="6">
                  <c:v>0.11701830507800658</c:v>
                </c:pt>
                <c:pt idx="7">
                  <c:v>0.14054166666666668</c:v>
                </c:pt>
                <c:pt idx="8">
                  <c:v>0.30672285820578232</c:v>
                </c:pt>
                <c:pt idx="9">
                  <c:v>0.26576460481099656</c:v>
                </c:pt>
                <c:pt idx="10">
                  <c:v>0.22459649122807021</c:v>
                </c:pt>
                <c:pt idx="11">
                  <c:v>0.31874999999999998</c:v>
                </c:pt>
                <c:pt idx="12">
                  <c:v>0.24320339912280703</c:v>
                </c:pt>
                <c:pt idx="13">
                  <c:v>0.25</c:v>
                </c:pt>
                <c:pt idx="14">
                  <c:v>0.32222222222222219</c:v>
                </c:pt>
                <c:pt idx="15">
                  <c:v>0.11666666666666665</c:v>
                </c:pt>
              </c:numCache>
            </c:numRef>
          </c:val>
          <c:extLst>
            <c:ext xmlns:c16="http://schemas.microsoft.com/office/drawing/2014/chart" uri="{C3380CC4-5D6E-409C-BE32-E72D297353CC}">
              <c16:uniqueId val="{00000020-134E-407E-98AF-660206D72788}"/>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3805-44E0-82E3-37660BC3CA80}"/>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3805-44E0-82E3-37660BC3CA80}"/>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3805-44E0-82E3-37660BC3CA80}"/>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3805-44E0-82E3-37660BC3CA8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3805-44E0-82E3-37660BC3CA8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0EA-4A8D-9727-27A4A293A0A5}"/>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0EA-4A8D-9727-27A4A293A0A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0EA-4A8D-9727-27A4A293A0A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0EA-4A8D-9727-27A4A293A0A5}"/>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EA-4A8D-9727-27A4A293A0A5}"/>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EA-4A8D-9727-27A4A293A0A5}"/>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EA-4A8D-9727-27A4A293A0A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0EA-4A8D-9727-27A4A293A0A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T4'!$E$27:$E$30</c:f>
              <c:numCache>
                <c:formatCode>0</c:formatCode>
                <c:ptCount val="4"/>
                <c:pt idx="0">
                  <c:v>1</c:v>
                </c:pt>
                <c:pt idx="1">
                  <c:v>0</c:v>
                </c:pt>
                <c:pt idx="2">
                  <c:v>79</c:v>
                </c:pt>
                <c:pt idx="3">
                  <c:v>7</c:v>
                </c:pt>
              </c:numCache>
            </c:numRef>
          </c:val>
          <c:extLst>
            <c:ext xmlns:c16="http://schemas.microsoft.com/office/drawing/2014/chart" uri="{C3380CC4-5D6E-409C-BE32-E72D297353CC}">
              <c16:uniqueId val="{00000008-F0EA-4A8D-9727-27A4A293A0A5}"/>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0EA-4A8D-9727-27A4A293A0A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0EA-4A8D-9727-27A4A293A0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0EA-4A8D-9727-27A4A293A0A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0EA-4A8D-9727-27A4A293A0A5}"/>
              </c:ext>
            </c:extLst>
          </c:dPt>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F0EA-4A8D-9727-27A4A293A0A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41B-4876-B35F-E0E6F4E111B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41B-4876-B35F-E0E6F4E111B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41B-4876-B35F-E0E6F4E111B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41B-4876-B35F-E0E6F4E111B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41B-4876-B35F-E0E6F4E111B8}"/>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1B-4876-B35F-E0E6F4E111B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T4'!$E$56:$E$59</c:f>
              <c:numCache>
                <c:formatCode>0</c:formatCode>
                <c:ptCount val="4"/>
                <c:pt idx="0">
                  <c:v>3</c:v>
                </c:pt>
                <c:pt idx="1">
                  <c:v>10</c:v>
                </c:pt>
                <c:pt idx="2">
                  <c:v>73</c:v>
                </c:pt>
                <c:pt idx="3">
                  <c:v>1</c:v>
                </c:pt>
              </c:numCache>
            </c:numRef>
          </c:val>
          <c:extLst>
            <c:ext xmlns:c16="http://schemas.microsoft.com/office/drawing/2014/chart" uri="{C3380CC4-5D6E-409C-BE32-E72D297353CC}">
              <c16:uniqueId val="{00000008-C41B-4876-B35F-E0E6F4E111B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018-4B52-978B-81E64BE6C49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018-4B52-978B-81E64BE6C49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018-4B52-978B-81E64BE6C49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1018-4B52-978B-81E64BE6C49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18-4B52-978B-81E64BE6C49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18-4B52-978B-81E64BE6C49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18-4B52-978B-81E64BE6C49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1018-4B52-978B-81E64BE6C49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T2'!$E$27:$E$30</c:f>
              <c:numCache>
                <c:formatCode>0</c:formatCode>
                <c:ptCount val="4"/>
                <c:pt idx="0">
                  <c:v>35</c:v>
                </c:pt>
                <c:pt idx="1">
                  <c:v>23</c:v>
                </c:pt>
                <c:pt idx="2">
                  <c:v>18</c:v>
                </c:pt>
                <c:pt idx="3">
                  <c:v>11</c:v>
                </c:pt>
              </c:numCache>
            </c:numRef>
          </c:val>
          <c:extLst>
            <c:ext xmlns:c16="http://schemas.microsoft.com/office/drawing/2014/chart" uri="{C3380CC4-5D6E-409C-BE32-E72D297353CC}">
              <c16:uniqueId val="{00000008-1018-4B52-978B-81E64BE6C49E}"/>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1018-4B52-978B-81E64BE6C49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1018-4B52-978B-81E64BE6C49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1018-4B52-978B-81E64BE6C49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1018-4B52-978B-81E64BE6C49E}"/>
              </c:ext>
            </c:extLst>
          </c:dPt>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1018-4B52-978B-81E64BE6C49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AAC-4084-94C8-F5E0E4E4625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AAC-4084-94C8-F5E0E4E4625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AAC-4084-94C8-F5E0E4E4625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AAC-4084-94C8-F5E0E4E4625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AC-4084-94C8-F5E0E4E4625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AC-4084-94C8-F5E0E4E4625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AC-4084-94C8-F5E0E4E4625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T2'!$E$56:$E$59</c:f>
              <c:numCache>
                <c:formatCode>0</c:formatCode>
                <c:ptCount val="4"/>
                <c:pt idx="0">
                  <c:v>35</c:v>
                </c:pt>
                <c:pt idx="1">
                  <c:v>28</c:v>
                </c:pt>
                <c:pt idx="2">
                  <c:v>15</c:v>
                </c:pt>
                <c:pt idx="3">
                  <c:v>9</c:v>
                </c:pt>
              </c:numCache>
            </c:numRef>
          </c:val>
          <c:extLst>
            <c:ext xmlns:c16="http://schemas.microsoft.com/office/drawing/2014/chart" uri="{C3380CC4-5D6E-409C-BE32-E72D297353CC}">
              <c16:uniqueId val="{00000008-AAAC-4084-94C8-F5E0E4E4625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4981504849392661"/>
          <c:y val="0.8217655689475021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T2'!$C$8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B3D0-401C-99DE-55FADC2BE93C}"/>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3-B3D0-401C-99DE-55FADC2BE93C}"/>
              </c:ext>
            </c:extLst>
          </c:dPt>
          <c:dPt>
            <c:idx val="2"/>
            <c:invertIfNegative val="0"/>
            <c:bubble3D val="0"/>
            <c:extLst>
              <c:ext xmlns:c16="http://schemas.microsoft.com/office/drawing/2014/chart" uri="{C3380CC4-5D6E-409C-BE32-E72D297353CC}">
                <c16:uniqueId val="{00000005-B3D0-401C-99DE-55FADC2BE93C}"/>
              </c:ext>
            </c:extLst>
          </c:dPt>
          <c:dPt>
            <c:idx val="3"/>
            <c:invertIfNegative val="0"/>
            <c:bubble3D val="0"/>
            <c:extLst>
              <c:ext xmlns:c16="http://schemas.microsoft.com/office/drawing/2014/chart" uri="{C3380CC4-5D6E-409C-BE32-E72D297353CC}">
                <c16:uniqueId val="{00000007-B3D0-401C-99DE-55FADC2BE93C}"/>
              </c:ext>
            </c:extLst>
          </c:dPt>
          <c:dPt>
            <c:idx val="4"/>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9-B3D0-401C-99DE-55FADC2BE93C}"/>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B3D0-401C-99DE-55FADC2BE93C}"/>
              </c:ext>
            </c:extLst>
          </c:dPt>
          <c:dPt>
            <c:idx val="6"/>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D-B3D0-401C-99DE-55FADC2BE93C}"/>
              </c:ext>
            </c:extLst>
          </c:dPt>
          <c:dPt>
            <c:idx val="7"/>
            <c:invertIfNegative val="0"/>
            <c:bubble3D val="0"/>
            <c:extLst>
              <c:ext xmlns:c16="http://schemas.microsoft.com/office/drawing/2014/chart" uri="{C3380CC4-5D6E-409C-BE32-E72D297353CC}">
                <c16:uniqueId val="{0000000F-B3D0-401C-99DE-55FADC2BE93C}"/>
              </c:ext>
            </c:extLst>
          </c:dPt>
          <c:dPt>
            <c:idx val="8"/>
            <c:invertIfNegative val="0"/>
            <c:bubble3D val="0"/>
            <c:extLst>
              <c:ext xmlns:c16="http://schemas.microsoft.com/office/drawing/2014/chart" uri="{C3380CC4-5D6E-409C-BE32-E72D297353CC}">
                <c16:uniqueId val="{00000011-B3D0-401C-99DE-55FADC2BE93C}"/>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B3D0-401C-99DE-55FADC2BE93C}"/>
              </c:ext>
            </c:extLst>
          </c:dPt>
          <c:dPt>
            <c:idx val="1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5-B3D0-401C-99DE-55FADC2BE93C}"/>
              </c:ext>
            </c:extLst>
          </c:dPt>
          <c:dPt>
            <c:idx val="1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7-B3D0-401C-99DE-55FADC2BE93C}"/>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B3D0-401C-99DE-55FADC2BE93C}"/>
              </c:ext>
            </c:extLst>
          </c:dPt>
          <c:dPt>
            <c:idx val="13"/>
            <c:invertIfNegative val="0"/>
            <c:bubble3D val="0"/>
            <c:extLst>
              <c:ext xmlns:c16="http://schemas.microsoft.com/office/drawing/2014/chart" uri="{C3380CC4-5D6E-409C-BE32-E72D297353CC}">
                <c16:uniqueId val="{0000001B-B3D0-401C-99DE-55FADC2BE93C}"/>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B3D0-401C-99DE-55FADC2BE93C}"/>
              </c:ext>
            </c:extLst>
          </c:dPt>
          <c:dPt>
            <c:idx val="15"/>
            <c:invertIfNegative val="0"/>
            <c:bubble3D val="0"/>
            <c:extLst>
              <c:ext xmlns:c16="http://schemas.microsoft.com/office/drawing/2014/chart" uri="{C3380CC4-5D6E-409C-BE32-E72D297353CC}">
                <c16:uniqueId val="{0000001F-B3D0-401C-99DE-55FADC2BE9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T2'!$B$9:$B$24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T2'!$C$9:$C$24</c:f>
              <c:numCache>
                <c:formatCode>0.0%</c:formatCode>
                <c:ptCount val="16"/>
                <c:pt idx="0">
                  <c:v>0.58378571428571424</c:v>
                </c:pt>
                <c:pt idx="1">
                  <c:v>0.26315789473684215</c:v>
                </c:pt>
                <c:pt idx="2">
                  <c:v>0.5</c:v>
                </c:pt>
                <c:pt idx="3">
                  <c:v>0.5</c:v>
                </c:pt>
                <c:pt idx="4">
                  <c:v>0.57740740740740737</c:v>
                </c:pt>
                <c:pt idx="5">
                  <c:v>0.53085099681429748</c:v>
                </c:pt>
                <c:pt idx="6">
                  <c:v>0.2550677822532833</c:v>
                </c:pt>
                <c:pt idx="7">
                  <c:v>0.39768750000000003</c:v>
                </c:pt>
                <c:pt idx="8">
                  <c:v>0.50473979591836726</c:v>
                </c:pt>
                <c:pt idx="9">
                  <c:v>0.53170103092783505</c:v>
                </c:pt>
                <c:pt idx="10">
                  <c:v>0.48049122807017541</c:v>
                </c:pt>
                <c:pt idx="11">
                  <c:v>0.56913651315789471</c:v>
                </c:pt>
                <c:pt idx="12">
                  <c:v>0.52481907894736834</c:v>
                </c:pt>
                <c:pt idx="13">
                  <c:v>0.5</c:v>
                </c:pt>
                <c:pt idx="14">
                  <c:v>0.62085470085470085</c:v>
                </c:pt>
                <c:pt idx="15">
                  <c:v>0.5</c:v>
                </c:pt>
              </c:numCache>
            </c:numRef>
          </c:val>
          <c:extLst>
            <c:ext xmlns:c16="http://schemas.microsoft.com/office/drawing/2014/chart" uri="{C3380CC4-5D6E-409C-BE32-E72D297353CC}">
              <c16:uniqueId val="{00000020-B3D0-401C-99DE-55FADC2BE93C}"/>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4CB5-4B2D-B210-A308ED441471}"/>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CB5-4B2D-B210-A308ED441471}"/>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CB5-4B2D-B210-A308ED441471}"/>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4CB5-4B2D-B210-A308ED44147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T2'!$B$30:$B$33</c:f>
              <c:strCache>
                <c:ptCount val="4"/>
                <c:pt idx="0">
                  <c:v>Procesos Estratégicos </c:v>
                </c:pt>
                <c:pt idx="1">
                  <c:v>Procesos Misionales </c:v>
                </c:pt>
                <c:pt idx="2">
                  <c:v>Procesos Apoyo </c:v>
                </c:pt>
                <c:pt idx="3">
                  <c:v>Procesos de Evaluación, Seguimiento y Control</c:v>
                </c:pt>
              </c:strCache>
            </c:strRef>
          </c:cat>
          <c:val>
            <c:numRef>
              <c:f>'3.Resum Desemp Procesos POA T2'!$C$30:$C$33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4CB5-4B2D-B210-A308ED44147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D7C-4746-9A4C-8A612452A573}"/>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D7C-4746-9A4C-8A612452A573}"/>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D7C-4746-9A4C-8A612452A573}"/>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D7C-4746-9A4C-8A612452A57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7C-4746-9A4C-8A612452A573}"/>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7C-4746-9A4C-8A612452A573}"/>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7C-4746-9A4C-8A612452A573}"/>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7D7C-4746-9A4C-8A612452A57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T4'!$E$27:$E$30</c:f>
              <c:numCache>
                <c:formatCode>0</c:formatCode>
                <c:ptCount val="4"/>
                <c:pt idx="0">
                  <c:v>1</c:v>
                </c:pt>
                <c:pt idx="1">
                  <c:v>0</c:v>
                </c:pt>
                <c:pt idx="2">
                  <c:v>79</c:v>
                </c:pt>
                <c:pt idx="3">
                  <c:v>7</c:v>
                </c:pt>
              </c:numCache>
            </c:numRef>
          </c:val>
          <c:extLst>
            <c:ext xmlns:c16="http://schemas.microsoft.com/office/drawing/2014/chart" uri="{C3380CC4-5D6E-409C-BE32-E72D297353CC}">
              <c16:uniqueId val="{00000008-7D7C-4746-9A4C-8A612452A573}"/>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D7C-4746-9A4C-8A612452A57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D7C-4746-9A4C-8A612452A57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D7C-4746-9A4C-8A612452A57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D7C-4746-9A4C-8A612452A573}"/>
              </c:ext>
            </c:extLst>
          </c:dPt>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7D7C-4746-9A4C-8A612452A5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528D-46F2-949C-B6E2137A0777}"/>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528D-46F2-949C-B6E2137A0777}"/>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528D-46F2-949C-B6E2137A0777}"/>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528D-46F2-949C-B6E2137A0777}"/>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8D-46F2-949C-B6E2137A0777}"/>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28D-46F2-949C-B6E2137A077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T4'!$E$56:$E$59</c:f>
              <c:numCache>
                <c:formatCode>0</c:formatCode>
                <c:ptCount val="4"/>
                <c:pt idx="0">
                  <c:v>3</c:v>
                </c:pt>
                <c:pt idx="1">
                  <c:v>10</c:v>
                </c:pt>
                <c:pt idx="2">
                  <c:v>73</c:v>
                </c:pt>
                <c:pt idx="3">
                  <c:v>1</c:v>
                </c:pt>
              </c:numCache>
            </c:numRef>
          </c:val>
          <c:extLst>
            <c:ext xmlns:c16="http://schemas.microsoft.com/office/drawing/2014/chart" uri="{C3380CC4-5D6E-409C-BE32-E72D297353CC}">
              <c16:uniqueId val="{00000008-528D-46F2-949C-B6E2137A077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927-49BD-A3D8-1688224A311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927-49BD-A3D8-1688224A311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927-49BD-A3D8-1688224A311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927-49BD-A3D8-1688224A3110}"/>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7-49BD-A3D8-1688224A3110}"/>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7-49BD-A3D8-1688224A3110}"/>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27-49BD-A3D8-1688224A311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927-49BD-A3D8-1688224A311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T2'!$E$27:$E$30</c:f>
              <c:numCache>
                <c:formatCode>0</c:formatCode>
                <c:ptCount val="4"/>
                <c:pt idx="0">
                  <c:v>35</c:v>
                </c:pt>
                <c:pt idx="1">
                  <c:v>23</c:v>
                </c:pt>
                <c:pt idx="2">
                  <c:v>18</c:v>
                </c:pt>
                <c:pt idx="3">
                  <c:v>11</c:v>
                </c:pt>
              </c:numCache>
            </c:numRef>
          </c:val>
          <c:extLst>
            <c:ext xmlns:c16="http://schemas.microsoft.com/office/drawing/2014/chart" uri="{C3380CC4-5D6E-409C-BE32-E72D297353CC}">
              <c16:uniqueId val="{00000008-0927-49BD-A3D8-1688224A3110}"/>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927-49BD-A3D8-1688224A311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927-49BD-A3D8-1688224A311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927-49BD-A3D8-1688224A311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927-49BD-A3D8-1688224A3110}"/>
              </c:ext>
            </c:extLst>
          </c:dPt>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0927-49BD-A3D8-1688224A311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D4DA-4F71-836D-12569E6B624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D4DA-4F71-836D-12569E6B624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D4DA-4F71-836D-12569E6B624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D4DA-4F71-836D-12569E6B624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A-4F71-836D-12569E6B624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DA-4F71-836D-12569E6B624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DA-4F71-836D-12569E6B624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T2'!$E$56:$E$59</c:f>
              <c:numCache>
                <c:formatCode>0</c:formatCode>
                <c:ptCount val="4"/>
                <c:pt idx="0">
                  <c:v>35</c:v>
                </c:pt>
                <c:pt idx="1">
                  <c:v>28</c:v>
                </c:pt>
                <c:pt idx="2">
                  <c:v>15</c:v>
                </c:pt>
                <c:pt idx="3">
                  <c:v>9</c:v>
                </c:pt>
              </c:numCache>
            </c:numRef>
          </c:val>
          <c:extLst>
            <c:ext xmlns:c16="http://schemas.microsoft.com/office/drawing/2014/chart" uri="{C3380CC4-5D6E-409C-BE32-E72D297353CC}">
              <c16:uniqueId val="{00000008-D4DA-4F71-836D-12569E6B62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9AB6-4E6E-B858-2A13B7589467}"/>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9AB6-4E6E-B858-2A13B7589467}"/>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9AB6-4E6E-B858-2A13B7589467}"/>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9AB6-4E6E-B858-2A13B7589467}"/>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B6-4E6E-B858-2A13B7589467}"/>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B6-4E6E-B858-2A13B7589467}"/>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B6-4E6E-B858-2A13B7589467}"/>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9AB6-4E6E-B858-2A13B7589467}"/>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T4'!$E$27:$E$30</c:f>
              <c:numCache>
                <c:formatCode>0</c:formatCode>
                <c:ptCount val="4"/>
                <c:pt idx="0">
                  <c:v>1</c:v>
                </c:pt>
                <c:pt idx="1">
                  <c:v>0</c:v>
                </c:pt>
                <c:pt idx="2">
                  <c:v>79</c:v>
                </c:pt>
                <c:pt idx="3">
                  <c:v>7</c:v>
                </c:pt>
              </c:numCache>
            </c:numRef>
          </c:val>
          <c:extLst>
            <c:ext xmlns:c16="http://schemas.microsoft.com/office/drawing/2014/chart" uri="{C3380CC4-5D6E-409C-BE32-E72D297353CC}">
              <c16:uniqueId val="{00000008-9AB6-4E6E-B858-2A13B7589467}"/>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9AB6-4E6E-B858-2A13B75894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9AB6-4E6E-B858-2A13B75894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9AB6-4E6E-B858-2A13B75894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9AB6-4E6E-B858-2A13B7589467}"/>
              </c:ext>
            </c:extLst>
          </c:dPt>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9AB6-4E6E-B858-2A13B758946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162-4D07-A8FA-8CC16A8814DB}"/>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162-4D07-A8FA-8CC16A8814DB}"/>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162-4D07-A8FA-8CC16A8814DB}"/>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162-4D07-A8FA-8CC16A8814DB}"/>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62-4D07-A8FA-8CC16A8814DB}"/>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62-4D07-A8FA-8CC16A8814D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T4'!$E$56:$E$59</c:f>
              <c:numCache>
                <c:formatCode>0</c:formatCode>
                <c:ptCount val="4"/>
                <c:pt idx="0">
                  <c:v>3</c:v>
                </c:pt>
                <c:pt idx="1">
                  <c:v>10</c:v>
                </c:pt>
                <c:pt idx="2">
                  <c:v>73</c:v>
                </c:pt>
                <c:pt idx="3">
                  <c:v>1</c:v>
                </c:pt>
              </c:numCache>
            </c:numRef>
          </c:val>
          <c:extLst>
            <c:ext xmlns:c16="http://schemas.microsoft.com/office/drawing/2014/chart" uri="{C3380CC4-5D6E-409C-BE32-E72D297353CC}">
              <c16:uniqueId val="{00000008-2162-4D07-A8FA-8CC16A8814D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T3'!$E$34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1C2-4456-8881-9C3FB487CF4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1C2-4456-8881-9C3FB487CF4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1C2-4456-8881-9C3FB487CF4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1C2-4456-8881-9C3FB487CF4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1C2-4456-8881-9C3FB487CF4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1C2-4456-8881-9C3FB487CF4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1C2-4456-8881-9C3FB487CF4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51C2-4456-8881-9C3FB487CF4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T3'!$E$27:$E$30</c:f>
              <c:numCache>
                <c:formatCode>0</c:formatCode>
                <c:ptCount val="4"/>
                <c:pt idx="0">
                  <c:v>27</c:v>
                </c:pt>
                <c:pt idx="1">
                  <c:v>29</c:v>
                </c:pt>
                <c:pt idx="2">
                  <c:v>20</c:v>
                </c:pt>
                <c:pt idx="3">
                  <c:v>11</c:v>
                </c:pt>
              </c:numCache>
            </c:numRef>
          </c:val>
          <c:extLst>
            <c:ext xmlns:c16="http://schemas.microsoft.com/office/drawing/2014/chart" uri="{C3380CC4-5D6E-409C-BE32-E72D297353CC}">
              <c16:uniqueId val="{00000008-51C2-4456-8881-9C3FB487CF4E}"/>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51C2-4456-8881-9C3FB487CF4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51C2-4456-8881-9C3FB487CF4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51C2-4456-8881-9C3FB487CF4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51C2-4456-8881-9C3FB487CF4E}"/>
              </c:ext>
            </c:extLst>
          </c:dPt>
          <c:cat>
            <c:strRef>
              <c:f>'4.Segto Medición POA 2022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51C2-4456-8881-9C3FB487CF4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30/09/2022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E6B-4583-80E0-A6814C747450}"/>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E6B-4583-80E0-A6814C747450}"/>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E6B-4583-80E0-A6814C747450}"/>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E6B-4583-80E0-A6814C747450}"/>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6B-4583-80E0-A6814C747450}"/>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6B-4583-80E0-A6814C747450}"/>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6B-4583-80E0-A6814C74745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T3'!$D$56:$D$59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T3'!$E$56:$E$59</c:f>
              <c:numCache>
                <c:formatCode>0</c:formatCode>
                <c:ptCount val="4"/>
                <c:pt idx="0">
                  <c:v>33</c:v>
                </c:pt>
                <c:pt idx="1">
                  <c:v>31</c:v>
                </c:pt>
                <c:pt idx="2">
                  <c:v>16</c:v>
                </c:pt>
                <c:pt idx="3">
                  <c:v>7</c:v>
                </c:pt>
              </c:numCache>
            </c:numRef>
          </c:val>
          <c:extLst>
            <c:ext xmlns:c16="http://schemas.microsoft.com/office/drawing/2014/chart" uri="{C3380CC4-5D6E-409C-BE32-E72D297353CC}">
              <c16:uniqueId val="{00000008-2E6B-4583-80E0-A6814C7474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T3'!$C$8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9FCB-4E34-86DC-1F9684B41E55}"/>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9FCB-4E34-86DC-1F9684B41E55}"/>
              </c:ext>
            </c:extLst>
          </c:dPt>
          <c:dPt>
            <c:idx val="2"/>
            <c:invertIfNegative val="0"/>
            <c:bubble3D val="0"/>
            <c:extLst>
              <c:ext xmlns:c16="http://schemas.microsoft.com/office/drawing/2014/chart" uri="{C3380CC4-5D6E-409C-BE32-E72D297353CC}">
                <c16:uniqueId val="{00000005-9FCB-4E34-86DC-1F9684B41E55}"/>
              </c:ext>
            </c:extLst>
          </c:dPt>
          <c:dPt>
            <c:idx val="3"/>
            <c:invertIfNegative val="0"/>
            <c:bubble3D val="0"/>
            <c:extLst>
              <c:ext xmlns:c16="http://schemas.microsoft.com/office/drawing/2014/chart" uri="{C3380CC4-5D6E-409C-BE32-E72D297353CC}">
                <c16:uniqueId val="{00000007-9FCB-4E34-86DC-1F9684B41E5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9FCB-4E34-86DC-1F9684B41E5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9FCB-4E34-86DC-1F9684B41E55}"/>
              </c:ext>
            </c:extLst>
          </c:dPt>
          <c:dPt>
            <c:idx val="6"/>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D-9FCB-4E34-86DC-1F9684B41E55}"/>
              </c:ext>
            </c:extLst>
          </c:dPt>
          <c:dPt>
            <c:idx val="7"/>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F-9FCB-4E34-86DC-1F9684B41E55}"/>
              </c:ext>
            </c:extLst>
          </c:dPt>
          <c:dPt>
            <c:idx val="8"/>
            <c:invertIfNegative val="0"/>
            <c:bubble3D val="0"/>
            <c:extLst>
              <c:ext xmlns:c16="http://schemas.microsoft.com/office/drawing/2014/chart" uri="{C3380CC4-5D6E-409C-BE32-E72D297353CC}">
                <c16:uniqueId val="{00000011-9FCB-4E34-86DC-1F9684B41E55}"/>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9FCB-4E34-86DC-1F9684B41E55}"/>
              </c:ext>
            </c:extLst>
          </c:dPt>
          <c:dPt>
            <c:idx val="10"/>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15-9FCB-4E34-86DC-1F9684B41E55}"/>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7-9FCB-4E34-86DC-1F9684B41E55}"/>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9FCB-4E34-86DC-1F9684B41E55}"/>
              </c:ext>
            </c:extLst>
          </c:dPt>
          <c:dPt>
            <c:idx val="13"/>
            <c:invertIfNegative val="0"/>
            <c:bubble3D val="0"/>
            <c:extLst>
              <c:ext xmlns:c16="http://schemas.microsoft.com/office/drawing/2014/chart" uri="{C3380CC4-5D6E-409C-BE32-E72D297353CC}">
                <c16:uniqueId val="{0000001B-9FCB-4E34-86DC-1F9684B41E5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9FCB-4E34-86DC-1F9684B41E55}"/>
              </c:ext>
            </c:extLst>
          </c:dPt>
          <c:dPt>
            <c:idx val="15"/>
            <c:invertIfNegative val="0"/>
            <c:bubble3D val="0"/>
            <c:extLst>
              <c:ext xmlns:c16="http://schemas.microsoft.com/office/drawing/2014/chart" uri="{C3380CC4-5D6E-409C-BE32-E72D297353CC}">
                <c16:uniqueId val="{0000001F-9FCB-4E34-86DC-1F9684B41E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T3'!$B$9:$B$24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T3'!$C$9:$C$24</c:f>
              <c:numCache>
                <c:formatCode>0.0%</c:formatCode>
                <c:ptCount val="16"/>
                <c:pt idx="0">
                  <c:v>0.85149999999999992</c:v>
                </c:pt>
                <c:pt idx="1">
                  <c:v>0.32894736842105265</c:v>
                </c:pt>
                <c:pt idx="2">
                  <c:v>0.82500000000000007</c:v>
                </c:pt>
                <c:pt idx="3">
                  <c:v>0.75</c:v>
                </c:pt>
                <c:pt idx="4">
                  <c:v>0.57740740740740737</c:v>
                </c:pt>
                <c:pt idx="5">
                  <c:v>0.87744668920257796</c:v>
                </c:pt>
                <c:pt idx="6">
                  <c:v>0.53483211884064763</c:v>
                </c:pt>
                <c:pt idx="7">
                  <c:v>0.64612132352941176</c:v>
                </c:pt>
                <c:pt idx="8">
                  <c:v>0.70183914221938781</c:v>
                </c:pt>
                <c:pt idx="9">
                  <c:v>0.82074742268041234</c:v>
                </c:pt>
                <c:pt idx="10">
                  <c:v>0.72045614035087713</c:v>
                </c:pt>
                <c:pt idx="11">
                  <c:v>0.82327713815789472</c:v>
                </c:pt>
                <c:pt idx="12">
                  <c:v>0.78202713815789471</c:v>
                </c:pt>
                <c:pt idx="13">
                  <c:v>0.75</c:v>
                </c:pt>
                <c:pt idx="14">
                  <c:v>1.0045299145299145</c:v>
                </c:pt>
                <c:pt idx="15">
                  <c:v>0.64666666666666661</c:v>
                </c:pt>
              </c:numCache>
            </c:numRef>
          </c:val>
          <c:extLst>
            <c:ext xmlns:c16="http://schemas.microsoft.com/office/drawing/2014/chart" uri="{C3380CC4-5D6E-409C-BE32-E72D297353CC}">
              <c16:uniqueId val="{00000020-9FCB-4E34-86DC-1F9684B41E55}"/>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BEBB-418D-86D7-3EF4B23A6949}"/>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BEBB-418D-86D7-3EF4B23A6949}"/>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BEBB-418D-86D7-3EF4B23A6949}"/>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BEBB-418D-86D7-3EF4B23A6949}"/>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T3'!$B$30:$B$33</c:f>
              <c:strCache>
                <c:ptCount val="4"/>
                <c:pt idx="0">
                  <c:v>Procesos Estratégicos </c:v>
                </c:pt>
                <c:pt idx="1">
                  <c:v>Procesos Misionales </c:v>
                </c:pt>
                <c:pt idx="2">
                  <c:v>Procesos Apoyo </c:v>
                </c:pt>
                <c:pt idx="3">
                  <c:v>Procesos de Evaluación, Seguimiento y Control</c:v>
                </c:pt>
              </c:strCache>
            </c:strRef>
          </c:cat>
          <c:val>
            <c:numRef>
              <c:f>'3.Resum Desemp Procesos POA T3'!$C$30:$C$33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BEBB-418D-86D7-3EF4B23A694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02C-409E-9B04-0E6C55C78E5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02C-409E-9B04-0E6C55C78E5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02C-409E-9B04-0E6C55C78E5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02C-409E-9B04-0E6C55C78E50}"/>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2C-409E-9B04-0E6C55C78E50}"/>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2C-409E-9B04-0E6C55C78E50}"/>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2C-409E-9B04-0E6C55C78E5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02C-409E-9B04-0E6C55C78E5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T4'!$E$27:$E$30</c:f>
              <c:numCache>
                <c:formatCode>0</c:formatCode>
                <c:ptCount val="4"/>
                <c:pt idx="0">
                  <c:v>1</c:v>
                </c:pt>
                <c:pt idx="1">
                  <c:v>0</c:v>
                </c:pt>
                <c:pt idx="2">
                  <c:v>79</c:v>
                </c:pt>
                <c:pt idx="3">
                  <c:v>7</c:v>
                </c:pt>
              </c:numCache>
            </c:numRef>
          </c:val>
          <c:extLst>
            <c:ext xmlns:c16="http://schemas.microsoft.com/office/drawing/2014/chart" uri="{C3380CC4-5D6E-409C-BE32-E72D297353CC}">
              <c16:uniqueId val="{00000008-002C-409E-9B04-0E6C55C78E50}"/>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02C-409E-9B04-0E6C55C78E5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02C-409E-9B04-0E6C55C78E5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02C-409E-9B04-0E6C55C78E5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02C-409E-9B04-0E6C55C78E50}"/>
              </c:ext>
            </c:extLst>
          </c:dPt>
          <c:cat>
            <c:strRef>
              <c:f>'4.Segto Medición POA 2022 T4'!$D$27:$D$30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002C-409E-9B04-0E6C55C78E5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B74-41F3-A99B-B6A94F28C70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B74-41F3-A99B-B6A94F28C70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B74-41F3-A99B-B6A94F28C70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B74-41F3-A99B-B6A94F28C70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74-41F3-A99B-B6A94F28C70C}"/>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74-41F3-A99B-B6A94F28C7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T4'!$E$56:$E$59</c:f>
              <c:numCache>
                <c:formatCode>0</c:formatCode>
                <c:ptCount val="4"/>
                <c:pt idx="0">
                  <c:v>3</c:v>
                </c:pt>
                <c:pt idx="1">
                  <c:v>10</c:v>
                </c:pt>
                <c:pt idx="2">
                  <c:v>73</c:v>
                </c:pt>
                <c:pt idx="3">
                  <c:v>1</c:v>
                </c:pt>
              </c:numCache>
            </c:numRef>
          </c:val>
          <c:extLst>
            <c:ext xmlns:c16="http://schemas.microsoft.com/office/drawing/2014/chart" uri="{C3380CC4-5D6E-409C-BE32-E72D297353CC}">
              <c16:uniqueId val="{00000008-AB74-41F3-A99B-B6A94F28C70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T1'!$E$34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3F2-4BF6-B9EE-56772352DAD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3F2-4BF6-B9EE-56772352DAD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3F2-4BF6-B9EE-56772352DAD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3F2-4BF6-B9EE-56772352DAD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F2-4BF6-B9EE-56772352DAD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F2-4BF6-B9EE-56772352DAD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F2-4BF6-B9EE-56772352DAD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B3F2-4BF6-B9EE-56772352DAD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T1'!$E$27:$E$30</c:f>
              <c:numCache>
                <c:formatCode>0</c:formatCode>
                <c:ptCount val="4"/>
                <c:pt idx="0">
                  <c:v>33</c:v>
                </c:pt>
                <c:pt idx="1">
                  <c:v>27</c:v>
                </c:pt>
                <c:pt idx="2">
                  <c:v>11</c:v>
                </c:pt>
                <c:pt idx="3">
                  <c:v>16</c:v>
                </c:pt>
              </c:numCache>
            </c:numRef>
          </c:val>
          <c:extLst>
            <c:ext xmlns:c16="http://schemas.microsoft.com/office/drawing/2014/chart" uri="{C3380CC4-5D6E-409C-BE32-E72D297353CC}">
              <c16:uniqueId val="{00000008-B3F2-4BF6-B9EE-56772352DADE}"/>
            </c:ext>
          </c:extLst>
        </c:ser>
        <c:ser>
          <c:idx val="1"/>
          <c:order val="1"/>
          <c:tx>
            <c:strRef>
              <c:f>'4.Segto Medición POA 2022 T4'!$F$34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3F2-4BF6-B9EE-56772352DAD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B3F2-4BF6-B9EE-56772352DAD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B3F2-4BF6-B9EE-56772352DAD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B3F2-4BF6-B9EE-56772352DADE}"/>
              </c:ext>
            </c:extLst>
          </c:dPt>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T4'!$F$56:$F$59</c:f>
              <c:numCache>
                <c:formatCode>0%</c:formatCode>
                <c:ptCount val="4"/>
              </c:numCache>
            </c:numRef>
          </c:val>
          <c:extLst>
            <c:ext xmlns:c16="http://schemas.microsoft.com/office/drawing/2014/chart" uri="{C3380CC4-5D6E-409C-BE32-E72D297353CC}">
              <c16:uniqueId val="{00000011-B3F2-4BF6-B9EE-56772352DA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F093-4713-B8E7-B727B8446D5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F093-4713-B8E7-B727B8446D5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F093-4713-B8E7-B727B8446D5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F093-4713-B8E7-B727B8446D5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93-4713-B8E7-B727B8446D58}"/>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93-4713-B8E7-B727B8446D58}"/>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93-4713-B8E7-B727B8446D5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T1'!$E$56:$E$59</c:f>
              <c:numCache>
                <c:formatCode>0</c:formatCode>
                <c:ptCount val="4"/>
                <c:pt idx="0">
                  <c:v>33</c:v>
                </c:pt>
                <c:pt idx="1">
                  <c:v>27</c:v>
                </c:pt>
                <c:pt idx="2">
                  <c:v>11</c:v>
                </c:pt>
                <c:pt idx="3">
                  <c:v>16</c:v>
                </c:pt>
              </c:numCache>
            </c:numRef>
          </c:val>
          <c:extLst>
            <c:ext xmlns:c16="http://schemas.microsoft.com/office/drawing/2014/chart" uri="{C3380CC4-5D6E-409C-BE32-E72D297353CC}">
              <c16:uniqueId val="{00000008-F093-4713-B8E7-B727B8446D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T1'!$C$8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13-894A-4910-A57B-F4544D443F5A}"/>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2"/>
            <c:invertIfNegative val="0"/>
            <c:bubble3D val="0"/>
            <c:extLst>
              <c:ext xmlns:c16="http://schemas.microsoft.com/office/drawing/2014/chart" uri="{C3380CC4-5D6E-409C-BE32-E72D297353CC}">
                <c16:uniqueId val="{0000001B-D13F-4E02-8782-6856BEF803B5}"/>
              </c:ext>
            </c:extLst>
          </c:dPt>
          <c:dPt>
            <c:idx val="3"/>
            <c:invertIfNegative val="0"/>
            <c:bubble3D val="0"/>
            <c:extLst>
              <c:ext xmlns:c16="http://schemas.microsoft.com/office/drawing/2014/chart" uri="{C3380CC4-5D6E-409C-BE32-E72D297353CC}">
                <c16:uniqueId val="{0000001A-D13F-4E02-8782-6856BEF803B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extLst>
              <c:ext xmlns:c16="http://schemas.microsoft.com/office/drawing/2014/chart" uri="{C3380CC4-5D6E-409C-BE32-E72D297353CC}">
                <c16:uniqueId val="{00000005-F9CC-4A3E-9CFD-5EEDFFF7CEFD}"/>
              </c:ext>
            </c:extLst>
          </c:dPt>
          <c:dPt>
            <c:idx val="8"/>
            <c:invertIfNegative val="0"/>
            <c:bubble3D val="0"/>
            <c:extLst>
              <c:ext xmlns:c16="http://schemas.microsoft.com/office/drawing/2014/chart" uri="{C3380CC4-5D6E-409C-BE32-E72D297353CC}">
                <c16:uniqueId val="{00000014-894A-4910-A57B-F4544D443F5A}"/>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894A-4910-A57B-F4544D443F5A}"/>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3"/>
            <c:invertIfNegative val="0"/>
            <c:bubble3D val="0"/>
            <c:extLst>
              <c:ext xmlns:c16="http://schemas.microsoft.com/office/drawing/2014/chart" uri="{C3380CC4-5D6E-409C-BE32-E72D297353CC}">
                <c16:uniqueId val="{00000018-D13F-4E02-8782-6856BEF803B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Pt>
            <c:idx val="15"/>
            <c:invertIfNegative val="0"/>
            <c:bubble3D val="0"/>
            <c:extLst>
              <c:ext xmlns:c16="http://schemas.microsoft.com/office/drawing/2014/chart" uri="{C3380CC4-5D6E-409C-BE32-E72D297353CC}">
                <c16:uniqueId val="{00000019-D13F-4E02-8782-6856BEF803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T1'!$B$9:$B$24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T1'!$C$9:$C$24</c:f>
              <c:numCache>
                <c:formatCode>0.0%</c:formatCode>
                <c:ptCount val="16"/>
                <c:pt idx="0">
                  <c:v>0.30107142857142855</c:v>
                </c:pt>
                <c:pt idx="1">
                  <c:v>5.921052631578947E-2</c:v>
                </c:pt>
                <c:pt idx="2">
                  <c:v>0.17500000000000002</c:v>
                </c:pt>
                <c:pt idx="3">
                  <c:v>0.25</c:v>
                </c:pt>
                <c:pt idx="4">
                  <c:v>0.19990740740740742</c:v>
                </c:pt>
                <c:pt idx="5">
                  <c:v>0.22556159419572125</c:v>
                </c:pt>
                <c:pt idx="6">
                  <c:v>0.11701830507800658</c:v>
                </c:pt>
                <c:pt idx="7">
                  <c:v>0.14054166666666668</c:v>
                </c:pt>
                <c:pt idx="8">
                  <c:v>0.30672285820578232</c:v>
                </c:pt>
                <c:pt idx="9">
                  <c:v>0.26576460481099656</c:v>
                </c:pt>
                <c:pt idx="10">
                  <c:v>0.22459649122807021</c:v>
                </c:pt>
                <c:pt idx="11">
                  <c:v>0.31874999999999998</c:v>
                </c:pt>
                <c:pt idx="12">
                  <c:v>0.24320339912280703</c:v>
                </c:pt>
                <c:pt idx="13">
                  <c:v>0.25</c:v>
                </c:pt>
                <c:pt idx="14">
                  <c:v>0.32222222222222219</c:v>
                </c:pt>
                <c:pt idx="15">
                  <c:v>0.11666666666666665</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B1D-4018-8304-52432D5BA90B}"/>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4B1D-4018-8304-52432D5BA90B}"/>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4B1D-4018-8304-52432D5BA90B}"/>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B1D-4018-8304-52432D5BA90B}"/>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0-4B1D-4018-8304-52432D5BA90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2852C26E-39BD-40B3-B13F-5A1375D8B73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694218D4-D837-4D3C-B844-241EAED002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15</xdr:row>
      <xdr:rowOff>0</xdr:rowOff>
    </xdr:to>
    <xdr:sp macro="" textlink="">
      <xdr:nvSpPr>
        <xdr:cNvPr id="2" name="AutoShape 23">
          <a:extLst>
            <a:ext uri="{FF2B5EF4-FFF2-40B4-BE49-F238E27FC236}">
              <a16:creationId xmlns:a16="http://schemas.microsoft.com/office/drawing/2014/main" id="{FEB468A2-68C7-440C-BCA9-B389D25C0704}"/>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23</xdr:row>
      <xdr:rowOff>0</xdr:rowOff>
    </xdr:from>
    <xdr:to>
      <xdr:col>2</xdr:col>
      <xdr:colOff>0</xdr:colOff>
      <xdr:row>46</xdr:row>
      <xdr:rowOff>0</xdr:rowOff>
    </xdr:to>
    <xdr:sp macro="" textlink="">
      <xdr:nvSpPr>
        <xdr:cNvPr id="3" name="AutoShape 23">
          <a:extLst>
            <a:ext uri="{FF2B5EF4-FFF2-40B4-BE49-F238E27FC236}">
              <a16:creationId xmlns:a16="http://schemas.microsoft.com/office/drawing/2014/main" id="{FEB154DF-3B67-4BF4-B14E-8D5C34022711}"/>
            </a:ext>
          </a:extLst>
        </xdr:cNvPr>
        <xdr:cNvSpPr>
          <a:spLocks noChangeArrowheads="1"/>
        </xdr:cNvSpPr>
      </xdr:nvSpPr>
      <xdr:spPr bwMode="auto">
        <a:xfrm>
          <a:off x="297180" y="29420820"/>
          <a:ext cx="11148060" cy="64846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1828800</xdr:colOff>
      <xdr:row>6</xdr:row>
      <xdr:rowOff>381000</xdr:rowOff>
    </xdr:from>
    <xdr:to>
      <xdr:col>11</xdr:col>
      <xdr:colOff>228600</xdr:colOff>
      <xdr:row>15</xdr:row>
      <xdr:rowOff>171450</xdr:rowOff>
    </xdr:to>
    <xdr:grpSp>
      <xdr:nvGrpSpPr>
        <xdr:cNvPr id="7" name="Grupo 6">
          <a:extLst>
            <a:ext uri="{FF2B5EF4-FFF2-40B4-BE49-F238E27FC236}">
              <a16:creationId xmlns:a16="http://schemas.microsoft.com/office/drawing/2014/main" id="{66685E67-B145-40A0-A366-88E465D2117E}"/>
            </a:ext>
          </a:extLst>
        </xdr:cNvPr>
        <xdr:cNvGrpSpPr/>
      </xdr:nvGrpSpPr>
      <xdr:grpSpPr>
        <a:xfrm>
          <a:off x="14916150" y="2857500"/>
          <a:ext cx="10782300" cy="11296650"/>
          <a:chOff x="13658850" y="2381250"/>
          <a:chExt cx="10782300" cy="11296650"/>
        </a:xfrm>
      </xdr:grpSpPr>
      <xdr:graphicFrame macro="">
        <xdr:nvGraphicFramePr>
          <xdr:cNvPr id="5" name="Gráfico 4">
            <a:extLst>
              <a:ext uri="{FF2B5EF4-FFF2-40B4-BE49-F238E27FC236}">
                <a16:creationId xmlns:a16="http://schemas.microsoft.com/office/drawing/2014/main" id="{08C1D475-BD48-43BD-AE74-34ADD3858778}"/>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4539C8D2-3A8E-49EE-B2AF-4DD89CF3F0FB}"/>
              </a:ext>
            </a:extLst>
          </xdr:cNvPr>
          <xdr:cNvSpPr txBox="1"/>
        </xdr:nvSpPr>
        <xdr:spPr>
          <a:xfrm>
            <a:off x="14935200" y="3638550"/>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a:t>
            </a:r>
            <a:r>
              <a:rPr lang="es-CO" sz="2800" b="1" baseline="0"/>
              <a:t> OBJETIVOS  ESTRATÉGICOS Y DE LA CALIDAD</a:t>
            </a:r>
            <a:endParaRPr lang="es-CO" sz="28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1A3F905D-C4D3-413F-B0CD-73970569648C}"/>
            </a:ext>
          </a:extLst>
        </xdr:cNvPr>
        <xdr:cNvSpPr>
          <a:spLocks noChangeArrowheads="1"/>
        </xdr:cNvSpPr>
      </xdr:nvSpPr>
      <xdr:spPr bwMode="auto">
        <a:xfrm>
          <a:off x="297180" y="1981200"/>
          <a:ext cx="31531560" cy="10033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38</xdr:row>
      <xdr:rowOff>0</xdr:rowOff>
    </xdr:from>
    <xdr:to>
      <xdr:col>3</xdr:col>
      <xdr:colOff>0</xdr:colOff>
      <xdr:row>61</xdr:row>
      <xdr:rowOff>0</xdr:rowOff>
    </xdr:to>
    <xdr:sp macro="" textlink="">
      <xdr:nvSpPr>
        <xdr:cNvPr id="4" name="AutoShape 23">
          <a:extLst>
            <a:ext uri="{FF2B5EF4-FFF2-40B4-BE49-F238E27FC236}">
              <a16:creationId xmlns:a16="http://schemas.microsoft.com/office/drawing/2014/main" id="{497185E9-2A3F-48F7-B156-2A43068EDF84}"/>
            </a:ext>
          </a:extLst>
        </xdr:cNvPr>
        <xdr:cNvSpPr>
          <a:spLocks noChangeArrowheads="1"/>
        </xdr:cNvSpPr>
      </xdr:nvSpPr>
      <xdr:spPr bwMode="auto">
        <a:xfrm>
          <a:off x="290945" y="2438400"/>
          <a:ext cx="11152910" cy="2637905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1163779</xdr:colOff>
      <xdr:row>7</xdr:row>
      <xdr:rowOff>258040</xdr:rowOff>
    </xdr:from>
    <xdr:to>
      <xdr:col>15</xdr:col>
      <xdr:colOff>800100</xdr:colOff>
      <xdr:row>17</xdr:row>
      <xdr:rowOff>933450</xdr:rowOff>
    </xdr:to>
    <xdr:graphicFrame macro="">
      <xdr:nvGraphicFramePr>
        <xdr:cNvPr id="5" name="Gráfico 4">
          <a:extLst>
            <a:ext uri="{FF2B5EF4-FFF2-40B4-BE49-F238E27FC236}">
              <a16:creationId xmlns:a16="http://schemas.microsoft.com/office/drawing/2014/main" id="{885EA56C-1B01-489B-9500-882AD8948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48</xdr:row>
      <xdr:rowOff>0</xdr:rowOff>
    </xdr:to>
    <xdr:sp macro="" textlink="">
      <xdr:nvSpPr>
        <xdr:cNvPr id="2" name="AutoShape 23">
          <a:extLst>
            <a:ext uri="{FF2B5EF4-FFF2-40B4-BE49-F238E27FC236}">
              <a16:creationId xmlns:a16="http://schemas.microsoft.com/office/drawing/2014/main" id="{3154AA38-842A-4A7F-AF85-1228AB6937F0}"/>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95</xdr:row>
      <xdr:rowOff>0</xdr:rowOff>
    </xdr:to>
    <xdr:sp macro="" textlink="">
      <xdr:nvSpPr>
        <xdr:cNvPr id="2" name="AutoShape 23">
          <a:extLst>
            <a:ext uri="{FF2B5EF4-FFF2-40B4-BE49-F238E27FC236}">
              <a16:creationId xmlns:a16="http://schemas.microsoft.com/office/drawing/2014/main" id="{38906399-37BF-4003-ACC6-17A0E894C068}"/>
            </a:ext>
          </a:extLst>
        </xdr:cNvPr>
        <xdr:cNvSpPr>
          <a:spLocks noChangeArrowheads="1"/>
        </xdr:cNvSpPr>
      </xdr:nvSpPr>
      <xdr:spPr bwMode="auto">
        <a:xfrm>
          <a:off x="297180" y="1981200"/>
          <a:ext cx="31531560" cy="965682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5" name="Gráfico 4">
          <a:extLst>
            <a:ext uri="{FF2B5EF4-FFF2-40B4-BE49-F238E27FC236}">
              <a16:creationId xmlns:a16="http://schemas.microsoft.com/office/drawing/2014/main" id="{38EB82DB-23E6-4E8B-B6FB-4C6ED6DF1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2" name="Gráfico 1">
          <a:extLst>
            <a:ext uri="{FF2B5EF4-FFF2-40B4-BE49-F238E27FC236}">
              <a16:creationId xmlns:a16="http://schemas.microsoft.com/office/drawing/2014/main" id="{7C01D88A-3A06-4E4F-B35D-B8A17F0AA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6039E17B-228E-43FE-A641-512A5968F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A0DC7005-C79B-4275-9C6C-0270E5046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DEF70CD4-FE44-4169-92D6-932DF72EC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179E0450-0971-4703-A626-4EAA2CB24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ED12BA94-D682-44BA-AE84-766D5610F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8986855-E950-40C6-BB36-FD5C2A694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F16CBA3B-9E8C-4E53-81C7-8AD828771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33F1B3AF-6124-4B0C-8F8A-CBD2B47D9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EF413C6F-C03E-4D90-B24B-063B0700E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40785769-D73B-45C5-B3CB-D13C3051D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B58AAC16-7FA4-4CEA-AD3A-29252015B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E061101-B055-44AA-BA31-A194AC29F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6" name="Gráfico 5">
          <a:extLst>
            <a:ext uri="{FF2B5EF4-FFF2-40B4-BE49-F238E27FC236}">
              <a16:creationId xmlns:a16="http://schemas.microsoft.com/office/drawing/2014/main" id="{BB333EAA-D316-496A-9FB0-EDA12E51A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7" name="Gráfico 6">
          <a:extLst>
            <a:ext uri="{FF2B5EF4-FFF2-40B4-BE49-F238E27FC236}">
              <a16:creationId xmlns:a16="http://schemas.microsoft.com/office/drawing/2014/main" id="{EEC66926-906C-48C2-80ED-BB7F24731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8" name="Gráfico 7">
          <a:extLst>
            <a:ext uri="{FF2B5EF4-FFF2-40B4-BE49-F238E27FC236}">
              <a16:creationId xmlns:a16="http://schemas.microsoft.com/office/drawing/2014/main" id="{9DA0E36E-D686-4771-B9C4-7EA7574D7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9" name="Gráfico 8">
          <a:extLst>
            <a:ext uri="{FF2B5EF4-FFF2-40B4-BE49-F238E27FC236}">
              <a16:creationId xmlns:a16="http://schemas.microsoft.com/office/drawing/2014/main" id="{26542588-124E-408D-A5F6-C99F9D8FC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7B2856A3-EB37-4490-8180-AD857DE26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9AB9FF5C-76D9-44EA-A319-FF7B0D962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363FA5A0-CEE1-4A25-A10D-3F82DD08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CDE62399-C229-4279-82F8-598AC5302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C4C23827-995A-4E31-800B-0BE09D6B4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F343FBBD-5A81-4590-8E46-1382B06BA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4" name="Gráfico 3">
          <a:extLst>
            <a:ext uri="{FF2B5EF4-FFF2-40B4-BE49-F238E27FC236}">
              <a16:creationId xmlns:a16="http://schemas.microsoft.com/office/drawing/2014/main" id="{7402DE3F-7BE6-4E41-A152-300A09751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Mayis\POA\POA2022\Seg_Trim_1_2022\01-PL-09%20Plan%20Operativo%20Anual_POA_V5_CIGD_2001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yis\0-PlanEstrategica\PEI-POA2021\POA%202021\Promoci&#243;n%20Defensa%20Derechos\01-FR-03%20Plan%20Operativo%20An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yis\0-PlanEstrategica\PEI-POA2021\POA%202021\G%20Administrativa\01-FR-03%20Plan%20Operativo%20Anual%20-%20GESTI&#211;N%20ADMINISTRATIVA-RevDLC28012020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sheetData sheetId="4"/>
      <sheetData sheetId="5"/>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sheetData sheetId="1"/>
      <sheetData sheetId="2">
        <row r="97">
          <cell r="J97" t="str">
            <v xml:space="preserve">Dirección de Gestión del Conocimiento e Innovación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zoomScale="70" zoomScaleNormal="70" workbookViewId="0">
      <selection activeCell="A5" sqref="A5:F24"/>
    </sheetView>
  </sheetViews>
  <sheetFormatPr baseColWidth="10" defaultColWidth="12.5703125" defaultRowHeight="12.75"/>
  <cols>
    <col min="1" max="1" width="4.28515625" style="94" customWidth="1"/>
    <col min="2" max="2" width="13.7109375" style="94" customWidth="1"/>
    <col min="3" max="3" width="16.42578125" style="94" customWidth="1"/>
    <col min="4" max="4" width="52.42578125" style="94" customWidth="1"/>
    <col min="5" max="5" width="16.42578125" style="94" customWidth="1"/>
    <col min="6" max="6" width="13.7109375" style="94" customWidth="1"/>
    <col min="7" max="16384" width="12.5703125" style="94"/>
  </cols>
  <sheetData>
    <row r="1" spans="1:6" ht="19.5" customHeight="1">
      <c r="A1" s="1157"/>
      <c r="B1" s="1158"/>
      <c r="C1" s="1158"/>
      <c r="D1" s="1161" t="s">
        <v>614</v>
      </c>
      <c r="E1" s="1163" t="s">
        <v>615</v>
      </c>
      <c r="F1" s="1164"/>
    </row>
    <row r="2" spans="1:6" ht="23.25" customHeight="1">
      <c r="A2" s="1159"/>
      <c r="B2" s="1160"/>
      <c r="C2" s="1160"/>
      <c r="D2" s="1162"/>
      <c r="E2" s="95" t="s">
        <v>630</v>
      </c>
      <c r="F2" s="96" t="s">
        <v>616</v>
      </c>
    </row>
    <row r="3" spans="1:6" ht="30" customHeight="1">
      <c r="A3" s="1159"/>
      <c r="B3" s="1160"/>
      <c r="C3" s="1160"/>
      <c r="D3" s="1162"/>
      <c r="E3" s="1165" t="s">
        <v>617</v>
      </c>
      <c r="F3" s="1166"/>
    </row>
    <row r="4" spans="1:6" ht="9" customHeight="1">
      <c r="A4" s="97"/>
      <c r="B4" s="98"/>
      <c r="C4" s="98"/>
      <c r="D4" s="98"/>
      <c r="E4" s="98"/>
      <c r="F4" s="99"/>
    </row>
    <row r="5" spans="1:6" ht="17.850000000000001" customHeight="1">
      <c r="A5" s="100"/>
      <c r="B5" s="101"/>
      <c r="C5" s="101"/>
      <c r="D5" s="101"/>
      <c r="E5" s="101"/>
      <c r="F5" s="102"/>
    </row>
    <row r="6" spans="1:6" ht="30" customHeight="1">
      <c r="A6" s="103"/>
      <c r="B6" s="1170" t="s">
        <v>618</v>
      </c>
      <c r="C6" s="1170"/>
      <c r="D6" s="1170"/>
      <c r="E6" s="1170"/>
      <c r="F6" s="104"/>
    </row>
    <row r="7" spans="1:6" ht="19.5" customHeight="1">
      <c r="A7" s="103"/>
      <c r="B7" s="69" t="s">
        <v>619</v>
      </c>
      <c r="C7" s="69" t="s">
        <v>620</v>
      </c>
      <c r="D7" s="1162" t="s">
        <v>621</v>
      </c>
      <c r="E7" s="1162"/>
      <c r="F7" s="105"/>
    </row>
    <row r="8" spans="1:6" ht="15">
      <c r="A8" s="106"/>
      <c r="B8" s="68">
        <v>1</v>
      </c>
      <c r="C8" s="107">
        <v>44226</v>
      </c>
      <c r="D8" s="1171" t="s">
        <v>622</v>
      </c>
      <c r="E8" s="1171"/>
      <c r="F8" s="99"/>
    </row>
    <row r="9" spans="1:6">
      <c r="A9" s="97"/>
      <c r="B9" s="98"/>
      <c r="C9" s="98"/>
      <c r="D9" s="98"/>
      <c r="E9" s="98"/>
      <c r="F9" s="99"/>
    </row>
    <row r="10" spans="1:6" ht="19.5" customHeight="1">
      <c r="A10" s="108"/>
      <c r="B10" s="109"/>
      <c r="C10" s="109"/>
      <c r="D10" s="109"/>
      <c r="E10" s="110"/>
      <c r="F10" s="111"/>
    </row>
    <row r="11" spans="1:6" ht="19.5" customHeight="1">
      <c r="A11" s="97"/>
      <c r="B11" s="98"/>
      <c r="C11" s="98"/>
      <c r="D11" s="98"/>
      <c r="E11" s="112"/>
      <c r="F11" s="113"/>
    </row>
    <row r="12" spans="1:6" ht="19.5" customHeight="1">
      <c r="A12" s="114"/>
      <c r="B12" s="109"/>
      <c r="C12" s="98"/>
      <c r="D12" s="98"/>
      <c r="E12" s="98"/>
      <c r="F12" s="99"/>
    </row>
    <row r="13" spans="1:6" ht="19.5" customHeight="1">
      <c r="A13" s="114"/>
      <c r="B13" s="109"/>
      <c r="C13" s="115"/>
      <c r="D13" s="109"/>
      <c r="E13" s="109"/>
      <c r="F13" s="111"/>
    </row>
    <row r="14" spans="1:6" ht="19.5" customHeight="1">
      <c r="A14" s="116"/>
      <c r="B14" s="110"/>
      <c r="C14" s="110"/>
      <c r="D14" s="110"/>
      <c r="E14" s="110"/>
      <c r="F14" s="117"/>
    </row>
    <row r="15" spans="1:6" ht="16.350000000000001" customHeight="1">
      <c r="A15" s="116"/>
      <c r="B15" s="110"/>
      <c r="C15" s="110"/>
      <c r="D15" s="110"/>
      <c r="E15" s="109"/>
      <c r="F15" s="111"/>
    </row>
    <row r="16" spans="1:6" ht="16.350000000000001" customHeight="1">
      <c r="A16" s="114"/>
      <c r="B16" s="109"/>
      <c r="C16" s="115"/>
      <c r="D16" s="115"/>
      <c r="E16" s="115"/>
      <c r="F16" s="118"/>
    </row>
    <row r="17" spans="1:6" ht="16.350000000000001" customHeight="1">
      <c r="A17" s="114"/>
      <c r="B17" s="109"/>
      <c r="C17" s="115"/>
      <c r="D17" s="115"/>
      <c r="E17" s="115"/>
      <c r="F17" s="118"/>
    </row>
    <row r="18" spans="1:6" ht="16.350000000000001" customHeight="1">
      <c r="A18" s="119"/>
      <c r="B18" s="120"/>
      <c r="C18" s="120"/>
      <c r="D18" s="120"/>
      <c r="E18" s="115"/>
      <c r="F18" s="118"/>
    </row>
    <row r="19" spans="1:6" ht="16.350000000000001" customHeight="1">
      <c r="A19" s="121"/>
      <c r="B19" s="115"/>
      <c r="C19" s="115"/>
      <c r="D19" s="115"/>
      <c r="E19" s="115"/>
      <c r="F19" s="118"/>
    </row>
    <row r="20" spans="1:6" ht="16.350000000000001" customHeight="1">
      <c r="A20" s="116"/>
      <c r="B20" s="110"/>
      <c r="C20" s="110"/>
      <c r="D20" s="109"/>
      <c r="E20" s="109"/>
      <c r="F20" s="111"/>
    </row>
    <row r="21" spans="1:6" ht="16.350000000000001" customHeight="1">
      <c r="A21" s="116"/>
      <c r="B21" s="110"/>
      <c r="C21" s="110"/>
      <c r="D21" s="109"/>
      <c r="E21" s="109"/>
      <c r="F21" s="111"/>
    </row>
    <row r="22" spans="1:6" ht="16.350000000000001" customHeight="1">
      <c r="A22" s="121"/>
      <c r="B22" s="115"/>
      <c r="C22" s="115"/>
      <c r="D22" s="115"/>
      <c r="E22" s="115"/>
      <c r="F22" s="118"/>
    </row>
    <row r="23" spans="1:6" ht="16.350000000000001" customHeight="1">
      <c r="A23" s="121"/>
      <c r="B23" s="115"/>
      <c r="C23" s="115"/>
      <c r="D23" s="115"/>
      <c r="E23" s="115"/>
      <c r="F23" s="118"/>
    </row>
    <row r="24" spans="1:6" ht="16.350000000000001" customHeight="1">
      <c r="A24" s="121"/>
      <c r="B24" s="115"/>
      <c r="C24" s="115"/>
      <c r="D24" s="115"/>
      <c r="E24" s="115"/>
      <c r="F24" s="118"/>
    </row>
    <row r="25" spans="1:6" ht="25.5" customHeight="1">
      <c r="A25" s="1179" t="s">
        <v>624</v>
      </c>
      <c r="B25" s="1180"/>
      <c r="C25" s="1181"/>
      <c r="D25" s="122" t="s">
        <v>625</v>
      </c>
      <c r="E25" s="1177" t="s">
        <v>626</v>
      </c>
      <c r="F25" s="1178"/>
    </row>
    <row r="26" spans="1:6" ht="65.25" customHeight="1">
      <c r="A26" s="1174" t="s">
        <v>623</v>
      </c>
      <c r="B26" s="1175"/>
      <c r="C26" s="1176"/>
      <c r="D26" s="123" t="s">
        <v>627</v>
      </c>
      <c r="E26" s="1172" t="s">
        <v>628</v>
      </c>
      <c r="F26" s="1173"/>
    </row>
    <row r="27" spans="1:6" ht="21" customHeight="1">
      <c r="A27" s="121"/>
      <c r="B27" s="115"/>
      <c r="C27" s="115"/>
      <c r="D27" s="115"/>
      <c r="E27" s="115"/>
      <c r="F27" s="118"/>
    </row>
    <row r="28" spans="1:6" ht="39.75" customHeight="1">
      <c r="A28" s="1167" t="s">
        <v>613</v>
      </c>
      <c r="B28" s="1168"/>
      <c r="C28" s="1168"/>
      <c r="D28" s="1168"/>
      <c r="E28" s="1168"/>
      <c r="F28" s="1169"/>
    </row>
    <row r="29" spans="1:6" ht="17.25" customHeight="1" thickBot="1">
      <c r="A29" s="124"/>
      <c r="B29" s="125"/>
      <c r="C29" s="125"/>
      <c r="D29" s="125"/>
      <c r="E29" s="125"/>
      <c r="F29" s="126"/>
    </row>
    <row r="30" spans="1:6" ht="27" customHeight="1"/>
    <row r="31" spans="1:6" ht="15.6" customHeight="1">
      <c r="A31" s="127"/>
      <c r="B31" s="127"/>
      <c r="C31" s="127"/>
      <c r="D31" s="127"/>
      <c r="E31" s="127"/>
      <c r="F31" s="127"/>
    </row>
    <row r="32" spans="1:6" ht="13.5" customHeight="1">
      <c r="A32" s="128"/>
      <c r="B32" s="98"/>
      <c r="C32" s="98"/>
      <c r="D32" s="98"/>
      <c r="E32" s="98"/>
      <c r="F32" s="98"/>
    </row>
    <row r="33" spans="1:6" ht="18" customHeight="1">
      <c r="A33" s="98"/>
      <c r="B33" s="129"/>
      <c r="C33" s="98"/>
      <c r="D33" s="98"/>
      <c r="E33" s="98"/>
      <c r="F33" s="98"/>
    </row>
    <row r="34" spans="1:6" ht="13.5" customHeight="1">
      <c r="A34" s="127"/>
      <c r="B34" s="127"/>
      <c r="C34" s="127"/>
      <c r="D34" s="127"/>
      <c r="E34" s="115"/>
      <c r="F34" s="115"/>
    </row>
    <row r="35" spans="1:6" ht="15.6" customHeight="1">
      <c r="A35" s="127"/>
      <c r="B35" s="127"/>
      <c r="C35" s="127"/>
      <c r="D35" s="127"/>
      <c r="E35" s="127"/>
      <c r="F35" s="127"/>
    </row>
    <row r="36" spans="1:6" ht="15.6" customHeight="1">
      <c r="A36" s="127"/>
      <c r="B36" s="127"/>
      <c r="C36" s="127"/>
      <c r="D36" s="127"/>
      <c r="E36" s="127"/>
      <c r="F36" s="127"/>
    </row>
    <row r="37" spans="1:6" ht="11.1" customHeight="1">
      <c r="A37" s="98"/>
      <c r="B37" s="98"/>
      <c r="C37" s="98"/>
      <c r="D37" s="98"/>
      <c r="E37" s="98"/>
      <c r="F37" s="98"/>
    </row>
    <row r="38" spans="1:6" ht="11.25" customHeight="1">
      <c r="A38" s="130"/>
      <c r="B38" s="130"/>
      <c r="C38" s="130"/>
      <c r="D38" s="130"/>
      <c r="E38" s="130"/>
      <c r="F38" s="130"/>
    </row>
    <row r="39" spans="1:6" ht="7.5" customHeight="1">
      <c r="A39" s="98"/>
      <c r="B39" s="98"/>
      <c r="C39" s="98"/>
      <c r="D39" s="98"/>
      <c r="E39" s="98"/>
      <c r="F39" s="98"/>
    </row>
    <row r="40" spans="1:6" ht="16.5" customHeight="1">
      <c r="A40" s="109"/>
      <c r="B40" s="109"/>
      <c r="C40" s="109"/>
      <c r="D40" s="109"/>
      <c r="E40" s="109"/>
      <c r="F40" s="109"/>
    </row>
    <row r="41" spans="1:6" ht="24.75" customHeight="1"/>
  </sheetData>
  <sheetProtection algorithmName="SHA-512" hashValue="HnpwiZL4/jUyJvdUXy2xiUl6FfGtZvGC0kZvb8riYQdz++EhMINU7DQYd8KJWMd9oN1Xb7RH4ODIe4rfvxkvJA==" saltValue="vSA+imkFjgzOmKzzWbvb3Q==" spinCount="100000" sheet="1" objects="1" scenarios="1" selectLockedCells="1"/>
  <mergeCells count="12">
    <mergeCell ref="A1:C3"/>
    <mergeCell ref="D1:D3"/>
    <mergeCell ref="E1:F1"/>
    <mergeCell ref="E3:F3"/>
    <mergeCell ref="A28:F28"/>
    <mergeCell ref="B6:E6"/>
    <mergeCell ref="D7:E7"/>
    <mergeCell ref="D8:E8"/>
    <mergeCell ref="E26:F26"/>
    <mergeCell ref="A26:C26"/>
    <mergeCell ref="E25:F25"/>
    <mergeCell ref="A25:C25"/>
  </mergeCells>
  <pageMargins left="0.7" right="0.7" top="0.75" bottom="0.75" header="0.3" footer="0.3"/>
  <pageSetup paperSize="9"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703125" defaultRowHeight="12.75"/>
  <cols>
    <col min="1" max="1" width="4.28515625" style="94" customWidth="1"/>
    <col min="2" max="2" width="13.7109375" style="94" customWidth="1"/>
    <col min="3" max="3" width="16.42578125" style="94" customWidth="1"/>
    <col min="4" max="4" width="52.42578125" style="94" customWidth="1"/>
    <col min="5" max="5" width="16.42578125" style="94" customWidth="1"/>
    <col min="6" max="6" width="13.7109375" style="94" customWidth="1"/>
    <col min="7" max="16384" width="12.5703125" style="94"/>
  </cols>
  <sheetData>
    <row r="1" spans="1:6" ht="19.5" customHeight="1">
      <c r="A1" s="1157"/>
      <c r="B1" s="1158"/>
      <c r="C1" s="1158"/>
      <c r="D1" s="1161" t="s">
        <v>614</v>
      </c>
      <c r="E1" s="1163" t="s">
        <v>615</v>
      </c>
      <c r="F1" s="1164"/>
    </row>
    <row r="2" spans="1:6" ht="23.25" customHeight="1">
      <c r="A2" s="1159"/>
      <c r="B2" s="1160"/>
      <c r="C2" s="1160"/>
      <c r="D2" s="1162"/>
      <c r="E2" s="95" t="s">
        <v>630</v>
      </c>
      <c r="F2" s="96" t="s">
        <v>629</v>
      </c>
    </row>
    <row r="3" spans="1:6" ht="28.5" customHeight="1">
      <c r="A3" s="1159"/>
      <c r="B3" s="1160"/>
      <c r="C3" s="1160"/>
      <c r="D3" s="1162"/>
      <c r="E3" s="1165" t="s">
        <v>617</v>
      </c>
      <c r="F3" s="1166"/>
    </row>
    <row r="4" spans="1:6" ht="9" customHeight="1">
      <c r="A4" s="97"/>
      <c r="B4" s="98"/>
      <c r="C4" s="98"/>
      <c r="D4" s="98"/>
      <c r="E4" s="98"/>
      <c r="F4" s="99"/>
    </row>
    <row r="5" spans="1:6" ht="17.850000000000001" customHeight="1">
      <c r="A5" s="1193" t="s">
        <v>631</v>
      </c>
      <c r="B5" s="1194"/>
      <c r="C5" s="1194"/>
      <c r="D5" s="1194"/>
      <c r="E5" s="1194"/>
      <c r="F5" s="1195"/>
    </row>
    <row r="6" spans="1:6" ht="30" customHeight="1">
      <c r="A6" s="1196"/>
      <c r="B6" s="1194"/>
      <c r="C6" s="1194"/>
      <c r="D6" s="1194"/>
      <c r="E6" s="1194"/>
      <c r="F6" s="1195"/>
    </row>
    <row r="7" spans="1:6" ht="19.5" customHeight="1">
      <c r="A7" s="1196"/>
      <c r="B7" s="1194"/>
      <c r="C7" s="1194"/>
      <c r="D7" s="1194"/>
      <c r="E7" s="1194"/>
      <c r="F7" s="1195"/>
    </row>
    <row r="8" spans="1:6" ht="15" customHeight="1">
      <c r="A8" s="1196"/>
      <c r="B8" s="1194"/>
      <c r="C8" s="1194"/>
      <c r="D8" s="1194"/>
      <c r="E8" s="1194"/>
      <c r="F8" s="1195"/>
    </row>
    <row r="9" spans="1:6">
      <c r="A9" s="1196"/>
      <c r="B9" s="1194"/>
      <c r="C9" s="1194"/>
      <c r="D9" s="1194"/>
      <c r="E9" s="1194"/>
      <c r="F9" s="1195"/>
    </row>
    <row r="10" spans="1:6" ht="19.5" customHeight="1">
      <c r="A10" s="1196"/>
      <c r="B10" s="1194"/>
      <c r="C10" s="1194"/>
      <c r="D10" s="1194"/>
      <c r="E10" s="1194"/>
      <c r="F10" s="1195"/>
    </row>
    <row r="11" spans="1:6" ht="19.5" customHeight="1">
      <c r="A11" s="1196"/>
      <c r="B11" s="1194"/>
      <c r="C11" s="1194"/>
      <c r="D11" s="1194"/>
      <c r="E11" s="1194"/>
      <c r="F11" s="1195"/>
    </row>
    <row r="12" spans="1:6" ht="19.5" customHeight="1">
      <c r="A12" s="1196"/>
      <c r="B12" s="1194"/>
      <c r="C12" s="1194"/>
      <c r="D12" s="1194"/>
      <c r="E12" s="1194"/>
      <c r="F12" s="1195"/>
    </row>
    <row r="13" spans="1:6" ht="19.5" customHeight="1">
      <c r="A13" s="1196"/>
      <c r="B13" s="1194"/>
      <c r="C13" s="1194"/>
      <c r="D13" s="1194"/>
      <c r="E13" s="1194"/>
      <c r="F13" s="1195"/>
    </row>
    <row r="14" spans="1:6" ht="19.5" customHeight="1">
      <c r="A14" s="1196"/>
      <c r="B14" s="1194"/>
      <c r="C14" s="1194"/>
      <c r="D14" s="1194"/>
      <c r="E14" s="1194"/>
      <c r="F14" s="1195"/>
    </row>
    <row r="15" spans="1:6" ht="16.350000000000001" customHeight="1">
      <c r="A15" s="1196"/>
      <c r="B15" s="1194"/>
      <c r="C15" s="1194"/>
      <c r="D15" s="1194"/>
      <c r="E15" s="1194"/>
      <c r="F15" s="1195"/>
    </row>
    <row r="16" spans="1:6" ht="16.350000000000001" customHeight="1">
      <c r="A16" s="1196"/>
      <c r="B16" s="1194"/>
      <c r="C16" s="1194"/>
      <c r="D16" s="1194"/>
      <c r="E16" s="1194"/>
      <c r="F16" s="1195"/>
    </row>
    <row r="17" spans="1:6" ht="16.350000000000001" customHeight="1">
      <c r="A17" s="1196"/>
      <c r="B17" s="1194"/>
      <c r="C17" s="1194"/>
      <c r="D17" s="1194"/>
      <c r="E17" s="1194"/>
      <c r="F17" s="1195"/>
    </row>
    <row r="18" spans="1:6" ht="16.350000000000001" customHeight="1">
      <c r="A18" s="1196"/>
      <c r="B18" s="1194"/>
      <c r="C18" s="1194"/>
      <c r="D18" s="1194"/>
      <c r="E18" s="1194"/>
      <c r="F18" s="1195"/>
    </row>
    <row r="19" spans="1:6" ht="16.350000000000001" customHeight="1">
      <c r="A19" s="1196"/>
      <c r="B19" s="1194"/>
      <c r="C19" s="1194"/>
      <c r="D19" s="1194"/>
      <c r="E19" s="1194"/>
      <c r="F19" s="1195"/>
    </row>
    <row r="20" spans="1:6" ht="16.350000000000001" customHeight="1">
      <c r="A20" s="1196"/>
      <c r="B20" s="1194"/>
      <c r="C20" s="1194"/>
      <c r="D20" s="1194"/>
      <c r="E20" s="1194"/>
      <c r="F20" s="1195"/>
    </row>
    <row r="21" spans="1:6" ht="16.350000000000001" customHeight="1">
      <c r="A21" s="1196"/>
      <c r="B21" s="1194"/>
      <c r="C21" s="1194"/>
      <c r="D21" s="1194"/>
      <c r="E21" s="1194"/>
      <c r="F21" s="1195"/>
    </row>
    <row r="22" spans="1:6" ht="16.350000000000001" customHeight="1">
      <c r="A22" s="1196"/>
      <c r="B22" s="1194"/>
      <c r="C22" s="1194"/>
      <c r="D22" s="1194"/>
      <c r="E22" s="1194"/>
      <c r="F22" s="1195"/>
    </row>
    <row r="23" spans="1:6" ht="16.350000000000001" customHeight="1">
      <c r="A23" s="1196"/>
      <c r="B23" s="1194"/>
      <c r="C23" s="1194"/>
      <c r="D23" s="1194"/>
      <c r="E23" s="1194"/>
      <c r="F23" s="1195"/>
    </row>
    <row r="24" spans="1:6" ht="16.350000000000001" customHeight="1">
      <c r="A24" s="1196"/>
      <c r="B24" s="1194"/>
      <c r="C24" s="1194"/>
      <c r="D24" s="1194"/>
      <c r="E24" s="1194"/>
      <c r="F24" s="1195"/>
    </row>
    <row r="25" spans="1:6" ht="25.5" customHeight="1">
      <c r="A25" s="1182"/>
      <c r="B25" s="1183"/>
      <c r="C25" s="1183"/>
      <c r="D25" s="131"/>
      <c r="E25" s="1184"/>
      <c r="F25" s="1185"/>
    </row>
    <row r="26" spans="1:6" ht="65.25" customHeight="1">
      <c r="A26" s="1186"/>
      <c r="B26" s="1187"/>
      <c r="C26" s="1187"/>
      <c r="D26" s="132"/>
      <c r="E26" s="1188"/>
      <c r="F26" s="1189"/>
    </row>
    <row r="27" spans="1:6" ht="21" customHeight="1">
      <c r="A27" s="121"/>
      <c r="B27" s="115"/>
      <c r="C27" s="115"/>
      <c r="D27" s="115"/>
      <c r="E27" s="115"/>
      <c r="F27" s="118"/>
    </row>
    <row r="28" spans="1:6" ht="39.75" customHeight="1" thickBot="1">
      <c r="A28" s="1190" t="s">
        <v>613</v>
      </c>
      <c r="B28" s="1191"/>
      <c r="C28" s="1191"/>
      <c r="D28" s="1191"/>
      <c r="E28" s="1191"/>
      <c r="F28" s="1192"/>
    </row>
    <row r="29" spans="1:6" ht="27" customHeight="1"/>
    <row r="30" spans="1:6" ht="15.6" customHeight="1">
      <c r="A30" s="127"/>
      <c r="B30" s="127"/>
      <c r="C30" s="127"/>
      <c r="D30" s="127"/>
      <c r="E30" s="127"/>
      <c r="F30" s="127"/>
    </row>
    <row r="31" spans="1:6" ht="13.5" customHeight="1">
      <c r="A31" s="128"/>
      <c r="B31" s="98"/>
      <c r="C31" s="98"/>
      <c r="D31" s="98"/>
      <c r="E31" s="98"/>
      <c r="F31" s="98"/>
    </row>
    <row r="32" spans="1:6" ht="18" customHeight="1">
      <c r="A32" s="98"/>
      <c r="B32" s="129"/>
      <c r="C32" s="98"/>
      <c r="D32" s="98"/>
      <c r="E32" s="98"/>
      <c r="F32" s="98"/>
    </row>
    <row r="33" spans="1:6" ht="13.5" customHeight="1">
      <c r="A33" s="127"/>
      <c r="B33" s="127"/>
      <c r="C33" s="127"/>
      <c r="D33" s="127"/>
      <c r="E33" s="115"/>
      <c r="F33" s="115"/>
    </row>
    <row r="34" spans="1:6" ht="15.6" customHeight="1">
      <c r="A34" s="127"/>
      <c r="B34" s="127"/>
      <c r="C34" s="127"/>
      <c r="D34" s="127"/>
      <c r="E34" s="127"/>
      <c r="F34" s="127"/>
    </row>
    <row r="35" spans="1:6" ht="15.6" customHeight="1">
      <c r="A35" s="127"/>
      <c r="B35" s="127"/>
      <c r="C35" s="127"/>
      <c r="D35" s="127"/>
      <c r="E35" s="127"/>
      <c r="F35" s="127"/>
    </row>
    <row r="36" spans="1:6" ht="11.1" customHeight="1">
      <c r="A36" s="98"/>
      <c r="B36" s="98"/>
      <c r="C36" s="98"/>
      <c r="D36" s="98"/>
      <c r="E36" s="98"/>
      <c r="F36" s="98"/>
    </row>
    <row r="37" spans="1:6" ht="11.25" customHeight="1">
      <c r="A37" s="130"/>
      <c r="B37" s="130"/>
      <c r="C37" s="130"/>
      <c r="D37" s="130"/>
      <c r="E37" s="130"/>
      <c r="F37" s="130"/>
    </row>
    <row r="38" spans="1:6" ht="7.5" customHeight="1">
      <c r="A38" s="98"/>
      <c r="B38" s="98"/>
      <c r="C38" s="98"/>
      <c r="D38" s="98"/>
      <c r="E38" s="98"/>
      <c r="F38" s="98"/>
    </row>
    <row r="39" spans="1:6" ht="16.5" customHeight="1">
      <c r="A39" s="109"/>
      <c r="B39" s="109"/>
      <c r="C39" s="109"/>
      <c r="D39" s="109"/>
      <c r="E39" s="109"/>
      <c r="F39" s="109"/>
    </row>
    <row r="40" spans="1:6" ht="24.75" customHeight="1"/>
  </sheetData>
  <sheetProtection algorithmName="SHA-512" hashValue="AYp2KlviZevMuqLounInK503CjqlPnVfYWkoEWQCVsxbPCi+AwnAy8t11gHgpoT4J00qOTTIMXXXgp4XGm3DDw==" saltValue="Op/GkY2J2ad9xFrpW+/POg==" spinCount="100000" sheet="1" objects="1" scenarios="1" selectLockedCells="1"/>
  <mergeCells count="10">
    <mergeCell ref="A5:F24"/>
    <mergeCell ref="A1:C3"/>
    <mergeCell ref="D1:D3"/>
    <mergeCell ref="E1:F1"/>
    <mergeCell ref="E3:F3"/>
    <mergeCell ref="A25:C25"/>
    <mergeCell ref="E25:F25"/>
    <mergeCell ref="A26:C26"/>
    <mergeCell ref="E26:F26"/>
    <mergeCell ref="A28:F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27"/>
  <sheetViews>
    <sheetView showGridLines="0" zoomScale="80" zoomScaleNormal="80" workbookViewId="0">
      <pane xSplit="5" ySplit="4" topLeftCell="K80" activePane="bottomRight" state="frozen"/>
      <selection activeCell="Q86" sqref="Q86"/>
      <selection pane="topRight" activeCell="Q86" sqref="Q86"/>
      <selection pane="bottomLeft" activeCell="Q86" sqref="Q86"/>
      <selection pane="bottomRight" activeCell="Q86" sqref="Q86"/>
    </sheetView>
  </sheetViews>
  <sheetFormatPr baseColWidth="10" defaultColWidth="11.42578125" defaultRowHeight="12.75"/>
  <cols>
    <col min="1" max="1" width="1.7109375" customWidth="1"/>
    <col min="2" max="2" width="6.5703125" style="425" customWidth="1"/>
    <col min="3" max="3" width="36.28515625" style="426" customWidth="1"/>
    <col min="4" max="4" width="16" style="425" customWidth="1"/>
    <col min="5" max="6" width="41.85546875" style="427" customWidth="1"/>
    <col min="7" max="7" width="25" style="425" customWidth="1"/>
    <col min="8" max="8" width="19" customWidth="1"/>
    <col min="9" max="9" width="13.140625" customWidth="1"/>
    <col min="10" max="13" width="11.42578125" customWidth="1"/>
    <col min="14" max="15" width="15.5703125" customWidth="1"/>
    <col min="16" max="16" width="15.28515625" style="425" customWidth="1"/>
    <col min="17" max="17" width="12.7109375" style="425" customWidth="1"/>
    <col min="18" max="18" width="48.5703125" style="440" customWidth="1"/>
  </cols>
  <sheetData>
    <row r="2" spans="2:18" ht="18">
      <c r="B2" s="1199" t="s">
        <v>714</v>
      </c>
      <c r="C2" s="1199"/>
      <c r="D2" s="1199"/>
      <c r="E2" s="1199"/>
      <c r="F2" s="1199"/>
      <c r="G2" s="1199"/>
      <c r="H2" s="1199"/>
      <c r="I2" s="1199"/>
      <c r="J2" s="1199"/>
      <c r="K2" s="1199"/>
      <c r="L2" s="1199"/>
      <c r="M2" s="1199"/>
      <c r="N2" s="1199"/>
      <c r="O2" s="1199"/>
    </row>
    <row r="3" spans="2:18" ht="17.25" customHeight="1">
      <c r="B3" s="407"/>
      <c r="C3" s="407"/>
      <c r="D3" s="408"/>
      <c r="E3" s="408"/>
      <c r="F3" s="408"/>
      <c r="G3" s="408"/>
      <c r="H3" s="1200" t="s">
        <v>715</v>
      </c>
      <c r="I3" s="1200"/>
      <c r="J3" s="1200"/>
      <c r="K3" s="1200"/>
      <c r="L3" s="1200"/>
      <c r="M3" s="1200"/>
      <c r="N3" s="1200"/>
      <c r="O3" s="1200"/>
    </row>
    <row r="4" spans="2:18" ht="52.9" customHeight="1">
      <c r="B4" s="409" t="s">
        <v>716</v>
      </c>
      <c r="C4" s="409" t="s">
        <v>717</v>
      </c>
      <c r="D4" s="410" t="s">
        <v>718</v>
      </c>
      <c r="E4" s="411" t="s">
        <v>719</v>
      </c>
      <c r="F4" s="411" t="s">
        <v>749</v>
      </c>
      <c r="G4" s="411" t="s">
        <v>720</v>
      </c>
      <c r="H4" s="1201" t="s">
        <v>721</v>
      </c>
      <c r="I4" s="1202"/>
      <c r="J4" s="1203" t="s">
        <v>722</v>
      </c>
      <c r="K4" s="1204"/>
      <c r="L4" s="1204"/>
      <c r="M4" s="1205"/>
      <c r="N4" s="1206" t="s">
        <v>723</v>
      </c>
      <c r="O4" s="1207"/>
      <c r="P4" s="433" t="s">
        <v>812</v>
      </c>
      <c r="Q4" s="433" t="s">
        <v>813</v>
      </c>
      <c r="R4" s="420" t="s">
        <v>811</v>
      </c>
    </row>
    <row r="5" spans="2:18" ht="57.6" customHeight="1">
      <c r="B5" s="412">
        <v>1</v>
      </c>
      <c r="C5" s="413" t="s">
        <v>724</v>
      </c>
      <c r="D5" s="412" t="s">
        <v>743</v>
      </c>
      <c r="E5" s="428" t="str">
        <f>+'01-DIRECCIONAMIENTO ESTRATÉGICO'!I16</f>
        <v xml:space="preserve">Porcentaje de acciones implementadas para la sostenibilidad y mejora del SGC </v>
      </c>
      <c r="F5" s="428" t="str">
        <f>'01-DIRECCIONAMIENTO ESTRATÉGICO'!J16</f>
        <v xml:space="preserve"> Grado de avance en la implementación de acciones para la sostenibilidad y mejora del SGC</v>
      </c>
      <c r="G5" s="412" t="s">
        <v>759</v>
      </c>
      <c r="H5" s="415" t="s">
        <v>730</v>
      </c>
      <c r="I5" s="416">
        <v>95</v>
      </c>
      <c r="J5" s="417" t="str">
        <f t="shared" ref="J5:J37" si="0">IF(OR($H5="Mayor A:",$H5="Menor A:"),"Desde (&gt;=):",
IF(OR($H5="Mayor o Igual A:",$H5="Menor o Igual A:"),"Desde (&gt;):",
IF($H5="Igual A:","No Aplica",
IF($H5="",""))))</f>
        <v>Desde (&gt;=):</v>
      </c>
      <c r="K5" s="417">
        <f t="shared" ref="K5:K64" si="1">IF(I5&gt;O5,O5,
IF(I5&lt;O5,I5,
IF(I5=O5,"No Aplica","")))</f>
        <v>80</v>
      </c>
      <c r="L5" s="417" t="str">
        <f t="shared" ref="L5:L37" si="2">IF(OR($H5="Mayor A:",$H5="Menor A:"),"Hasta (&lt;=):",
IF(OR($H5="Mayor o Igual A:",$H5="Menor o Igual A:"),"Hasta (&lt;):",
IF($H5="Igual A:","No Aplica",
IF($H5="",""))))</f>
        <v>Hasta (&lt;=):</v>
      </c>
      <c r="M5" s="417">
        <f t="shared" ref="M5:M64" si="3">IF(I5&gt;O5,I5,
IF(I5&lt;O5,O5,
IF(I5=O5,"No Aplica","")))</f>
        <v>95</v>
      </c>
      <c r="N5" s="417" t="str">
        <f t="shared" ref="N5:N37" si="4">IF($H5="Mayor A:","Menor A:",
IF($H5="Menor A:","Mayor A:",
IF($H5="Mayor o Igual A:","Menor o Igual A:",
IF($H5="Menor o Igual A:","Mayor o Igual A:",
IF($H5="Igual A:","Igual A:",
IF($H5="",""))))))</f>
        <v>Menor A:</v>
      </c>
      <c r="O5" s="418">
        <v>80</v>
      </c>
      <c r="P5" s="431">
        <f>+'01-DIRECCIONAMIENTO ESTRATÉGICO'!F16</f>
        <v>1</v>
      </c>
      <c r="Q5" s="431">
        <f>+'01-DIRECCIONAMIENTO ESTRATÉGICO'!G16</f>
        <v>1</v>
      </c>
      <c r="R5" s="438" t="str">
        <f>+'01-DIRECCIONAMIENTO ESTRATÉGICO'!O16</f>
        <v>Dirección de Planeación
Aportan: Dependencias lideradas por  Responsables de procesos y operativos de todos los procesos institucionales</v>
      </c>
    </row>
    <row r="6" spans="2:18" ht="48">
      <c r="B6" s="412">
        <f>1+B5</f>
        <v>2</v>
      </c>
      <c r="C6" s="413" t="s">
        <v>724</v>
      </c>
      <c r="D6" s="412" t="s">
        <v>746</v>
      </c>
      <c r="E6" s="428" t="str">
        <f>+'01-DIRECCIONAMIENTO ESTRATÉGICO'!I17</f>
        <v>Porcentaje de actividades implementadas para la sostenibilidad  y mejora del MIPG</v>
      </c>
      <c r="F6" s="428" t="str">
        <f>'01-DIRECCIONAMIENTO ESTRATÉGICO'!J17</f>
        <v>Grado de avance en la implementación de acciones para la sostenibilidad y mejora del MIPG</v>
      </c>
      <c r="G6" s="420" t="s">
        <v>759</v>
      </c>
      <c r="H6" s="415" t="s">
        <v>730</v>
      </c>
      <c r="I6" s="416">
        <v>95</v>
      </c>
      <c r="J6" s="417" t="str">
        <f t="shared" si="0"/>
        <v>Desde (&gt;=):</v>
      </c>
      <c r="K6" s="417">
        <f t="shared" si="1"/>
        <v>80</v>
      </c>
      <c r="L6" s="417" t="str">
        <f t="shared" si="2"/>
        <v>Hasta (&lt;=):</v>
      </c>
      <c r="M6" s="417">
        <f t="shared" si="3"/>
        <v>95</v>
      </c>
      <c r="N6" s="417" t="str">
        <f t="shared" si="4"/>
        <v>Menor A:</v>
      </c>
      <c r="O6" s="418">
        <v>80</v>
      </c>
      <c r="P6" s="431">
        <f>+'01-DIRECCIONAMIENTO ESTRATÉGICO'!F17</f>
        <v>0.4</v>
      </c>
      <c r="Q6" s="431">
        <f>+'01-DIRECCIONAMIENTO ESTRATÉGICO'!G17</f>
        <v>0.14000000000000001</v>
      </c>
      <c r="R6" s="438" t="str">
        <f>+'01-DIRECCIONAMIENTO ESTRATÉGICO'!O17</f>
        <v>Dirección de Planeación
Aportan: Dependencias lideradas por  Responsables de procesos y operativos de todos los procesos institucionales</v>
      </c>
    </row>
    <row r="7" spans="2:18" ht="38.25">
      <c r="B7" s="412">
        <f t="shared" ref="B7:B73" si="5">1+B6</f>
        <v>3</v>
      </c>
      <c r="C7" s="413" t="s">
        <v>724</v>
      </c>
      <c r="D7" s="412" t="s">
        <v>747</v>
      </c>
      <c r="E7" s="428" t="str">
        <f>+'01-DIRECCIONAMIENTO ESTRATÉGICO'!I18</f>
        <v xml:space="preserve">Porcentaje de requisitos del  SGA implementados bajo los estándares de la norma ISO 14001 </v>
      </c>
      <c r="F7" s="428" t="str">
        <f>'01-DIRECCIONAMIENTO ESTRATÉGICO'!J18</f>
        <v>Número de requisitos implementados del SGA/ Número total de requisitos del SGA</v>
      </c>
      <c r="G7" s="420" t="s">
        <v>759</v>
      </c>
      <c r="H7" s="415" t="s">
        <v>725</v>
      </c>
      <c r="I7" s="416">
        <v>95</v>
      </c>
      <c r="J7" s="417" t="str">
        <f t="shared" si="0"/>
        <v>Desde (&gt;):</v>
      </c>
      <c r="K7" s="417">
        <f t="shared" si="1"/>
        <v>85</v>
      </c>
      <c r="L7" s="417" t="str">
        <f t="shared" si="2"/>
        <v>Hasta (&lt;):</v>
      </c>
      <c r="M7" s="417">
        <f t="shared" si="3"/>
        <v>95</v>
      </c>
      <c r="N7" s="417" t="str">
        <f t="shared" si="4"/>
        <v>Menor o Igual A:</v>
      </c>
      <c r="O7" s="418">
        <v>85</v>
      </c>
      <c r="P7" s="431">
        <f>+'01-DIRECCIONAMIENTO ESTRATÉGICO'!F18</f>
        <v>1</v>
      </c>
      <c r="Q7" s="431">
        <f>+'01-DIRECCIONAMIENTO ESTRATÉGICO'!G18</f>
        <v>0.33</v>
      </c>
      <c r="R7" s="438" t="str">
        <f>+'01-DIRECCIONAMIENTO ESTRATÉGICO'!O18</f>
        <v>Dirección de Planeación</v>
      </c>
    </row>
    <row r="8" spans="2:18" ht="33" customHeight="1">
      <c r="B8" s="412">
        <f t="shared" si="5"/>
        <v>4</v>
      </c>
      <c r="C8" s="413" t="s">
        <v>724</v>
      </c>
      <c r="D8" s="412" t="s">
        <v>748</v>
      </c>
      <c r="E8" s="428" t="str">
        <f>+'01-DIRECCIONAMIENTO ESTRATÉGICO'!I19</f>
        <v>Acciones de monitoreo y revisión realizadas al PAAC</v>
      </c>
      <c r="F8" s="428" t="str">
        <f>'01-DIRECCIONAMIENTO ESTRATÉGICO'!J19</f>
        <v>Número de acciones de monitoreo realizadas al PAAC</v>
      </c>
      <c r="G8" s="420" t="s">
        <v>759</v>
      </c>
      <c r="H8" s="415" t="s">
        <v>725</v>
      </c>
      <c r="I8" s="416">
        <v>100</v>
      </c>
      <c r="J8" s="417" t="str">
        <f t="shared" si="0"/>
        <v>Desde (&gt;):</v>
      </c>
      <c r="K8" s="417">
        <f t="shared" si="1"/>
        <v>80</v>
      </c>
      <c r="L8" s="417" t="str">
        <f t="shared" si="2"/>
        <v>Hasta (&lt;):</v>
      </c>
      <c r="M8" s="417">
        <f t="shared" si="3"/>
        <v>100</v>
      </c>
      <c r="N8" s="417" t="str">
        <f t="shared" si="4"/>
        <v>Menor o Igual A:</v>
      </c>
      <c r="O8" s="418">
        <v>80</v>
      </c>
      <c r="P8" s="436">
        <f>+'01-DIRECCIONAMIENTO ESTRATÉGICO'!F19</f>
        <v>12</v>
      </c>
      <c r="Q8" s="436">
        <f>+'01-DIRECCIONAMIENTO ESTRATÉGICO'!G19</f>
        <v>3</v>
      </c>
      <c r="R8" s="438" t="str">
        <f>+'01-DIRECCIONAMIENTO ESTRATÉGICO'!O19</f>
        <v>Dirección de Planeación</v>
      </c>
    </row>
    <row r="9" spans="2:18" ht="25.5" customHeight="1">
      <c r="B9" s="412">
        <f t="shared" si="5"/>
        <v>5</v>
      </c>
      <c r="C9" s="419" t="s">
        <v>726</v>
      </c>
      <c r="D9" s="420" t="s">
        <v>781</v>
      </c>
      <c r="E9" s="424" t="str">
        <f>+'02-G. CONOCIMIENTO INNOVACIÓN'!I16</f>
        <v>Proyectos de Investigación, Desarrollo e Innovación (I+D+I) elaborados</v>
      </c>
      <c r="F9" s="424" t="str">
        <f>+'02-G. CONOCIMIENTO INNOVACIÓN'!J16</f>
        <v>Número de proyectos de investigación, desarrollo e innovación elaborados</v>
      </c>
      <c r="G9" s="420" t="s">
        <v>759</v>
      </c>
      <c r="H9" s="415" t="s">
        <v>725</v>
      </c>
      <c r="I9" s="416">
        <v>100</v>
      </c>
      <c r="J9" s="417" t="str">
        <f t="shared" si="0"/>
        <v>Desde (&gt;):</v>
      </c>
      <c r="K9" s="417">
        <f t="shared" si="1"/>
        <v>60</v>
      </c>
      <c r="L9" s="417" t="str">
        <f t="shared" si="2"/>
        <v>Hasta (&lt;):</v>
      </c>
      <c r="M9" s="417">
        <f t="shared" si="3"/>
        <v>100</v>
      </c>
      <c r="N9" s="417" t="str">
        <f t="shared" si="4"/>
        <v>Menor o Igual A:</v>
      </c>
      <c r="O9" s="418">
        <v>60</v>
      </c>
      <c r="P9" s="430">
        <f>+'02-G. CONOCIMIENTO INNOVACIÓN'!F16</f>
        <v>4</v>
      </c>
      <c r="Q9" s="430">
        <f>+'02-G. CONOCIMIENTO INNOVACIÓN'!G16</f>
        <v>1</v>
      </c>
      <c r="R9" s="435" t="str">
        <f>+'02-G. CONOCIMIENTO INNOVACIÓN'!O16</f>
        <v xml:space="preserve">Dirección de Gestión del Conocimiento e Innovación </v>
      </c>
    </row>
    <row r="10" spans="2:18" ht="25.5" customHeight="1">
      <c r="B10" s="412">
        <f t="shared" si="5"/>
        <v>6</v>
      </c>
      <c r="C10" s="1012" t="s">
        <v>726</v>
      </c>
      <c r="D10" s="420" t="s">
        <v>1135</v>
      </c>
      <c r="E10" s="424" t="str">
        <f>+'02-G. CONOCIMIENTO INNOVACIÓN'!I17</f>
        <v>Productos resultado de investigaciones, entregadas para la comunidad</v>
      </c>
      <c r="F10" s="424" t="str">
        <f>+'02-G. CONOCIMIENTO INNOVACIÓN'!J17</f>
        <v>Número de proyectos de investigación, desarrollo e innovación elaborados</v>
      </c>
      <c r="G10" s="420" t="s">
        <v>759</v>
      </c>
      <c r="H10" s="415" t="s">
        <v>725</v>
      </c>
      <c r="I10" s="416">
        <v>100</v>
      </c>
      <c r="J10" s="417" t="str">
        <f t="shared" si="0"/>
        <v>Desde (&gt;):</v>
      </c>
      <c r="K10" s="417">
        <f t="shared" ref="K10" si="6">IF(I10&gt;O10,O10,
IF(I10&lt;O10,I10,
IF(I10=O10,"No Aplica","")))</f>
        <v>60</v>
      </c>
      <c r="L10" s="417" t="str">
        <f t="shared" si="2"/>
        <v>Hasta (&lt;):</v>
      </c>
      <c r="M10" s="417">
        <f t="shared" ref="M10" si="7">IF(I10&gt;O10,I10,
IF(I10&lt;O10,O10,
IF(I10=O10,"No Aplica","")))</f>
        <v>100</v>
      </c>
      <c r="N10" s="417" t="str">
        <f t="shared" si="4"/>
        <v>Menor o Igual A:</v>
      </c>
      <c r="O10" s="418">
        <v>60</v>
      </c>
      <c r="P10" s="430">
        <f>+'02-G. CONOCIMIENTO INNOVACIÓN'!F17</f>
        <v>2</v>
      </c>
      <c r="Q10" s="430">
        <f>+'02-G. CONOCIMIENTO INNOVACIÓN'!G17</f>
        <v>1</v>
      </c>
      <c r="R10" s="435" t="str">
        <f>+'02-G. CONOCIMIENTO INNOVACIÓN'!O17</f>
        <v xml:space="preserve">Dirección de Gestión del Conocimiento e Innovación </v>
      </c>
    </row>
    <row r="11" spans="2:18" ht="32.25" customHeight="1">
      <c r="B11" s="412">
        <f t="shared" si="5"/>
        <v>7</v>
      </c>
      <c r="C11" s="419" t="s">
        <v>726</v>
      </c>
      <c r="D11" s="420" t="s">
        <v>744</v>
      </c>
      <c r="E11" s="424" t="str">
        <f>+'02-G. CONOCIMIENTO INNOVACIÓN'!I18</f>
        <v>Informes de investigación e innovación construidos</v>
      </c>
      <c r="F11" s="424" t="str">
        <f>+'02-G. CONOCIMIENTO INNOVACIÓN'!J18</f>
        <v>Número de Informes de Investigación e Innovación construidos</v>
      </c>
      <c r="G11" s="420" t="s">
        <v>759</v>
      </c>
      <c r="H11" s="415" t="s">
        <v>725</v>
      </c>
      <c r="I11" s="416">
        <v>100</v>
      </c>
      <c r="J11" s="417" t="str">
        <f t="shared" si="0"/>
        <v>Desde (&gt;):</v>
      </c>
      <c r="K11" s="417">
        <f t="shared" si="1"/>
        <v>60</v>
      </c>
      <c r="L11" s="417" t="str">
        <f t="shared" si="2"/>
        <v>Hasta (&lt;):</v>
      </c>
      <c r="M11" s="417">
        <f t="shared" si="3"/>
        <v>100</v>
      </c>
      <c r="N11" s="417" t="str">
        <f t="shared" si="4"/>
        <v>Menor o Igual A:</v>
      </c>
      <c r="O11" s="418">
        <v>60</v>
      </c>
      <c r="P11" s="430">
        <f>+'02-G. CONOCIMIENTO INNOVACIÓN'!F18</f>
        <v>8</v>
      </c>
      <c r="Q11" s="430">
        <f>+'02-G. CONOCIMIENTO INNOVACIÓN'!G18</f>
        <v>2</v>
      </c>
      <c r="R11" s="435" t="str">
        <f>+'02-G. CONOCIMIENTO INNOVACIÓN'!O18</f>
        <v xml:space="preserve">Dirección de Gestión del Conocimiento e Innovación </v>
      </c>
    </row>
    <row r="12" spans="2:18" ht="25.5">
      <c r="B12" s="412">
        <f t="shared" si="5"/>
        <v>8</v>
      </c>
      <c r="C12" s="419" t="s">
        <v>726</v>
      </c>
      <c r="D12" s="420" t="s">
        <v>784</v>
      </c>
      <c r="E12" s="424" t="str">
        <f>+'02-G. CONOCIMIENTO INNOVACIÓN'!I19</f>
        <v>Actividades de apropiación social del conocimiento desarrolladas</v>
      </c>
      <c r="F12" s="424" t="str">
        <f>+'02-G. CONOCIMIENTO INNOVACIÓN'!J19</f>
        <v xml:space="preserve"> Número de Actividades de apropiación social del conocimiento realizadas</v>
      </c>
      <c r="G12" s="420" t="s">
        <v>759</v>
      </c>
      <c r="H12" s="415" t="s">
        <v>725</v>
      </c>
      <c r="I12" s="416">
        <v>100</v>
      </c>
      <c r="J12" s="417" t="str">
        <f t="shared" si="0"/>
        <v>Desde (&gt;):</v>
      </c>
      <c r="K12" s="417">
        <f t="shared" si="1"/>
        <v>60</v>
      </c>
      <c r="L12" s="417" t="str">
        <f t="shared" si="2"/>
        <v>Hasta (&lt;):</v>
      </c>
      <c r="M12" s="417">
        <f t="shared" si="3"/>
        <v>100</v>
      </c>
      <c r="N12" s="417" t="str">
        <f t="shared" si="4"/>
        <v>Menor o Igual A:</v>
      </c>
      <c r="O12" s="418">
        <v>60</v>
      </c>
      <c r="P12" s="430">
        <f>+'02-G. CONOCIMIENTO INNOVACIÓN'!F19</f>
        <v>80</v>
      </c>
      <c r="Q12" s="430">
        <f>+'02-G. CONOCIMIENTO INNOVACIÓN'!G19</f>
        <v>38</v>
      </c>
      <c r="R12" s="435" t="str">
        <f>+'02-G. CONOCIMIENTO INNOVACIÓN'!O19</f>
        <v xml:space="preserve">Dirección de Gestión del Conocimiento e Innovación </v>
      </c>
    </row>
    <row r="13" spans="2:18" ht="25.5">
      <c r="B13" s="412">
        <f t="shared" si="5"/>
        <v>9</v>
      </c>
      <c r="C13" s="413" t="s">
        <v>727</v>
      </c>
      <c r="D13" s="420" t="s">
        <v>782</v>
      </c>
      <c r="E13" s="424" t="str">
        <f>+'03-DIRECCIONAMIENTO TIC'!I16</f>
        <v>Porcentaje de proyectos implementados de acuerdo al plan de tecnologías de la Información</v>
      </c>
      <c r="F13" s="424" t="str">
        <f>+'03-DIRECCIONAMIENTO TIC'!J16</f>
        <v>Porcentaje de proyectos implementados / Porcentaje de proyectos programados</v>
      </c>
      <c r="G13" s="420" t="s">
        <v>759</v>
      </c>
      <c r="H13" s="415" t="s">
        <v>725</v>
      </c>
      <c r="I13" s="416">
        <v>90</v>
      </c>
      <c r="J13" s="417" t="str">
        <f t="shared" si="0"/>
        <v>Desde (&gt;):</v>
      </c>
      <c r="K13" s="417">
        <f t="shared" si="1"/>
        <v>85</v>
      </c>
      <c r="L13" s="417" t="str">
        <f t="shared" si="2"/>
        <v>Hasta (&lt;):</v>
      </c>
      <c r="M13" s="417">
        <f t="shared" si="3"/>
        <v>90</v>
      </c>
      <c r="N13" s="417" t="str">
        <f t="shared" si="4"/>
        <v>Menor o Igual A:</v>
      </c>
      <c r="O13" s="418">
        <v>85</v>
      </c>
      <c r="P13" s="431">
        <f>+'03-DIRECCIONAMIENTO TIC'!F16</f>
        <v>1</v>
      </c>
      <c r="Q13" s="431">
        <f>+'03-DIRECCIONAMIENTO TIC'!G16</f>
        <v>0.4</v>
      </c>
      <c r="R13" s="435" t="str">
        <f>+'03-DIRECCIONAMIENTO TIC'!O16</f>
        <v>Dirección de Tecnologías de la  Información y las Comunicaciones</v>
      </c>
    </row>
    <row r="14" spans="2:18" ht="25.5">
      <c r="B14" s="412">
        <f t="shared" si="5"/>
        <v>10</v>
      </c>
      <c r="C14" s="413" t="s">
        <v>727</v>
      </c>
      <c r="D14" s="420" t="s">
        <v>785</v>
      </c>
      <c r="E14" s="424" t="str">
        <f>+'03-DIRECCIONAMIENTO TIC'!I17</f>
        <v>Porcentaje de actividades ejecutadas de acuerdo al plan de Seguridad de información</v>
      </c>
      <c r="F14" s="424" t="str">
        <f>+'03-DIRECCIONAMIENTO TIC'!J17</f>
        <v>Porcentaje de actividades ejecutadas / Porcentaje de actividades programadas</v>
      </c>
      <c r="G14" s="420" t="s">
        <v>759</v>
      </c>
      <c r="H14" s="415" t="s">
        <v>725</v>
      </c>
      <c r="I14" s="416">
        <v>90</v>
      </c>
      <c r="J14" s="417" t="str">
        <f t="shared" si="0"/>
        <v>Desde (&gt;):</v>
      </c>
      <c r="K14" s="417">
        <f t="shared" si="1"/>
        <v>85</v>
      </c>
      <c r="L14" s="417" t="str">
        <f t="shared" si="2"/>
        <v>Hasta (&lt;):</v>
      </c>
      <c r="M14" s="417">
        <f t="shared" si="3"/>
        <v>90</v>
      </c>
      <c r="N14" s="417" t="str">
        <f t="shared" si="4"/>
        <v>Menor o Igual A:</v>
      </c>
      <c r="O14" s="418">
        <v>85</v>
      </c>
      <c r="P14" s="431">
        <f>+'03-DIRECCIONAMIENTO TIC'!F17</f>
        <v>1</v>
      </c>
      <c r="Q14" s="431">
        <f>+'03-DIRECCIONAMIENTO TIC'!G17</f>
        <v>0.4</v>
      </c>
      <c r="R14" s="435" t="str">
        <f>+'03-DIRECCIONAMIENTO TIC'!O17</f>
        <v>Dirección de Tecnologías de la  Información y las Comunicaciones</v>
      </c>
    </row>
    <row r="15" spans="2:18" ht="25.5">
      <c r="B15" s="412">
        <f t="shared" si="5"/>
        <v>11</v>
      </c>
      <c r="C15" s="413" t="s">
        <v>727</v>
      </c>
      <c r="D15" s="420" t="s">
        <v>745</v>
      </c>
      <c r="E15" s="424" t="str">
        <f>+'03-DIRECCIONAMIENTO TIC'!I18</f>
        <v xml:space="preserve">Porcentaje de actividades ejecutadas  en la estrategia de servicios ciudadanos digitales </v>
      </c>
      <c r="F15" s="424" t="str">
        <f>+'03-DIRECCIONAMIENTO TIC'!J18</f>
        <v>Porcentaje de actividades ejecutadas / Porcentaje de actividades programadas</v>
      </c>
      <c r="G15" s="420" t="s">
        <v>759</v>
      </c>
      <c r="H15" s="415" t="s">
        <v>725</v>
      </c>
      <c r="I15" s="416">
        <v>90</v>
      </c>
      <c r="J15" s="417" t="str">
        <f t="shared" si="0"/>
        <v>Desde (&gt;):</v>
      </c>
      <c r="K15" s="417">
        <f t="shared" si="1"/>
        <v>85</v>
      </c>
      <c r="L15" s="417" t="str">
        <f t="shared" si="2"/>
        <v>Hasta (&lt;):</v>
      </c>
      <c r="M15" s="417">
        <f t="shared" si="3"/>
        <v>90</v>
      </c>
      <c r="N15" s="417" t="str">
        <f t="shared" si="4"/>
        <v>Menor o Igual A:</v>
      </c>
      <c r="O15" s="418">
        <v>85</v>
      </c>
      <c r="P15" s="431">
        <f>+'03-DIRECCIONAMIENTO TIC'!F18</f>
        <v>1</v>
      </c>
      <c r="Q15" s="431">
        <f>+'03-DIRECCIONAMIENTO TIC'!G18</f>
        <v>0.4</v>
      </c>
      <c r="R15" s="435" t="str">
        <f>+'03-DIRECCIONAMIENTO TIC'!O18</f>
        <v>Dirección de Tecnologías de la  Información y las Comunicaciones</v>
      </c>
    </row>
    <row r="16" spans="2:18" ht="25.5">
      <c r="B16" s="412">
        <f t="shared" si="5"/>
        <v>12</v>
      </c>
      <c r="C16" s="413" t="s">
        <v>727</v>
      </c>
      <c r="D16" s="420" t="s">
        <v>786</v>
      </c>
      <c r="E16" s="424" t="str">
        <f>+'03-DIRECCIONAMIENTO TIC'!I19</f>
        <v>Porcentaje de lineamientos adoptados  en la estrategia de gestión de datos</v>
      </c>
      <c r="F16" s="424" t="str">
        <f>+'03-DIRECCIONAMIENTO TIC'!J19</f>
        <v>Porcentaje de lineamientos adoptados / Porcentaje de lineamietnos proyectados</v>
      </c>
      <c r="G16" s="420" t="s">
        <v>759</v>
      </c>
      <c r="H16" s="415" t="s">
        <v>725</v>
      </c>
      <c r="I16" s="416">
        <v>90</v>
      </c>
      <c r="J16" s="417" t="str">
        <f t="shared" si="0"/>
        <v>Desde (&gt;):</v>
      </c>
      <c r="K16" s="417">
        <f t="shared" si="1"/>
        <v>85</v>
      </c>
      <c r="L16" s="417" t="str">
        <f t="shared" si="2"/>
        <v>Hasta (&lt;):</v>
      </c>
      <c r="M16" s="417">
        <f t="shared" si="3"/>
        <v>90</v>
      </c>
      <c r="N16" s="417" t="str">
        <f t="shared" si="4"/>
        <v>Menor o Igual A:</v>
      </c>
      <c r="O16" s="418">
        <v>85</v>
      </c>
      <c r="P16" s="431">
        <f>+'03-DIRECCIONAMIENTO TIC'!F19</f>
        <v>1</v>
      </c>
      <c r="Q16" s="431">
        <f>+'03-DIRECCIONAMIENTO TIC'!G19</f>
        <v>0.4</v>
      </c>
      <c r="R16" s="435" t="str">
        <f>+'03-DIRECCIONAMIENTO TIC'!O19</f>
        <v>Dirección de Tecnologías de la  Información y las Comunicaciones</v>
      </c>
    </row>
    <row r="17" spans="2:18" ht="38.25">
      <c r="B17" s="412">
        <f t="shared" si="5"/>
        <v>13</v>
      </c>
      <c r="C17" s="413" t="s">
        <v>727</v>
      </c>
      <c r="D17" s="420" t="s">
        <v>787</v>
      </c>
      <c r="E17" s="424" t="str">
        <f>+'03-DIRECCIONAMIENTO TIC'!I20</f>
        <v>Cantidad de requerimientos prioritarios desarrollados para los sistemas información</v>
      </c>
      <c r="F17" s="424" t="str">
        <f>+'03-DIRECCIONAMIENTO TIC'!J20</f>
        <v>Cantidad de requerimientos desarrollados / Cantidad de requerimientos prioritarios programados</v>
      </c>
      <c r="G17" s="420" t="s">
        <v>759</v>
      </c>
      <c r="H17" s="415" t="s">
        <v>725</v>
      </c>
      <c r="I17" s="416">
        <v>90</v>
      </c>
      <c r="J17" s="417" t="str">
        <f t="shared" si="0"/>
        <v>Desde (&gt;):</v>
      </c>
      <c r="K17" s="417">
        <f t="shared" si="1"/>
        <v>85</v>
      </c>
      <c r="L17" s="417" t="str">
        <f t="shared" si="2"/>
        <v>Hasta (&lt;):</v>
      </c>
      <c r="M17" s="417">
        <f t="shared" si="3"/>
        <v>90</v>
      </c>
      <c r="N17" s="417" t="str">
        <f t="shared" si="4"/>
        <v>Menor o Igual A:</v>
      </c>
      <c r="O17" s="418">
        <v>85</v>
      </c>
      <c r="P17" s="431">
        <f>+'03-DIRECCIONAMIENTO TIC'!F20</f>
        <v>1</v>
      </c>
      <c r="Q17" s="431">
        <f>+'03-DIRECCIONAMIENTO TIC'!G20</f>
        <v>0.4</v>
      </c>
      <c r="R17" s="435" t="str">
        <f>+'03-DIRECCIONAMIENTO TIC'!O20</f>
        <v>Dirección de Tecnologías de la  Información y las Comunicaciones</v>
      </c>
    </row>
    <row r="18" spans="2:18" ht="25.5">
      <c r="B18" s="412">
        <f t="shared" si="5"/>
        <v>14</v>
      </c>
      <c r="C18" s="413" t="s">
        <v>727</v>
      </c>
      <c r="D18" s="420" t="s">
        <v>788</v>
      </c>
      <c r="E18" s="424" t="str">
        <f>+'03-DIRECCIONAMIENTO TIC'!I21</f>
        <v>Porcentaje de actividades ejecutadas del plan de uso y apropiación</v>
      </c>
      <c r="F18" s="424" t="str">
        <f>+'03-DIRECCIONAMIENTO TIC'!J21</f>
        <v>Porcentaje de actividades ejecutadas / porcentje de actividades programadas</v>
      </c>
      <c r="G18" s="420" t="s">
        <v>759</v>
      </c>
      <c r="H18" s="415" t="s">
        <v>725</v>
      </c>
      <c r="I18" s="416">
        <v>90</v>
      </c>
      <c r="J18" s="417" t="str">
        <f t="shared" si="0"/>
        <v>Desde (&gt;):</v>
      </c>
      <c r="K18" s="417">
        <f t="shared" si="1"/>
        <v>85</v>
      </c>
      <c r="L18" s="417" t="str">
        <f t="shared" si="2"/>
        <v>Hasta (&lt;):</v>
      </c>
      <c r="M18" s="417">
        <f t="shared" si="3"/>
        <v>90</v>
      </c>
      <c r="N18" s="417" t="str">
        <f t="shared" si="4"/>
        <v>Menor o Igual A:</v>
      </c>
      <c r="O18" s="418">
        <v>85</v>
      </c>
      <c r="P18" s="431">
        <f>+'03-DIRECCIONAMIENTO TIC'!F21</f>
        <v>1</v>
      </c>
      <c r="Q18" s="431">
        <f>+'03-DIRECCIONAMIENTO TIC'!G21</f>
        <v>0.4</v>
      </c>
      <c r="R18" s="435" t="str">
        <f>+'03-DIRECCIONAMIENTO TIC'!O21</f>
        <v>Dirección de Tecnologías de la  Información y las Comunicaciones</v>
      </c>
    </row>
    <row r="19" spans="2:18" ht="25.5">
      <c r="B19" s="412">
        <f t="shared" si="5"/>
        <v>15</v>
      </c>
      <c r="C19" s="413" t="s">
        <v>727</v>
      </c>
      <c r="D19" s="420" t="s">
        <v>789</v>
      </c>
      <c r="E19" s="424" t="str">
        <f>+'03-DIRECCIONAMIENTO TIC'!I22</f>
        <v>Porcentaje de actividades ejecutadas de la hoja de ruta de optimización tecnológica</v>
      </c>
      <c r="F19" s="424" t="str">
        <f>+'03-DIRECCIONAMIENTO TIC'!J22</f>
        <v>Porcentaje de actividades ejecutadas / porcentaje de actividades programadas</v>
      </c>
      <c r="G19" s="420" t="s">
        <v>759</v>
      </c>
      <c r="H19" s="415" t="s">
        <v>725</v>
      </c>
      <c r="I19" s="416">
        <v>90</v>
      </c>
      <c r="J19" s="417" t="str">
        <f t="shared" si="0"/>
        <v>Desde (&gt;):</v>
      </c>
      <c r="K19" s="417">
        <f t="shared" si="1"/>
        <v>85</v>
      </c>
      <c r="L19" s="417" t="str">
        <f t="shared" si="2"/>
        <v>Hasta (&lt;):</v>
      </c>
      <c r="M19" s="417">
        <f t="shared" si="3"/>
        <v>90</v>
      </c>
      <c r="N19" s="417" t="str">
        <f t="shared" si="4"/>
        <v>Menor o Igual A:</v>
      </c>
      <c r="O19" s="418">
        <v>85</v>
      </c>
      <c r="P19" s="431">
        <f>+'03-DIRECCIONAMIENTO TIC'!F22</f>
        <v>1</v>
      </c>
      <c r="Q19" s="431">
        <f>+'03-DIRECCIONAMIENTO TIC'!G22</f>
        <v>0.4</v>
      </c>
      <c r="R19" s="435" t="str">
        <f>+'03-DIRECCIONAMIENTO TIC'!O22</f>
        <v>Dirección de Tecnologías de la  Información y las Comunicaciones</v>
      </c>
    </row>
    <row r="20" spans="2:18" ht="38.25">
      <c r="B20" s="412">
        <f t="shared" si="5"/>
        <v>16</v>
      </c>
      <c r="C20" s="419" t="s">
        <v>728</v>
      </c>
      <c r="D20" s="412" t="s">
        <v>783</v>
      </c>
      <c r="E20" s="424" t="str">
        <f>+'04-COMUNICACIÓN ESTRATÉGICA'!I16</f>
        <v>Productos de comunicación externa desarrollados</v>
      </c>
      <c r="F20" s="424" t="str">
        <f>+'04-COMUNICACIÓN ESTRATÉGICA'!J16</f>
        <v>Número de productos de comunicación externa realizados/ Número de productos de comunicación externa  programados* 100</v>
      </c>
      <c r="G20" s="420" t="s">
        <v>759</v>
      </c>
      <c r="H20" s="415" t="s">
        <v>730</v>
      </c>
      <c r="I20" s="416">
        <v>90</v>
      </c>
      <c r="J20" s="417" t="str">
        <f t="shared" si="0"/>
        <v>Desde (&gt;=):</v>
      </c>
      <c r="K20" s="417">
        <f t="shared" si="1"/>
        <v>75</v>
      </c>
      <c r="L20" s="417" t="str">
        <f t="shared" si="2"/>
        <v>Hasta (&lt;=):</v>
      </c>
      <c r="M20" s="417">
        <f t="shared" si="3"/>
        <v>90</v>
      </c>
      <c r="N20" s="417" t="str">
        <f t="shared" si="4"/>
        <v>Menor A:</v>
      </c>
      <c r="O20" s="418">
        <v>75</v>
      </c>
      <c r="P20" s="431">
        <f>+'04-COMUNICACIÓN ESTRATÉGICA'!F16</f>
        <v>1</v>
      </c>
      <c r="Q20" s="431">
        <f>+'04-COMUNICACIÓN ESTRATÉGICA'!G16</f>
        <v>1</v>
      </c>
      <c r="R20" s="435" t="str">
        <f>+'04-COMUNICACIÓN ESTRATÉGICA'!O16</f>
        <v>Oficina Asesora de Comunicaciones</v>
      </c>
    </row>
    <row r="21" spans="2:18" ht="38.25">
      <c r="B21" s="412">
        <f t="shared" si="5"/>
        <v>17</v>
      </c>
      <c r="C21" s="419" t="s">
        <v>728</v>
      </c>
      <c r="D21" s="412" t="s">
        <v>791</v>
      </c>
      <c r="E21" s="424" t="str">
        <f>+'04-COMUNICACIÓN ESTRATÉGICA'!I17</f>
        <v>Productos  de comunicación interna
desarrollados</v>
      </c>
      <c r="F21" s="424" t="str">
        <f>+'04-COMUNICACIÓN ESTRATÉGICA'!J17</f>
        <v>Número de productos de comunicación interna realizados/ Número de productos de comunicación interna  programados* 100</v>
      </c>
      <c r="G21" s="420" t="s">
        <v>759</v>
      </c>
      <c r="H21" s="415" t="s">
        <v>730</v>
      </c>
      <c r="I21" s="416">
        <v>90</v>
      </c>
      <c r="J21" s="417" t="str">
        <f t="shared" si="0"/>
        <v>Desde (&gt;=):</v>
      </c>
      <c r="K21" s="417">
        <f t="shared" si="1"/>
        <v>75</v>
      </c>
      <c r="L21" s="417" t="str">
        <f t="shared" si="2"/>
        <v>Hasta (&lt;=):</v>
      </c>
      <c r="M21" s="417">
        <f t="shared" si="3"/>
        <v>90</v>
      </c>
      <c r="N21" s="417" t="str">
        <f t="shared" si="4"/>
        <v>Menor A:</v>
      </c>
      <c r="O21" s="418">
        <v>75</v>
      </c>
      <c r="P21" s="431">
        <f>+'04-COMUNICACIÓN ESTRATÉGICA'!F17</f>
        <v>1</v>
      </c>
      <c r="Q21" s="431">
        <f>+'04-COMUNICACIÓN ESTRATÉGICA'!G17</f>
        <v>1</v>
      </c>
      <c r="R21" s="435" t="str">
        <f>+'04-COMUNICACIÓN ESTRATÉGICA'!O17</f>
        <v>Oficina Asesora de Comunicaciones</v>
      </c>
    </row>
    <row r="22" spans="2:18" ht="68.45" customHeight="1">
      <c r="B22" s="412">
        <f t="shared" si="5"/>
        <v>18</v>
      </c>
      <c r="C22" s="413" t="s">
        <v>729</v>
      </c>
      <c r="D22" s="412" t="s">
        <v>790</v>
      </c>
      <c r="E22" s="424" t="str">
        <f>+'05-POA PROM DEFENSA DERECHOS'!I16</f>
        <v>Intervenciones realizadas en defensa de los derechos</v>
      </c>
      <c r="F22" s="424" t="str">
        <f>+'05-POA PROM DEFENSA DERECHOS'!J16</f>
        <v>∑ Número de Intervenciones a Petición de Parte Realizadas en Defensa de los Derechos + Númerode Intervenciones de Oficio Realizadas en Defensa de los Derechos</v>
      </c>
      <c r="G22" s="420" t="s">
        <v>759</v>
      </c>
      <c r="H22" s="415" t="s">
        <v>730</v>
      </c>
      <c r="I22" s="416">
        <v>85</v>
      </c>
      <c r="J22" s="417" t="str">
        <f t="shared" si="0"/>
        <v>Desde (&gt;=):</v>
      </c>
      <c r="K22" s="417">
        <f t="shared" si="1"/>
        <v>80</v>
      </c>
      <c r="L22" s="417" t="str">
        <f t="shared" si="2"/>
        <v>Hasta (&lt;=):</v>
      </c>
      <c r="M22" s="417">
        <f t="shared" si="3"/>
        <v>85</v>
      </c>
      <c r="N22" s="417" t="str">
        <f t="shared" si="4"/>
        <v>Menor A:</v>
      </c>
      <c r="O22" s="418">
        <v>80</v>
      </c>
      <c r="P22" s="430">
        <f>+'05-POA PROM DEFENSA DERECHOS'!F16</f>
        <v>356610</v>
      </c>
      <c r="Q22" s="430">
        <f>+'05-POA PROM DEFENSA DERECHOS'!G16</f>
        <v>106660</v>
      </c>
      <c r="R22" s="435" t="str">
        <f>+'05-POA PROM DEFENSA DERECHOS'!O16</f>
        <v>P.D. para Asuntos Penales I, Penales II, Derechos Humanos y Policivos y Civiles
P.D. para los Sectores Planeación y Movilidad y la P.D. para los Sectores Educación y Cultura, Recreación y Deporte</v>
      </c>
    </row>
    <row r="23" spans="2:18" ht="72">
      <c r="B23" s="412">
        <f t="shared" si="5"/>
        <v>19</v>
      </c>
      <c r="C23" s="413" t="s">
        <v>729</v>
      </c>
      <c r="D23" s="412" t="s">
        <v>792</v>
      </c>
      <c r="E23" s="424" t="str">
        <f>+'05-POA PROM DEFENSA DERECHOS'!I17</f>
        <v>Personas orientadas en garantía de derechos</v>
      </c>
      <c r="F23" s="424" t="str">
        <f>+'05-POA PROM DEFENSA DERECHOS'!J17</f>
        <v>∑ Número de Personas Orientadas (Incluye las Orientaciones de Traslados por No Competencia)</v>
      </c>
      <c r="G23" s="420" t="s">
        <v>759</v>
      </c>
      <c r="H23" s="415" t="s">
        <v>730</v>
      </c>
      <c r="I23" s="416">
        <v>85</v>
      </c>
      <c r="J23" s="417" t="str">
        <f t="shared" si="0"/>
        <v>Desde (&gt;=):</v>
      </c>
      <c r="K23" s="417">
        <f t="shared" si="1"/>
        <v>80</v>
      </c>
      <c r="L23" s="417" t="str">
        <f t="shared" si="2"/>
        <v>Hasta (&lt;=):</v>
      </c>
      <c r="M23" s="417">
        <f t="shared" si="3"/>
        <v>85</v>
      </c>
      <c r="N23" s="417" t="str">
        <f t="shared" si="4"/>
        <v>Menor A:</v>
      </c>
      <c r="O23" s="418">
        <v>80</v>
      </c>
      <c r="P23" s="430">
        <f>+'05-POA PROM DEFENSA DERECHOS'!F17</f>
        <v>292755</v>
      </c>
      <c r="Q23" s="430">
        <f>+'05-POA PROM DEFENSA DERECHOS'!G17</f>
        <v>97105</v>
      </c>
      <c r="R23" s="435"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4" spans="2:18" ht="84">
      <c r="B24" s="412">
        <f t="shared" si="5"/>
        <v>20</v>
      </c>
      <c r="C24" s="413" t="s">
        <v>729</v>
      </c>
      <c r="D24" s="412" t="s">
        <v>793</v>
      </c>
      <c r="E24" s="424" t="str">
        <f>+'05-POA PROM DEFENSA DERECHOS'!I18</f>
        <v>Personas asistidas en garantía de derechos</v>
      </c>
      <c r="F24" s="424" t="str">
        <f>+'05-POA PROM DEFENSA DERECHOS'!J18</f>
        <v>∑ Número de Personas Asistidas</v>
      </c>
      <c r="G24" s="420" t="s">
        <v>759</v>
      </c>
      <c r="H24" s="415" t="s">
        <v>730</v>
      </c>
      <c r="I24" s="416">
        <v>80</v>
      </c>
      <c r="J24" s="417" t="str">
        <f t="shared" si="0"/>
        <v>Desde (&gt;=):</v>
      </c>
      <c r="K24" s="417">
        <f t="shared" si="1"/>
        <v>70</v>
      </c>
      <c r="L24" s="417" t="str">
        <f t="shared" si="2"/>
        <v>Hasta (&lt;=):</v>
      </c>
      <c r="M24" s="417">
        <f t="shared" si="3"/>
        <v>80</v>
      </c>
      <c r="N24" s="417" t="str">
        <f t="shared" si="4"/>
        <v>Menor A:</v>
      </c>
      <c r="O24" s="418">
        <v>70</v>
      </c>
      <c r="P24" s="430">
        <f>+'05-POA PROM DEFENSA DERECHOS'!F18</f>
        <v>117610</v>
      </c>
      <c r="Q24" s="430">
        <f>+'05-POA PROM DEFENSA DERECHOS'!G18</f>
        <v>26115</v>
      </c>
      <c r="R24" s="435"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5" spans="2:18" ht="38.25">
      <c r="B25" s="412">
        <f t="shared" si="5"/>
        <v>21</v>
      </c>
      <c r="C25" s="413" t="s">
        <v>729</v>
      </c>
      <c r="D25" s="412" t="s">
        <v>794</v>
      </c>
      <c r="E25" s="424" t="str">
        <f>+'05-POA PROM DEFENSA DERECHOS'!I19</f>
        <v>Personas asistidas en Mecanismos Alternativos de Solución de Conflictos</v>
      </c>
      <c r="F25" s="424" t="str">
        <f>+'05-POA PROM DEFENSA DERECHOS'!J19</f>
        <v>∑ Número de Solicitudes de Conciliación Atendidas + Número de Uniones Maritales de Hecho Atendidas</v>
      </c>
      <c r="G25" s="420" t="s">
        <v>759</v>
      </c>
      <c r="H25" s="415" t="s">
        <v>730</v>
      </c>
      <c r="I25" s="416">
        <v>85</v>
      </c>
      <c r="J25" s="417" t="str">
        <f t="shared" si="0"/>
        <v>Desde (&gt;=):</v>
      </c>
      <c r="K25" s="417">
        <f t="shared" si="1"/>
        <v>80</v>
      </c>
      <c r="L25" s="417" t="str">
        <f t="shared" si="2"/>
        <v>Hasta (&lt;=):</v>
      </c>
      <c r="M25" s="417">
        <f t="shared" si="3"/>
        <v>85</v>
      </c>
      <c r="N25" s="417" t="str">
        <f t="shared" si="4"/>
        <v>Menor A:</v>
      </c>
      <c r="O25" s="418">
        <v>80</v>
      </c>
      <c r="P25" s="430">
        <f>+'05-POA PROM DEFENSA DERECHOS'!F19</f>
        <v>28586</v>
      </c>
      <c r="Q25" s="430">
        <f>+'05-POA PROM DEFENSA DERECHOS'!G19</f>
        <v>6900</v>
      </c>
      <c r="R25" s="435" t="str">
        <f>+'05-POA PROM DEFENSA DERECHOS'!O19</f>
        <v>Dirección de Conciliación y M.A.S.C.</v>
      </c>
    </row>
    <row r="26" spans="2:18" ht="103.15" customHeight="1">
      <c r="B26" s="412">
        <f t="shared" si="5"/>
        <v>22</v>
      </c>
      <c r="C26" s="413" t="s">
        <v>729</v>
      </c>
      <c r="D26" s="412" t="s">
        <v>795</v>
      </c>
      <c r="E26" s="424" t="str">
        <f>+'05-POA PROM DEFENSA DERECHOS'!I20</f>
        <v>Peticiones o requerimientos ciudadanos atendidos en garantía de derechos</v>
      </c>
      <c r="F26" s="424" t="str">
        <f>+'05-POA PROM DEFENSA DERECHOS'!J20</f>
        <v>∑ Número de Peticiones o Requerimientos Ciudadanos Atendidos en Garantía de Derechos</v>
      </c>
      <c r="G26" s="420" t="s">
        <v>759</v>
      </c>
      <c r="H26" s="415" t="s">
        <v>730</v>
      </c>
      <c r="I26" s="416">
        <v>85</v>
      </c>
      <c r="J26" s="417" t="str">
        <f t="shared" si="0"/>
        <v>Desde (&gt;=):</v>
      </c>
      <c r="K26" s="417">
        <f t="shared" si="1"/>
        <v>80</v>
      </c>
      <c r="L26" s="417" t="str">
        <f t="shared" si="2"/>
        <v>Hasta (&lt;=):</v>
      </c>
      <c r="M26" s="417">
        <f t="shared" si="3"/>
        <v>85</v>
      </c>
      <c r="N26" s="417" t="str">
        <f t="shared" si="4"/>
        <v>Menor A:</v>
      </c>
      <c r="O26" s="418">
        <v>80</v>
      </c>
      <c r="P26" s="430">
        <f>+'05-POA PROM DEFENSA DERECHOS'!F20</f>
        <v>55722</v>
      </c>
      <c r="Q26" s="430">
        <f>+'05-POA PROM DEFENSA DERECHOS'!G20</f>
        <v>16115</v>
      </c>
      <c r="R26" s="435" t="str">
        <f>+'05-POA PROM DEFENSA DERECHOS'!O20</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row>
    <row r="27" spans="2:18" ht="25.5">
      <c r="B27" s="412">
        <f t="shared" si="5"/>
        <v>23</v>
      </c>
      <c r="C27" s="413" t="s">
        <v>729</v>
      </c>
      <c r="D27" s="412" t="s">
        <v>796</v>
      </c>
      <c r="E27" s="424" t="str">
        <f>+'05-POA PROM DEFENSA DERECHOS'!I21</f>
        <v>Espacios de mejora y transferencia de conocimiento realizados</v>
      </c>
      <c r="F27" s="424" t="str">
        <f>+'05-POA PROM DEFENSA DERECHOS'!J21</f>
        <v>∑ Número de Espacios de Mejora y Transferencia de Conocimiento</v>
      </c>
      <c r="G27" s="420" t="s">
        <v>759</v>
      </c>
      <c r="H27" s="415" t="s">
        <v>730</v>
      </c>
      <c r="I27" s="416">
        <v>85</v>
      </c>
      <c r="J27" s="417" t="str">
        <f t="shared" si="0"/>
        <v>Desde (&gt;=):</v>
      </c>
      <c r="K27" s="417">
        <f t="shared" si="1"/>
        <v>80</v>
      </c>
      <c r="L27" s="417" t="str">
        <f t="shared" si="2"/>
        <v>Hasta (&lt;=):</v>
      </c>
      <c r="M27" s="417">
        <f t="shared" si="3"/>
        <v>85</v>
      </c>
      <c r="N27" s="417" t="str">
        <f t="shared" si="4"/>
        <v>Menor A:</v>
      </c>
      <c r="O27" s="418">
        <v>80</v>
      </c>
      <c r="P27" s="430">
        <f>+'05-POA PROM DEFENSA DERECHOS'!F21</f>
        <v>80</v>
      </c>
      <c r="Q27" s="430">
        <f>+'05-POA PROM DEFENSA DERECHOS'!G21</f>
        <v>20</v>
      </c>
      <c r="R27" s="435" t="str">
        <f>+'05-POA PROM DEFENSA DERECHOS'!O21</f>
        <v>P.D. para la Coordinación del MP y DDHH y sus dependencias adscritas.</v>
      </c>
    </row>
    <row r="28" spans="2:18" ht="89.25">
      <c r="B28" s="412">
        <f t="shared" si="5"/>
        <v>24</v>
      </c>
      <c r="C28" s="413" t="s">
        <v>729</v>
      </c>
      <c r="D28" s="412" t="s">
        <v>797</v>
      </c>
      <c r="E28" s="424" t="str">
        <f>+'05-POA PROM DEFENSA DERECHOS'!I22</f>
        <v>Porcentaje de Acciones de Tutela, Desacatos e Impugnaciones Entregadas en un Termino Menor a Cinco (5) Días Hábiles</v>
      </c>
      <c r="F28" s="424" t="str">
        <f>+'05-POA PROM DEFENSA DERECHOS'!J22</f>
        <v>∑ Número de Tutelas, Desacatos e Impugnaciones entregadas en los primeros cinco (5) días hábiles
-------------------------------------------------------------------- * 100
∑ Número de Tutelas, Desacatos e Impugnaciones solicitadas</v>
      </c>
      <c r="G28" s="420" t="s">
        <v>759</v>
      </c>
      <c r="H28" s="415" t="s">
        <v>725</v>
      </c>
      <c r="I28" s="416">
        <v>95</v>
      </c>
      <c r="J28" s="417" t="str">
        <f t="shared" si="0"/>
        <v>Desde (&gt;):</v>
      </c>
      <c r="K28" s="417">
        <f t="shared" si="1"/>
        <v>90</v>
      </c>
      <c r="L28" s="417" t="str">
        <f t="shared" si="2"/>
        <v>Hasta (&lt;):</v>
      </c>
      <c r="M28" s="417">
        <f t="shared" si="3"/>
        <v>95</v>
      </c>
      <c r="N28" s="417" t="str">
        <f t="shared" si="4"/>
        <v>Menor o Igual A:</v>
      </c>
      <c r="O28" s="418">
        <v>90</v>
      </c>
      <c r="P28" s="430" t="str">
        <f>+'05-POA PROM DEFENSA DERECHOS'!F22</f>
        <v>&gt;=95%</v>
      </c>
      <c r="Q28" s="430" t="str">
        <f>+'05-POA PROM DEFENSA DERECHOS'!G22</f>
        <v>&gt;=95%</v>
      </c>
      <c r="R28" s="435" t="str">
        <f>+'05-POA PROM DEFENSA DERECHOS'!O22</f>
        <v>P.D. para Asuntos Jurisdiccionales, Víctimas y Penal II.
P.D. para la Coordinación de la Gestión de Personerías Locales y sus Personerías Locales adscritas</v>
      </c>
    </row>
    <row r="29" spans="2:18" ht="25.5">
      <c r="B29" s="412">
        <f t="shared" si="5"/>
        <v>25</v>
      </c>
      <c r="C29" s="413" t="s">
        <v>729</v>
      </c>
      <c r="D29" s="412" t="s">
        <v>798</v>
      </c>
      <c r="E29" s="424" t="str">
        <f>+'05-POA PROM DEFENSA DERECHOS'!I23</f>
        <v>Audiencias Publicas Realizadas con Asistencia del Ministerio Público</v>
      </c>
      <c r="F29" s="424" t="str">
        <f>+'05-POA PROM DEFENSA DERECHOS'!J23</f>
        <v>∑ Número de Audiencias Publicas Realizadas con Asistencia del Ministerio Público</v>
      </c>
      <c r="G29" s="420" t="s">
        <v>759</v>
      </c>
      <c r="H29" s="415" t="s">
        <v>725</v>
      </c>
      <c r="I29" s="416">
        <v>95</v>
      </c>
      <c r="J29" s="417" t="str">
        <f t="shared" si="0"/>
        <v>Desde (&gt;):</v>
      </c>
      <c r="K29" s="417">
        <f t="shared" si="1"/>
        <v>90</v>
      </c>
      <c r="L29" s="417" t="str">
        <f t="shared" si="2"/>
        <v>Hasta (&lt;):</v>
      </c>
      <c r="M29" s="417">
        <f t="shared" si="3"/>
        <v>95</v>
      </c>
      <c r="N29" s="417" t="str">
        <f t="shared" si="4"/>
        <v>Menor o Igual A:</v>
      </c>
      <c r="O29" s="418">
        <v>90</v>
      </c>
      <c r="P29" s="430">
        <f>+'05-POA PROM DEFENSA DERECHOS'!F23</f>
        <v>19500</v>
      </c>
      <c r="Q29" s="430">
        <f>+'05-POA PROM DEFENSA DERECHOS'!G23</f>
        <v>6000</v>
      </c>
      <c r="R29" s="435" t="str">
        <f>+'05-POA PROM DEFENSA DERECHOS'!O23</f>
        <v>P.D. para la Coordinación de la Gestión de Personerías Locales y sus Personerías Locales adscritas</v>
      </c>
    </row>
    <row r="30" spans="2:18" ht="38.25">
      <c r="B30" s="412">
        <f t="shared" si="5"/>
        <v>26</v>
      </c>
      <c r="C30" s="413" t="s">
        <v>729</v>
      </c>
      <c r="D30" s="412" t="s">
        <v>799</v>
      </c>
      <c r="E30" s="424" t="str">
        <f>+'05-POA PROM DEFENSA DERECHOS'!I24</f>
        <v>Intervenciones realizadas oportunamente para evitar la caducidad y perdida de fuerza ejecutoria (Impulsos procesales)</v>
      </c>
      <c r="F30" s="424" t="str">
        <f>+'05-POA PROM DEFENSA DERECHOS'!J24</f>
        <v>∑ Número de intervenciones realizadas para Evitar la Caducidad y Perdida de Fuerza Ejecutoria (Impulsos procesales)</v>
      </c>
      <c r="G30" s="420" t="s">
        <v>759</v>
      </c>
      <c r="H30" s="415" t="s">
        <v>725</v>
      </c>
      <c r="I30" s="416">
        <v>95</v>
      </c>
      <c r="J30" s="417" t="str">
        <f t="shared" si="0"/>
        <v>Desde (&gt;):</v>
      </c>
      <c r="K30" s="417">
        <f t="shared" si="1"/>
        <v>90</v>
      </c>
      <c r="L30" s="417" t="str">
        <f t="shared" si="2"/>
        <v>Hasta (&lt;):</v>
      </c>
      <c r="M30" s="417">
        <f t="shared" si="3"/>
        <v>95</v>
      </c>
      <c r="N30" s="417" t="str">
        <f t="shared" si="4"/>
        <v>Menor o Igual A:</v>
      </c>
      <c r="O30" s="418">
        <v>90</v>
      </c>
      <c r="P30" s="430">
        <f>+'05-POA PROM DEFENSA DERECHOS'!F24</f>
        <v>11000</v>
      </c>
      <c r="Q30" s="430">
        <f>+'05-POA PROM DEFENSA DERECHOS'!G24</f>
        <v>3000</v>
      </c>
      <c r="R30" s="435" t="str">
        <f>+'05-POA PROM DEFENSA DERECHOS'!O24</f>
        <v>P.D. para la Coordinación de la Gestión de Personerías Locales y sus Personerías Locales adscritas</v>
      </c>
    </row>
    <row r="31" spans="2:18" ht="25.5">
      <c r="B31" s="412">
        <f t="shared" si="5"/>
        <v>27</v>
      </c>
      <c r="C31" s="413" t="s">
        <v>729</v>
      </c>
      <c r="D31" s="412" t="s">
        <v>800</v>
      </c>
      <c r="E31" s="424" t="str">
        <f>+'05-POA PROM DEFENSA DERECHOS'!I25</f>
        <v>Expedientes con impulso procesal para la gestión de multas</v>
      </c>
      <c r="F31" s="424" t="str">
        <f>+'05-POA PROM DEFENSA DERECHOS'!J25</f>
        <v>∑ Número de expedientes con Impulso Procesal para la Gestión de las Multas</v>
      </c>
      <c r="G31" s="420" t="s">
        <v>759</v>
      </c>
      <c r="H31" s="415" t="s">
        <v>725</v>
      </c>
      <c r="I31" s="416">
        <v>95</v>
      </c>
      <c r="J31" s="417" t="str">
        <f t="shared" si="0"/>
        <v>Desde (&gt;):</v>
      </c>
      <c r="K31" s="417">
        <f t="shared" si="1"/>
        <v>90</v>
      </c>
      <c r="L31" s="417" t="str">
        <f t="shared" si="2"/>
        <v>Hasta (&lt;):</v>
      </c>
      <c r="M31" s="417">
        <f t="shared" si="3"/>
        <v>95</v>
      </c>
      <c r="N31" s="417" t="str">
        <f t="shared" si="4"/>
        <v>Menor o Igual A:</v>
      </c>
      <c r="O31" s="418">
        <v>90</v>
      </c>
      <c r="P31" s="430">
        <f>+'05-POA PROM DEFENSA DERECHOS'!F25</f>
        <v>2300</v>
      </c>
      <c r="Q31" s="430">
        <f>+'05-POA PROM DEFENSA DERECHOS'!G25</f>
        <v>500</v>
      </c>
      <c r="R31" s="435" t="str">
        <f>+'05-POA PROM DEFENSA DERECHOS'!O25</f>
        <v>P.D. para la Coordinación de la Gestión de Personerías Locales y sus Personerías Locales adscritas</v>
      </c>
    </row>
    <row r="32" spans="2:18" ht="38.25">
      <c r="B32" s="412">
        <f t="shared" si="5"/>
        <v>28</v>
      </c>
      <c r="C32" s="413" t="s">
        <v>729</v>
      </c>
      <c r="D32" s="412" t="s">
        <v>801</v>
      </c>
      <c r="E32" s="424" t="str">
        <f>+'05-POA PROM DEFENSA DERECHOS'!I26</f>
        <v>Estados de vulneración establecidos</v>
      </c>
      <c r="F32" s="424" t="str">
        <f>+'05-POA PROM DEFENSA DERECHOS'!J26</f>
        <v xml:space="preserve">∑ Número de Estados de vulneración realizados
</v>
      </c>
      <c r="G32" s="420" t="s">
        <v>759</v>
      </c>
      <c r="H32" s="415" t="s">
        <v>725</v>
      </c>
      <c r="I32" s="416">
        <v>95</v>
      </c>
      <c r="J32" s="417" t="str">
        <f t="shared" si="0"/>
        <v>Desde (&gt;):</v>
      </c>
      <c r="K32" s="417">
        <f t="shared" si="1"/>
        <v>90</v>
      </c>
      <c r="L32" s="417" t="str">
        <f t="shared" si="2"/>
        <v>Hasta (&lt;):</v>
      </c>
      <c r="M32" s="417">
        <f t="shared" si="3"/>
        <v>95</v>
      </c>
      <c r="N32" s="417" t="str">
        <f t="shared" si="4"/>
        <v>Menor o Igual A:</v>
      </c>
      <c r="O32" s="418">
        <v>90</v>
      </c>
      <c r="P32" s="430">
        <f>+'05-POA PROM DEFENSA DERECHOS'!F26</f>
        <v>40</v>
      </c>
      <c r="Q32" s="430">
        <f>+'05-POA PROM DEFENSA DERECHOS'!G26</f>
        <v>0</v>
      </c>
      <c r="R32" s="435" t="str">
        <f>+'05-POA PROM DEFENSA DERECHOS'!O26</f>
        <v>P.D. para la Coordinación de la Gestión de Personerías Locales y sus Personerías Locales adscritas</v>
      </c>
    </row>
    <row r="33" spans="2:18" ht="48">
      <c r="B33" s="412">
        <f t="shared" si="5"/>
        <v>29</v>
      </c>
      <c r="C33" s="413" t="s">
        <v>729</v>
      </c>
      <c r="D33" s="412" t="s">
        <v>802</v>
      </c>
      <c r="E33" s="424" t="str">
        <f>+'05-POA PROM DEFENSA DERECHOS'!I27</f>
        <v>Personas sensibilizadas en el Distrito Capital</v>
      </c>
      <c r="F33" s="424" t="str">
        <f>+'05-POA PROM DEFENSA DERECHOS'!J27</f>
        <v>∑ Número de Personas Sensibilizadas en el Distrito Capital</v>
      </c>
      <c r="G33" s="420" t="s">
        <v>759</v>
      </c>
      <c r="H33" s="415" t="s">
        <v>730</v>
      </c>
      <c r="I33" s="416">
        <v>85</v>
      </c>
      <c r="J33" s="417" t="str">
        <f t="shared" si="0"/>
        <v>Desde (&gt;=):</v>
      </c>
      <c r="K33" s="417">
        <f t="shared" si="1"/>
        <v>80</v>
      </c>
      <c r="L33" s="417" t="str">
        <f t="shared" si="2"/>
        <v>Hasta (&lt;=):</v>
      </c>
      <c r="M33" s="417">
        <f t="shared" si="3"/>
        <v>85</v>
      </c>
      <c r="N33" s="417" t="str">
        <f t="shared" si="4"/>
        <v>Menor A:</v>
      </c>
      <c r="O33" s="418">
        <v>80</v>
      </c>
      <c r="P33" s="430">
        <f>+'05-POA PROM DEFENSA DERECHOS'!F27</f>
        <v>205930</v>
      </c>
      <c r="Q33" s="430">
        <f>+'05-POA PROM DEFENSA DERECHOS'!G27</f>
        <v>71570</v>
      </c>
      <c r="R33" s="435" t="str">
        <f>+'05-POA PROM DEFENSA DERECHOS'!O27</f>
        <v>P.D. para la Coordinación del MP y DDHH y sus dependencias adscritas
P.D. para la Coordinación de la Gestión de Personerías Locales y sus Personerías Locales adscritas</v>
      </c>
    </row>
    <row r="34" spans="2:18" ht="48">
      <c r="B34" s="412">
        <f t="shared" si="5"/>
        <v>30</v>
      </c>
      <c r="C34" s="413" t="s">
        <v>729</v>
      </c>
      <c r="D34" s="412" t="s">
        <v>803</v>
      </c>
      <c r="E34" s="424" t="str">
        <f>+'05-POA PROM DEFENSA DERECHOS'!I28</f>
        <v>Acciones en favor de las víctimas del conflicto armado interno adelantadas</v>
      </c>
      <c r="F34" s="424" t="str">
        <f>+'05-POA PROM DEFENSA DERECHOS'!J28</f>
        <v>∑ Número de Acciones en Favor de las Víctimas del Conflicto Armado Interno Realizadas</v>
      </c>
      <c r="G34" s="420" t="s">
        <v>759</v>
      </c>
      <c r="H34" s="415" t="s">
        <v>730</v>
      </c>
      <c r="I34" s="416">
        <v>85</v>
      </c>
      <c r="J34" s="417" t="str">
        <f t="shared" si="0"/>
        <v>Desde (&gt;=):</v>
      </c>
      <c r="K34" s="417">
        <f t="shared" si="1"/>
        <v>80</v>
      </c>
      <c r="L34" s="417" t="str">
        <f t="shared" si="2"/>
        <v>Hasta (&lt;=):</v>
      </c>
      <c r="M34" s="417">
        <f t="shared" si="3"/>
        <v>85</v>
      </c>
      <c r="N34" s="417" t="str">
        <f t="shared" si="4"/>
        <v>Menor A:</v>
      </c>
      <c r="O34" s="418">
        <v>80</v>
      </c>
      <c r="P34" s="430">
        <f>+'05-POA PROM DEFENSA DERECHOS'!F28</f>
        <v>23910</v>
      </c>
      <c r="Q34" s="430">
        <f>+'05-POA PROM DEFENSA DERECHOS'!G28</f>
        <v>5480</v>
      </c>
      <c r="R34" s="435" t="str">
        <f>+'05-POA PROM DEFENSA DERECHOS'!O28</f>
        <v>P.D. para la Protección de las Víctimas del Conflicto Armado Interno
P.D. para la Coordinación de la Gestión de Personerías Locales y sus Personerías Locales adscritas</v>
      </c>
    </row>
    <row r="35" spans="2:18" ht="48">
      <c r="B35" s="412">
        <f t="shared" si="5"/>
        <v>31</v>
      </c>
      <c r="C35" s="413" t="s">
        <v>729</v>
      </c>
      <c r="D35" s="412" t="s">
        <v>804</v>
      </c>
      <c r="E35" s="424" t="str">
        <f>+'05-POA PROM DEFENSA DERECHOS'!I29</f>
        <v>Acciones constitucionales elaboradas para prevenir vulneración de derechos</v>
      </c>
      <c r="F35" s="424" t="str">
        <f>+'05-POA PROM DEFENSA DERECHOS'!J29</f>
        <v>∑ Número de Acciones Constitucionales Elaboradas</v>
      </c>
      <c r="G35" s="420" t="s">
        <v>759</v>
      </c>
      <c r="H35" s="415" t="s">
        <v>730</v>
      </c>
      <c r="I35" s="416">
        <v>85</v>
      </c>
      <c r="J35" s="417" t="str">
        <f t="shared" si="0"/>
        <v>Desde (&gt;=):</v>
      </c>
      <c r="K35" s="417">
        <f t="shared" si="1"/>
        <v>80</v>
      </c>
      <c r="L35" s="417" t="str">
        <f t="shared" si="2"/>
        <v>Hasta (&lt;=):</v>
      </c>
      <c r="M35" s="417">
        <f t="shared" si="3"/>
        <v>85</v>
      </c>
      <c r="N35" s="417" t="str">
        <f t="shared" si="4"/>
        <v>Menor A:</v>
      </c>
      <c r="O35" s="418">
        <v>80</v>
      </c>
      <c r="P35" s="430">
        <f>+'05-POA PROM DEFENSA DERECHOS'!F29</f>
        <v>18880</v>
      </c>
      <c r="Q35" s="430">
        <f>+'05-POA PROM DEFENSA DERECHOS'!G29</f>
        <v>4790</v>
      </c>
      <c r="R35" s="435" t="str">
        <f>+'05-POA PROM DEFENSA DERECHOS'!O29</f>
        <v>P.D. para Asuntos Jurisdiccionales, Víctimas, Penal II y Consumidor.
P.D. para la Coordinación de la Gestión de Personerías Locales y sus Personerías Locales adscritas</v>
      </c>
    </row>
    <row r="36" spans="2:18" ht="46.15" customHeight="1">
      <c r="B36" s="412">
        <f t="shared" si="5"/>
        <v>32</v>
      </c>
      <c r="C36" s="413" t="s">
        <v>729</v>
      </c>
      <c r="D36" s="412" t="s">
        <v>805</v>
      </c>
      <c r="E36" s="424" t="str">
        <f>+'05-POA PROM DEFENSA DERECHOS'!I30</f>
        <v>Verificaciones de cumplimiento realizadas por el Ministerio Público a las medidas de protección impuestas por las Comisarías de Familia</v>
      </c>
      <c r="F36" s="424" t="str">
        <f>+'05-POA PROM DEFENSA DERECHOS'!J30</f>
        <v>∑ Número de Seguimientos Realizados por el Ministerio Público a las Medidas de Protección impuestas por las Comisarias de Familia</v>
      </c>
      <c r="G36" s="420" t="s">
        <v>759</v>
      </c>
      <c r="H36" s="415" t="s">
        <v>730</v>
      </c>
      <c r="I36" s="416">
        <v>85</v>
      </c>
      <c r="J36" s="417" t="str">
        <f t="shared" si="0"/>
        <v>Desde (&gt;=):</v>
      </c>
      <c r="K36" s="417">
        <f t="shared" si="1"/>
        <v>80</v>
      </c>
      <c r="L36" s="417" t="str">
        <f t="shared" si="2"/>
        <v>Hasta (&lt;=):</v>
      </c>
      <c r="M36" s="417">
        <f t="shared" si="3"/>
        <v>85</v>
      </c>
      <c r="N36" s="417" t="str">
        <f t="shared" si="4"/>
        <v>Menor A:</v>
      </c>
      <c r="O36" s="418">
        <v>80</v>
      </c>
      <c r="P36" s="430">
        <f>+'05-POA PROM DEFENSA DERECHOS'!F30</f>
        <v>3540</v>
      </c>
      <c r="Q36" s="430">
        <f>+'05-POA PROM DEFENSA DERECHOS'!G30</f>
        <v>800</v>
      </c>
      <c r="R36" s="435" t="str">
        <f>+'05-POA PROM DEFENSA DERECHOS'!O30</f>
        <v>P.D. para la Familia y Sujetos de Especial Protección Constitucional</v>
      </c>
    </row>
    <row r="37" spans="2:18" ht="60">
      <c r="B37" s="412">
        <f t="shared" si="5"/>
        <v>33</v>
      </c>
      <c r="C37" s="413" t="s">
        <v>729</v>
      </c>
      <c r="D37" s="412" t="s">
        <v>806</v>
      </c>
      <c r="E37" s="424" t="str">
        <f>+'05-POA PROM DEFENSA DERECHOS'!I31</f>
        <v>Espacios Interinstitucionales con participación</v>
      </c>
      <c r="F37" s="424" t="str">
        <f>+'05-POA PROM DEFENSA DERECHOS'!J31</f>
        <v>∑ Número de Espacios Interinstitucional con Participación</v>
      </c>
      <c r="G37" s="420" t="s">
        <v>759</v>
      </c>
      <c r="H37" s="415" t="s">
        <v>730</v>
      </c>
      <c r="I37" s="416">
        <v>85</v>
      </c>
      <c r="J37" s="417" t="str">
        <f t="shared" si="0"/>
        <v>Desde (&gt;=):</v>
      </c>
      <c r="K37" s="417">
        <f t="shared" si="1"/>
        <v>80</v>
      </c>
      <c r="L37" s="417" t="str">
        <f t="shared" si="2"/>
        <v>Hasta (&lt;=):</v>
      </c>
      <c r="M37" s="417">
        <f t="shared" si="3"/>
        <v>85</v>
      </c>
      <c r="N37" s="417" t="str">
        <f t="shared" si="4"/>
        <v>Menor A:</v>
      </c>
      <c r="O37" s="418">
        <v>80</v>
      </c>
      <c r="P37" s="430">
        <f>+'05-POA PROM DEFENSA DERECHOS'!F31</f>
        <v>7711</v>
      </c>
      <c r="Q37" s="430">
        <f>+'05-POA PROM DEFENSA DERECHOS'!G31</f>
        <v>2771</v>
      </c>
      <c r="R37" s="435"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8" spans="2:18" ht="72">
      <c r="B38" s="412">
        <f t="shared" si="5"/>
        <v>34</v>
      </c>
      <c r="C38" s="413" t="s">
        <v>729</v>
      </c>
      <c r="D38" s="412" t="s">
        <v>807</v>
      </c>
      <c r="E38" s="424" t="str">
        <f>+'05-POA PROM DEFENSA DERECHOS'!I32</f>
        <v>Seguimientos a la Amenaza y Vulneración de los Derechos Realizados</v>
      </c>
      <c r="F38" s="424" t="str">
        <f>+'05-POA PROM DEFENSA DERECHOS'!J32</f>
        <v>∑ Número de Seguimientos a la Amenaza y Vulneración de los Derechos Realizados</v>
      </c>
      <c r="G38" s="420" t="s">
        <v>759</v>
      </c>
      <c r="H38" s="415" t="s">
        <v>730</v>
      </c>
      <c r="I38" s="416">
        <v>85</v>
      </c>
      <c r="J38" s="417" t="str">
        <f t="shared" ref="J38:J66" si="8">IF(OR($H38="Mayor A:",$H38="Menor A:"),"Desde (&gt;=):",
IF(OR($H38="Mayor o Igual A:",$H38="Menor o Igual A:"),"Desde (&gt;):",
IF($H38="Igual A:","No Aplica",
IF($H38="",""))))</f>
        <v>Desde (&gt;=):</v>
      </c>
      <c r="K38" s="417">
        <f t="shared" si="1"/>
        <v>80</v>
      </c>
      <c r="L38" s="417" t="str">
        <f t="shared" ref="L38:L66" si="9">IF(OR($H38="Mayor A:",$H38="Menor A:"),"Hasta (&lt;=):",
IF(OR($H38="Mayor o Igual A:",$H38="Menor o Igual A:"),"Hasta (&lt;):",
IF($H38="Igual A:","No Aplica",
IF($H38="",""))))</f>
        <v>Hasta (&lt;=):</v>
      </c>
      <c r="M38" s="417">
        <f t="shared" si="3"/>
        <v>85</v>
      </c>
      <c r="N38" s="417" t="str">
        <f t="shared" ref="N38:N66" si="10">IF($H38="Mayor A:","Menor A:",
IF($H38="Menor A:","Mayor A:",
IF($H38="Mayor o Igual A:","Menor o Igual A:",
IF($H38="Menor o Igual A:","Mayor o Igual A:",
IF($H38="Igual A:","Igual A:",
IF($H38="",""))))))</f>
        <v>Menor A:</v>
      </c>
      <c r="O38" s="418">
        <v>80</v>
      </c>
      <c r="P38" s="430">
        <f>+'05-POA PROM DEFENSA DERECHOS'!F32</f>
        <v>712</v>
      </c>
      <c r="Q38" s="430">
        <f>+'05-POA PROM DEFENSA DERECHOS'!G32</f>
        <v>208</v>
      </c>
      <c r="R38" s="435"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9" spans="2:18" ht="48">
      <c r="B39" s="412">
        <f t="shared" si="5"/>
        <v>35</v>
      </c>
      <c r="C39" s="413" t="s">
        <v>729</v>
      </c>
      <c r="D39" s="412" t="s">
        <v>808</v>
      </c>
      <c r="E39" s="424" t="str">
        <f>+'05-POA PROM DEFENSA DERECHOS'!I33</f>
        <v>Actividades de acercamiento de la Entidad a la comunidad realizadas</v>
      </c>
      <c r="F39" s="424" t="str">
        <f>+'05-POA PROM DEFENSA DERECHOS'!J33</f>
        <v>∑ Número de Actividades Realizadas para Acercar la Entidad a la Comunidad</v>
      </c>
      <c r="G39" s="420" t="s">
        <v>759</v>
      </c>
      <c r="H39" s="415" t="s">
        <v>730</v>
      </c>
      <c r="I39" s="416">
        <v>85</v>
      </c>
      <c r="J39" s="417" t="str">
        <f t="shared" si="8"/>
        <v>Desde (&gt;=):</v>
      </c>
      <c r="K39" s="417">
        <f t="shared" si="1"/>
        <v>80</v>
      </c>
      <c r="L39" s="417" t="str">
        <f t="shared" si="9"/>
        <v>Hasta (&lt;=):</v>
      </c>
      <c r="M39" s="417">
        <f t="shared" si="3"/>
        <v>85</v>
      </c>
      <c r="N39" s="417" t="str">
        <f t="shared" si="10"/>
        <v>Menor A:</v>
      </c>
      <c r="O39" s="418">
        <v>80</v>
      </c>
      <c r="P39" s="430">
        <f>+'05-POA PROM DEFENSA DERECHOS'!F33</f>
        <v>20</v>
      </c>
      <c r="Q39" s="430">
        <f>+'05-POA PROM DEFENSA DERECHOS'!G33</f>
        <v>8</v>
      </c>
      <c r="R39" s="435" t="str">
        <f>+'05-POA PROM DEFENSA DERECHOS'!O33</f>
        <v>P.D. para la Coordinación del MP y DDHH y sus dependencias adscritas
 P.D. para la Coordinación de la Gestión de Personerías Locales y sus Personerías Locales adscritas</v>
      </c>
    </row>
    <row r="40" spans="2:18" ht="48">
      <c r="B40" s="412">
        <f t="shared" si="5"/>
        <v>36</v>
      </c>
      <c r="C40" s="413" t="s">
        <v>729</v>
      </c>
      <c r="D40" s="412" t="s">
        <v>809</v>
      </c>
      <c r="E40" s="424" t="str">
        <f>+'05-POA PROM DEFENSA DERECHOS'!I34</f>
        <v>Acciones realizadas para incrementar la cobertura de los servicios</v>
      </c>
      <c r="F40" s="424" t="str">
        <f>+'05-POA PROM DEFENSA DERECHOS'!J34</f>
        <v>∑ Número de acciones realizadas para incrementar la Cobertura</v>
      </c>
      <c r="G40" s="420" t="s">
        <v>759</v>
      </c>
      <c r="H40" s="415" t="s">
        <v>730</v>
      </c>
      <c r="I40" s="416">
        <v>85</v>
      </c>
      <c r="J40" s="417" t="str">
        <f t="shared" si="8"/>
        <v>Desde (&gt;=):</v>
      </c>
      <c r="K40" s="417">
        <f t="shared" si="1"/>
        <v>80</v>
      </c>
      <c r="L40" s="417" t="str">
        <f t="shared" si="9"/>
        <v>Hasta (&lt;=):</v>
      </c>
      <c r="M40" s="417">
        <f t="shared" si="3"/>
        <v>85</v>
      </c>
      <c r="N40" s="417" t="str">
        <f t="shared" si="10"/>
        <v>Menor A:</v>
      </c>
      <c r="O40" s="418">
        <v>80</v>
      </c>
      <c r="P40" s="430">
        <f>+'05-POA PROM DEFENSA DERECHOS'!F34</f>
        <v>11</v>
      </c>
      <c r="Q40" s="430">
        <f>+'05-POA PROM DEFENSA DERECHOS'!G34</f>
        <v>3</v>
      </c>
      <c r="R40" s="435" t="str">
        <f>+'05-POA PROM DEFENSA DERECHOS'!O34</f>
        <v>P.D. para la Coordinación del MP y DDHH y sus dependencias adscritas
 P.D. para la Coordinación de la Gestión de Personerías Locales y sus Personerías Locales adscritas</v>
      </c>
    </row>
    <row r="41" spans="2:18" ht="48">
      <c r="B41" s="412">
        <f t="shared" si="5"/>
        <v>37</v>
      </c>
      <c r="C41" s="413" t="s">
        <v>729</v>
      </c>
      <c r="D41" s="412" t="s">
        <v>810</v>
      </c>
      <c r="E41" s="424" t="str">
        <f>+'05-POA PROM DEFENSA DERECHOS'!I35</f>
        <v>Herramientas de promoción y prevención a infracciones del Derecho Internacional Humanitario implementadas</v>
      </c>
      <c r="F41" s="424" t="str">
        <f>+'05-POA PROM DEFENSA DERECHOS'!J35</f>
        <v>∑ Número de Herramientas de Promoción y Prevención a Infracciones del Derecho Internacional Humanitario Implementadas</v>
      </c>
      <c r="G41" s="420" t="s">
        <v>759</v>
      </c>
      <c r="H41" s="415" t="s">
        <v>730</v>
      </c>
      <c r="I41" s="416">
        <v>85</v>
      </c>
      <c r="J41" s="417" t="str">
        <f t="shared" si="8"/>
        <v>Desde (&gt;=):</v>
      </c>
      <c r="K41" s="417">
        <f t="shared" si="1"/>
        <v>80</v>
      </c>
      <c r="L41" s="417" t="str">
        <f t="shared" si="9"/>
        <v>Hasta (&lt;=):</v>
      </c>
      <c r="M41" s="417">
        <f t="shared" si="3"/>
        <v>85</v>
      </c>
      <c r="N41" s="417" t="str">
        <f t="shared" si="10"/>
        <v>Menor A:</v>
      </c>
      <c r="O41" s="418">
        <v>80</v>
      </c>
      <c r="P41" s="430">
        <f>+'05-POA PROM DEFENSA DERECHOS'!F35</f>
        <v>4</v>
      </c>
      <c r="Q41" s="430">
        <f>+'05-POA PROM DEFENSA DERECHOS'!G35</f>
        <v>1</v>
      </c>
      <c r="R41" s="435" t="str">
        <f>+'05-POA PROM DEFENSA DERECHOS'!O35</f>
        <v>P.D. para la Coordinación del MP y DDHH y sus dependencias adscritas
 P.D. para la Coordinación de la Gestión de Personerías Locales y sus Personerías Locales adscritas</v>
      </c>
    </row>
    <row r="42" spans="2:18" ht="70.150000000000006" customHeight="1">
      <c r="B42" s="412">
        <f t="shared" si="5"/>
        <v>38</v>
      </c>
      <c r="C42" s="421" t="s">
        <v>731</v>
      </c>
      <c r="D42" s="420" t="s">
        <v>814</v>
      </c>
      <c r="E42" s="429" t="str">
        <f>+'06-PREV CTRL FUN PÚBLICA'!I16</f>
        <v>Informes realizados en temas específicos.</v>
      </c>
      <c r="F42" s="429" t="str">
        <f>+'06-PREV CTRL FUN PÚBLICA'!J16</f>
        <v>Número de informes realizados en temas específicos programados en el periodo.</v>
      </c>
      <c r="G42" s="420" t="s">
        <v>759</v>
      </c>
      <c r="H42" s="415" t="s">
        <v>730</v>
      </c>
      <c r="I42" s="416">
        <v>90</v>
      </c>
      <c r="J42" s="417" t="str">
        <f t="shared" si="8"/>
        <v>Desde (&gt;=):</v>
      </c>
      <c r="K42" s="417">
        <f t="shared" si="1"/>
        <v>66</v>
      </c>
      <c r="L42" s="417" t="str">
        <f t="shared" si="9"/>
        <v>Hasta (&lt;=):</v>
      </c>
      <c r="M42" s="417">
        <f t="shared" si="3"/>
        <v>90</v>
      </c>
      <c r="N42" s="417" t="str">
        <f t="shared" si="10"/>
        <v>Menor A:</v>
      </c>
      <c r="O42" s="418">
        <v>66</v>
      </c>
      <c r="P42" s="437">
        <f>+'06-PREV CTRL FUN PÚBLICA'!F16</f>
        <v>16</v>
      </c>
      <c r="Q42" s="437">
        <f>+'06-PREV CTRL FUN PÚBLICA'!G16</f>
        <v>7</v>
      </c>
      <c r="R42" s="435"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8">
      <c r="B43" s="412">
        <f t="shared" si="5"/>
        <v>39</v>
      </c>
      <c r="C43" s="421" t="s">
        <v>731</v>
      </c>
      <c r="D43" s="420" t="s">
        <v>817</v>
      </c>
      <c r="E43" s="429" t="str">
        <f>+'06-PREV CTRL FUN PÚBLICA'!I17</f>
        <v>Informes de seguimientos realizados en temas específicos.</v>
      </c>
      <c r="F43" s="429" t="str">
        <f>+'06-PREV CTRL FUN PÚBLICA'!J17</f>
        <v>Número informes de seguimientos realizados en temas específicos en el periodo.</v>
      </c>
      <c r="G43" s="420" t="s">
        <v>759</v>
      </c>
      <c r="H43" s="415" t="s">
        <v>730</v>
      </c>
      <c r="I43" s="416">
        <v>90</v>
      </c>
      <c r="J43" s="417" t="str">
        <f t="shared" si="8"/>
        <v>Desde (&gt;=):</v>
      </c>
      <c r="K43" s="417">
        <f t="shared" si="1"/>
        <v>69</v>
      </c>
      <c r="L43" s="417" t="str">
        <f t="shared" si="9"/>
        <v>Hasta (&lt;=):</v>
      </c>
      <c r="M43" s="417">
        <f t="shared" si="3"/>
        <v>90</v>
      </c>
      <c r="N43" s="417" t="str">
        <f t="shared" si="10"/>
        <v>Menor A:</v>
      </c>
      <c r="O43" s="418">
        <v>69</v>
      </c>
      <c r="P43" s="437">
        <f>+'06-PREV CTRL FUN PÚBLICA'!F17</f>
        <v>6</v>
      </c>
      <c r="Q43" s="437">
        <f>+'06-PREV CTRL FUN PÚBLICA'!G17</f>
        <v>1</v>
      </c>
      <c r="R43" s="435"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8">
      <c r="B44" s="412">
        <f t="shared" si="5"/>
        <v>40</v>
      </c>
      <c r="C44" s="421" t="s">
        <v>731</v>
      </c>
      <c r="D44" s="420" t="s">
        <v>818</v>
      </c>
      <c r="E44" s="429" t="str">
        <f>+'06-PREV CTRL FUN PÚBLICA'!I18</f>
        <v>Acciones de Prevención y Control a la Función Pública realizadas, con informe.</v>
      </c>
      <c r="F44" s="429" t="str">
        <f>+'06-PREV CTRL FUN PÚBLICA'!J18</f>
        <v>Número de informes de Acción de Prevención y Control a la Función Publica realizados en el periodo.</v>
      </c>
      <c r="G44" s="420" t="s">
        <v>759</v>
      </c>
      <c r="H44" s="415" t="s">
        <v>730</v>
      </c>
      <c r="I44" s="416">
        <v>77</v>
      </c>
      <c r="J44" s="417" t="str">
        <f t="shared" si="8"/>
        <v>Desde (&gt;=):</v>
      </c>
      <c r="K44" s="417">
        <f t="shared" si="1"/>
        <v>53</v>
      </c>
      <c r="L44" s="417" t="str">
        <f t="shared" si="9"/>
        <v>Hasta (&lt;=):</v>
      </c>
      <c r="M44" s="417">
        <f t="shared" si="3"/>
        <v>77</v>
      </c>
      <c r="N44" s="417" t="str">
        <f t="shared" si="10"/>
        <v>Menor A:</v>
      </c>
      <c r="O44" s="418">
        <v>53</v>
      </c>
      <c r="P44" s="437">
        <f>+'06-PREV CTRL FUN PÚBLICA'!F18</f>
        <v>817</v>
      </c>
      <c r="Q44" s="437">
        <f>+'06-PREV CTRL FUN PÚBLICA'!G18</f>
        <v>286</v>
      </c>
      <c r="R44" s="435"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8">
      <c r="B45" s="412">
        <f t="shared" si="5"/>
        <v>41</v>
      </c>
      <c r="C45" s="421" t="s">
        <v>731</v>
      </c>
      <c r="D45" s="420" t="s">
        <v>819</v>
      </c>
      <c r="E45" s="429" t="str">
        <f>+'06-PREV CTRL FUN PÚBLICA'!I19</f>
        <v>Seguimientos realizados sobre acciones previas, con informe</v>
      </c>
      <c r="F45" s="429" t="str">
        <f>+'06-PREV CTRL FUN PÚBLICA'!J19</f>
        <v>Número de informes de seguimientos realizados en el periodo.</v>
      </c>
      <c r="G45" s="420" t="s">
        <v>759</v>
      </c>
      <c r="H45" s="415" t="s">
        <v>730</v>
      </c>
      <c r="I45" s="416">
        <v>80</v>
      </c>
      <c r="J45" s="417" t="str">
        <f t="shared" si="8"/>
        <v>Desde (&gt;=):</v>
      </c>
      <c r="K45" s="417">
        <f t="shared" si="1"/>
        <v>45</v>
      </c>
      <c r="L45" s="417" t="str">
        <f t="shared" si="9"/>
        <v>Hasta (&lt;=):</v>
      </c>
      <c r="M45" s="417">
        <f t="shared" si="3"/>
        <v>80</v>
      </c>
      <c r="N45" s="417" t="str">
        <f t="shared" si="10"/>
        <v>Menor A:</v>
      </c>
      <c r="O45" s="418">
        <v>45</v>
      </c>
      <c r="P45" s="437">
        <f>+'06-PREV CTRL FUN PÚBLICA'!F19</f>
        <v>135</v>
      </c>
      <c r="Q45" s="437">
        <f>+'06-PREV CTRL FUN PÚBLICA'!G19</f>
        <v>67</v>
      </c>
      <c r="R45" s="435"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5.5">
      <c r="B46" s="412">
        <f t="shared" si="5"/>
        <v>42</v>
      </c>
      <c r="C46" s="421" t="s">
        <v>731</v>
      </c>
      <c r="D46" s="420" t="s">
        <v>820</v>
      </c>
      <c r="E46" s="429" t="str">
        <f>+'06-PREV CTRL FUN PÚBLICA'!I20</f>
        <v>Audiencias públicas y/o mesas de trabajo realizadas.</v>
      </c>
      <c r="F46" s="429" t="str">
        <f>+'06-PREV CTRL FUN PÚBLICA'!J20</f>
        <v>Número de audiencias públicas y/o mesas de trabajo realizadas en el periodo.</v>
      </c>
      <c r="G46" s="420" t="s">
        <v>759</v>
      </c>
      <c r="H46" s="415" t="s">
        <v>730</v>
      </c>
      <c r="I46" s="416">
        <v>85</v>
      </c>
      <c r="J46" s="417" t="str">
        <f t="shared" si="8"/>
        <v>Desde (&gt;=):</v>
      </c>
      <c r="K46" s="417">
        <f t="shared" si="1"/>
        <v>57</v>
      </c>
      <c r="L46" s="417" t="str">
        <f t="shared" si="9"/>
        <v>Hasta (&lt;=):</v>
      </c>
      <c r="M46" s="417">
        <f t="shared" si="3"/>
        <v>85</v>
      </c>
      <c r="N46" s="417" t="str">
        <f t="shared" si="10"/>
        <v>Menor A:</v>
      </c>
      <c r="O46" s="418">
        <v>57</v>
      </c>
      <c r="P46" s="437">
        <f>+'06-PREV CTRL FUN PÚBLICA'!F20</f>
        <v>60</v>
      </c>
      <c r="Q46" s="437">
        <f>+'06-PREV CTRL FUN PÚBLICA'!G20</f>
        <v>21</v>
      </c>
      <c r="R46" s="435" t="str">
        <f>+'06-PREV CTRL FUN PÚBLICA'!O20</f>
        <v>Personería Delegada para la Coordinación de Prevención y Control a la Función Pública y sus Personerías Delegadas.</v>
      </c>
    </row>
    <row r="47" spans="2:18" ht="25.5">
      <c r="B47" s="412">
        <f t="shared" si="5"/>
        <v>43</v>
      </c>
      <c r="C47" s="421" t="s">
        <v>731</v>
      </c>
      <c r="D47" s="420" t="s">
        <v>821</v>
      </c>
      <c r="E47" s="429" t="str">
        <f>+'06-PREV CTRL FUN PÚBLICA'!I21</f>
        <v>Acompañamientos a los ciudadanos realizados.</v>
      </c>
      <c r="F47" s="429" t="str">
        <f>+'06-PREV CTRL FUN PÚBLICA'!J21</f>
        <v>Número de acompañamientos a los ciudadanos realizados en el periodo.</v>
      </c>
      <c r="G47" s="420" t="s">
        <v>759</v>
      </c>
      <c r="H47" s="415" t="s">
        <v>730</v>
      </c>
      <c r="I47" s="416">
        <v>90</v>
      </c>
      <c r="J47" s="417" t="str">
        <f t="shared" si="8"/>
        <v>Desde (&gt;=):</v>
      </c>
      <c r="K47" s="417">
        <f t="shared" si="1"/>
        <v>69</v>
      </c>
      <c r="L47" s="417" t="str">
        <f t="shared" si="9"/>
        <v>Hasta (&lt;=):</v>
      </c>
      <c r="M47" s="417">
        <f t="shared" si="3"/>
        <v>90</v>
      </c>
      <c r="N47" s="417" t="str">
        <f t="shared" si="10"/>
        <v>Menor A:</v>
      </c>
      <c r="O47" s="418">
        <v>69</v>
      </c>
      <c r="P47" s="437">
        <f>+'06-PREV CTRL FUN PÚBLICA'!F21</f>
        <v>160</v>
      </c>
      <c r="Q47" s="437">
        <f>+'06-PREV CTRL FUN PÚBLICA'!G21</f>
        <v>60</v>
      </c>
      <c r="R47" s="435" t="str">
        <f>+'06-PREV CTRL FUN PÚBLICA'!O21</f>
        <v xml:space="preserve">Personería Delegada para la Coordinación de Gestión de las Personerías Locales y sus Personerías Locales. </v>
      </c>
    </row>
    <row r="48" spans="2:18" ht="48">
      <c r="B48" s="412">
        <f t="shared" si="5"/>
        <v>44</v>
      </c>
      <c r="C48" s="421" t="s">
        <v>731</v>
      </c>
      <c r="D48" s="420" t="s">
        <v>822</v>
      </c>
      <c r="E48" s="429" t="str">
        <f>+'06-PREV CTRL FUN PÚBLICA'!I22</f>
        <v>Espacios de dialogo realizados.</v>
      </c>
      <c r="F48" s="429" t="str">
        <f>+'06-PREV CTRL FUN PÚBLICA'!J22</f>
        <v>Número de espacios de dialogo realizados en el periodo.</v>
      </c>
      <c r="G48" s="420" t="s">
        <v>759</v>
      </c>
      <c r="H48" s="415" t="s">
        <v>730</v>
      </c>
      <c r="I48" s="416">
        <v>90</v>
      </c>
      <c r="J48" s="417" t="str">
        <f t="shared" si="8"/>
        <v>Desde (&gt;=):</v>
      </c>
      <c r="K48" s="417">
        <f t="shared" si="1"/>
        <v>69</v>
      </c>
      <c r="L48" s="417" t="str">
        <f t="shared" si="9"/>
        <v>Hasta (&lt;=):</v>
      </c>
      <c r="M48" s="417">
        <f t="shared" si="3"/>
        <v>90</v>
      </c>
      <c r="N48" s="417" t="str">
        <f t="shared" si="10"/>
        <v>Menor A:</v>
      </c>
      <c r="O48" s="418">
        <v>69</v>
      </c>
      <c r="P48" s="437">
        <f>+'06-PREV CTRL FUN PÚBLICA'!F22</f>
        <v>100</v>
      </c>
      <c r="Q48" s="437">
        <f>+'06-PREV CTRL FUN PÚBLICA'!G22</f>
        <v>30</v>
      </c>
      <c r="R48" s="435"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5.5">
      <c r="B49" s="412">
        <f t="shared" si="5"/>
        <v>45</v>
      </c>
      <c r="C49" s="422" t="s">
        <v>732</v>
      </c>
      <c r="D49" s="420" t="s">
        <v>815</v>
      </c>
      <c r="E49" s="429" t="str">
        <f>+'07-POTESTAD DISCIPLINARIA'!I16</f>
        <v>Procesos priorizados identificados y decididos de fondo</v>
      </c>
      <c r="F49" s="429" t="str">
        <f>+'07-POTESTAD DISCIPLINARIA'!J16</f>
        <v>Número de procesos priorizados con decisiones de fondo proferidas</v>
      </c>
      <c r="G49" s="420" t="s">
        <v>759</v>
      </c>
      <c r="H49" s="415" t="s">
        <v>730</v>
      </c>
      <c r="I49" s="416">
        <v>90</v>
      </c>
      <c r="J49" s="417" t="str">
        <f t="shared" si="8"/>
        <v>Desde (&gt;=):</v>
      </c>
      <c r="K49" s="417">
        <f t="shared" si="1"/>
        <v>60</v>
      </c>
      <c r="L49" s="417" t="str">
        <f t="shared" si="9"/>
        <v>Hasta (&lt;=):</v>
      </c>
      <c r="M49" s="417">
        <f t="shared" si="3"/>
        <v>90</v>
      </c>
      <c r="N49" s="417" t="str">
        <f t="shared" si="10"/>
        <v>Menor A:</v>
      </c>
      <c r="O49" s="418">
        <v>60</v>
      </c>
      <c r="P49" s="430">
        <f>+'07-POTESTAD DISCIPLINARIA'!F16</f>
        <v>6700</v>
      </c>
      <c r="Q49" s="430">
        <f>+'07-POTESTAD DISCIPLINARIA'!G16</f>
        <v>1800</v>
      </c>
      <c r="R49" s="435" t="str">
        <f>+'07-POTESTAD DISCIPLINARIA'!O16</f>
        <v>Personería Delegada para la Coordinación de Potestad Disciplinaria</v>
      </c>
    </row>
    <row r="50" spans="2:18" ht="38.25">
      <c r="B50" s="412">
        <f t="shared" si="5"/>
        <v>46</v>
      </c>
      <c r="C50" s="422" t="s">
        <v>732</v>
      </c>
      <c r="D50" s="420" t="s">
        <v>823</v>
      </c>
      <c r="E50" s="429" t="str">
        <f>+'07-POTESTAD DISCIPLINARIA'!I17</f>
        <v>Noticias disciplinarias  evaluadas y con impulso procesal</v>
      </c>
      <c r="F50" s="429" t="str">
        <f>+'07-POTESTAD DISCIPLINARIA'!J17</f>
        <v>Número de noticias disciplinarias evaluadas y con impulso procesal/ Número de noticias disciplinaria comisionadas a las Delegadas</v>
      </c>
      <c r="G50" s="420" t="s">
        <v>759</v>
      </c>
      <c r="H50" s="415" t="s">
        <v>730</v>
      </c>
      <c r="I50" s="416">
        <v>90</v>
      </c>
      <c r="J50" s="417" t="str">
        <f t="shared" si="8"/>
        <v>Desde (&gt;=):</v>
      </c>
      <c r="K50" s="417">
        <f t="shared" si="1"/>
        <v>60</v>
      </c>
      <c r="L50" s="417" t="str">
        <f t="shared" si="9"/>
        <v>Hasta (&lt;=):</v>
      </c>
      <c r="M50" s="417">
        <f t="shared" si="3"/>
        <v>90</v>
      </c>
      <c r="N50" s="417" t="str">
        <f t="shared" si="10"/>
        <v>Menor A:</v>
      </c>
      <c r="O50" s="418">
        <v>60</v>
      </c>
      <c r="P50" s="434">
        <f>+'07-POTESTAD DISCIPLINARIA'!F17</f>
        <v>1</v>
      </c>
      <c r="Q50" s="434">
        <f>+'07-POTESTAD DISCIPLINARIA'!G17</f>
        <v>1</v>
      </c>
      <c r="R50" s="435" t="str">
        <f>+'07-POTESTAD DISCIPLINARIA'!O17</f>
        <v>Personería Delegada para la Coordinación de Potestad Disciplinaria</v>
      </c>
    </row>
    <row r="51" spans="2:18" ht="25.5">
      <c r="B51" s="412">
        <f t="shared" si="5"/>
        <v>47</v>
      </c>
      <c r="C51" s="422" t="s">
        <v>732</v>
      </c>
      <c r="D51" s="420" t="s">
        <v>824</v>
      </c>
      <c r="E51" s="429" t="str">
        <f>+'07-POTESTAD DISCIPLINARIA'!I18</f>
        <v>Visitas de seguimiento a Oficinas de Control Interno Disciplinario realizadas</v>
      </c>
      <c r="F51" s="429" t="str">
        <f>+'07-POTESTAD DISCIPLINARIA'!J18</f>
        <v>Número de visitas de seguimiento a OCID realizadas</v>
      </c>
      <c r="G51" s="420" t="s">
        <v>759</v>
      </c>
      <c r="H51" s="415" t="s">
        <v>730</v>
      </c>
      <c r="I51" s="416">
        <v>90</v>
      </c>
      <c r="J51" s="417" t="str">
        <f t="shared" si="8"/>
        <v>Desde (&gt;=):</v>
      </c>
      <c r="K51" s="417">
        <f t="shared" si="1"/>
        <v>65</v>
      </c>
      <c r="L51" s="417" t="str">
        <f t="shared" si="9"/>
        <v>Hasta (&lt;=):</v>
      </c>
      <c r="M51" s="417">
        <f t="shared" si="3"/>
        <v>90</v>
      </c>
      <c r="N51" s="417" t="str">
        <f t="shared" si="10"/>
        <v>Menor A:</v>
      </c>
      <c r="O51" s="418">
        <v>65</v>
      </c>
      <c r="P51" s="430">
        <f>+'07-POTESTAD DISCIPLINARIA'!F18</f>
        <v>204</v>
      </c>
      <c r="Q51" s="430">
        <f>+'07-POTESTAD DISCIPLINARIA'!G18</f>
        <v>51</v>
      </c>
      <c r="R51" s="435" t="str">
        <f>+'07-POTESTAD DISCIPLINARIA'!O18</f>
        <v>Personería Delegada para la Coordinación de Potestad Disciplinaria</v>
      </c>
    </row>
    <row r="52" spans="2:18" ht="38.25">
      <c r="B52" s="412">
        <f t="shared" si="5"/>
        <v>48</v>
      </c>
      <c r="C52" s="422" t="s">
        <v>732</v>
      </c>
      <c r="D52" s="420" t="s">
        <v>825</v>
      </c>
      <c r="E52" s="429" t="str">
        <f>+'07-POTESTAD DISCIPLINARIA'!I19</f>
        <v>Procesos de interés e impacto asumidos por competencia</v>
      </c>
      <c r="F52" s="429" t="str">
        <f>+'07-POTESTAD DISCIPLINARIA'!J19</f>
        <v>Número de solicitudes a petición asumidas por poder preferente/ Número total de peticiones solicitadas por poder preferente</v>
      </c>
      <c r="G52" s="420" t="s">
        <v>759</v>
      </c>
      <c r="H52" s="415" t="s">
        <v>730</v>
      </c>
      <c r="I52" s="416">
        <v>90</v>
      </c>
      <c r="J52" s="417" t="str">
        <f t="shared" si="8"/>
        <v>Desde (&gt;=):</v>
      </c>
      <c r="K52" s="417">
        <f t="shared" si="1"/>
        <v>65</v>
      </c>
      <c r="L52" s="417" t="str">
        <f t="shared" si="9"/>
        <v>Hasta (&lt;=):</v>
      </c>
      <c r="M52" s="417">
        <f t="shared" si="3"/>
        <v>90</v>
      </c>
      <c r="N52" s="417" t="str">
        <f t="shared" si="10"/>
        <v>Menor A:</v>
      </c>
      <c r="O52" s="418">
        <v>65</v>
      </c>
      <c r="P52" s="434">
        <f>+'07-POTESTAD DISCIPLINARIA'!F19</f>
        <v>1</v>
      </c>
      <c r="Q52" s="434">
        <f>+'07-POTESTAD DISCIPLINARIA'!G19</f>
        <v>1</v>
      </c>
      <c r="R52" s="435" t="str">
        <f>+'07-POTESTAD DISCIPLINARIA'!O19</f>
        <v>Personería Delegada para la Coordinación de Potestad Disciplinaria</v>
      </c>
    </row>
    <row r="53" spans="2:18" ht="25.5">
      <c r="B53" s="412">
        <f t="shared" si="5"/>
        <v>49</v>
      </c>
      <c r="C53" s="422" t="s">
        <v>732</v>
      </c>
      <c r="D53" s="420" t="s">
        <v>826</v>
      </c>
      <c r="E53" s="429" t="str">
        <f>+'07-POTESTAD DISCIPLINARIA'!I20</f>
        <v>Escenarios de intercambio de conocimiento generados</v>
      </c>
      <c r="F53" s="429" t="str">
        <f>+'07-POTESTAD DISCIPLINARIA'!J20</f>
        <v xml:space="preserve">Número de escenarios de sensibilización generados </v>
      </c>
      <c r="G53" s="420" t="s">
        <v>759</v>
      </c>
      <c r="H53" s="415" t="s">
        <v>730</v>
      </c>
      <c r="I53" s="416">
        <v>90</v>
      </c>
      <c r="J53" s="417" t="str">
        <f t="shared" si="8"/>
        <v>Desde (&gt;=):</v>
      </c>
      <c r="K53" s="417">
        <f t="shared" si="1"/>
        <v>65</v>
      </c>
      <c r="L53" s="417" t="str">
        <f t="shared" si="9"/>
        <v>Hasta (&lt;=):</v>
      </c>
      <c r="M53" s="417">
        <f t="shared" si="3"/>
        <v>90</v>
      </c>
      <c r="N53" s="417" t="str">
        <f t="shared" si="10"/>
        <v>Menor A:</v>
      </c>
      <c r="O53" s="418">
        <v>65</v>
      </c>
      <c r="P53" s="430">
        <f>+'07-POTESTAD DISCIPLINARIA'!F20</f>
        <v>8</v>
      </c>
      <c r="Q53" s="430">
        <f>+'07-POTESTAD DISCIPLINARIA'!G20</f>
        <v>2</v>
      </c>
      <c r="R53" s="435" t="str">
        <f>+'07-POTESTAD DISCIPLINARIA'!O20</f>
        <v>Personería Delegada para la Coordinación de Potestad Disciplinaria</v>
      </c>
    </row>
    <row r="54" spans="2:18" ht="25.5">
      <c r="B54" s="412">
        <f t="shared" si="5"/>
        <v>50</v>
      </c>
      <c r="C54" s="422" t="s">
        <v>732</v>
      </c>
      <c r="D54" s="420" t="s">
        <v>827</v>
      </c>
      <c r="E54" s="429" t="str">
        <f>+'07-POTESTAD DISCIPLINARIA'!I21</f>
        <v xml:space="preserve">Sistema de Comunicación con las Oficinas de Control Interno Disciplinario implementado </v>
      </c>
      <c r="F54" s="429" t="str">
        <f>+'07-POTESTAD DISCIPLINARIA'!J21</f>
        <v>Porcentaje de avance en la implementación del Sistema de Comunicación</v>
      </c>
      <c r="G54" s="420" t="s">
        <v>759</v>
      </c>
      <c r="H54" s="415" t="s">
        <v>730</v>
      </c>
      <c r="I54" s="416">
        <v>90</v>
      </c>
      <c r="J54" s="417" t="str">
        <f t="shared" si="8"/>
        <v>Desde (&gt;=):</v>
      </c>
      <c r="K54" s="417">
        <f t="shared" si="1"/>
        <v>65</v>
      </c>
      <c r="L54" s="417" t="str">
        <f t="shared" si="9"/>
        <v>Hasta (&lt;=):</v>
      </c>
      <c r="M54" s="417">
        <f t="shared" si="3"/>
        <v>90</v>
      </c>
      <c r="N54" s="417" t="str">
        <f t="shared" si="10"/>
        <v>Menor A:</v>
      </c>
      <c r="O54" s="418">
        <v>65</v>
      </c>
      <c r="P54" s="430">
        <f>+'07-POTESTAD DISCIPLINARIA'!F21</f>
        <v>1</v>
      </c>
      <c r="Q54" s="432">
        <f>+'07-POTESTAD DISCIPLINARIA'!G21</f>
        <v>0.5</v>
      </c>
      <c r="R54" s="435" t="str">
        <f>+'07-POTESTAD DISCIPLINARIA'!O21</f>
        <v>Personería Delegada para la Coordinación de Potestad Disciplinaria</v>
      </c>
    </row>
    <row r="55" spans="2:18" ht="25.5">
      <c r="B55" s="412">
        <f t="shared" si="5"/>
        <v>51</v>
      </c>
      <c r="C55" s="422" t="s">
        <v>732</v>
      </c>
      <c r="D55" s="420" t="s">
        <v>828</v>
      </c>
      <c r="E55" s="429" t="str">
        <f>+'07-POTESTAD DISCIPLINARIA'!I22</f>
        <v xml:space="preserve">Sistema de información misional implementado </v>
      </c>
      <c r="F55" s="429" t="str">
        <f>+'07-POTESTAD DISCIPLINARIA'!J22</f>
        <v>Porcentaje de avance en la implementación de Sistema de Información</v>
      </c>
      <c r="G55" s="420" t="s">
        <v>759</v>
      </c>
      <c r="H55" s="415" t="s">
        <v>730</v>
      </c>
      <c r="I55" s="416">
        <v>90</v>
      </c>
      <c r="J55" s="417" t="str">
        <f t="shared" si="8"/>
        <v>Desde (&gt;=):</v>
      </c>
      <c r="K55" s="417">
        <f t="shared" si="1"/>
        <v>65</v>
      </c>
      <c r="L55" s="417" t="str">
        <f t="shared" si="9"/>
        <v>Hasta (&lt;=):</v>
      </c>
      <c r="M55" s="417">
        <f t="shared" si="3"/>
        <v>90</v>
      </c>
      <c r="N55" s="417" t="str">
        <f t="shared" si="10"/>
        <v>Menor A:</v>
      </c>
      <c r="O55" s="418">
        <v>65</v>
      </c>
      <c r="P55" s="430">
        <f>+'07-POTESTAD DISCIPLINARIA'!F22</f>
        <v>1</v>
      </c>
      <c r="Q55" s="432">
        <f>+'07-POTESTAD DISCIPLINARIA'!G22</f>
        <v>0.4</v>
      </c>
      <c r="R55" s="435" t="str">
        <f>+'07-POTESTAD DISCIPLINARIA'!O22</f>
        <v>Personería Delegada para la Coordinación de Potestad Disciplinaria</v>
      </c>
    </row>
    <row r="56" spans="2:18" ht="25.5">
      <c r="B56" s="412">
        <f t="shared" si="5"/>
        <v>52</v>
      </c>
      <c r="C56" s="422" t="s">
        <v>732</v>
      </c>
      <c r="D56" s="420" t="s">
        <v>829</v>
      </c>
      <c r="E56" s="429" t="str">
        <f>+'07-POTESTAD DISCIPLINARIA'!I23</f>
        <v>Relatoría diseñada e implementada</v>
      </c>
      <c r="F56" s="429" t="str">
        <f>+'07-POTESTAD DISCIPLINARIA'!J23</f>
        <v>Porcentaje de avance en la implementación de la relatoría</v>
      </c>
      <c r="G56" s="420" t="s">
        <v>759</v>
      </c>
      <c r="H56" s="415" t="s">
        <v>730</v>
      </c>
      <c r="I56" s="416">
        <v>90</v>
      </c>
      <c r="J56" s="417" t="str">
        <f t="shared" si="8"/>
        <v>Desde (&gt;=):</v>
      </c>
      <c r="K56" s="417">
        <f t="shared" si="1"/>
        <v>65</v>
      </c>
      <c r="L56" s="417" t="str">
        <f t="shared" si="9"/>
        <v>Hasta (&lt;=):</v>
      </c>
      <c r="M56" s="417">
        <f t="shared" si="3"/>
        <v>90</v>
      </c>
      <c r="N56" s="417" t="str">
        <f t="shared" si="10"/>
        <v>Menor A:</v>
      </c>
      <c r="O56" s="418">
        <v>65</v>
      </c>
      <c r="P56" s="430">
        <f>+'07-POTESTAD DISCIPLINARIA'!F23</f>
        <v>1</v>
      </c>
      <c r="Q56" s="432">
        <f>+'07-POTESTAD DISCIPLINARIA'!G23</f>
        <v>0.3</v>
      </c>
      <c r="R56" s="435" t="str">
        <f>+'07-POTESTAD DISCIPLINARIA'!O23</f>
        <v>Personería Delegada para la Coordinación de Potestad Disciplinaria</v>
      </c>
    </row>
    <row r="57" spans="2:18" ht="54" customHeight="1">
      <c r="B57" s="412">
        <f t="shared" si="5"/>
        <v>53</v>
      </c>
      <c r="C57" s="423" t="s">
        <v>733</v>
      </c>
      <c r="D57" s="420" t="s">
        <v>816</v>
      </c>
      <c r="E57" s="429" t="str">
        <f>+'08-G. DEL TALENTO HUMANO'!I16</f>
        <v>Porcentaje de novedades y situaciones administrativas gestionadas</v>
      </c>
      <c r="F57" s="429" t="str">
        <f>+'08-G. DEL TALENTO HUMANO'!J16</f>
        <v>N° de novedades y situaciones administrativas gestionadas /  N° requerimientos de novedades y situaciones administrativas presentados * 100</v>
      </c>
      <c r="G57" s="420" t="s">
        <v>759</v>
      </c>
      <c r="H57" s="415" t="s">
        <v>725</v>
      </c>
      <c r="I57" s="416">
        <v>90</v>
      </c>
      <c r="J57" s="417" t="str">
        <f t="shared" si="8"/>
        <v>Desde (&gt;):</v>
      </c>
      <c r="K57" s="417">
        <f t="shared" si="1"/>
        <v>69</v>
      </c>
      <c r="L57" s="417" t="str">
        <f t="shared" si="9"/>
        <v>Hasta (&lt;):</v>
      </c>
      <c r="M57" s="417">
        <f t="shared" si="3"/>
        <v>90</v>
      </c>
      <c r="N57" s="417" t="str">
        <f t="shared" si="10"/>
        <v>Menor o Igual A:</v>
      </c>
      <c r="O57" s="418">
        <v>69</v>
      </c>
      <c r="P57" s="431">
        <f>+'08-G. DEL TALENTO HUMANO'!F16</f>
        <v>1</v>
      </c>
      <c r="Q57" s="431">
        <f>+'08-G. DEL TALENTO HUMANO'!G16</f>
        <v>1</v>
      </c>
      <c r="R57" s="435" t="str">
        <f>+'08-G. DEL TALENTO HUMANO'!O16</f>
        <v xml:space="preserve">
Dirección de Talento Humano
</v>
      </c>
    </row>
    <row r="58" spans="2:18" ht="79.150000000000006" customHeight="1">
      <c r="B58" s="412">
        <f t="shared" si="5"/>
        <v>54</v>
      </c>
      <c r="C58" s="423" t="s">
        <v>733</v>
      </c>
      <c r="D58" s="420" t="s">
        <v>832</v>
      </c>
      <c r="E58" s="429" t="str">
        <f>+'08-G. DEL TALENTO HUMANO'!I17</f>
        <v xml:space="preserve">Novedades incluidas en la nómina  oportunamente  </v>
      </c>
      <c r="F58" s="429" t="str">
        <f>+'08-G. DEL TALENTO HUMANO'!J17</f>
        <v xml:space="preserve"> N° de Novedades incluidas en la Nomina oportunamente / N° de novedades radicadas en los plazos establecidos</v>
      </c>
      <c r="G58" s="420" t="s">
        <v>759</v>
      </c>
      <c r="H58" s="415" t="s">
        <v>725</v>
      </c>
      <c r="I58" s="416">
        <v>97</v>
      </c>
      <c r="J58" s="417" t="str">
        <f t="shared" si="8"/>
        <v>Desde (&gt;):</v>
      </c>
      <c r="K58" s="417">
        <f t="shared" si="1"/>
        <v>84</v>
      </c>
      <c r="L58" s="417" t="str">
        <f t="shared" si="9"/>
        <v>Hasta (&lt;):</v>
      </c>
      <c r="M58" s="417">
        <f t="shared" si="3"/>
        <v>97</v>
      </c>
      <c r="N58" s="417" t="str">
        <f t="shared" si="10"/>
        <v>Menor o Igual A:</v>
      </c>
      <c r="O58" s="418">
        <v>84</v>
      </c>
      <c r="P58" s="431">
        <f>+'08-G. DEL TALENTO HUMANO'!F17</f>
        <v>0.97799999999999998</v>
      </c>
      <c r="Q58" s="431">
        <f>+'08-G. DEL TALENTO HUMANO'!G17</f>
        <v>0.98</v>
      </c>
      <c r="R58" s="435" t="str">
        <f>+'08-G. DEL TALENTO HUMANO'!O17</f>
        <v>Dependencia Líder: 
Dirección de Talento Humano
Dependencia Operativa:
Subdirección de Gestión del Talento Humano</v>
      </c>
    </row>
    <row r="59" spans="2:18" ht="63.75">
      <c r="B59" s="412">
        <f t="shared" si="5"/>
        <v>55</v>
      </c>
      <c r="C59" s="423" t="s">
        <v>733</v>
      </c>
      <c r="D59" s="420" t="s">
        <v>833</v>
      </c>
      <c r="E59" s="429" t="str">
        <f>+'08-G. DEL TALENTO HUMANO'!I18</f>
        <v>Porcentaje de Usuarios internos satisfechos con las solicitudes de los servicios atendidas de la SGTH (Certificaciones laborales, bonos pensionales y autorizaciones de retiro de cesantías)</v>
      </c>
      <c r="F59" s="429" t="str">
        <f>+'08-G. DEL TALENTO HUMANO'!J18</f>
        <v>N° de usuarios satisfechos con las solicitudes de servicios atendidas por la SGTH (Certificaciones laborales, bonos pensionales y autorizaciones de retiro de cesantías. / N° de usuarios encuestados *100</v>
      </c>
      <c r="G59" s="420" t="s">
        <v>767</v>
      </c>
      <c r="H59" s="415" t="s">
        <v>725</v>
      </c>
      <c r="I59" s="416">
        <v>90</v>
      </c>
      <c r="J59" s="417" t="str">
        <f t="shared" si="8"/>
        <v>Desde (&gt;):</v>
      </c>
      <c r="K59" s="417">
        <f t="shared" si="1"/>
        <v>79</v>
      </c>
      <c r="L59" s="417" t="str">
        <f t="shared" si="9"/>
        <v>Hasta (&lt;):</v>
      </c>
      <c r="M59" s="417">
        <f t="shared" si="3"/>
        <v>90</v>
      </c>
      <c r="N59" s="417" t="str">
        <f t="shared" si="10"/>
        <v>Menor o Igual A:</v>
      </c>
      <c r="O59" s="418">
        <v>79</v>
      </c>
      <c r="P59" s="431">
        <f>+'08-G. DEL TALENTO HUMANO'!F18</f>
        <v>0.94499999999999995</v>
      </c>
      <c r="Q59" s="431">
        <f>+'08-G. DEL TALENTO HUMANO'!G18</f>
        <v>0.96</v>
      </c>
      <c r="R59" s="435" t="str">
        <f>+'08-G. DEL TALENTO HUMANO'!O18</f>
        <v>Dependencia Líder: 
Dirección de Talento Humano
Dependencia Operativa:
Subdirección de Gestión del Talento Humano</v>
      </c>
    </row>
    <row r="60" spans="2:18" ht="62.45" customHeight="1">
      <c r="B60" s="412">
        <f t="shared" si="5"/>
        <v>56</v>
      </c>
      <c r="C60" s="423" t="s">
        <v>733</v>
      </c>
      <c r="D60" s="420" t="s">
        <v>834</v>
      </c>
      <c r="E60" s="429" t="str">
        <f>+'08-G. DEL TALENTO HUMANO'!I19</f>
        <v>Plan Institucional de Capacitación formulado y ejecutado</v>
      </c>
      <c r="F60" s="429" t="str">
        <f>+'08-G. DEL TALENTO HUMANO'!J19</f>
        <v>Grado de avance en la formulación y ejecución del Plan Institucional de Capacitación</v>
      </c>
      <c r="G60" s="420" t="s">
        <v>759</v>
      </c>
      <c r="H60" s="415" t="s">
        <v>725</v>
      </c>
      <c r="I60" s="416">
        <v>90</v>
      </c>
      <c r="J60" s="417" t="str">
        <f t="shared" si="8"/>
        <v>Desde (&gt;):</v>
      </c>
      <c r="K60" s="417">
        <f t="shared" si="1"/>
        <v>69</v>
      </c>
      <c r="L60" s="417" t="str">
        <f t="shared" si="9"/>
        <v>Hasta (&lt;):</v>
      </c>
      <c r="M60" s="417">
        <f t="shared" si="3"/>
        <v>90</v>
      </c>
      <c r="N60" s="417" t="str">
        <f t="shared" si="10"/>
        <v>Menor o Igual A:</v>
      </c>
      <c r="O60" s="418">
        <v>69</v>
      </c>
      <c r="P60" s="431">
        <f>+'08-G. DEL TALENTO HUMANO'!F19</f>
        <v>1</v>
      </c>
      <c r="Q60" s="431">
        <f>+'08-G. DEL TALENTO HUMANO'!G19</f>
        <v>1</v>
      </c>
      <c r="R60" s="435" t="str">
        <f>+'08-G. DEL TALENTO HUMANO'!O19</f>
        <v>Dependencia Líder: 
Dirección de Talento Humano
Dependencia Operativa:
Subdirección de Desarrollo del Talento Humano</v>
      </c>
    </row>
    <row r="61" spans="2:18" ht="63" customHeight="1">
      <c r="B61" s="412">
        <f t="shared" si="5"/>
        <v>57</v>
      </c>
      <c r="C61" s="423" t="s">
        <v>733</v>
      </c>
      <c r="D61" s="420" t="s">
        <v>835</v>
      </c>
      <c r="E61" s="429" t="str">
        <f>+'08-G. DEL TALENTO HUMANO'!I20</f>
        <v>Plan Institucional de Bienestar formulado y ejecutado</v>
      </c>
      <c r="F61" s="429" t="str">
        <f>+'08-G. DEL TALENTO HUMANO'!J20</f>
        <v>Grado de avance en la formulación y ejecución del Plan Institucional de Bienestar</v>
      </c>
      <c r="G61" s="420" t="s">
        <v>759</v>
      </c>
      <c r="H61" s="415" t="s">
        <v>725</v>
      </c>
      <c r="I61" s="416">
        <v>90</v>
      </c>
      <c r="J61" s="417" t="str">
        <f t="shared" si="8"/>
        <v>Desde (&gt;):</v>
      </c>
      <c r="K61" s="417">
        <f t="shared" si="1"/>
        <v>69</v>
      </c>
      <c r="L61" s="417" t="str">
        <f t="shared" si="9"/>
        <v>Hasta (&lt;):</v>
      </c>
      <c r="M61" s="417">
        <f t="shared" si="3"/>
        <v>90</v>
      </c>
      <c r="N61" s="417" t="str">
        <f t="shared" si="10"/>
        <v>Menor o Igual A:</v>
      </c>
      <c r="O61" s="418">
        <v>69</v>
      </c>
      <c r="P61" s="431">
        <f>+'08-G. DEL TALENTO HUMANO'!F20</f>
        <v>1</v>
      </c>
      <c r="Q61" s="431">
        <f>+'08-G. DEL TALENTO HUMANO'!G20</f>
        <v>1</v>
      </c>
      <c r="R61" s="435" t="str">
        <f>+'08-G. DEL TALENTO HUMANO'!O20</f>
        <v>Dependencia Líder: 
Dirección de Talento Humano
Dependencia Operativa:
Subdirección de Desarrollo del Talento Humano</v>
      </c>
    </row>
    <row r="62" spans="2:18" ht="60">
      <c r="B62" s="412">
        <f t="shared" si="5"/>
        <v>58</v>
      </c>
      <c r="C62" s="423" t="s">
        <v>733</v>
      </c>
      <c r="D62" s="420" t="s">
        <v>836</v>
      </c>
      <c r="E62" s="429" t="str">
        <f>+'08-G. DEL TALENTO HUMANO'!I21</f>
        <v>Plan Institucional de Incentivos formulado y ejecutado</v>
      </c>
      <c r="F62" s="429" t="str">
        <f>+'08-G. DEL TALENTO HUMANO'!J21</f>
        <v>Grado de avance en la formulación y ejecución del Plan Institucional de Incentivos</v>
      </c>
      <c r="G62" s="420" t="s">
        <v>759</v>
      </c>
      <c r="H62" s="415" t="s">
        <v>725</v>
      </c>
      <c r="I62" s="416">
        <v>90</v>
      </c>
      <c r="J62" s="417" t="str">
        <f t="shared" si="8"/>
        <v>Desde (&gt;):</v>
      </c>
      <c r="K62" s="417">
        <f t="shared" si="1"/>
        <v>69</v>
      </c>
      <c r="L62" s="417" t="str">
        <f t="shared" si="9"/>
        <v>Hasta (&lt;):</v>
      </c>
      <c r="M62" s="417">
        <f t="shared" si="3"/>
        <v>90</v>
      </c>
      <c r="N62" s="417" t="str">
        <f t="shared" si="10"/>
        <v>Menor o Igual A:</v>
      </c>
      <c r="O62" s="418">
        <v>69</v>
      </c>
      <c r="P62" s="431">
        <f>+'08-G. DEL TALENTO HUMANO'!F21</f>
        <v>1</v>
      </c>
      <c r="Q62" s="431">
        <f>+'08-G. DEL TALENTO HUMANO'!G21</f>
        <v>1</v>
      </c>
      <c r="R62" s="435" t="str">
        <f>+'08-G. DEL TALENTO HUMANO'!O21</f>
        <v>Dependencia Líder: 
Dirección de Talento Humano
Dependencia Operativa:
Subdirección de Desarrollo del Talento Humano</v>
      </c>
    </row>
    <row r="63" spans="2:18" ht="60">
      <c r="B63" s="412">
        <f t="shared" si="5"/>
        <v>59</v>
      </c>
      <c r="C63" s="423" t="s">
        <v>733</v>
      </c>
      <c r="D63" s="420" t="s">
        <v>837</v>
      </c>
      <c r="E63" s="429" t="str">
        <f>+'08-G. DEL TALENTO HUMANO'!I22</f>
        <v>Plan Anual de Trabajo del Sistema de Gestión de Seguridad y Salud en el Trabajo SG-SST diseñado y ejecutado</v>
      </c>
      <c r="F63" s="429" t="str">
        <f>+'08-G. DEL TALENTO HUMANO'!J22</f>
        <v>Grado de avance en la formulación y ejecución del Plan Anual de Trabajo del SG-SST</v>
      </c>
      <c r="G63" s="420" t="s">
        <v>759</v>
      </c>
      <c r="H63" s="415" t="s">
        <v>725</v>
      </c>
      <c r="I63" s="416">
        <v>90</v>
      </c>
      <c r="J63" s="417" t="str">
        <f t="shared" si="8"/>
        <v>Desde (&gt;):</v>
      </c>
      <c r="K63" s="417">
        <f t="shared" si="1"/>
        <v>69</v>
      </c>
      <c r="L63" s="417" t="str">
        <f t="shared" si="9"/>
        <v>Hasta (&lt;):</v>
      </c>
      <c r="M63" s="417">
        <f t="shared" si="3"/>
        <v>90</v>
      </c>
      <c r="N63" s="417" t="str">
        <f t="shared" si="10"/>
        <v>Menor o Igual A:</v>
      </c>
      <c r="O63" s="418">
        <v>69</v>
      </c>
      <c r="P63" s="431">
        <f>+'08-G. DEL TALENTO HUMANO'!F22</f>
        <v>1</v>
      </c>
      <c r="Q63" s="431">
        <f>+'08-G. DEL TALENTO HUMANO'!G22</f>
        <v>1</v>
      </c>
      <c r="R63" s="435" t="str">
        <f>+'08-G. DEL TALENTO HUMANO'!O22</f>
        <v>Dependencia Líder: 
Dirección de Talento Humano
Dependencia Operativa:
Subdirección de Desarrollo del Talento Humano</v>
      </c>
    </row>
    <row r="64" spans="2:18" ht="51">
      <c r="B64" s="412">
        <f t="shared" si="5"/>
        <v>60</v>
      </c>
      <c r="C64" s="423" t="s">
        <v>733</v>
      </c>
      <c r="D64" s="420" t="s">
        <v>838</v>
      </c>
      <c r="E64" s="429" t="str">
        <f>+'08-G. DEL TALENTO HUMANO'!I23</f>
        <v>Capacitaciones realizadas sobre los Sistemas de Gestión y Evaluación del Desempeño Laboral de la Personería de Bogotá, D.C.</v>
      </c>
      <c r="F64" s="429" t="str">
        <f>+'08-G. DEL TALENTO HUMANO'!J23</f>
        <v>Número de capacitacionese realizadas sobre los Sistemas de Gestión y Evaluación del Desempeño Laboral de la Personería de Bogotá, D.C.</v>
      </c>
      <c r="G64" s="420" t="s">
        <v>759</v>
      </c>
      <c r="H64" s="415" t="s">
        <v>730</v>
      </c>
      <c r="I64" s="416">
        <v>100</v>
      </c>
      <c r="J64" s="417" t="str">
        <f t="shared" si="8"/>
        <v>Desde (&gt;=):</v>
      </c>
      <c r="K64" s="417">
        <f t="shared" si="1"/>
        <v>90</v>
      </c>
      <c r="L64" s="417" t="str">
        <f t="shared" si="9"/>
        <v>Hasta (&lt;=):</v>
      </c>
      <c r="M64" s="417">
        <f t="shared" si="3"/>
        <v>100</v>
      </c>
      <c r="N64" s="417" t="str">
        <f t="shared" si="10"/>
        <v>Menor A:</v>
      </c>
      <c r="O64" s="418">
        <v>90</v>
      </c>
      <c r="P64" s="430">
        <f>+'08-G. DEL TALENTO HUMANO'!F23</f>
        <v>21</v>
      </c>
      <c r="Q64" s="430">
        <f>+'08-G. DEL TALENTO HUMANO'!G23</f>
        <v>4</v>
      </c>
      <c r="R64" s="435" t="str">
        <f>+'08-G. DEL TALENTO HUMANO'!O23</f>
        <v>Dirección de Talento Humano</v>
      </c>
    </row>
    <row r="65" spans="2:18" ht="34.15" customHeight="1">
      <c r="B65" s="412">
        <f t="shared" si="5"/>
        <v>61</v>
      </c>
      <c r="C65" s="422" t="s">
        <v>734</v>
      </c>
      <c r="D65" s="420" t="s">
        <v>839</v>
      </c>
      <c r="E65" s="429" t="str">
        <f>+'09-G.  ADMINISTRATIVA'!I16</f>
        <v>Porcentaje de servicios atendidos</v>
      </c>
      <c r="F65" s="429" t="str">
        <f>+'09-G.  ADMINISTRATIVA'!J16</f>
        <v>No. Servicios realizados /Total de servicios solicitados *100</v>
      </c>
      <c r="G65" s="420" t="s">
        <v>759</v>
      </c>
      <c r="H65" s="415" t="s">
        <v>730</v>
      </c>
      <c r="I65" s="416">
        <v>97</v>
      </c>
      <c r="J65" s="417" t="str">
        <f t="shared" si="8"/>
        <v>Desde (&gt;=):</v>
      </c>
      <c r="K65" s="417">
        <f t="shared" ref="K65:K106" si="11">IF(I65&gt;O65,O65,
IF(I65&lt;O65,I65,
IF(I65=O65,"No Aplica","")))</f>
        <v>93</v>
      </c>
      <c r="L65" s="417" t="str">
        <f t="shared" si="9"/>
        <v>Hasta (&lt;=):</v>
      </c>
      <c r="M65" s="417">
        <f t="shared" ref="M65:M106" si="12">IF(I65&gt;O65,I65,
IF(I65&lt;O65,O65,
IF(I65=O65,"No Aplica","")))</f>
        <v>97</v>
      </c>
      <c r="N65" s="417" t="str">
        <f t="shared" si="10"/>
        <v>Menor A:</v>
      </c>
      <c r="O65" s="418">
        <v>93</v>
      </c>
      <c r="P65" s="431">
        <f>+'09-G.  ADMINISTRATIVA'!G16</f>
        <v>1</v>
      </c>
      <c r="Q65" s="431">
        <f>+'09-G.  ADMINISTRATIVA'!G16</f>
        <v>1</v>
      </c>
      <c r="R65" s="435" t="str">
        <f>+'09-G.  ADMINISTRATIVA'!O16</f>
        <v>Subdirección de Gestión Documental y Recursos Físicos
Dirección Administrativa y Financiera</v>
      </c>
    </row>
    <row r="66" spans="2:18" ht="38.25">
      <c r="B66" s="412">
        <f t="shared" si="5"/>
        <v>62</v>
      </c>
      <c r="C66" s="422" t="s">
        <v>734</v>
      </c>
      <c r="D66" s="420" t="s">
        <v>841</v>
      </c>
      <c r="E66" s="429" t="str">
        <f>+'09-G.  ADMINISTRATIVA'!I17</f>
        <v>Porcentaje de actividades del PESV ejecutadas</v>
      </c>
      <c r="F66" s="429" t="str">
        <f>+'09-G.  ADMINISTRATIVA'!J17</f>
        <v>N° de actividades ejecutadas en el periodo/N° de actividades programadas en el PESV para la vigencia*100</v>
      </c>
      <c r="G66" s="420" t="s">
        <v>759</v>
      </c>
      <c r="H66" s="415" t="s">
        <v>730</v>
      </c>
      <c r="I66" s="416">
        <v>97</v>
      </c>
      <c r="J66" s="417" t="str">
        <f t="shared" si="8"/>
        <v>Desde (&gt;=):</v>
      </c>
      <c r="K66" s="417">
        <f t="shared" si="11"/>
        <v>93</v>
      </c>
      <c r="L66" s="417" t="str">
        <f t="shared" si="9"/>
        <v>Hasta (&lt;=):</v>
      </c>
      <c r="M66" s="417">
        <f t="shared" si="12"/>
        <v>97</v>
      </c>
      <c r="N66" s="417" t="str">
        <f t="shared" si="10"/>
        <v>Menor A:</v>
      </c>
      <c r="O66" s="418">
        <v>93</v>
      </c>
      <c r="P66" s="431">
        <f>+'09-G.  ADMINISTRATIVA'!G17</f>
        <v>0.97</v>
      </c>
      <c r="Q66" s="431">
        <f>+'09-G.  ADMINISTRATIVA'!G17</f>
        <v>0.97</v>
      </c>
      <c r="R66" s="435" t="str">
        <f>+'09-G.  ADMINISTRATIVA'!O17</f>
        <v>Subdirección de Gestión Documental y Recursos Físicos
Dirección Administrativa y Financiera</v>
      </c>
    </row>
    <row r="67" spans="2:18" ht="25.5">
      <c r="B67" s="412">
        <f t="shared" si="5"/>
        <v>63</v>
      </c>
      <c r="C67" s="423" t="s">
        <v>735</v>
      </c>
      <c r="D67" s="420" t="s">
        <v>840</v>
      </c>
      <c r="E67" s="429" t="str">
        <f>+'10-GESTIÓN FINANCIERA'!I16</f>
        <v>Porcentaje del presupuesto aprobado y ejecutado.</v>
      </c>
      <c r="F67" s="429" t="str">
        <f>+'10-GESTIÓN FINANCIERA'!J16</f>
        <v>Valor de ejecución de presupuesto / Valor del presupuesto aprobado</v>
      </c>
      <c r="G67" s="420" t="s">
        <v>759</v>
      </c>
      <c r="H67" s="415" t="s">
        <v>725</v>
      </c>
      <c r="I67" s="416">
        <v>95</v>
      </c>
      <c r="J67" s="417" t="str">
        <f t="shared" ref="J67:J106" si="13">IF(OR($H67="Mayor A:",$H67="Menor A:"),"Desde (&gt;=):",
IF(OR($H67="Mayor o Igual A:",$H67="Menor o Igual A:"),"Desde (&gt;):",
IF($H67="Igual A:","No Aplica",
IF($H67="",""))))</f>
        <v>Desde (&gt;):</v>
      </c>
      <c r="K67" s="417">
        <f t="shared" si="11"/>
        <v>90</v>
      </c>
      <c r="L67" s="417" t="str">
        <f t="shared" ref="L67:L106" si="14">IF(OR($H67="Mayor A:",$H67="Menor A:"),"Hasta (&lt;=):",
IF(OR($H67="Mayor o Igual A:",$H67="Menor o Igual A:"),"Hasta (&lt;):",
IF($H67="Igual A:","No Aplica",
IF($H67="",""))))</f>
        <v>Hasta (&lt;):</v>
      </c>
      <c r="M67" s="417">
        <f t="shared" si="12"/>
        <v>95</v>
      </c>
      <c r="N67" s="417" t="str">
        <f t="shared" ref="N67:N106" si="15">IF($H67="Mayor A:","Menor A:",
IF($H67="Menor A:","Mayor A:",
IF($H67="Mayor o Igual A:","Menor o Igual A:",
IF($H67="Menor o Igual A:","Mayor o Igual A:",
IF($H67="Igual A:","Igual A:",
IF($H67="",""))))))</f>
        <v>Menor o Igual A:</v>
      </c>
      <c r="O67" s="418">
        <v>90</v>
      </c>
      <c r="P67" s="431">
        <f>+'10-GESTIÓN FINANCIERA'!F16</f>
        <v>0.95</v>
      </c>
      <c r="Q67" s="431">
        <f>+'10-GESTIÓN FINANCIERA'!G16</f>
        <v>0.95</v>
      </c>
      <c r="R67" s="435" t="str">
        <f>+'10-GESTIÓN FINANCIERA'!O16</f>
        <v>Subdirección de Gestión Financiera
Dirección Administrativa y Financiera</v>
      </c>
    </row>
    <row r="68" spans="2:18" ht="25.5">
      <c r="B68" s="412">
        <f t="shared" si="5"/>
        <v>64</v>
      </c>
      <c r="C68" s="423" t="s">
        <v>735</v>
      </c>
      <c r="D68" s="420" t="s">
        <v>842</v>
      </c>
      <c r="E68" s="429" t="str">
        <f>+'10-GESTIÓN FINANCIERA'!I17</f>
        <v>Porcentaje de los compromisos de pago programados y ejecutados.</v>
      </c>
      <c r="F68" s="429" t="str">
        <f>+'10-GESTIÓN FINANCIERA'!J17</f>
        <v>Valor de pagos realizados / Valor del presupuesto ejecutado</v>
      </c>
      <c r="G68" s="420" t="s">
        <v>759</v>
      </c>
      <c r="H68" s="415" t="s">
        <v>725</v>
      </c>
      <c r="I68" s="416">
        <v>95</v>
      </c>
      <c r="J68" s="417" t="str">
        <f t="shared" si="13"/>
        <v>Desde (&gt;):</v>
      </c>
      <c r="K68" s="417">
        <f t="shared" si="11"/>
        <v>90</v>
      </c>
      <c r="L68" s="417" t="str">
        <f t="shared" si="14"/>
        <v>Hasta (&lt;):</v>
      </c>
      <c r="M68" s="417">
        <f t="shared" si="12"/>
        <v>95</v>
      </c>
      <c r="N68" s="417" t="str">
        <f t="shared" si="15"/>
        <v>Menor o Igual A:</v>
      </c>
      <c r="O68" s="418">
        <v>90</v>
      </c>
      <c r="P68" s="431">
        <f>+'10-GESTIÓN FINANCIERA'!F17</f>
        <v>0.95</v>
      </c>
      <c r="Q68" s="431">
        <f>+'10-GESTIÓN FINANCIERA'!G17</f>
        <v>0.95</v>
      </c>
      <c r="R68" s="435" t="str">
        <f>+'10-GESTIÓN FINANCIERA'!O17</f>
        <v>Subdirección de Gestión Financiera
Dirección Administrativa y Financiera</v>
      </c>
    </row>
    <row r="69" spans="2:18" ht="25.5">
      <c r="B69" s="412">
        <f t="shared" si="5"/>
        <v>65</v>
      </c>
      <c r="C69" s="423" t="s">
        <v>735</v>
      </c>
      <c r="D69" s="420" t="s">
        <v>843</v>
      </c>
      <c r="E69" s="429" t="str">
        <f>+'10-GESTIÓN FINANCIERA'!I18</f>
        <v>Porcentaje de estados financieros de la Entidad elaborados y presentados.</v>
      </c>
      <c r="F69" s="429" t="str">
        <f>+'10-GESTIÓN FINANCIERA'!J18</f>
        <v>Estados Financieros presentados</v>
      </c>
      <c r="G69" s="420" t="s">
        <v>759</v>
      </c>
      <c r="H69" s="415" t="s">
        <v>725</v>
      </c>
      <c r="I69" s="416">
        <v>100</v>
      </c>
      <c r="J69" s="417" t="str">
        <f t="shared" si="13"/>
        <v>Desde (&gt;):</v>
      </c>
      <c r="K69" s="417">
        <f t="shared" si="11"/>
        <v>95</v>
      </c>
      <c r="L69" s="417" t="str">
        <f t="shared" si="14"/>
        <v>Hasta (&lt;):</v>
      </c>
      <c r="M69" s="417">
        <f t="shared" si="12"/>
        <v>100</v>
      </c>
      <c r="N69" s="417" t="str">
        <f t="shared" si="15"/>
        <v>Menor o Igual A:</v>
      </c>
      <c r="O69" s="418">
        <v>95</v>
      </c>
      <c r="P69" s="431">
        <f>+'10-GESTIÓN FINANCIERA'!F18</f>
        <v>1</v>
      </c>
      <c r="Q69" s="431">
        <f>+'10-GESTIÓN FINANCIERA'!G18</f>
        <v>1</v>
      </c>
      <c r="R69" s="435" t="str">
        <f>+'10-GESTIÓN FINANCIERA'!O18</f>
        <v>Subdirección de Gestión Financiera
Dirección Administrativa y Financiera</v>
      </c>
    </row>
    <row r="70" spans="2:18" ht="25.5">
      <c r="B70" s="412">
        <f t="shared" si="5"/>
        <v>66</v>
      </c>
      <c r="C70" s="422" t="s">
        <v>736</v>
      </c>
      <c r="D70" s="420" t="s">
        <v>830</v>
      </c>
      <c r="E70" s="429" t="str">
        <f>+'11-GESTIÓN CONTRACTUAL'!I16</f>
        <v xml:space="preserve">Porcentaje del Plan Anual de Adquisiciones ejecutado </v>
      </c>
      <c r="F70" s="429" t="str">
        <f>+'11-GESTIÓN CONTRACTUAL'!J16</f>
        <v>No. de adquisiciones realizadas /Total de adquisiciones planeadas *100</v>
      </c>
      <c r="G70" s="420" t="s">
        <v>759</v>
      </c>
      <c r="H70" s="415" t="s">
        <v>725</v>
      </c>
      <c r="I70" s="416">
        <v>95</v>
      </c>
      <c r="J70" s="417" t="str">
        <f t="shared" si="13"/>
        <v>Desde (&gt;):</v>
      </c>
      <c r="K70" s="417">
        <f t="shared" si="11"/>
        <v>90</v>
      </c>
      <c r="L70" s="417" t="str">
        <f t="shared" si="14"/>
        <v>Hasta (&lt;):</v>
      </c>
      <c r="M70" s="417">
        <f t="shared" si="12"/>
        <v>95</v>
      </c>
      <c r="N70" s="417" t="str">
        <f t="shared" si="15"/>
        <v>Menor o Igual A:</v>
      </c>
      <c r="O70" s="418">
        <v>90</v>
      </c>
      <c r="P70" s="431">
        <f>+'11-GESTIÓN CONTRACTUAL'!F16</f>
        <v>0.95</v>
      </c>
      <c r="Q70" s="431">
        <f>+'11-GESTIÓN CONTRACTUAL'!G16</f>
        <v>0.95</v>
      </c>
      <c r="R70" s="435" t="str">
        <f>+'11-GESTIÓN CONTRACTUAL'!O16</f>
        <v>Subdirección de Gestión Contractual
Dirección Administrativa y Financiera</v>
      </c>
    </row>
    <row r="71" spans="2:18" ht="63.75">
      <c r="B71" s="412">
        <f t="shared" si="5"/>
        <v>67</v>
      </c>
      <c r="C71" s="422" t="s">
        <v>736</v>
      </c>
      <c r="D71" s="420" t="s">
        <v>919</v>
      </c>
      <c r="E71" s="429" t="s">
        <v>909</v>
      </c>
      <c r="F71" s="429" t="s">
        <v>912</v>
      </c>
      <c r="G71" s="420" t="s">
        <v>763</v>
      </c>
      <c r="H71" s="415" t="s">
        <v>725</v>
      </c>
      <c r="I71" s="416">
        <v>95</v>
      </c>
      <c r="J71" s="417" t="str">
        <f t="shared" si="13"/>
        <v>Desde (&gt;):</v>
      </c>
      <c r="K71" s="417">
        <f t="shared" si="11"/>
        <v>80</v>
      </c>
      <c r="L71" s="417" t="str">
        <f t="shared" si="14"/>
        <v>Hasta (&lt;):</v>
      </c>
      <c r="M71" s="417">
        <f t="shared" si="12"/>
        <v>95</v>
      </c>
      <c r="N71" s="417" t="str">
        <f t="shared" si="15"/>
        <v>Menor o Igual A:</v>
      </c>
      <c r="O71" s="418">
        <v>80</v>
      </c>
      <c r="P71" s="431">
        <f>+'11-GESTIÓN CONTRACTUAL'!F17</f>
        <v>0.95</v>
      </c>
      <c r="Q71" s="431">
        <f>+'11-GESTIÓN CONTRACTUAL'!G17</f>
        <v>0.8</v>
      </c>
      <c r="R71" s="435" t="str">
        <f>+'11-GESTIÓN CONTRACTUAL'!O17</f>
        <v>Subdirección de Gestión Contractual</v>
      </c>
    </row>
    <row r="72" spans="2:18" ht="89.25">
      <c r="B72" s="412">
        <f t="shared" ref="B72" si="16">1+B71</f>
        <v>68</v>
      </c>
      <c r="C72" s="422" t="s">
        <v>736</v>
      </c>
      <c r="D72" s="420" t="s">
        <v>920</v>
      </c>
      <c r="E72" s="429" t="s">
        <v>910</v>
      </c>
      <c r="F72" s="429" t="s">
        <v>918</v>
      </c>
      <c r="G72" s="420" t="s">
        <v>763</v>
      </c>
      <c r="H72" s="415" t="s">
        <v>725</v>
      </c>
      <c r="I72" s="416">
        <v>95</v>
      </c>
      <c r="J72" s="417" t="str">
        <f t="shared" si="13"/>
        <v>Desde (&gt;):</v>
      </c>
      <c r="K72" s="417">
        <f t="shared" si="11"/>
        <v>80</v>
      </c>
      <c r="L72" s="417" t="str">
        <f t="shared" si="14"/>
        <v>Hasta (&lt;):</v>
      </c>
      <c r="M72" s="417">
        <f t="shared" si="12"/>
        <v>95</v>
      </c>
      <c r="N72" s="417" t="str">
        <f t="shared" si="15"/>
        <v>Menor o Igual A:</v>
      </c>
      <c r="O72" s="418">
        <v>80</v>
      </c>
      <c r="P72" s="431">
        <f>+'11-GESTIÓN CONTRACTUAL'!F18</f>
        <v>0.95</v>
      </c>
      <c r="Q72" s="431">
        <f>+'11-GESTIÓN CONTRACTUAL'!G18</f>
        <v>0.8</v>
      </c>
      <c r="R72" s="435" t="str">
        <f>+'11-GESTIÓN CONTRACTUAL'!O18</f>
        <v>Subdirección de Gestión Contractual</v>
      </c>
    </row>
    <row r="73" spans="2:18" ht="89.25">
      <c r="B73" s="412">
        <f t="shared" si="5"/>
        <v>69</v>
      </c>
      <c r="C73" s="422" t="s">
        <v>736</v>
      </c>
      <c r="D73" s="420" t="s">
        <v>921</v>
      </c>
      <c r="E73" s="429" t="s">
        <v>911</v>
      </c>
      <c r="F73" s="429" t="s">
        <v>917</v>
      </c>
      <c r="G73" s="420" t="s">
        <v>763</v>
      </c>
      <c r="H73" s="415" t="s">
        <v>725</v>
      </c>
      <c r="I73" s="416">
        <v>95</v>
      </c>
      <c r="J73" s="417" t="str">
        <f t="shared" si="13"/>
        <v>Desde (&gt;):</v>
      </c>
      <c r="K73" s="417">
        <f t="shared" si="11"/>
        <v>80</v>
      </c>
      <c r="L73" s="417" t="str">
        <f t="shared" si="14"/>
        <v>Hasta (&lt;):</v>
      </c>
      <c r="M73" s="417">
        <f t="shared" si="12"/>
        <v>95</v>
      </c>
      <c r="N73" s="417" t="str">
        <f t="shared" si="15"/>
        <v>Menor o Igual A:</v>
      </c>
      <c r="O73" s="418">
        <v>80</v>
      </c>
      <c r="P73" s="431">
        <f>+'11-GESTIÓN CONTRACTUAL'!F19</f>
        <v>0.95</v>
      </c>
      <c r="Q73" s="431">
        <f>+'11-GESTIÓN CONTRACTUAL'!G19</f>
        <v>0.8</v>
      </c>
      <c r="R73" s="435" t="str">
        <f>+'11-GESTIÓN CONTRACTUAL'!O19</f>
        <v>Subdirección de Gestión Contractual</v>
      </c>
    </row>
    <row r="74" spans="2:18" ht="58.15" customHeight="1">
      <c r="B74" s="412">
        <f t="shared" ref="B74" si="17">1+B73</f>
        <v>70</v>
      </c>
      <c r="C74" s="423" t="s">
        <v>737</v>
      </c>
      <c r="D74" s="420" t="s">
        <v>831</v>
      </c>
      <c r="E74" s="429" t="str">
        <f>+'12-GESTIÓN DOCUMENTAL'!I16</f>
        <v>Porcentaje de Comunicaciones oficiales con reparto realizado dentro de los 3 días hábiles desde su radicación</v>
      </c>
      <c r="F74" s="429" t="str">
        <f>+'12-GESTIÓN DOCUMENTAL'!J16</f>
        <v>No comunicaciones entregadas a las dependencias internas dentro de los 3 días hábiles de su recepción / Numero de comunicaciones recibidas en el Grupo de Correspondencia</v>
      </c>
      <c r="G74" s="420" t="s">
        <v>763</v>
      </c>
      <c r="H74" s="415" t="s">
        <v>730</v>
      </c>
      <c r="I74" s="416">
        <v>95</v>
      </c>
      <c r="J74" s="417" t="str">
        <f t="shared" si="13"/>
        <v>Desde (&gt;=):</v>
      </c>
      <c r="K74" s="417">
        <f t="shared" si="11"/>
        <v>90</v>
      </c>
      <c r="L74" s="417" t="str">
        <f t="shared" si="14"/>
        <v>Hasta (&lt;=):</v>
      </c>
      <c r="M74" s="417">
        <f t="shared" si="12"/>
        <v>95</v>
      </c>
      <c r="N74" s="417" t="str">
        <f t="shared" si="15"/>
        <v>Menor A:</v>
      </c>
      <c r="O74" s="418">
        <v>90</v>
      </c>
      <c r="P74" s="431">
        <f>+'12-GESTIÓN DOCUMENTAL'!F16</f>
        <v>0.95</v>
      </c>
      <c r="Q74" s="431">
        <f>+'12-GESTIÓN DOCUMENTAL'!G16</f>
        <v>0.95</v>
      </c>
      <c r="R74" s="435" t="str">
        <f>+'12-GESTIÓN DOCUMENTAL'!O16</f>
        <v>Subdirección de Gestión Documental y Recursos Físicos - Grupo de Correspondencia</v>
      </c>
    </row>
    <row r="75" spans="2:18" ht="54" customHeight="1">
      <c r="B75" s="412">
        <f t="shared" ref="B75:B91" si="18">1+B74</f>
        <v>71</v>
      </c>
      <c r="C75" s="423" t="s">
        <v>737</v>
      </c>
      <c r="D75" s="420" t="s">
        <v>846</v>
      </c>
      <c r="E75" s="429" t="str">
        <f>+'12-GESTIÓN DOCUMENTAL'!I17</f>
        <v>Porcentaje de documentación incorporada en el archivo central durante la vigencia.</v>
      </c>
      <c r="F75" s="429" t="str">
        <f>+'12-GESTIÓN DOCUMENTAL'!J17</f>
        <v xml:space="preserve">Metros lineales incorporados al archivo central/ Metros lineales recibidos para incorporar al archivo central que cumplen los requisitos </v>
      </c>
      <c r="G75" s="420" t="s">
        <v>759</v>
      </c>
      <c r="H75" s="415" t="s">
        <v>730</v>
      </c>
      <c r="I75" s="416">
        <v>100</v>
      </c>
      <c r="J75" s="417" t="str">
        <f t="shared" si="13"/>
        <v>Desde (&gt;=):</v>
      </c>
      <c r="K75" s="417">
        <f t="shared" si="11"/>
        <v>93</v>
      </c>
      <c r="L75" s="417" t="str">
        <f t="shared" si="14"/>
        <v>Hasta (&lt;=):</v>
      </c>
      <c r="M75" s="417">
        <f t="shared" si="12"/>
        <v>100</v>
      </c>
      <c r="N75" s="417" t="str">
        <f t="shared" si="15"/>
        <v>Menor A:</v>
      </c>
      <c r="O75" s="418">
        <v>93</v>
      </c>
      <c r="P75" s="431">
        <f>+'12-GESTIÓN DOCUMENTAL'!F17</f>
        <v>0.8</v>
      </c>
      <c r="Q75" s="431">
        <f>+'12-GESTIÓN DOCUMENTAL'!G17</f>
        <v>0.8</v>
      </c>
      <c r="R75" s="435" t="str">
        <f>+'12-GESTIÓN DOCUMENTAL'!O17</f>
        <v>Subdirección de Gestión Documental y Recursos Físicos - Archivo central</v>
      </c>
    </row>
    <row r="76" spans="2:18" ht="51">
      <c r="B76" s="412">
        <f t="shared" si="18"/>
        <v>72</v>
      </c>
      <c r="C76" s="423" t="s">
        <v>737</v>
      </c>
      <c r="D76" s="420" t="s">
        <v>847</v>
      </c>
      <c r="E76" s="429" t="str">
        <f>+'12-GESTIÓN DOCUMENTAL'!I18</f>
        <v>Cantidad de actividades realizadas por año para el diseño, actualización o ajuste de los instrumentos archivísticos establecidos por norma</v>
      </c>
      <c r="F76" s="429" t="str">
        <f>+'12-GESTIÓN DOCUMENTAL'!J18</f>
        <v>Cantidad de actividades de diseño, actualización o ajuste de los instrumentos archivisticos establecidos por norma.</v>
      </c>
      <c r="G76" s="420" t="s">
        <v>759</v>
      </c>
      <c r="H76" s="415" t="s">
        <v>725</v>
      </c>
      <c r="I76" s="416">
        <v>100</v>
      </c>
      <c r="J76" s="417" t="str">
        <f t="shared" si="13"/>
        <v>Desde (&gt;):</v>
      </c>
      <c r="K76" s="417">
        <f t="shared" si="11"/>
        <v>80</v>
      </c>
      <c r="L76" s="417" t="str">
        <f t="shared" si="14"/>
        <v>Hasta (&lt;):</v>
      </c>
      <c r="M76" s="417">
        <f t="shared" si="12"/>
        <v>100</v>
      </c>
      <c r="N76" s="417" t="str">
        <f t="shared" si="15"/>
        <v>Menor o Igual A:</v>
      </c>
      <c r="O76" s="418">
        <v>80</v>
      </c>
      <c r="P76" s="437">
        <f>+'12-GESTIÓN DOCUMENTAL'!F18</f>
        <v>100</v>
      </c>
      <c r="Q76" s="437">
        <f>+'12-GESTIÓN DOCUMENTAL'!G18</f>
        <v>25</v>
      </c>
      <c r="R76" s="435" t="str">
        <f>+'12-GESTIÓN DOCUMENTAL'!O18</f>
        <v xml:space="preserve">Subdirección de Gestión Documental y Recursos Físicos </v>
      </c>
    </row>
    <row r="77" spans="2:18" ht="51">
      <c r="B77" s="412">
        <f t="shared" si="18"/>
        <v>73</v>
      </c>
      <c r="C77" s="423" t="s">
        <v>737</v>
      </c>
      <c r="D77" s="420" t="s">
        <v>848</v>
      </c>
      <c r="E77" s="429" t="str">
        <f>+'12-GESTIÓN DOCUMENTAL'!I19</f>
        <v>Cantidad de actividades realizadas por año para implementación de los instrumentos archivísticos establecidos por norma, y de herramientas de apoyo a la gestión documental.</v>
      </c>
      <c r="F77" s="429" t="str">
        <f>+'12-GESTIÓN DOCUMENTAL'!J19</f>
        <v>Cantidad de actividades de implementación de los instrumentos archivisticos establecidos por norma.</v>
      </c>
      <c r="G77" s="420" t="s">
        <v>759</v>
      </c>
      <c r="H77" s="415" t="s">
        <v>725</v>
      </c>
      <c r="I77" s="416">
        <v>100</v>
      </c>
      <c r="J77" s="417" t="str">
        <f t="shared" si="13"/>
        <v>Desde (&gt;):</v>
      </c>
      <c r="K77" s="417">
        <f t="shared" si="11"/>
        <v>80</v>
      </c>
      <c r="L77" s="417" t="str">
        <f t="shared" si="14"/>
        <v>Hasta (&lt;):</v>
      </c>
      <c r="M77" s="417">
        <f t="shared" si="12"/>
        <v>100</v>
      </c>
      <c r="N77" s="417" t="str">
        <f t="shared" si="15"/>
        <v>Menor o Igual A:</v>
      </c>
      <c r="O77" s="418">
        <v>80</v>
      </c>
      <c r="P77" s="437">
        <f>+'12-GESTIÓN DOCUMENTAL'!F19</f>
        <v>100</v>
      </c>
      <c r="Q77" s="437">
        <f>+'12-GESTIÓN DOCUMENTAL'!G19</f>
        <v>25</v>
      </c>
      <c r="R77" s="435" t="str">
        <f>+'12-GESTIÓN DOCUMENTAL'!O19</f>
        <v>Subdirección de Gestión Documental y Recursos Físicos
Dirección de Tecnologías de la Información y Comunicaciones</v>
      </c>
    </row>
    <row r="78" spans="2:18" ht="73.150000000000006" customHeight="1">
      <c r="B78" s="412">
        <f t="shared" si="18"/>
        <v>74</v>
      </c>
      <c r="C78" s="422" t="s">
        <v>738</v>
      </c>
      <c r="D78" s="420" t="s">
        <v>844</v>
      </c>
      <c r="E78" s="429" t="str">
        <f>+'13-GESTIÓN JURÍDICA'!I16</f>
        <v>Porcentaje de procesos judiciales en los que se vincule o demande a la Entidad, objeto de representación oportuna</v>
      </c>
      <c r="F78" s="429" t="str">
        <f>+'13-GESTIÓN JURÍDICA'!J16</f>
        <v>(Número de procesos judiciales en los que se representa oportunamente, de acuerdo con los términos fijados por los despachos judiciales / Número total de procesos judiciales en los que se vincula la Entidad )  (x 100)</v>
      </c>
      <c r="G78" s="420" t="s">
        <v>759</v>
      </c>
      <c r="H78" s="415" t="s">
        <v>725</v>
      </c>
      <c r="I78" s="416">
        <v>100</v>
      </c>
      <c r="J78" s="417" t="str">
        <f t="shared" si="13"/>
        <v>Desde (&gt;):</v>
      </c>
      <c r="K78" s="417">
        <f t="shared" si="11"/>
        <v>90</v>
      </c>
      <c r="L78" s="417" t="str">
        <f t="shared" si="14"/>
        <v>Hasta (&lt;):</v>
      </c>
      <c r="M78" s="417">
        <f t="shared" si="12"/>
        <v>100</v>
      </c>
      <c r="N78" s="417" t="str">
        <f t="shared" si="15"/>
        <v>Menor o Igual A:</v>
      </c>
      <c r="O78" s="418">
        <v>90</v>
      </c>
      <c r="P78" s="431">
        <f>+'13-GESTIÓN JURÍDICA'!F16</f>
        <v>1</v>
      </c>
      <c r="Q78" s="431">
        <f>+'13-GESTIÓN JURÍDICA'!G16</f>
        <v>1</v>
      </c>
      <c r="R78" s="435" t="str">
        <f>+'13-GESTIÓN JURÍDICA'!O16</f>
        <v>Oficina Asesora Jurídica</v>
      </c>
    </row>
    <row r="79" spans="2:18" ht="63.75">
      <c r="B79" s="412">
        <f t="shared" si="18"/>
        <v>75</v>
      </c>
      <c r="C79" s="422" t="s">
        <v>738</v>
      </c>
      <c r="D79" s="420" t="s">
        <v>851</v>
      </c>
      <c r="E79" s="429" t="str">
        <f>+'13-GESTIÓN JURÍDICA'!I17</f>
        <v xml:space="preserve">Porcentaje de acciones de tutela en las cuales se defienda judicialmente a la Entidad oportunamente </v>
      </c>
      <c r="F79" s="429"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9" s="420" t="s">
        <v>759</v>
      </c>
      <c r="H79" s="415" t="s">
        <v>725</v>
      </c>
      <c r="I79" s="416">
        <v>100</v>
      </c>
      <c r="J79" s="417" t="str">
        <f t="shared" si="13"/>
        <v>Desde (&gt;):</v>
      </c>
      <c r="K79" s="417">
        <f t="shared" si="11"/>
        <v>90</v>
      </c>
      <c r="L79" s="417" t="str">
        <f t="shared" si="14"/>
        <v>Hasta (&lt;):</v>
      </c>
      <c r="M79" s="417">
        <f t="shared" si="12"/>
        <v>100</v>
      </c>
      <c r="N79" s="417" t="str">
        <f t="shared" si="15"/>
        <v>Menor o Igual A:</v>
      </c>
      <c r="O79" s="418">
        <v>90</v>
      </c>
      <c r="P79" s="431">
        <f>+'13-GESTIÓN JURÍDICA'!F17</f>
        <v>1</v>
      </c>
      <c r="Q79" s="431">
        <f>+'13-GESTIÓN JURÍDICA'!G17</f>
        <v>1</v>
      </c>
      <c r="R79" s="435" t="str">
        <f>+'13-GESTIÓN JURÍDICA'!O17</f>
        <v>Oficina Asesora Jurídica</v>
      </c>
    </row>
    <row r="80" spans="2:18" ht="51">
      <c r="B80" s="412">
        <f t="shared" si="18"/>
        <v>76</v>
      </c>
      <c r="C80" s="422" t="s">
        <v>738</v>
      </c>
      <c r="D80" s="420" t="s">
        <v>852</v>
      </c>
      <c r="E80" s="429" t="str">
        <f>+'13-GESTIÓN JURÍDICA'!I18</f>
        <v>Porcentaje de conceptos de competencia de la dependencia emitidos oportunamente</v>
      </c>
      <c r="F80" s="429" t="str">
        <f>+'13-GESTIÓN JURÍDICA'!J18</f>
        <v>Número de conceptos emitidos oportunamente / Número de solicitudes de conceptos jurídicos recibidas de competencia de la dependencia (x100)</v>
      </c>
      <c r="G80" s="420" t="s">
        <v>759</v>
      </c>
      <c r="H80" s="415" t="s">
        <v>725</v>
      </c>
      <c r="I80" s="416">
        <v>100</v>
      </c>
      <c r="J80" s="417" t="str">
        <f t="shared" si="13"/>
        <v>Desde (&gt;):</v>
      </c>
      <c r="K80" s="417">
        <f t="shared" si="11"/>
        <v>90</v>
      </c>
      <c r="L80" s="417" t="str">
        <f t="shared" si="14"/>
        <v>Hasta (&lt;):</v>
      </c>
      <c r="M80" s="417">
        <f t="shared" si="12"/>
        <v>100</v>
      </c>
      <c r="N80" s="417" t="str">
        <f t="shared" si="15"/>
        <v>Menor o Igual A:</v>
      </c>
      <c r="O80" s="418">
        <v>90</v>
      </c>
      <c r="P80" s="431">
        <f>+'13-GESTIÓN JURÍDICA'!F18</f>
        <v>1</v>
      </c>
      <c r="Q80" s="431">
        <f>+'13-GESTIÓN JURÍDICA'!G18</f>
        <v>1</v>
      </c>
      <c r="R80" s="435" t="str">
        <f>+'13-GESTIÓN JURÍDICA'!O18</f>
        <v>Oficina Asesora Jurídica</v>
      </c>
    </row>
    <row r="81" spans="2:18" ht="38.25">
      <c r="B81" s="412">
        <f t="shared" si="18"/>
        <v>77</v>
      </c>
      <c r="C81" s="422" t="s">
        <v>738</v>
      </c>
      <c r="D81" s="420" t="s">
        <v>853</v>
      </c>
      <c r="E81" s="429" t="str">
        <f>+'13-GESTIÓN JURÍDICA'!I19</f>
        <v>Porcentaje de reportes de la base de datos de sanciones disciplinarias registrados</v>
      </c>
      <c r="F81" s="429" t="str">
        <f>+'13-GESTIÓN JURÍDICA'!J19</f>
        <v>Número de reportes actualizados / Número de solicitudes de actualización de reportes recibidos (x100)</v>
      </c>
      <c r="G81" s="420" t="s">
        <v>759</v>
      </c>
      <c r="H81" s="415" t="s">
        <v>725</v>
      </c>
      <c r="I81" s="416">
        <v>100</v>
      </c>
      <c r="J81" s="417" t="str">
        <f t="shared" si="13"/>
        <v>Desde (&gt;):</v>
      </c>
      <c r="K81" s="417">
        <f t="shared" si="11"/>
        <v>90</v>
      </c>
      <c r="L81" s="417" t="str">
        <f t="shared" si="14"/>
        <v>Hasta (&lt;):</v>
      </c>
      <c r="M81" s="417">
        <f t="shared" si="12"/>
        <v>100</v>
      </c>
      <c r="N81" s="417" t="str">
        <f t="shared" si="15"/>
        <v>Menor o Igual A:</v>
      </c>
      <c r="O81" s="418">
        <v>90</v>
      </c>
      <c r="P81" s="431">
        <f>+'13-GESTIÓN JURÍDICA'!F19</f>
        <v>1</v>
      </c>
      <c r="Q81" s="431">
        <f>+'13-GESTIÓN JURÍDICA'!G19</f>
        <v>1</v>
      </c>
      <c r="R81" s="435" t="str">
        <f>+'13-GESTIÓN JURÍDICA'!O19</f>
        <v>Oficina Asesora Jurídica</v>
      </c>
    </row>
    <row r="82" spans="2:18" ht="38.25">
      <c r="B82" s="412">
        <f t="shared" si="18"/>
        <v>78</v>
      </c>
      <c r="C82" s="422" t="s">
        <v>738</v>
      </c>
      <c r="D82" s="420" t="s">
        <v>854</v>
      </c>
      <c r="E82" s="429" t="str">
        <f>+'13-GESTIÓN JURÍDICA'!I20</f>
        <v>Porcentaje de antecedentes disciplinarios expedidos</v>
      </c>
      <c r="F82" s="429" t="str">
        <f>+'13-GESTIÓN JURÍDICA'!J20</f>
        <v>Número de antecedentes disciplinarios expedidos / Número de antecedentes disciplinarios solicitados (x100)</v>
      </c>
      <c r="G82" s="420" t="s">
        <v>759</v>
      </c>
      <c r="H82" s="415" t="s">
        <v>725</v>
      </c>
      <c r="I82" s="416">
        <v>100</v>
      </c>
      <c r="J82" s="417" t="str">
        <f t="shared" si="13"/>
        <v>Desde (&gt;):</v>
      </c>
      <c r="K82" s="417">
        <f t="shared" si="11"/>
        <v>90</v>
      </c>
      <c r="L82" s="417" t="str">
        <f t="shared" si="14"/>
        <v>Hasta (&lt;):</v>
      </c>
      <c r="M82" s="417">
        <f t="shared" si="12"/>
        <v>100</v>
      </c>
      <c r="N82" s="417" t="str">
        <f t="shared" si="15"/>
        <v>Menor o Igual A:</v>
      </c>
      <c r="O82" s="418">
        <v>90</v>
      </c>
      <c r="P82" s="431">
        <f>+'13-GESTIÓN JURÍDICA'!F20</f>
        <v>1</v>
      </c>
      <c r="Q82" s="431">
        <f>+'13-GESTIÓN JURÍDICA'!G20</f>
        <v>1</v>
      </c>
      <c r="R82" s="435" t="str">
        <f>+'13-GESTIÓN JURÍDICA'!O20</f>
        <v>Oficina Asesora Jurídica</v>
      </c>
    </row>
    <row r="83" spans="2:18" ht="38.25">
      <c r="B83" s="412">
        <f t="shared" si="18"/>
        <v>79</v>
      </c>
      <c r="C83" s="423" t="s">
        <v>739</v>
      </c>
      <c r="D83" s="420" t="s">
        <v>845</v>
      </c>
      <c r="E83" s="428" t="str">
        <f>+'14-SERVICIO AL USUARIO'!I16</f>
        <v>Porcentaje de Percepción de los usuarios en calificación excelente y bueno incrementado</v>
      </c>
      <c r="F83" s="428" t="str">
        <f>+'14-SERVICIO AL USUARIO'!J16</f>
        <v>(Número total de encuestas con calificación excelente y bueno/Número total de encuestras registradas)*100</v>
      </c>
      <c r="G83" s="420" t="s">
        <v>759</v>
      </c>
      <c r="H83" s="415" t="s">
        <v>730</v>
      </c>
      <c r="I83" s="416">
        <v>90</v>
      </c>
      <c r="J83" s="417" t="str">
        <f t="shared" si="13"/>
        <v>Desde (&gt;=):</v>
      </c>
      <c r="K83" s="417">
        <f t="shared" si="11"/>
        <v>70</v>
      </c>
      <c r="L83" s="417" t="str">
        <f t="shared" si="14"/>
        <v>Hasta (&lt;=):</v>
      </c>
      <c r="M83" s="417">
        <f t="shared" si="12"/>
        <v>90</v>
      </c>
      <c r="N83" s="417" t="str">
        <f t="shared" si="15"/>
        <v>Menor A:</v>
      </c>
      <c r="O83" s="418">
        <v>70</v>
      </c>
      <c r="P83" s="431">
        <f>+'14-SERVICIO AL USUARIO'!F16</f>
        <v>0.9</v>
      </c>
      <c r="Q83" s="431">
        <f>+'14-SERVICIO AL USUARIO'!G16</f>
        <v>0.9</v>
      </c>
      <c r="R83" s="435" t="str">
        <f>+'14-SERVICIO AL USUARIO'!O16</f>
        <v>Secretaría General</v>
      </c>
    </row>
    <row r="84" spans="2:18" ht="24.6" customHeight="1">
      <c r="B84" s="412">
        <f t="shared" si="18"/>
        <v>80</v>
      </c>
      <c r="C84" s="423" t="s">
        <v>739</v>
      </c>
      <c r="D84" s="420" t="s">
        <v>855</v>
      </c>
      <c r="E84" s="428" t="str">
        <f>+'14-SERVICIO AL USUARIO'!I17</f>
        <v>Lineamientos implementados</v>
      </c>
      <c r="F84" s="428" t="str">
        <f>+'14-SERVICIO AL USUARIO'!J17</f>
        <v>Número de lineamientos implementados en el periodo</v>
      </c>
      <c r="G84" s="420" t="s">
        <v>759</v>
      </c>
      <c r="H84" s="415" t="s">
        <v>730</v>
      </c>
      <c r="I84" s="416">
        <v>90</v>
      </c>
      <c r="J84" s="417" t="str">
        <f t="shared" si="13"/>
        <v>Desde (&gt;=):</v>
      </c>
      <c r="K84" s="417">
        <f t="shared" si="11"/>
        <v>70</v>
      </c>
      <c r="L84" s="417" t="str">
        <f t="shared" si="14"/>
        <v>Hasta (&lt;=):</v>
      </c>
      <c r="M84" s="417">
        <f t="shared" si="12"/>
        <v>90</v>
      </c>
      <c r="N84" s="417" t="str">
        <f t="shared" si="15"/>
        <v>Menor A:</v>
      </c>
      <c r="O84" s="418">
        <v>70</v>
      </c>
      <c r="P84" s="412">
        <f>+'14-SERVICIO AL USUARIO'!F17</f>
        <v>7</v>
      </c>
      <c r="Q84" s="412">
        <f>+'14-SERVICIO AL USUARIO'!G17</f>
        <v>3</v>
      </c>
      <c r="R84" s="435" t="str">
        <f>+'14-SERVICIO AL USUARIO'!O17</f>
        <v>Secretaría General</v>
      </c>
    </row>
    <row r="85" spans="2:18" ht="31.15" customHeight="1">
      <c r="B85" s="412">
        <f t="shared" si="18"/>
        <v>81</v>
      </c>
      <c r="C85" s="423" t="s">
        <v>739</v>
      </c>
      <c r="D85" s="420" t="s">
        <v>856</v>
      </c>
      <c r="E85" s="428" t="str">
        <f>+'14-SERVICIO AL USUARIO'!I18</f>
        <v>Acuerdos interinstitucionales gestionados</v>
      </c>
      <c r="F85" s="428" t="str">
        <f>+'14-SERVICIO AL USUARIO'!J18</f>
        <v>Número de acuerdos interinstitucionales gestionados en el periodo</v>
      </c>
      <c r="G85" s="420" t="s">
        <v>759</v>
      </c>
      <c r="H85" s="415" t="s">
        <v>730</v>
      </c>
      <c r="I85" s="416">
        <v>90</v>
      </c>
      <c r="J85" s="417" t="str">
        <f t="shared" si="13"/>
        <v>Desde (&gt;=):</v>
      </c>
      <c r="K85" s="417">
        <f t="shared" si="11"/>
        <v>70</v>
      </c>
      <c r="L85" s="417" t="str">
        <f t="shared" si="14"/>
        <v>Hasta (&lt;=):</v>
      </c>
      <c r="M85" s="417">
        <f t="shared" si="12"/>
        <v>90</v>
      </c>
      <c r="N85" s="417" t="str">
        <f t="shared" si="15"/>
        <v>Menor A:</v>
      </c>
      <c r="O85" s="418">
        <v>70</v>
      </c>
      <c r="P85" s="412">
        <f>+'14-SERVICIO AL USUARIO'!F18</f>
        <v>3</v>
      </c>
      <c r="Q85" s="412">
        <f>+'14-SERVICIO AL USUARIO'!G18</f>
        <v>1</v>
      </c>
      <c r="R85" s="435" t="str">
        <f>+'14-SERVICIO AL USUARIO'!O18</f>
        <v>Secretaría General</v>
      </c>
    </row>
    <row r="86" spans="2:18" ht="35.450000000000003" customHeight="1">
      <c r="B86" s="412">
        <f t="shared" si="18"/>
        <v>82</v>
      </c>
      <c r="C86" s="422" t="s">
        <v>740</v>
      </c>
      <c r="D86" s="420" t="s">
        <v>849</v>
      </c>
      <c r="E86" s="424" t="str">
        <f>+'15-CTRL DISCIPLINARIO INTERNO'!I16</f>
        <v>Medidas de preservación del orden interno emitidas</v>
      </c>
      <c r="F86" s="424" t="str">
        <f>+'15-CTRL DISCIPLINARIO INTERNO'!J16</f>
        <v>Número de medidas de preservación del orden interno emitidas</v>
      </c>
      <c r="G86" s="420" t="s">
        <v>759</v>
      </c>
      <c r="H86" s="415" t="s">
        <v>725</v>
      </c>
      <c r="I86" s="416">
        <v>100</v>
      </c>
      <c r="J86" s="417" t="str">
        <f t="shared" si="13"/>
        <v>Desde (&gt;):</v>
      </c>
      <c r="K86" s="417">
        <f t="shared" si="11"/>
        <v>79</v>
      </c>
      <c r="L86" s="417" t="str">
        <f t="shared" si="14"/>
        <v>Hasta (&lt;):</v>
      </c>
      <c r="M86" s="417">
        <f t="shared" si="12"/>
        <v>100</v>
      </c>
      <c r="N86" s="417" t="str">
        <f t="shared" si="15"/>
        <v>Menor o Igual A:</v>
      </c>
      <c r="O86" s="418">
        <v>79</v>
      </c>
      <c r="P86" s="412">
        <f>+'15-CTRL DISCIPLINARIO INTERNO'!F16</f>
        <v>148</v>
      </c>
      <c r="Q86" s="412">
        <f>+'15-CTRL DISCIPLINARIO INTERNO'!G16</f>
        <v>52</v>
      </c>
      <c r="R86" s="435" t="str">
        <f>+'15-CTRL DISCIPLINARIO INTERNO'!O16</f>
        <v>Oficina Control Interno Disciplinario</v>
      </c>
    </row>
    <row r="87" spans="2:18" ht="25.5">
      <c r="B87" s="412">
        <f t="shared" si="18"/>
        <v>83</v>
      </c>
      <c r="C87" s="422" t="s">
        <v>740</v>
      </c>
      <c r="D87" s="420" t="s">
        <v>857</v>
      </c>
      <c r="E87" s="424" t="str">
        <f>+'15-CTRL DISCIPLINARIO INTERNO'!I17</f>
        <v>Jornadas de sensibilización realizadas</v>
      </c>
      <c r="F87" s="424" t="str">
        <f>+'15-CTRL DISCIPLINARIO INTERNO'!J17</f>
        <v>Número de jornadas de sensibilización realizadas</v>
      </c>
      <c r="G87" s="420" t="s">
        <v>759</v>
      </c>
      <c r="H87" s="415" t="s">
        <v>725</v>
      </c>
      <c r="I87" s="416">
        <v>100</v>
      </c>
      <c r="J87" s="417" t="str">
        <f t="shared" si="13"/>
        <v>Desde (&gt;):</v>
      </c>
      <c r="K87" s="417">
        <f t="shared" si="11"/>
        <v>99</v>
      </c>
      <c r="L87" s="417" t="str">
        <f t="shared" si="14"/>
        <v>Hasta (&lt;):</v>
      </c>
      <c r="M87" s="417">
        <f t="shared" si="12"/>
        <v>100</v>
      </c>
      <c r="N87" s="417" t="str">
        <f t="shared" si="15"/>
        <v>Menor o Igual A:</v>
      </c>
      <c r="O87" s="418">
        <v>99</v>
      </c>
      <c r="P87" s="412">
        <f>+'15-CTRL DISCIPLINARIO INTERNO'!F17</f>
        <v>20</v>
      </c>
      <c r="Q87" s="412">
        <f>+'15-CTRL DISCIPLINARIO INTERNO'!G17</f>
        <v>6</v>
      </c>
      <c r="R87" s="435" t="str">
        <f>+'15-CTRL DISCIPLINARIO INTERNO'!O17</f>
        <v>Oficina Control Interno Disciplinario</v>
      </c>
    </row>
    <row r="88" spans="2:18" ht="25.5">
      <c r="B88" s="412">
        <f t="shared" si="18"/>
        <v>84</v>
      </c>
      <c r="C88" s="422" t="s">
        <v>740</v>
      </c>
      <c r="D88" s="420" t="s">
        <v>858</v>
      </c>
      <c r="E88" s="424" t="str">
        <f>+'15-CTRL DISCIPLINARIO INTERNO'!I18</f>
        <v>Procesos disciplinarios con decisión de fondo proferida</v>
      </c>
      <c r="F88" s="424" t="str">
        <f>+'15-CTRL DISCIPLINARIO INTERNO'!J18</f>
        <v>Número de procesos disciplinarios con decisión de fondo proferidos</v>
      </c>
      <c r="G88" s="420" t="s">
        <v>759</v>
      </c>
      <c r="H88" s="415" t="s">
        <v>725</v>
      </c>
      <c r="I88" s="416">
        <v>100</v>
      </c>
      <c r="J88" s="417" t="str">
        <f t="shared" si="13"/>
        <v>Desde (&gt;):</v>
      </c>
      <c r="K88" s="417">
        <f t="shared" si="11"/>
        <v>70</v>
      </c>
      <c r="L88" s="417" t="str">
        <f t="shared" si="14"/>
        <v>Hasta (&lt;):</v>
      </c>
      <c r="M88" s="417">
        <f t="shared" si="12"/>
        <v>100</v>
      </c>
      <c r="N88" s="417" t="str">
        <f t="shared" si="15"/>
        <v>Menor o Igual A:</v>
      </c>
      <c r="O88" s="418">
        <v>70</v>
      </c>
      <c r="P88" s="412">
        <f>+'15-CTRL DISCIPLINARIO INTERNO'!F18</f>
        <v>400</v>
      </c>
      <c r="Q88" s="412">
        <f>+'15-CTRL DISCIPLINARIO INTERNO'!G18</f>
        <v>100</v>
      </c>
      <c r="R88" s="435" t="str">
        <f>+'15-CTRL DISCIPLINARIO INTERNO'!O18</f>
        <v>Oficina Control Interno Disciplinario</v>
      </c>
    </row>
    <row r="89" spans="2:18" ht="36" customHeight="1">
      <c r="B89" s="412">
        <f t="shared" si="18"/>
        <v>85</v>
      </c>
      <c r="C89" s="423" t="s">
        <v>741</v>
      </c>
      <c r="D89" s="420" t="s">
        <v>850</v>
      </c>
      <c r="E89" s="424" t="str">
        <f>+'16-EVALUACIÓN Y SEGUIMIENTO'!I16</f>
        <v>Programa anual de auditorías ejecutado.</v>
      </c>
      <c r="F89" s="424" t="str">
        <f>+'16-EVALUACIÓN Y SEGUIMIENTO'!J16</f>
        <v>Grado del avance del Programa Anual de Auditoría</v>
      </c>
      <c r="G89" s="420" t="s">
        <v>759</v>
      </c>
      <c r="H89" s="415" t="s">
        <v>725</v>
      </c>
      <c r="I89" s="416">
        <v>90</v>
      </c>
      <c r="J89" s="417" t="str">
        <f t="shared" si="13"/>
        <v>Desde (&gt;):</v>
      </c>
      <c r="K89" s="417">
        <f t="shared" si="11"/>
        <v>69</v>
      </c>
      <c r="L89" s="417" t="str">
        <f t="shared" si="14"/>
        <v>Hasta (&lt;):</v>
      </c>
      <c r="M89" s="417">
        <f t="shared" si="12"/>
        <v>90</v>
      </c>
      <c r="N89" s="417" t="str">
        <f t="shared" si="15"/>
        <v>Menor o Igual A:</v>
      </c>
      <c r="O89" s="418">
        <v>69</v>
      </c>
      <c r="P89" s="412">
        <f>+'16-EVALUACIÓN Y SEGUIMIENTO'!F16</f>
        <v>4</v>
      </c>
      <c r="Q89" s="412">
        <f>+'16-EVALUACIÓN Y SEGUIMIENTO'!G16</f>
        <v>1</v>
      </c>
      <c r="R89" s="435" t="str">
        <f>+'16-EVALUACIÓN Y SEGUIMIENTO'!O16</f>
        <v>Oficina de Control Interno</v>
      </c>
    </row>
    <row r="90" spans="2:18" ht="25.5">
      <c r="B90" s="412">
        <f t="shared" si="18"/>
        <v>86</v>
      </c>
      <c r="C90" s="423" t="s">
        <v>741</v>
      </c>
      <c r="D90" s="420" t="s">
        <v>859</v>
      </c>
      <c r="E90" s="424" t="str">
        <f>+'16-EVALUACIÓN Y SEGUIMIENTO'!I17</f>
        <v>Estrategia de Sensibilización acerca de la Cultura del Control realizada</v>
      </c>
      <c r="F90" s="424" t="str">
        <f>+'16-EVALUACIÓN Y SEGUIMIENTO'!J17</f>
        <v>Número de estratégias de sensibilización acerca de la cultura del control desarrolladas</v>
      </c>
      <c r="G90" s="420" t="s">
        <v>759</v>
      </c>
      <c r="H90" s="415" t="s">
        <v>725</v>
      </c>
      <c r="I90" s="416">
        <v>90</v>
      </c>
      <c r="J90" s="417" t="str">
        <f t="shared" si="13"/>
        <v>Desde (&gt;):</v>
      </c>
      <c r="K90" s="417">
        <f t="shared" si="11"/>
        <v>69</v>
      </c>
      <c r="L90" s="417" t="str">
        <f t="shared" si="14"/>
        <v>Hasta (&lt;):</v>
      </c>
      <c r="M90" s="417">
        <f t="shared" si="12"/>
        <v>90</v>
      </c>
      <c r="N90" s="417" t="str">
        <f t="shared" si="15"/>
        <v>Menor o Igual A:</v>
      </c>
      <c r="O90" s="418">
        <v>69</v>
      </c>
      <c r="P90" s="412">
        <f>+'16-EVALUACIÓN Y SEGUIMIENTO'!F17</f>
        <v>4</v>
      </c>
      <c r="Q90" s="412">
        <f>+'16-EVALUACIÓN Y SEGUIMIENTO'!G17</f>
        <v>1</v>
      </c>
      <c r="R90" s="435" t="str">
        <f>+'16-EVALUACIÓN Y SEGUIMIENTO'!O17</f>
        <v>Oficina de Control Interno</v>
      </c>
    </row>
    <row r="91" spans="2:18" ht="38.25">
      <c r="B91" s="412">
        <f t="shared" si="18"/>
        <v>87</v>
      </c>
      <c r="C91" s="423" t="s">
        <v>741</v>
      </c>
      <c r="D91" s="420" t="s">
        <v>860</v>
      </c>
      <c r="E91" s="424" t="str">
        <f>+'16-EVALUACIÓN Y SEGUIMIENTO'!I18</f>
        <v>Sensibilización a Directivos y Referentes de Gestión sobre la Séptima Dimensión del MIPG realizada</v>
      </c>
      <c r="F91" s="424" t="str">
        <f>+'16-EVALUACIÓN Y SEGUIMIENTO'!J18</f>
        <v>Número de jornadas de Sensibilización realizadas</v>
      </c>
      <c r="G91" s="420" t="s">
        <v>759</v>
      </c>
      <c r="H91" s="415" t="s">
        <v>725</v>
      </c>
      <c r="I91" s="416">
        <v>90</v>
      </c>
      <c r="J91" s="417" t="str">
        <f t="shared" si="13"/>
        <v>Desde (&gt;):</v>
      </c>
      <c r="K91" s="417">
        <f t="shared" si="11"/>
        <v>69</v>
      </c>
      <c r="L91" s="417" t="str">
        <f t="shared" si="14"/>
        <v>Hasta (&lt;):</v>
      </c>
      <c r="M91" s="417">
        <f t="shared" si="12"/>
        <v>90</v>
      </c>
      <c r="N91" s="417" t="str">
        <f t="shared" si="15"/>
        <v>Menor o Igual A:</v>
      </c>
      <c r="O91" s="418">
        <v>69</v>
      </c>
      <c r="P91" s="412">
        <f>+'16-EVALUACIÓN Y SEGUIMIENTO'!F18</f>
        <v>4</v>
      </c>
      <c r="Q91" s="412">
        <f>+'16-EVALUACIÓN Y SEGUIMIENTO'!G18</f>
        <v>1</v>
      </c>
      <c r="R91" s="435" t="str">
        <f>+'16-EVALUACIÓN Y SEGUIMIENTO'!O18</f>
        <v>Oficina de Control Interno</v>
      </c>
    </row>
    <row r="92" spans="2:18">
      <c r="B92" s="412">
        <f t="shared" ref="B92:B106" si="19">1+B91</f>
        <v>88</v>
      </c>
      <c r="C92" s="439"/>
      <c r="D92" s="412"/>
      <c r="E92" s="424"/>
      <c r="F92" s="424"/>
      <c r="G92" s="420"/>
      <c r="H92" s="415"/>
      <c r="I92" s="416"/>
      <c r="J92" s="417" t="str">
        <f t="shared" si="13"/>
        <v/>
      </c>
      <c r="K92" s="417" t="str">
        <f t="shared" si="11"/>
        <v>No Aplica</v>
      </c>
      <c r="L92" s="417" t="str">
        <f t="shared" si="14"/>
        <v/>
      </c>
      <c r="M92" s="417" t="str">
        <f t="shared" si="12"/>
        <v>No Aplica</v>
      </c>
      <c r="N92" s="417" t="str">
        <f t="shared" si="15"/>
        <v/>
      </c>
      <c r="O92" s="418"/>
      <c r="P92" s="412"/>
      <c r="Q92" s="412"/>
      <c r="R92" s="435"/>
    </row>
    <row r="93" spans="2:18">
      <c r="B93" s="412">
        <f t="shared" si="19"/>
        <v>89</v>
      </c>
      <c r="C93" s="439"/>
      <c r="D93" s="412"/>
      <c r="E93" s="424"/>
      <c r="F93" s="424"/>
      <c r="G93" s="420"/>
      <c r="H93" s="415"/>
      <c r="I93" s="416"/>
      <c r="J93" s="417" t="str">
        <f t="shared" si="13"/>
        <v/>
      </c>
      <c r="K93" s="417" t="str">
        <f t="shared" si="11"/>
        <v>No Aplica</v>
      </c>
      <c r="L93" s="417" t="str">
        <f t="shared" si="14"/>
        <v/>
      </c>
      <c r="M93" s="417" t="str">
        <f t="shared" si="12"/>
        <v>No Aplica</v>
      </c>
      <c r="N93" s="417" t="str">
        <f t="shared" si="15"/>
        <v/>
      </c>
      <c r="O93" s="418"/>
      <c r="P93" s="412"/>
      <c r="Q93" s="412"/>
      <c r="R93" s="435"/>
    </row>
    <row r="94" spans="2:18">
      <c r="B94" s="412">
        <f t="shared" si="19"/>
        <v>90</v>
      </c>
      <c r="C94" s="439"/>
      <c r="D94" s="412"/>
      <c r="E94" s="424"/>
      <c r="F94" s="424"/>
      <c r="G94" s="420"/>
      <c r="H94" s="415"/>
      <c r="I94" s="416"/>
      <c r="J94" s="417" t="str">
        <f t="shared" si="13"/>
        <v/>
      </c>
      <c r="K94" s="417" t="str">
        <f t="shared" si="11"/>
        <v>No Aplica</v>
      </c>
      <c r="L94" s="417" t="str">
        <f t="shared" si="14"/>
        <v/>
      </c>
      <c r="M94" s="417" t="str">
        <f t="shared" si="12"/>
        <v>No Aplica</v>
      </c>
      <c r="N94" s="417" t="str">
        <f t="shared" si="15"/>
        <v/>
      </c>
      <c r="O94" s="418"/>
      <c r="P94" s="412"/>
      <c r="Q94" s="412"/>
      <c r="R94" s="435"/>
    </row>
    <row r="95" spans="2:18" hidden="1">
      <c r="B95" s="412">
        <f t="shared" si="19"/>
        <v>91</v>
      </c>
      <c r="C95" s="439"/>
      <c r="D95" s="412"/>
      <c r="E95" s="424"/>
      <c r="F95" s="424"/>
      <c r="G95" s="420"/>
      <c r="H95" s="415"/>
      <c r="I95" s="416"/>
      <c r="J95" s="417" t="str">
        <f t="shared" si="13"/>
        <v/>
      </c>
      <c r="K95" s="417" t="str">
        <f t="shared" si="11"/>
        <v>No Aplica</v>
      </c>
      <c r="L95" s="417" t="str">
        <f t="shared" si="14"/>
        <v/>
      </c>
      <c r="M95" s="417" t="str">
        <f t="shared" si="12"/>
        <v>No Aplica</v>
      </c>
      <c r="N95" s="417" t="str">
        <f t="shared" si="15"/>
        <v/>
      </c>
      <c r="O95" s="418"/>
      <c r="P95" s="412"/>
      <c r="Q95" s="412"/>
      <c r="R95" s="435"/>
    </row>
    <row r="96" spans="2:18" hidden="1">
      <c r="B96" s="412">
        <f t="shared" si="19"/>
        <v>92</v>
      </c>
      <c r="C96" s="439"/>
      <c r="D96" s="412"/>
      <c r="E96" s="424"/>
      <c r="F96" s="424"/>
      <c r="G96" s="420"/>
      <c r="H96" s="415"/>
      <c r="I96" s="416"/>
      <c r="J96" s="417" t="str">
        <f t="shared" si="13"/>
        <v/>
      </c>
      <c r="K96" s="417" t="str">
        <f t="shared" si="11"/>
        <v>No Aplica</v>
      </c>
      <c r="L96" s="417" t="str">
        <f t="shared" si="14"/>
        <v/>
      </c>
      <c r="M96" s="417" t="str">
        <f t="shared" si="12"/>
        <v>No Aplica</v>
      </c>
      <c r="N96" s="417" t="str">
        <f t="shared" si="15"/>
        <v/>
      </c>
      <c r="O96" s="418"/>
      <c r="P96" s="412"/>
      <c r="Q96" s="412"/>
      <c r="R96" s="435"/>
    </row>
    <row r="97" spans="2:18" hidden="1">
      <c r="B97" s="412">
        <f t="shared" si="19"/>
        <v>93</v>
      </c>
      <c r="C97" s="424"/>
      <c r="D97" s="412"/>
      <c r="E97" s="424"/>
      <c r="F97" s="424"/>
      <c r="G97" s="412"/>
      <c r="H97" s="415"/>
      <c r="I97" s="416"/>
      <c r="J97" s="417" t="str">
        <f t="shared" si="13"/>
        <v/>
      </c>
      <c r="K97" s="417" t="str">
        <f t="shared" si="11"/>
        <v>No Aplica</v>
      </c>
      <c r="L97" s="417" t="str">
        <f t="shared" si="14"/>
        <v/>
      </c>
      <c r="M97" s="417" t="str">
        <f t="shared" si="12"/>
        <v>No Aplica</v>
      </c>
      <c r="N97" s="417" t="str">
        <f t="shared" si="15"/>
        <v/>
      </c>
      <c r="O97" s="418"/>
      <c r="P97" s="412"/>
      <c r="Q97" s="412"/>
      <c r="R97" s="435"/>
    </row>
    <row r="98" spans="2:18" hidden="1">
      <c r="B98" s="412">
        <f t="shared" si="19"/>
        <v>94</v>
      </c>
      <c r="C98" s="424"/>
      <c r="D98" s="412"/>
      <c r="E98" s="424"/>
      <c r="F98" s="424"/>
      <c r="G98" s="412"/>
      <c r="H98" s="415"/>
      <c r="I98" s="416"/>
      <c r="J98" s="417" t="str">
        <f t="shared" si="13"/>
        <v/>
      </c>
      <c r="K98" s="417" t="str">
        <f t="shared" si="11"/>
        <v>No Aplica</v>
      </c>
      <c r="L98" s="417" t="str">
        <f t="shared" si="14"/>
        <v/>
      </c>
      <c r="M98" s="417" t="str">
        <f t="shared" si="12"/>
        <v>No Aplica</v>
      </c>
      <c r="N98" s="417" t="str">
        <f t="shared" si="15"/>
        <v/>
      </c>
      <c r="O98" s="418"/>
      <c r="P98" s="412"/>
      <c r="Q98" s="412"/>
      <c r="R98" s="435"/>
    </row>
    <row r="99" spans="2:18" hidden="1">
      <c r="B99" s="412">
        <f t="shared" si="19"/>
        <v>95</v>
      </c>
      <c r="C99" s="424"/>
      <c r="D99" s="412"/>
      <c r="E99" s="424"/>
      <c r="F99" s="424"/>
      <c r="G99" s="412"/>
      <c r="H99" s="415"/>
      <c r="I99" s="416"/>
      <c r="J99" s="417" t="str">
        <f t="shared" si="13"/>
        <v/>
      </c>
      <c r="K99" s="417" t="str">
        <f t="shared" si="11"/>
        <v>No Aplica</v>
      </c>
      <c r="L99" s="417" t="str">
        <f t="shared" si="14"/>
        <v/>
      </c>
      <c r="M99" s="417" t="str">
        <f t="shared" si="12"/>
        <v>No Aplica</v>
      </c>
      <c r="N99" s="417" t="str">
        <f t="shared" si="15"/>
        <v/>
      </c>
      <c r="O99" s="418"/>
      <c r="P99" s="412"/>
      <c r="Q99" s="412"/>
      <c r="R99" s="435"/>
    </row>
    <row r="100" spans="2:18" hidden="1">
      <c r="B100" s="412">
        <f t="shared" si="19"/>
        <v>96</v>
      </c>
      <c r="C100" s="424"/>
      <c r="D100" s="412"/>
      <c r="E100" s="424"/>
      <c r="F100" s="424"/>
      <c r="G100" s="412"/>
      <c r="H100" s="415"/>
      <c r="I100" s="416"/>
      <c r="J100" s="417" t="str">
        <f t="shared" si="13"/>
        <v/>
      </c>
      <c r="K100" s="417" t="str">
        <f t="shared" si="11"/>
        <v>No Aplica</v>
      </c>
      <c r="L100" s="417" t="str">
        <f t="shared" si="14"/>
        <v/>
      </c>
      <c r="M100" s="417" t="str">
        <f t="shared" si="12"/>
        <v>No Aplica</v>
      </c>
      <c r="N100" s="417" t="str">
        <f t="shared" si="15"/>
        <v/>
      </c>
      <c r="O100" s="418"/>
      <c r="P100" s="412"/>
      <c r="Q100" s="412"/>
      <c r="R100" s="435"/>
    </row>
    <row r="101" spans="2:18" hidden="1">
      <c r="B101" s="412">
        <f t="shared" si="19"/>
        <v>97</v>
      </c>
      <c r="C101" s="424"/>
      <c r="D101" s="412"/>
      <c r="E101" s="424"/>
      <c r="F101" s="424"/>
      <c r="G101" s="412"/>
      <c r="H101" s="415"/>
      <c r="I101" s="416"/>
      <c r="J101" s="417" t="str">
        <f t="shared" si="13"/>
        <v/>
      </c>
      <c r="K101" s="417" t="str">
        <f t="shared" si="11"/>
        <v>No Aplica</v>
      </c>
      <c r="L101" s="417" t="str">
        <f t="shared" si="14"/>
        <v/>
      </c>
      <c r="M101" s="417" t="str">
        <f t="shared" si="12"/>
        <v>No Aplica</v>
      </c>
      <c r="N101" s="417" t="str">
        <f t="shared" si="15"/>
        <v/>
      </c>
      <c r="O101" s="418"/>
      <c r="P101" s="412"/>
      <c r="Q101" s="412"/>
      <c r="R101" s="435"/>
    </row>
    <row r="102" spans="2:18" hidden="1">
      <c r="B102" s="412">
        <f t="shared" si="19"/>
        <v>98</v>
      </c>
      <c r="C102" s="424"/>
      <c r="D102" s="412"/>
      <c r="E102" s="424"/>
      <c r="F102" s="424"/>
      <c r="G102" s="412"/>
      <c r="H102" s="415"/>
      <c r="I102" s="416"/>
      <c r="J102" s="417" t="str">
        <f t="shared" si="13"/>
        <v/>
      </c>
      <c r="K102" s="417" t="str">
        <f t="shared" si="11"/>
        <v>No Aplica</v>
      </c>
      <c r="L102" s="417" t="str">
        <f t="shared" si="14"/>
        <v/>
      </c>
      <c r="M102" s="417" t="str">
        <f t="shared" si="12"/>
        <v>No Aplica</v>
      </c>
      <c r="N102" s="417" t="str">
        <f t="shared" si="15"/>
        <v/>
      </c>
      <c r="O102" s="418"/>
      <c r="P102" s="412"/>
      <c r="Q102" s="412"/>
      <c r="R102" s="435"/>
    </row>
    <row r="103" spans="2:18" hidden="1">
      <c r="B103" s="412">
        <f t="shared" si="19"/>
        <v>99</v>
      </c>
      <c r="C103" s="424"/>
      <c r="D103" s="412"/>
      <c r="E103" s="424"/>
      <c r="F103" s="424"/>
      <c r="G103" s="412"/>
      <c r="H103" s="415"/>
      <c r="I103" s="416"/>
      <c r="J103" s="417" t="str">
        <f t="shared" si="13"/>
        <v/>
      </c>
      <c r="K103" s="417" t="str">
        <f t="shared" si="11"/>
        <v>No Aplica</v>
      </c>
      <c r="L103" s="417" t="str">
        <f t="shared" si="14"/>
        <v/>
      </c>
      <c r="M103" s="417" t="str">
        <f t="shared" si="12"/>
        <v>No Aplica</v>
      </c>
      <c r="N103" s="417" t="str">
        <f t="shared" si="15"/>
        <v/>
      </c>
      <c r="O103" s="418"/>
      <c r="P103" s="412"/>
      <c r="Q103" s="412"/>
      <c r="R103" s="435"/>
    </row>
    <row r="104" spans="2:18" hidden="1">
      <c r="B104" s="412">
        <f t="shared" si="19"/>
        <v>100</v>
      </c>
      <c r="C104" s="424"/>
      <c r="D104" s="412"/>
      <c r="E104" s="424"/>
      <c r="F104" s="424"/>
      <c r="G104" s="412"/>
      <c r="H104" s="415"/>
      <c r="I104" s="416"/>
      <c r="J104" s="417" t="str">
        <f t="shared" si="13"/>
        <v/>
      </c>
      <c r="K104" s="417" t="str">
        <f t="shared" si="11"/>
        <v>No Aplica</v>
      </c>
      <c r="L104" s="417" t="str">
        <f t="shared" si="14"/>
        <v/>
      </c>
      <c r="M104" s="417" t="str">
        <f t="shared" si="12"/>
        <v>No Aplica</v>
      </c>
      <c r="N104" s="417" t="str">
        <f t="shared" si="15"/>
        <v/>
      </c>
      <c r="O104" s="418"/>
      <c r="P104" s="412"/>
      <c r="Q104" s="412"/>
      <c r="R104" s="435"/>
    </row>
    <row r="105" spans="2:18" hidden="1">
      <c r="B105" s="412">
        <f t="shared" si="19"/>
        <v>101</v>
      </c>
      <c r="C105" s="424"/>
      <c r="D105" s="412"/>
      <c r="E105" s="424"/>
      <c r="F105" s="424"/>
      <c r="G105" s="412"/>
      <c r="H105" s="415"/>
      <c r="I105" s="416"/>
      <c r="J105" s="417" t="str">
        <f t="shared" si="13"/>
        <v/>
      </c>
      <c r="K105" s="417" t="str">
        <f t="shared" si="11"/>
        <v>No Aplica</v>
      </c>
      <c r="L105" s="417" t="str">
        <f t="shared" si="14"/>
        <v/>
      </c>
      <c r="M105" s="417" t="str">
        <f t="shared" si="12"/>
        <v>No Aplica</v>
      </c>
      <c r="N105" s="417" t="str">
        <f t="shared" si="15"/>
        <v/>
      </c>
      <c r="O105" s="418"/>
      <c r="P105" s="412"/>
      <c r="Q105" s="412"/>
      <c r="R105" s="435"/>
    </row>
    <row r="106" spans="2:18" hidden="1">
      <c r="B106" s="412">
        <f t="shared" si="19"/>
        <v>102</v>
      </c>
      <c r="C106" s="424"/>
      <c r="D106" s="412"/>
      <c r="E106" s="414"/>
      <c r="F106" s="414"/>
      <c r="G106" s="412"/>
      <c r="H106" s="415"/>
      <c r="I106" s="416"/>
      <c r="J106" s="417" t="str">
        <f t="shared" si="13"/>
        <v/>
      </c>
      <c r="K106" s="417" t="str">
        <f t="shared" si="11"/>
        <v>No Aplica</v>
      </c>
      <c r="L106" s="417" t="str">
        <f t="shared" si="14"/>
        <v/>
      </c>
      <c r="M106" s="417" t="str">
        <f t="shared" si="12"/>
        <v>No Aplica</v>
      </c>
      <c r="N106" s="417" t="str">
        <f t="shared" si="15"/>
        <v/>
      </c>
      <c r="O106" s="418"/>
      <c r="P106" s="412"/>
      <c r="Q106" s="412"/>
      <c r="R106" s="435"/>
    </row>
    <row r="109" spans="2:18" ht="15.75">
      <c r="C109" s="1197" t="s">
        <v>750</v>
      </c>
      <c r="D109" s="1198" t="s">
        <v>862</v>
      </c>
      <c r="E109" s="1208" t="s">
        <v>892</v>
      </c>
      <c r="F109" s="1208"/>
      <c r="G109" s="1208"/>
    </row>
    <row r="110" spans="2:18" ht="15.75">
      <c r="C110" s="1197"/>
      <c r="D110" s="1198"/>
      <c r="E110" s="530" t="s">
        <v>759</v>
      </c>
      <c r="F110" s="530" t="s">
        <v>763</v>
      </c>
      <c r="G110" s="530" t="s">
        <v>767</v>
      </c>
    </row>
    <row r="111" spans="2:18" ht="14.25">
      <c r="C111" s="545" t="s">
        <v>724</v>
      </c>
      <c r="D111" s="548">
        <f>COUNT(B5:B8)</f>
        <v>4</v>
      </c>
      <c r="E111" s="549">
        <f>COUNTIF($G5:$G8,"Eficacia")</f>
        <v>4</v>
      </c>
      <c r="F111" s="549">
        <f>COUNTIF($G5:$G8,"Eficiencia")</f>
        <v>0</v>
      </c>
      <c r="G111" s="549">
        <f>COUNTIF($G5:$G8,"Efectividad")</f>
        <v>0</v>
      </c>
    </row>
    <row r="112" spans="2:18" ht="14.25">
      <c r="C112" s="545" t="s">
        <v>726</v>
      </c>
      <c r="D112" s="548">
        <f>COUNT(B9:B12)</f>
        <v>4</v>
      </c>
      <c r="E112" s="549">
        <f>COUNTIF($G9:$G12,"Eficacia")</f>
        <v>4</v>
      </c>
      <c r="F112" s="549">
        <f>COUNTIF($G9:$G12,"Eficiencia")</f>
        <v>0</v>
      </c>
      <c r="G112" s="549">
        <f>COUNTIF($G9:$G12,"Efectividad")</f>
        <v>0</v>
      </c>
    </row>
    <row r="113" spans="3:9" ht="14.25">
      <c r="C113" s="545" t="s">
        <v>727</v>
      </c>
      <c r="D113" s="548">
        <f>COUNT(B13:B19)</f>
        <v>7</v>
      </c>
      <c r="E113" s="549">
        <f>COUNTIF($G13:$G19,"Eficacia")</f>
        <v>7</v>
      </c>
      <c r="F113" s="549">
        <f>COUNTIF($G13:$G19,"Eficiencia")</f>
        <v>0</v>
      </c>
      <c r="G113" s="549">
        <f>COUNTIF($G13:$G19,"Efectividad")</f>
        <v>0</v>
      </c>
    </row>
    <row r="114" spans="3:9" ht="14.25">
      <c r="C114" s="545" t="s">
        <v>728</v>
      </c>
      <c r="D114" s="548">
        <f>COUNT(B20:B21)</f>
        <v>2</v>
      </c>
      <c r="E114" s="549">
        <f>COUNTIF($G20:$G21,"Eficacia")</f>
        <v>2</v>
      </c>
      <c r="F114" s="549">
        <f>COUNTIF($G20:$G21,"Eficiencia")</f>
        <v>0</v>
      </c>
      <c r="G114" s="549">
        <f>COUNTIF($G20:$G21,"Efectividad")</f>
        <v>0</v>
      </c>
    </row>
    <row r="115" spans="3:9" ht="14.25">
      <c r="C115" s="545" t="s">
        <v>729</v>
      </c>
      <c r="D115" s="548">
        <f>COUNT(B22:B41)</f>
        <v>20</v>
      </c>
      <c r="E115" s="549">
        <f>COUNTIF($G18:$G38,"Eficacia")</f>
        <v>21</v>
      </c>
      <c r="F115" s="549">
        <f>COUNTIF($G18:$G38,"Eficiencia")</f>
        <v>0</v>
      </c>
      <c r="G115" s="549">
        <f>COUNTIF($G18:$G38,"Efectividad")</f>
        <v>0</v>
      </c>
    </row>
    <row r="116" spans="3:9" ht="14.25">
      <c r="C116" s="545" t="s">
        <v>864</v>
      </c>
      <c r="D116" s="548">
        <f>COUNT(B42:B48)</f>
        <v>7</v>
      </c>
      <c r="E116" s="549">
        <f>COUNTIF($G42:$G48,"Eficacia")</f>
        <v>7</v>
      </c>
      <c r="F116" s="549">
        <f>COUNTIF($G42:$G48,"Eficiencia")</f>
        <v>0</v>
      </c>
      <c r="G116" s="549">
        <f>COUNTIF($G42:$G48,"Efectividad")</f>
        <v>0</v>
      </c>
    </row>
    <row r="117" spans="3:9" ht="14.25">
      <c r="C117" s="545" t="s">
        <v>732</v>
      </c>
      <c r="D117" s="548">
        <f>COUNT(B49:B56)</f>
        <v>8</v>
      </c>
      <c r="E117" s="549">
        <f>COUNTIF($G49:$G56,"Eficacia")</f>
        <v>8</v>
      </c>
      <c r="F117" s="549">
        <f>COUNTIF($G49:$G56,"Eficiencia")</f>
        <v>0</v>
      </c>
      <c r="G117" s="549">
        <f>COUNTIF($G49:$G56,"Efectividad")</f>
        <v>0</v>
      </c>
    </row>
    <row r="118" spans="3:9" ht="14.25">
      <c r="C118" s="545" t="s">
        <v>733</v>
      </c>
      <c r="D118" s="548">
        <f>COUNT(B57:B64)</f>
        <v>8</v>
      </c>
      <c r="E118" s="549">
        <f>COUNTIF($G57:$G64,"Eficacia")</f>
        <v>7</v>
      </c>
      <c r="F118" s="549">
        <f>COUNTIF($G57:$G64,"Eficiencia")</f>
        <v>0</v>
      </c>
      <c r="G118" s="549">
        <f>COUNTIF($G57:$G64,"Efectividad")</f>
        <v>1</v>
      </c>
    </row>
    <row r="119" spans="3:9" ht="14.25">
      <c r="C119" s="545" t="s">
        <v>734</v>
      </c>
      <c r="D119" s="548">
        <f>COUNT(B65:B66)</f>
        <v>2</v>
      </c>
      <c r="E119" s="549">
        <f>COUNTIF($G65:$G66,"Eficacia")</f>
        <v>2</v>
      </c>
      <c r="F119" s="549">
        <f>COUNTIF($G65:$G66,"Eficiencia")</f>
        <v>0</v>
      </c>
      <c r="G119" s="549">
        <f>COUNTIF($G65:$G66,"Efectividad")</f>
        <v>0</v>
      </c>
    </row>
    <row r="120" spans="3:9" ht="14.25">
      <c r="C120" s="545" t="s">
        <v>735</v>
      </c>
      <c r="D120" s="548">
        <f>COUNT(B67:B69)</f>
        <v>3</v>
      </c>
      <c r="E120" s="549">
        <f>COUNTIF($G67:$G69,"Eficacia")</f>
        <v>3</v>
      </c>
      <c r="F120" s="549">
        <f>COUNTIF($G67:$G69,"Eficiencia")</f>
        <v>0</v>
      </c>
      <c r="G120" s="549">
        <f>COUNTIF($G67:$G69,"Efectividad")</f>
        <v>0</v>
      </c>
    </row>
    <row r="121" spans="3:9" ht="14.25">
      <c r="C121" s="545" t="s">
        <v>736</v>
      </c>
      <c r="D121" s="548">
        <f>COUNT(B70:B73)</f>
        <v>4</v>
      </c>
      <c r="E121" s="549">
        <f>COUNTIF($G70:$G73,"Eficacia")</f>
        <v>1</v>
      </c>
      <c r="F121" s="549">
        <f>COUNTIF($G70:$G73,"Eficiencia")</f>
        <v>3</v>
      </c>
      <c r="G121" s="549">
        <f>COUNTIF($G70:$G73,"Efectividad")</f>
        <v>0</v>
      </c>
    </row>
    <row r="122" spans="3:9" ht="14.25">
      <c r="C122" s="545" t="s">
        <v>737</v>
      </c>
      <c r="D122" s="548">
        <f>COUNT(B74:B77)</f>
        <v>4</v>
      </c>
      <c r="E122" s="549">
        <f>COUNTIF($G74:$G77,"Eficacia")</f>
        <v>3</v>
      </c>
      <c r="F122" s="549">
        <f>COUNTIF($G74:$G77,"Eficiencia")</f>
        <v>1</v>
      </c>
      <c r="G122" s="549">
        <f>COUNTIF($G74:$G77,"Efectividad")</f>
        <v>0</v>
      </c>
    </row>
    <row r="123" spans="3:9" ht="14.25">
      <c r="C123" s="545" t="s">
        <v>738</v>
      </c>
      <c r="D123" s="548">
        <f>COUNT(B78:B82)</f>
        <v>5</v>
      </c>
      <c r="E123" s="549">
        <f>COUNTIF($G78:$G82,"Eficacia")</f>
        <v>5</v>
      </c>
      <c r="F123" s="549">
        <f>COUNTIF($G78:$G82,"Eficiencia")</f>
        <v>0</v>
      </c>
      <c r="G123" s="549">
        <f>COUNTIF($G78:$G82,"Efectividad")</f>
        <v>0</v>
      </c>
    </row>
    <row r="124" spans="3:9" ht="14.25">
      <c r="C124" s="545" t="s">
        <v>739</v>
      </c>
      <c r="D124" s="548">
        <f>COUNT(B83:B85)</f>
        <v>3</v>
      </c>
      <c r="E124" s="549">
        <f>COUNTIF($G83:$G85,"Eficacia")</f>
        <v>3</v>
      </c>
      <c r="F124" s="549">
        <f>COUNTIF($G83:$G85,"Eficiencia")</f>
        <v>0</v>
      </c>
      <c r="G124" s="549">
        <f>COUNTIF($G83:$G85,"Efectividad")</f>
        <v>0</v>
      </c>
    </row>
    <row r="125" spans="3:9" ht="14.25">
      <c r="C125" s="545" t="s">
        <v>740</v>
      </c>
      <c r="D125" s="548">
        <f>COUNT(B86:B88)</f>
        <v>3</v>
      </c>
      <c r="E125" s="549">
        <f>COUNTIF($G86:$G88,"Eficacia")</f>
        <v>3</v>
      </c>
      <c r="F125" s="549">
        <f>COUNTIF($G86:$G88,"Eficiencia")</f>
        <v>0</v>
      </c>
      <c r="G125" s="549">
        <f>COUNTIF($G86:$G88,"Efectividad")</f>
        <v>0</v>
      </c>
    </row>
    <row r="126" spans="3:9" ht="14.25">
      <c r="C126" s="545" t="s">
        <v>741</v>
      </c>
      <c r="D126" s="548">
        <f>COUNT(B89:B91)</f>
        <v>3</v>
      </c>
      <c r="E126" s="549">
        <f>COUNTIF($G89:$G91,"Eficacia")</f>
        <v>3</v>
      </c>
      <c r="F126" s="549">
        <f>COUNTIF($G89:$G91,"Eficiencia")</f>
        <v>0</v>
      </c>
      <c r="G126" s="549">
        <f>COUNTIF($G89:$G91,"Efectividad")</f>
        <v>0</v>
      </c>
    </row>
    <row r="127" spans="3:9" ht="15.75">
      <c r="C127" s="546" t="s">
        <v>899</v>
      </c>
      <c r="D127" s="547">
        <f>SUM(D111:D126)</f>
        <v>87</v>
      </c>
      <c r="E127" s="547">
        <f t="shared" ref="E127:G127" si="20">SUM(E111:E126)</f>
        <v>83</v>
      </c>
      <c r="F127" s="547">
        <f t="shared" si="20"/>
        <v>4</v>
      </c>
      <c r="G127" s="547">
        <f t="shared" si="20"/>
        <v>1</v>
      </c>
      <c r="H127" s="550"/>
      <c r="I127" s="551"/>
    </row>
  </sheetData>
  <sheetProtection formatRows="0"/>
  <mergeCells count="8">
    <mergeCell ref="C109:C110"/>
    <mergeCell ref="D109:D110"/>
    <mergeCell ref="B2:O2"/>
    <mergeCell ref="H3:O3"/>
    <mergeCell ref="H4:I4"/>
    <mergeCell ref="J4:M4"/>
    <mergeCell ref="N4:O4"/>
    <mergeCell ref="E109:G109"/>
  </mergeCells>
  <phoneticPr fontId="68"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G5:G106</xm:sqref>
        </x14:dataValidation>
        <x14:dataValidation type="list" allowBlank="1" showInputMessage="1" showErrorMessage="1" xr:uid="{A9D6115B-0421-40B7-A5F0-DD966BD3D0BC}">
          <x14:formula1>
            <xm:f>Listas1!$G$2:$G$6</xm:f>
          </x14:formula1>
          <xm:sqref>H5:H106</xm:sqref>
        </x14:dataValidation>
        <x14:dataValidation type="list" allowBlank="1" showInputMessage="1" showErrorMessage="1" xr:uid="{9CC7EAA0-D1B5-4E2A-84DE-6AD188ABC013}">
          <x14:formula1>
            <xm:f>Listas1!$A$2:$A$17</xm:f>
          </x14:formula1>
          <xm:sqref>C5:C106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2.75"/>
  <cols>
    <col min="1" max="1" width="41.85546875" customWidth="1"/>
    <col min="2" max="2" width="27.140625" customWidth="1"/>
    <col min="3" max="3" width="45" customWidth="1"/>
    <col min="7" max="7" width="22.42578125" customWidth="1"/>
  </cols>
  <sheetData>
    <row r="1" spans="1:7" ht="22.5">
      <c r="A1" s="444" t="s">
        <v>750</v>
      </c>
      <c r="B1" s="444" t="s">
        <v>751</v>
      </c>
      <c r="C1" s="444" t="s">
        <v>752</v>
      </c>
      <c r="D1" s="444" t="s">
        <v>753</v>
      </c>
      <c r="E1" s="444" t="s">
        <v>754</v>
      </c>
      <c r="F1" s="444" t="s">
        <v>755</v>
      </c>
      <c r="G1" s="445" t="s">
        <v>756</v>
      </c>
    </row>
    <row r="2" spans="1:7">
      <c r="A2" s="446" t="s">
        <v>724</v>
      </c>
      <c r="B2" s="446" t="s">
        <v>757</v>
      </c>
      <c r="C2" s="447" t="s">
        <v>758</v>
      </c>
      <c r="D2" s="448" t="s">
        <v>759</v>
      </c>
      <c r="E2" s="448" t="s">
        <v>760</v>
      </c>
      <c r="F2" s="448" t="s">
        <v>761</v>
      </c>
      <c r="G2" s="449" t="s">
        <v>730</v>
      </c>
    </row>
    <row r="3" spans="1:7">
      <c r="A3" s="446" t="s">
        <v>726</v>
      </c>
      <c r="B3" s="446" t="s">
        <v>757</v>
      </c>
      <c r="C3" s="447" t="s">
        <v>762</v>
      </c>
      <c r="D3" s="448" t="s">
        <v>763</v>
      </c>
      <c r="E3" s="448" t="s">
        <v>764</v>
      </c>
      <c r="F3" s="448" t="s">
        <v>765</v>
      </c>
      <c r="G3" s="449" t="s">
        <v>725</v>
      </c>
    </row>
    <row r="4" spans="1:7" ht="15">
      <c r="A4" s="446" t="s">
        <v>727</v>
      </c>
      <c r="B4" s="446" t="s">
        <v>757</v>
      </c>
      <c r="C4" s="447" t="s">
        <v>766</v>
      </c>
      <c r="D4" s="448" t="s">
        <v>767</v>
      </c>
      <c r="E4" s="448" t="s">
        <v>768</v>
      </c>
      <c r="F4" s="450"/>
      <c r="G4" s="451" t="s">
        <v>742</v>
      </c>
    </row>
    <row r="5" spans="1:7" ht="15">
      <c r="A5" s="446" t="s">
        <v>728</v>
      </c>
      <c r="B5" s="446" t="s">
        <v>757</v>
      </c>
      <c r="C5" s="446" t="s">
        <v>769</v>
      </c>
      <c r="D5" s="450"/>
      <c r="E5" s="450"/>
      <c r="F5" s="450"/>
      <c r="G5" s="451" t="s">
        <v>770</v>
      </c>
    </row>
    <row r="6" spans="1:7" ht="15">
      <c r="A6" s="446" t="s">
        <v>729</v>
      </c>
      <c r="B6" s="446" t="s">
        <v>771</v>
      </c>
      <c r="C6" s="447" t="s">
        <v>772</v>
      </c>
      <c r="D6" s="450"/>
      <c r="E6" s="450"/>
      <c r="F6" s="450"/>
      <c r="G6" s="451" t="s">
        <v>773</v>
      </c>
    </row>
    <row r="7" spans="1:7" ht="15">
      <c r="A7" s="446" t="s">
        <v>731</v>
      </c>
      <c r="B7" s="446" t="s">
        <v>771</v>
      </c>
      <c r="C7" s="447" t="s">
        <v>774</v>
      </c>
      <c r="D7" s="450"/>
      <c r="E7" s="450"/>
      <c r="F7" s="450"/>
      <c r="G7" s="441"/>
    </row>
    <row r="8" spans="1:7" ht="15">
      <c r="A8" s="446" t="s">
        <v>732</v>
      </c>
      <c r="B8" s="446" t="s">
        <v>771</v>
      </c>
      <c r="C8" s="447" t="s">
        <v>775</v>
      </c>
      <c r="D8" s="450"/>
      <c r="E8" s="450"/>
      <c r="F8" s="450"/>
      <c r="G8" s="441"/>
    </row>
    <row r="9" spans="1:7" ht="15">
      <c r="A9" s="446" t="s">
        <v>733</v>
      </c>
      <c r="B9" s="446" t="s">
        <v>776</v>
      </c>
      <c r="C9" s="447" t="s">
        <v>777</v>
      </c>
      <c r="D9" s="450"/>
      <c r="E9" s="450"/>
      <c r="F9" s="450"/>
      <c r="G9" s="441"/>
    </row>
    <row r="10" spans="1:7" ht="15">
      <c r="A10" s="446" t="s">
        <v>734</v>
      </c>
      <c r="B10" s="446" t="s">
        <v>776</v>
      </c>
      <c r="C10" s="450"/>
      <c r="D10" s="450"/>
      <c r="E10" s="450"/>
      <c r="F10" s="450"/>
      <c r="G10" s="441"/>
    </row>
    <row r="11" spans="1:7" ht="15">
      <c r="A11" s="446" t="s">
        <v>735</v>
      </c>
      <c r="B11" s="446" t="s">
        <v>776</v>
      </c>
      <c r="C11" s="450"/>
      <c r="D11" s="450"/>
      <c r="E11" s="450"/>
      <c r="F11" s="450"/>
      <c r="G11" s="441"/>
    </row>
    <row r="12" spans="1:7" ht="15">
      <c r="A12" s="446" t="s">
        <v>736</v>
      </c>
      <c r="B12" s="446" t="s">
        <v>776</v>
      </c>
      <c r="C12" s="447"/>
      <c r="D12" s="450"/>
      <c r="E12" s="450"/>
      <c r="F12" s="450"/>
      <c r="G12" s="441"/>
    </row>
    <row r="13" spans="1:7" ht="15">
      <c r="A13" s="446" t="s">
        <v>737</v>
      </c>
      <c r="B13" s="446" t="s">
        <v>778</v>
      </c>
      <c r="C13" s="447"/>
      <c r="D13" s="450"/>
      <c r="E13" s="450"/>
      <c r="F13" s="450"/>
      <c r="G13" s="441"/>
    </row>
    <row r="14" spans="1:7" ht="15">
      <c r="A14" s="446" t="s">
        <v>738</v>
      </c>
      <c r="B14" s="446" t="s">
        <v>776</v>
      </c>
      <c r="C14" s="447"/>
      <c r="D14" s="450"/>
      <c r="E14" s="450"/>
      <c r="F14" s="450"/>
      <c r="G14" s="441"/>
    </row>
    <row r="15" spans="1:7" ht="15">
      <c r="A15" s="446" t="s">
        <v>739</v>
      </c>
      <c r="B15" s="446" t="s">
        <v>757</v>
      </c>
      <c r="C15" s="447"/>
      <c r="D15" s="450"/>
      <c r="E15" s="450"/>
      <c r="F15" s="450"/>
      <c r="G15" s="441"/>
    </row>
    <row r="16" spans="1:7" ht="15">
      <c r="A16" s="446" t="s">
        <v>740</v>
      </c>
      <c r="B16" s="446" t="s">
        <v>778</v>
      </c>
      <c r="C16" s="447"/>
      <c r="D16" s="450"/>
      <c r="E16" s="450"/>
      <c r="F16" s="450"/>
      <c r="G16" s="441"/>
    </row>
    <row r="17" spans="1:6" ht="15">
      <c r="A17" s="446" t="s">
        <v>741</v>
      </c>
      <c r="B17" s="446" t="s">
        <v>778</v>
      </c>
      <c r="C17" s="447"/>
      <c r="D17" s="450"/>
      <c r="E17" s="450"/>
      <c r="F17" s="450"/>
    </row>
    <row r="20" spans="1:6" ht="15">
      <c r="A20" s="452" t="s">
        <v>779</v>
      </c>
      <c r="B20" s="450"/>
      <c r="C20" s="450"/>
      <c r="D20" s="450"/>
      <c r="E20" s="450"/>
      <c r="F20" s="450"/>
    </row>
    <row r="21" spans="1:6" ht="15">
      <c r="A21" s="446" t="s">
        <v>780</v>
      </c>
      <c r="B21" s="450"/>
      <c r="C21" s="450"/>
      <c r="D21" s="450"/>
      <c r="E21" s="450"/>
      <c r="F21" s="450"/>
    </row>
    <row r="22" spans="1:6" ht="15">
      <c r="A22" s="450"/>
      <c r="B22" s="450"/>
      <c r="C22" s="450"/>
      <c r="D22" s="450"/>
      <c r="E22" s="450"/>
      <c r="F22" s="450"/>
    </row>
    <row r="23" spans="1:6" ht="15">
      <c r="A23" s="450"/>
      <c r="B23" s="450"/>
      <c r="C23" s="450"/>
      <c r="D23" s="450"/>
      <c r="E23" s="450"/>
      <c r="F23" s="450"/>
    </row>
    <row r="24" spans="1:6">
      <c r="A24" s="453"/>
      <c r="B24" s="453"/>
      <c r="C24" s="453"/>
      <c r="D24" s="454"/>
      <c r="E24" s="454"/>
      <c r="F24" s="454"/>
    </row>
    <row r="25" spans="1:6">
      <c r="A25" s="453"/>
      <c r="B25" s="453"/>
      <c r="C25" s="453"/>
      <c r="D25" s="454"/>
      <c r="E25" s="454"/>
      <c r="F25" s="454"/>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CE01-0D56-4E34-B8B3-599A311D3A9D}">
  <sheetPr>
    <tabColor rgb="FF002060"/>
  </sheetPr>
  <dimension ref="B1:E55"/>
  <sheetViews>
    <sheetView showGridLines="0" zoomScale="40" zoomScaleNormal="40" workbookViewId="0">
      <selection activeCell="Q86" sqref="Q86"/>
    </sheetView>
  </sheetViews>
  <sheetFormatPr baseColWidth="10" defaultColWidth="17.28515625" defaultRowHeight="17.25"/>
  <cols>
    <col min="1" max="1" width="4.28515625" style="1" customWidth="1"/>
    <col min="2" max="2" width="87.42578125" style="3" customWidth="1"/>
    <col min="3" max="3" width="99" style="1" customWidth="1"/>
    <col min="4" max="5" width="38.7109375" style="1" customWidth="1"/>
    <col min="6" max="16384" width="17.28515625" style="1"/>
  </cols>
  <sheetData>
    <row r="1" spans="2:5" ht="15" customHeight="1"/>
    <row r="2" spans="2:5" ht="59.45" customHeight="1">
      <c r="B2" s="1209" t="s">
        <v>685</v>
      </c>
      <c r="C2" s="1216" t="s">
        <v>1036</v>
      </c>
      <c r="D2" s="800"/>
      <c r="E2" s="800"/>
    </row>
    <row r="3" spans="2:5" ht="59.45" customHeight="1">
      <c r="B3" s="1209"/>
      <c r="C3" s="1217"/>
      <c r="D3" s="800"/>
      <c r="E3" s="800"/>
    </row>
    <row r="4" spans="2:5" ht="14.25" customHeight="1">
      <c r="B4" s="2"/>
    </row>
    <row r="5" spans="2:5" ht="32.450000000000003" customHeight="1">
      <c r="B5" s="829" t="s">
        <v>713</v>
      </c>
      <c r="C5" s="1133" t="str">
        <f>+'2- Resumen Ejec PEI 2022'!C4</f>
        <v>SEMESTRE 1 2022</v>
      </c>
      <c r="D5" s="1132"/>
      <c r="E5" s="691"/>
    </row>
    <row r="6" spans="2:5" ht="14.25" customHeight="1">
      <c r="B6" s="2"/>
      <c r="C6" s="12"/>
      <c r="D6" s="12"/>
      <c r="E6" s="12"/>
    </row>
    <row r="7" spans="2:5" ht="34.15" customHeight="1" thickBot="1">
      <c r="B7" s="831" t="str">
        <f>'3-Grado Cump Metas Estratégicas'!B7</f>
        <v>Acumulado Corte: 30 de junio de 2022</v>
      </c>
      <c r="C7" s="12"/>
      <c r="D7" s="12"/>
      <c r="E7" s="12"/>
    </row>
    <row r="8" spans="2:5" ht="52.15" customHeight="1">
      <c r="B8" s="1210" t="s">
        <v>1021</v>
      </c>
      <c r="C8" s="1211"/>
      <c r="D8" s="817"/>
      <c r="E8" s="817"/>
    </row>
    <row r="9" spans="2:5" ht="59.45" customHeight="1">
      <c r="B9" s="1212" t="s">
        <v>0</v>
      </c>
      <c r="C9" s="1214" t="s">
        <v>1038</v>
      </c>
      <c r="D9" s="818"/>
      <c r="E9" s="818"/>
    </row>
    <row r="10" spans="2:5" ht="38.450000000000003" customHeight="1">
      <c r="B10" s="1213"/>
      <c r="C10" s="1215"/>
      <c r="D10" s="818"/>
      <c r="E10" s="818"/>
    </row>
    <row r="11" spans="2:5" ht="156.6" customHeight="1">
      <c r="B11" s="847"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848">
        <f>+'1-Infor Det Sgto PEI 2021-2024 '!BP9</f>
        <v>0.48538679520443978</v>
      </c>
      <c r="D11" s="819"/>
      <c r="E11" s="819"/>
    </row>
    <row r="12" spans="2:5" ht="141.6" customHeight="1">
      <c r="B12" s="849" t="str">
        <f>+'Matriz PEI 2021-2024'!B13</f>
        <v>2. Realizar acciones de prevención y control a la Función Pública, en el marco del cumplimiento del Plan de Desarrollo, con énfasis en los Derechos e intereses colectivos.</v>
      </c>
      <c r="C12" s="1129">
        <f>+'1-Infor Det Sgto PEI 2021-2024 '!BP29</f>
        <v>0.42746533127889058</v>
      </c>
      <c r="D12" s="820"/>
      <c r="E12" s="820"/>
    </row>
    <row r="13" spans="2:5" ht="141.6" customHeight="1">
      <c r="B13" s="847" t="str">
        <f>+'Matriz PEI 2021-2024'!B16</f>
        <v>3. Vigilar la conducta oficial de los(as) servidores(as) públicos(as) del Distrito Capital, mediante acciones preventivas y correctivas, que permitan un adecuado cumplimiento de los principios de la Función Pública</v>
      </c>
      <c r="C13" s="848">
        <f>+'1-Infor Det Sgto PEI 2021-2024 '!BP36</f>
        <v>0.316416942371476</v>
      </c>
      <c r="D13" s="819"/>
      <c r="E13" s="819"/>
    </row>
    <row r="14" spans="2:5" ht="141.6" customHeight="1">
      <c r="B14" s="849"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14" s="1130">
        <f>+'1-Infor Det Sgto PEI 2021-2024 '!BP44</f>
        <v>0.36511067124682328</v>
      </c>
      <c r="D14" s="821"/>
      <c r="E14" s="821"/>
    </row>
    <row r="15" spans="2:5" ht="141.6" customHeight="1">
      <c r="B15" s="847" t="str">
        <f>+'Matriz PEI 2021-2024'!B27</f>
        <v xml:space="preserve">5. Incorporar una cultura del conocimiento y la innovación a través de actividades que permitan el desarrollo de ideas, lecciones aprendidas e investigaciones para mejorar los resultados de la gestión institucional. </v>
      </c>
      <c r="C15" s="1131">
        <f>+'1-Infor Det Sgto PEI 2021-2024 '!BP92</f>
        <v>0.25249999999999995</v>
      </c>
      <c r="D15" s="815"/>
      <c r="E15" s="815"/>
    </row>
    <row r="16" spans="2:5" ht="32.450000000000003" customHeight="1" thickBot="1">
      <c r="B16" s="850" t="s">
        <v>1020</v>
      </c>
      <c r="C16" s="846">
        <f>AVERAGE(C11:C15)</f>
        <v>0.36937594802032592</v>
      </c>
      <c r="D16" s="816"/>
      <c r="E16" s="816"/>
    </row>
    <row r="17" spans="2:2" ht="13.5" customHeight="1">
      <c r="B17" s="43"/>
    </row>
    <row r="18" spans="2:2" ht="15" customHeight="1">
      <c r="B18" s="43"/>
    </row>
    <row r="19" spans="2:2" ht="15" customHeight="1">
      <c r="B19" s="43"/>
    </row>
    <row r="20" spans="2:2" ht="15" customHeight="1">
      <c r="B20" s="43"/>
    </row>
    <row r="21" spans="2:2" ht="15" customHeight="1">
      <c r="B21" s="43"/>
    </row>
    <row r="25" spans="2:2" s="833" customFormat="1">
      <c r="B25" s="832"/>
    </row>
    <row r="26" spans="2:2" s="833" customFormat="1" ht="24.6" customHeight="1">
      <c r="B26" s="832"/>
    </row>
    <row r="27" spans="2:2" s="833" customFormat="1">
      <c r="B27" s="832"/>
    </row>
    <row r="28" spans="2:2" s="833" customFormat="1">
      <c r="B28" s="832"/>
    </row>
    <row r="29" spans="2:2" s="833" customFormat="1">
      <c r="B29" s="832"/>
    </row>
    <row r="30" spans="2:2" s="833" customFormat="1">
      <c r="B30" s="832"/>
    </row>
    <row r="31" spans="2:2" s="833" customFormat="1">
      <c r="B31" s="832"/>
    </row>
    <row r="32" spans="2:2" s="833" customFormat="1">
      <c r="B32" s="832"/>
    </row>
    <row r="33" spans="2:2" s="833" customFormat="1">
      <c r="B33" s="832"/>
    </row>
    <row r="34" spans="2:2" s="833" customFormat="1">
      <c r="B34" s="832"/>
    </row>
    <row r="35" spans="2:2" s="833" customFormat="1">
      <c r="B35" s="832"/>
    </row>
    <row r="36" spans="2:2" s="833" customFormat="1">
      <c r="B36" s="832"/>
    </row>
    <row r="37" spans="2:2" s="833" customFormat="1">
      <c r="B37" s="832"/>
    </row>
    <row r="38" spans="2:2" s="833" customFormat="1">
      <c r="B38" s="832"/>
    </row>
    <row r="39" spans="2:2" s="833" customFormat="1">
      <c r="B39" s="832"/>
    </row>
    <row r="40" spans="2:2" s="833" customFormat="1">
      <c r="B40" s="832"/>
    </row>
    <row r="41" spans="2:2" s="833" customFormat="1">
      <c r="B41" s="832"/>
    </row>
    <row r="42" spans="2:2" s="833" customFormat="1">
      <c r="B42" s="832"/>
    </row>
    <row r="43" spans="2:2" s="833" customFormat="1">
      <c r="B43" s="832"/>
    </row>
    <row r="44" spans="2:2" s="833" customFormat="1">
      <c r="B44" s="832"/>
    </row>
    <row r="45" spans="2:2" s="833" customFormat="1">
      <c r="B45" s="832"/>
    </row>
    <row r="46" spans="2:2" s="833" customFormat="1">
      <c r="B46" s="832"/>
    </row>
    <row r="47" spans="2:2" s="833" customFormat="1">
      <c r="B47" s="832"/>
    </row>
    <row r="48" spans="2:2" s="833" customFormat="1">
      <c r="B48" s="832"/>
    </row>
    <row r="49" spans="2:2" s="833" customFormat="1" ht="15" customHeight="1">
      <c r="B49" s="832"/>
    </row>
    <row r="50" spans="2:2" s="833" customFormat="1" ht="15" customHeight="1">
      <c r="B50" s="832"/>
    </row>
    <row r="51" spans="2:2" s="833" customFormat="1">
      <c r="B51" s="832"/>
    </row>
    <row r="52" spans="2:2" s="833" customFormat="1">
      <c r="B52" s="832"/>
    </row>
    <row r="53" spans="2:2" s="833" customFormat="1">
      <c r="B53" s="832"/>
    </row>
    <row r="54" spans="2:2" s="833" customFormat="1">
      <c r="B54" s="832"/>
    </row>
    <row r="55" spans="2:2" s="833" customFormat="1">
      <c r="B55" s="832"/>
    </row>
  </sheetData>
  <mergeCells count="5">
    <mergeCell ref="B2:B3"/>
    <mergeCell ref="B8:C8"/>
    <mergeCell ref="B9:B10"/>
    <mergeCell ref="C9:C10"/>
    <mergeCell ref="C2:C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FECF-DA94-4A76-A72B-B71E8A2CB608}">
  <sheetPr>
    <tabColor rgb="FF002060"/>
  </sheetPr>
  <dimension ref="B1:G73"/>
  <sheetViews>
    <sheetView showGridLines="0" zoomScale="40" zoomScaleNormal="40" workbookViewId="0">
      <selection activeCell="Q86" sqref="Q86"/>
    </sheetView>
  </sheetViews>
  <sheetFormatPr baseColWidth="10" defaultColWidth="17.28515625" defaultRowHeight="17.25"/>
  <cols>
    <col min="1" max="1" width="4.28515625" style="1" customWidth="1"/>
    <col min="2" max="2" width="85.7109375" style="3" customWidth="1"/>
    <col min="3" max="3" width="76.7109375" style="3" customWidth="1"/>
    <col min="4" max="4" width="38.7109375" style="1" customWidth="1"/>
    <col min="5" max="5" width="44.7109375" style="1" customWidth="1"/>
    <col min="6" max="7" width="38.7109375" style="1" customWidth="1"/>
    <col min="8" max="16384" width="17.28515625" style="1"/>
  </cols>
  <sheetData>
    <row r="1" spans="2:7" ht="15" customHeight="1" thickBot="1"/>
    <row r="2" spans="2:7" ht="126" customHeight="1">
      <c r="B2" s="1227" t="s">
        <v>685</v>
      </c>
      <c r="C2" s="1237" t="s">
        <v>1033</v>
      </c>
      <c r="D2" s="1238"/>
      <c r="E2" s="1239"/>
      <c r="F2" s="795"/>
      <c r="G2" s="795"/>
    </row>
    <row r="3" spans="2:7" ht="27" customHeight="1" thickBot="1">
      <c r="B3" s="1228"/>
      <c r="C3" s="1240"/>
      <c r="D3" s="1241"/>
      <c r="E3" s="1242"/>
      <c r="F3" s="795"/>
      <c r="G3" s="795"/>
    </row>
    <row r="4" spans="2:7" ht="14.25" customHeight="1">
      <c r="B4" s="2"/>
      <c r="C4" s="2"/>
    </row>
    <row r="5" spans="2:7" ht="32.450000000000003" customHeight="1">
      <c r="B5" s="829" t="s">
        <v>713</v>
      </c>
      <c r="C5" s="1229" t="str">
        <f>+'2- Resumen Ejec PEI 2022'!C4</f>
        <v>SEMESTRE 1 2022</v>
      </c>
      <c r="D5" s="1230"/>
      <c r="E5" s="691"/>
      <c r="F5" s="691"/>
      <c r="G5" s="691"/>
    </row>
    <row r="6" spans="2:7" ht="14.25" customHeight="1">
      <c r="B6" s="2"/>
      <c r="C6" s="2"/>
      <c r="D6" s="12"/>
      <c r="E6" s="12"/>
      <c r="F6" s="12"/>
      <c r="G6" s="12"/>
    </row>
    <row r="7" spans="2:7" ht="34.15" customHeight="1">
      <c r="B7" s="831" t="str">
        <f>+'2- Resumen Ejec PEI 2022'!B6</f>
        <v>Acumulado Corte: 30 de junio de 2022</v>
      </c>
      <c r="C7" s="2"/>
      <c r="D7" s="12"/>
      <c r="E7" s="12"/>
      <c r="F7" s="12"/>
      <c r="G7" s="12"/>
    </row>
    <row r="8" spans="2:7" ht="52.15" customHeight="1">
      <c r="B8" s="1243" t="s">
        <v>708</v>
      </c>
      <c r="C8" s="1244"/>
      <c r="D8" s="1244"/>
      <c r="E8" s="1245"/>
      <c r="F8" s="817"/>
      <c r="G8" s="817"/>
    </row>
    <row r="9" spans="2:7" ht="59.45" customHeight="1">
      <c r="B9" s="1246" t="s">
        <v>0</v>
      </c>
      <c r="C9" s="1246" t="s">
        <v>52</v>
      </c>
      <c r="D9" s="1221" t="s">
        <v>1039</v>
      </c>
      <c r="E9" s="1223" t="s">
        <v>1038</v>
      </c>
      <c r="F9" s="818"/>
      <c r="G9" s="818"/>
    </row>
    <row r="10" spans="2:7" ht="38.450000000000003" customHeight="1">
      <c r="B10" s="1247"/>
      <c r="C10" s="1247"/>
      <c r="D10" s="1222"/>
      <c r="E10" s="1224"/>
      <c r="F10" s="818"/>
      <c r="G10" s="818"/>
    </row>
    <row r="11" spans="2:7" ht="103.5" customHeight="1">
      <c r="B11" s="1225"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793" t="str">
        <f>+'Matriz PEI 2021-2024'!C10</f>
        <v>1.1. Realizar 884.203 acciones que promuevan la defensa, garantía y restablecimiento de los derechos de las personas en el Distrito Capital.</v>
      </c>
      <c r="D11" s="1099">
        <f>+'1-Infor Det Sgto PEI 2021-2024 '!BO9</f>
        <v>0.49733040233556469</v>
      </c>
      <c r="E11" s="1218">
        <f>+'1-Infor Det Sgto PEI 2021-2024 '!BP9</f>
        <v>0.48538679520443978</v>
      </c>
      <c r="F11" s="819"/>
      <c r="G11" s="819"/>
    </row>
    <row r="12" spans="2:7" ht="135.75" customHeight="1">
      <c r="B12" s="1226"/>
      <c r="C12" s="793"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12" s="1099">
        <f>+'1-Infor Det Sgto PEI 2021-2024 '!BO20</f>
        <v>0.57425484057499543</v>
      </c>
      <c r="E12" s="1219"/>
      <c r="F12" s="820"/>
      <c r="G12" s="820"/>
    </row>
    <row r="13" spans="2:7" ht="90" customHeight="1">
      <c r="B13" s="1226"/>
      <c r="C13" s="793" t="str">
        <f>+'Matriz PEI 2021-2024'!C12</f>
        <v>1.3. Construir e Implementar 35 estrategias que permitan incrementar la oferta y cobertura de los servicios prestados por la Entidad.</v>
      </c>
      <c r="D13" s="1099">
        <f>+'1-Infor Det Sgto PEI 2021-2024 '!BO26</f>
        <v>0.22404545454545455</v>
      </c>
      <c r="E13" s="1220"/>
      <c r="F13" s="820"/>
      <c r="G13" s="820"/>
    </row>
    <row r="14" spans="2:7" ht="102" customHeight="1">
      <c r="B14" s="1256" t="str">
        <f>+'Matriz PEI 2021-2024'!B13</f>
        <v>2. Realizar acciones de prevención y control a la Función Pública, en el marco del cumplimiento del Plan de Desarrollo, con énfasis en los Derechos e intereses colectivos.</v>
      </c>
      <c r="C14" s="794" t="str">
        <f>+'Matriz PEI 2021-2024'!C13</f>
        <v>2.1. Realizar 22 acciones de prevención y control a la función pública en medio ambiente, agua, protección y bienestar animal y desarrollo urbano.</v>
      </c>
      <c r="D14" s="1098">
        <f>+'1-Infor Det Sgto PEI 2021-2024 '!BO29</f>
        <v>0.13636363636363635</v>
      </c>
      <c r="E14" s="1253">
        <f>+'1-Infor Det Sgto PEI 2021-2024 '!BP29</f>
        <v>0.42746533127889058</v>
      </c>
      <c r="F14" s="820"/>
      <c r="G14" s="820"/>
    </row>
    <row r="15" spans="2:7" ht="100.5" customHeight="1">
      <c r="B15" s="1251"/>
      <c r="C15" s="794" t="str">
        <f>+'Matriz PEI 2021-2024'!C14</f>
        <v>2.2. Fortalecer la moralidad publica realizando  952 acciones de prevención y control a la función pública.</v>
      </c>
      <c r="D15" s="1098">
        <f>+'1-Infor Det Sgto PEI 2021-2024 '!BO31</f>
        <v>0.53409090909090906</v>
      </c>
      <c r="E15" s="1254"/>
      <c r="F15" s="820"/>
      <c r="G15" s="820"/>
    </row>
    <row r="16" spans="2:7" ht="65.25" customHeight="1">
      <c r="B16" s="1251"/>
      <c r="C16" s="794" t="str">
        <f>+'Matriz PEI 2021-2024'!C15</f>
        <v>2.3. Fortalecer 320 espacios de participación ciudadana en la Personería de Bogotá</v>
      </c>
      <c r="D16" s="1094">
        <f>+'1-Infor Det Sgto PEI 2021-2024 '!BO33</f>
        <v>0.66101694915254239</v>
      </c>
      <c r="E16" s="1255"/>
      <c r="F16" s="820"/>
      <c r="G16" s="820"/>
    </row>
    <row r="17" spans="2:7" ht="93.75" customHeight="1">
      <c r="B17" s="1225" t="str">
        <f>+'Matriz PEI 2021-2024'!B16</f>
        <v>3. Vigilar la conducta oficial de los(as) servidores(as) públicos(as) del Distrito Capital, mediante acciones preventivas y correctivas, que permitan un adecuado cumplimiento de los principios de la Función Pública</v>
      </c>
      <c r="C17" s="793" t="str">
        <f>+'Matriz PEI 2021-2024'!C16</f>
        <v>3.1. Descongestionar 6.700 procesos disciplinarios con criterios de calidad, efectividad y garantía del debido proceso.</v>
      </c>
      <c r="D17" s="1104">
        <f>+'1-Infor Det Sgto PEI 2021-2024 '!BO36</f>
        <v>0.29280798092868993</v>
      </c>
      <c r="E17" s="1218">
        <f>+'1-Infor Det Sgto PEI 2021-2024 '!BP36</f>
        <v>0.316416942371476</v>
      </c>
      <c r="F17" s="819"/>
      <c r="G17" s="819"/>
    </row>
    <row r="18" spans="2:7" ht="95.25" customHeight="1">
      <c r="B18" s="1226"/>
      <c r="C18" s="793" t="str">
        <f>+'Matriz PEI 2021-2024'!C17</f>
        <v xml:space="preserve">3.2. Identificar el 100% de los hechos constitutivos de faltas disciplinarias para ejercer el poder preferente en las Oficinas de Control Interno Disciplinario, en temas de interés e impacto para el Distrito Capital. </v>
      </c>
      <c r="D18" s="1104">
        <f>+'1-Infor Det Sgto PEI 2021-2024 '!BO38</f>
        <v>0.140625</v>
      </c>
      <c r="E18" s="1219"/>
      <c r="F18" s="819"/>
      <c r="G18" s="819"/>
    </row>
    <row r="19" spans="2:7" ht="126.75" customHeight="1">
      <c r="B19" s="1226"/>
      <c r="C19" s="796" t="str">
        <f>+'Matriz PEI 2021-2024'!C18</f>
        <v>3.3. Generar 8 escenarios que fortalezcan el conocimiento y las competencias del operador disciplinario, que apoya el cumplimiento de la labor misional, extendiendo el alcance a los jueces naturales en el Distrito Capital.</v>
      </c>
      <c r="D19" s="1126">
        <f>+'1-Infor Det Sgto PEI 2021-2024 '!BO40</f>
        <v>0.375</v>
      </c>
      <c r="E19" s="1219"/>
      <c r="F19" s="819"/>
      <c r="G19" s="819"/>
    </row>
    <row r="20" spans="2:7" ht="61.5" customHeight="1">
      <c r="B20" s="1226"/>
      <c r="C20" s="793" t="str">
        <f>+'Matriz PEI 2021-2024'!C19</f>
        <v>3.4. Implementar al 100% tres soluciones informáticas propias para la ejecución y gestión de la Potestad Disciplinaria.</v>
      </c>
      <c r="D20" s="1127">
        <f>+'1-Infor Det Sgto PEI 2021-2024 '!BO41</f>
        <v>0.40200000000000002</v>
      </c>
      <c r="E20" s="1220"/>
      <c r="F20" s="819"/>
      <c r="G20" s="819"/>
    </row>
    <row r="21" spans="2:7" ht="75" customHeight="1">
      <c r="B21" s="1251"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1" s="794" t="str">
        <f>+'Matriz PEI 2021-2024'!C20</f>
        <v>4.1. Implementar el 100% de las acciones que impulsen el crecimiento del Modelo de Madurez de Transformación Digital de la Entidad, aplicando los principios , lineamientos y normas que lo enmarcan.</v>
      </c>
      <c r="D21" s="1101">
        <f>+'1-Infor Det Sgto PEI 2021-2024 '!BO44</f>
        <v>0.5</v>
      </c>
      <c r="E21" s="1248">
        <f>+'1-Infor Det Sgto PEI 2021-2024 '!BP44</f>
        <v>0.36511067124682328</v>
      </c>
      <c r="F21" s="821"/>
      <c r="G21" s="821"/>
    </row>
    <row r="22" spans="2:7" ht="105" customHeight="1">
      <c r="B22" s="1251"/>
      <c r="C22" s="793" t="str">
        <f>+'Matriz PEI 2021-2024'!C21</f>
        <v>4.2. Consolidar el 90% del Modelo Integrado de Planeación y Gestión –MIPG- y sus sistemas de gestión articulados, como compromiso con la Calidad, la Excelencia, la Responsabilidad Ambiental y la Mejora en la prestación del Servicio.</v>
      </c>
      <c r="D22" s="1104">
        <f>+'1-Infor Det Sgto PEI 2021-2024 '!BO51</f>
        <v>0.45127654182116611</v>
      </c>
      <c r="E22" s="1249"/>
      <c r="F22" s="820"/>
      <c r="G22" s="820"/>
    </row>
    <row r="23" spans="2:7" ht="60" customHeight="1">
      <c r="B23" s="1251"/>
      <c r="C23" s="794" t="str">
        <f>+'Matriz PEI 2021-2024'!C22</f>
        <v xml:space="preserve">4.3. Realizar el 100% de las actividades relacionadas con la Gestión del Talento Humano, que permita su fortalecimiento y el desarrollo de sus conocimientos, su competencia y bienestar. </v>
      </c>
      <c r="D23" s="1103">
        <f>+'1-Infor Det Sgto PEI 2021-2024 '!BO57</f>
        <v>0.19944372773436234</v>
      </c>
      <c r="E23" s="1249"/>
      <c r="F23" s="813"/>
      <c r="G23" s="813"/>
    </row>
    <row r="24" spans="2:7" ht="76.5" customHeight="1">
      <c r="B24" s="1251"/>
      <c r="C24" s="793" t="str">
        <f>+'Matriz PEI 2021-2024'!C23</f>
        <v>4.4. Implementar el 100% de las acciones necesarias para la modernización de la gestión institucional a través de los procesos de apoyo, que permita una mejor prestación del servicio.</v>
      </c>
      <c r="D24" s="1104">
        <f>+'1-Infor Det Sgto PEI 2021-2024 '!BO65</f>
        <v>0.17576026757290703</v>
      </c>
      <c r="E24" s="1249"/>
      <c r="F24" s="819"/>
      <c r="G24" s="819"/>
    </row>
    <row r="25" spans="2:7" ht="73.5" customHeight="1">
      <c r="B25" s="1251"/>
      <c r="C25" s="794" t="str">
        <f>+'Matriz PEI 2021-2024'!C24</f>
        <v>4.5. Desarrollar el 100% de las acciones relacionadas con el fomento de la Cultura del Autocontrol, la Autorregulación y la Autogestión institucional.</v>
      </c>
      <c r="D25" s="1100">
        <f>+'1-Infor Det Sgto PEI 2021-2024 '!BO83</f>
        <v>0.42183783783783785</v>
      </c>
      <c r="E25" s="1249"/>
      <c r="F25" s="811"/>
      <c r="G25" s="811"/>
    </row>
    <row r="26" spans="2:7" ht="60" customHeight="1">
      <c r="B26" s="1251"/>
      <c r="C26" s="793" t="str">
        <f>+'Matriz PEI 2021-2024'!C25</f>
        <v>4.6. Desarrollar el 100% de las estrategias de comunicación organizacional y de medios que contribuyan al logro de los objetivos institucionales y al posicionamiento de la Entidad.</v>
      </c>
      <c r="D26" s="1102">
        <f>+'1-Infor Det Sgto PEI 2021-2024 '!BO89</f>
        <v>0.125</v>
      </c>
      <c r="E26" s="1249"/>
      <c r="F26" s="813"/>
      <c r="G26" s="813"/>
    </row>
    <row r="27" spans="2:7" ht="114" customHeight="1">
      <c r="B27" s="1252"/>
      <c r="C27" s="729" t="str">
        <f>+'Matriz PEI 2021-2024'!C26</f>
        <v>4.7. Articular el 100% de las acciones de trabajo interinstitucional y cooperación nacional e internacional que permita aunar esfuerzos para el cumplimiento de la misión institucional.</v>
      </c>
      <c r="D27" s="809">
        <f>+'1-Infor Det Sgto PEI 2021-2024 '!BO91</f>
        <v>0.66666666666666663</v>
      </c>
      <c r="E27" s="1250"/>
      <c r="F27" s="813"/>
      <c r="G27" s="813"/>
    </row>
    <row r="28" spans="2:7" ht="93.75" customHeight="1">
      <c r="B28" s="1225" t="str">
        <f>+'Matriz PEI 2021-2024'!B27</f>
        <v xml:space="preserve">5. Incorporar una cultura del conocimiento y la innovación a través de actividades que permitan el desarrollo de ideas, lecciones aprendidas e investigaciones para mejorar los resultados de la gestión institucional. </v>
      </c>
      <c r="C28" s="733" t="str">
        <f>+'Matriz PEI 2021-2024'!C27</f>
        <v>5.1 Generar el 100% de productos de nuevo conocimiento o transformar los existentes, alineados con proyectos resultados de la investigación, desarrollo e innovación (I+D+I) en la Entidad.</v>
      </c>
      <c r="D28" s="1128">
        <f>+'1-Infor Det Sgto PEI 2021-2024 '!BO92</f>
        <v>0.125</v>
      </c>
      <c r="E28" s="1234">
        <f>+'1-Infor Det Sgto PEI 2021-2024 '!BP92</f>
        <v>0.25249999999999995</v>
      </c>
      <c r="F28" s="815"/>
      <c r="G28" s="815"/>
    </row>
    <row r="29" spans="2:7" ht="102" customHeight="1">
      <c r="B29" s="1226"/>
      <c r="C29" s="733" t="str">
        <f>+'Matriz PEI 2021-2024'!C28</f>
        <v>5.2 Formular el 100% de herramientas y acciones que permitan categorizar, preservar y utilizar el conocimiento para la toma de decisiones y compartir fácilmente los datos y la información de la Entidad.</v>
      </c>
      <c r="D29" s="1128">
        <f>+'1-Infor Det Sgto PEI 2021-2024 '!BO94</f>
        <v>0.375</v>
      </c>
      <c r="E29" s="1235"/>
      <c r="F29" s="815"/>
      <c r="G29" s="815"/>
    </row>
    <row r="30" spans="2:7" ht="124.5" customHeight="1" thickBot="1">
      <c r="B30" s="1233"/>
      <c r="C30" s="734"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30" s="1128">
        <f>+'1-Infor Det Sgto PEI 2021-2024 '!BO95</f>
        <v>0.3</v>
      </c>
      <c r="E30" s="1236"/>
      <c r="F30" s="815"/>
      <c r="G30" s="815"/>
    </row>
    <row r="31" spans="2:7" ht="18.75" thickBot="1">
      <c r="B31" s="735"/>
      <c r="C31" s="827"/>
      <c r="D31" s="828">
        <f>AVERAGE(D11:D30)</f>
        <v>0.35887601073123665</v>
      </c>
      <c r="E31" s="823">
        <f>AVERAGE(E11:E30)</f>
        <v>0.36937594802032592</v>
      </c>
      <c r="F31" s="816"/>
      <c r="G31" s="816"/>
    </row>
    <row r="32" spans="2:7" ht="13.5" customHeight="1">
      <c r="B32" s="43"/>
      <c r="C32" s="43"/>
    </row>
    <row r="33" spans="2:6" ht="15" customHeight="1">
      <c r="B33" s="43" t="s">
        <v>994</v>
      </c>
      <c r="C33" s="43"/>
    </row>
    <row r="34" spans="2:6" ht="15" customHeight="1">
      <c r="B34" s="43"/>
      <c r="C34" s="43"/>
    </row>
    <row r="35" spans="2:6" ht="15" customHeight="1">
      <c r="B35" s="43"/>
      <c r="C35" s="43"/>
    </row>
    <row r="36" spans="2:6" ht="15" customHeight="1">
      <c r="B36" s="43"/>
      <c r="C36" s="43"/>
    </row>
    <row r="37" spans="2:6">
      <c r="B37" s="922"/>
      <c r="C37" s="922"/>
      <c r="D37" s="923"/>
      <c r="E37" s="923"/>
      <c r="F37" s="923"/>
    </row>
    <row r="38" spans="2:6" s="852" customFormat="1">
      <c r="B38" s="924"/>
      <c r="C38" s="924"/>
      <c r="D38" s="925"/>
      <c r="E38" s="925"/>
      <c r="F38" s="925"/>
    </row>
    <row r="39" spans="2:6" s="852" customFormat="1">
      <c r="B39" s="851"/>
      <c r="C39" s="851"/>
    </row>
    <row r="40" spans="2:6" s="854" customFormat="1">
      <c r="B40" s="853"/>
      <c r="C40" s="1231" t="s">
        <v>52</v>
      </c>
      <c r="D40" s="1231" t="s">
        <v>939</v>
      </c>
    </row>
    <row r="41" spans="2:6" s="854" customFormat="1" ht="77.45" customHeight="1">
      <c r="B41" s="853"/>
      <c r="C41" s="1231"/>
      <c r="D41" s="1231"/>
    </row>
    <row r="42" spans="2:6" s="854" customFormat="1" ht="23.25">
      <c r="B42" s="853"/>
      <c r="C42" s="855" t="s">
        <v>995</v>
      </c>
      <c r="D42" s="856">
        <f t="shared" ref="D42:D53" si="0">+D11</f>
        <v>0.49733040233556469</v>
      </c>
    </row>
    <row r="43" spans="2:6" s="854" customFormat="1" ht="23.25">
      <c r="B43" s="853"/>
      <c r="C43" s="855" t="s">
        <v>996</v>
      </c>
      <c r="D43" s="856">
        <f t="shared" si="0"/>
        <v>0.57425484057499543</v>
      </c>
    </row>
    <row r="44" spans="2:6" s="854" customFormat="1" ht="23.25">
      <c r="B44" s="853"/>
      <c r="C44" s="855" t="s">
        <v>997</v>
      </c>
      <c r="D44" s="856">
        <f t="shared" si="0"/>
        <v>0.22404545454545455</v>
      </c>
    </row>
    <row r="45" spans="2:6" s="854" customFormat="1" ht="23.25">
      <c r="B45" s="853"/>
      <c r="C45" s="855" t="s">
        <v>998</v>
      </c>
      <c r="D45" s="856">
        <f t="shared" si="0"/>
        <v>0.13636363636363635</v>
      </c>
    </row>
    <row r="46" spans="2:6" s="854" customFormat="1" ht="23.25">
      <c r="B46" s="853"/>
      <c r="C46" s="855" t="s">
        <v>999</v>
      </c>
      <c r="D46" s="856">
        <f t="shared" si="0"/>
        <v>0.53409090909090906</v>
      </c>
    </row>
    <row r="47" spans="2:6" s="854" customFormat="1" ht="23.25">
      <c r="B47" s="853"/>
      <c r="C47" s="855" t="s">
        <v>1000</v>
      </c>
      <c r="D47" s="856">
        <f t="shared" si="0"/>
        <v>0.66101694915254239</v>
      </c>
    </row>
    <row r="48" spans="2:6" s="854" customFormat="1" ht="23.25">
      <c r="B48" s="853"/>
      <c r="C48" s="855" t="s">
        <v>1001</v>
      </c>
      <c r="D48" s="856">
        <f t="shared" si="0"/>
        <v>0.29280798092868993</v>
      </c>
    </row>
    <row r="49" spans="2:4" s="854" customFormat="1" ht="23.25">
      <c r="B49" s="853"/>
      <c r="C49" s="855" t="s">
        <v>1002</v>
      </c>
      <c r="D49" s="856">
        <f t="shared" si="0"/>
        <v>0.140625</v>
      </c>
    </row>
    <row r="50" spans="2:4" s="854" customFormat="1" ht="23.25">
      <c r="B50" s="853"/>
      <c r="C50" s="855" t="s">
        <v>1003</v>
      </c>
      <c r="D50" s="856">
        <f t="shared" si="0"/>
        <v>0.375</v>
      </c>
    </row>
    <row r="51" spans="2:4" s="854" customFormat="1" ht="23.25">
      <c r="B51" s="853"/>
      <c r="C51" s="855" t="s">
        <v>1004</v>
      </c>
      <c r="D51" s="856">
        <f t="shared" si="0"/>
        <v>0.40200000000000002</v>
      </c>
    </row>
    <row r="52" spans="2:4" s="854" customFormat="1" ht="23.25">
      <c r="B52" s="853"/>
      <c r="C52" s="855" t="s">
        <v>1005</v>
      </c>
      <c r="D52" s="856">
        <f t="shared" si="0"/>
        <v>0.5</v>
      </c>
    </row>
    <row r="53" spans="2:4" s="854" customFormat="1" ht="23.25">
      <c r="B53" s="853"/>
      <c r="C53" s="855" t="s">
        <v>1006</v>
      </c>
      <c r="D53" s="856">
        <f t="shared" si="0"/>
        <v>0.45127654182116611</v>
      </c>
    </row>
    <row r="54" spans="2:4" s="854" customFormat="1" ht="23.25">
      <c r="B54" s="853"/>
      <c r="C54" s="855" t="s">
        <v>1007</v>
      </c>
      <c r="D54" s="856">
        <f t="shared" ref="D54:D61" si="1">+D23</f>
        <v>0.19944372773436234</v>
      </c>
    </row>
    <row r="55" spans="2:4" s="854" customFormat="1" ht="23.25">
      <c r="B55" s="853"/>
      <c r="C55" s="855" t="s">
        <v>1008</v>
      </c>
      <c r="D55" s="856">
        <f t="shared" si="1"/>
        <v>0.17576026757290703</v>
      </c>
    </row>
    <row r="56" spans="2:4" s="854" customFormat="1" ht="23.25">
      <c r="B56" s="853"/>
      <c r="C56" s="855" t="s">
        <v>1009</v>
      </c>
      <c r="D56" s="856">
        <f t="shared" si="1"/>
        <v>0.42183783783783785</v>
      </c>
    </row>
    <row r="57" spans="2:4" s="854" customFormat="1" ht="23.25">
      <c r="B57" s="853"/>
      <c r="C57" s="855" t="s">
        <v>1010</v>
      </c>
      <c r="D57" s="856">
        <f t="shared" si="1"/>
        <v>0.125</v>
      </c>
    </row>
    <row r="58" spans="2:4" s="854" customFormat="1" ht="23.25">
      <c r="B58" s="853"/>
      <c r="C58" s="855" t="s">
        <v>1011</v>
      </c>
      <c r="D58" s="856">
        <f t="shared" si="1"/>
        <v>0.66666666666666663</v>
      </c>
    </row>
    <row r="59" spans="2:4" s="854" customFormat="1" ht="23.25">
      <c r="B59" s="853"/>
      <c r="C59" s="855" t="s">
        <v>1012</v>
      </c>
      <c r="D59" s="856">
        <f t="shared" si="1"/>
        <v>0.125</v>
      </c>
    </row>
    <row r="60" spans="2:4" s="854" customFormat="1" ht="23.25">
      <c r="B60" s="853"/>
      <c r="C60" s="855" t="s">
        <v>1013</v>
      </c>
      <c r="D60" s="856">
        <f t="shared" si="1"/>
        <v>0.375</v>
      </c>
    </row>
    <row r="61" spans="2:4" s="854" customFormat="1" ht="23.25">
      <c r="B61" s="853"/>
      <c r="C61" s="855" t="s">
        <v>1014</v>
      </c>
      <c r="D61" s="856">
        <f t="shared" si="1"/>
        <v>0.3</v>
      </c>
    </row>
    <row r="62" spans="2:4" s="854" customFormat="1">
      <c r="B62" s="853"/>
      <c r="C62" s="853"/>
    </row>
    <row r="63" spans="2:4" s="854" customFormat="1">
      <c r="B63" s="853"/>
      <c r="C63" s="853"/>
    </row>
    <row r="64" spans="2:4" s="854" customFormat="1" ht="15" customHeight="1">
      <c r="B64" s="853"/>
      <c r="C64" s="1231" t="s">
        <v>0</v>
      </c>
      <c r="D64" s="1232" t="s">
        <v>993</v>
      </c>
    </row>
    <row r="65" spans="2:4" s="854" customFormat="1" ht="59.45" customHeight="1">
      <c r="B65" s="853"/>
      <c r="C65" s="1231"/>
      <c r="D65" s="1232"/>
    </row>
    <row r="66" spans="2:4" s="854" customFormat="1" ht="20.25">
      <c r="B66" s="853"/>
      <c r="C66" s="853" t="s">
        <v>1015</v>
      </c>
      <c r="D66" s="857">
        <f>+E11</f>
        <v>0.48538679520443978</v>
      </c>
    </row>
    <row r="67" spans="2:4" s="854" customFormat="1" ht="20.25">
      <c r="B67" s="853"/>
      <c r="C67" s="853" t="s">
        <v>1016</v>
      </c>
      <c r="D67" s="857">
        <f>+E14</f>
        <v>0.42746533127889058</v>
      </c>
    </row>
    <row r="68" spans="2:4" s="854" customFormat="1" ht="20.25">
      <c r="B68" s="853"/>
      <c r="C68" s="853" t="s">
        <v>1017</v>
      </c>
      <c r="D68" s="857">
        <f>+E17</f>
        <v>0.316416942371476</v>
      </c>
    </row>
    <row r="69" spans="2:4" s="854" customFormat="1" ht="20.25">
      <c r="B69" s="853"/>
      <c r="C69" s="853" t="s">
        <v>1018</v>
      </c>
      <c r="D69" s="857">
        <f>+E21</f>
        <v>0.36511067124682328</v>
      </c>
    </row>
    <row r="70" spans="2:4" s="854" customFormat="1" ht="20.25">
      <c r="B70" s="853"/>
      <c r="C70" s="853" t="s">
        <v>1019</v>
      </c>
      <c r="D70" s="857">
        <f>+E28</f>
        <v>0.25249999999999995</v>
      </c>
    </row>
    <row r="71" spans="2:4" s="852" customFormat="1">
      <c r="B71" s="851"/>
      <c r="C71" s="851"/>
      <c r="D71" s="858"/>
    </row>
    <row r="72" spans="2:4" s="852" customFormat="1">
      <c r="B72" s="851"/>
      <c r="C72" s="851"/>
    </row>
    <row r="73" spans="2:4" s="852" customFormat="1">
      <c r="B73" s="851"/>
      <c r="C73" s="851"/>
    </row>
  </sheetData>
  <mergeCells count="22">
    <mergeCell ref="C64:C65"/>
    <mergeCell ref="D64:D65"/>
    <mergeCell ref="B28:B30"/>
    <mergeCell ref="E28:E30"/>
    <mergeCell ref="C2:E3"/>
    <mergeCell ref="B8:E8"/>
    <mergeCell ref="B9:B10"/>
    <mergeCell ref="C9:C10"/>
    <mergeCell ref="C40:C41"/>
    <mergeCell ref="D40:D41"/>
    <mergeCell ref="E21:E27"/>
    <mergeCell ref="B21:B27"/>
    <mergeCell ref="E17:E20"/>
    <mergeCell ref="B17:B20"/>
    <mergeCell ref="E14:E16"/>
    <mergeCell ref="B14:B16"/>
    <mergeCell ref="E11:E13"/>
    <mergeCell ref="D9:D10"/>
    <mergeCell ref="E9:E10"/>
    <mergeCell ref="B11:B13"/>
    <mergeCell ref="B2:B3"/>
    <mergeCell ref="C5:D5"/>
  </mergeCells>
  <phoneticPr fontId="68"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055A-26E2-48F5-A1D7-149586EEB355}">
  <sheetPr>
    <tabColor rgb="FF002060"/>
  </sheetPr>
  <dimension ref="B1:P52"/>
  <sheetViews>
    <sheetView showGridLines="0" topLeftCell="A4" zoomScale="52" zoomScaleNormal="52" workbookViewId="0">
      <pane xSplit="4" ySplit="6" topLeftCell="L10" activePane="bottomRight" state="frozen"/>
      <selection activeCell="Q86" sqref="Q86"/>
      <selection pane="topRight" activeCell="Q86" sqref="Q86"/>
      <selection pane="bottomLeft" activeCell="Q86" sqref="Q86"/>
      <selection pane="bottomRight" activeCell="Q86" sqref="Q86"/>
    </sheetView>
  </sheetViews>
  <sheetFormatPr baseColWidth="10" defaultColWidth="17.28515625" defaultRowHeight="17.25"/>
  <cols>
    <col min="1" max="1" width="4.28515625" style="1" customWidth="1"/>
    <col min="2" max="2" width="85.7109375" style="3" customWidth="1"/>
    <col min="3" max="3" width="76.7109375" style="3" customWidth="1"/>
    <col min="4" max="5" width="43.42578125" style="3" customWidth="1"/>
    <col min="6" max="6" width="35.7109375" style="3" customWidth="1"/>
    <col min="7" max="12" width="36.42578125" style="3" customWidth="1"/>
    <col min="13" max="16" width="38.7109375" style="1" customWidth="1"/>
    <col min="17" max="16384" width="17.28515625" style="1"/>
  </cols>
  <sheetData>
    <row r="1" spans="2:16" ht="15" customHeight="1" thickBot="1"/>
    <row r="2" spans="2:16" ht="90" customHeight="1" thickBot="1">
      <c r="B2" s="879" t="s">
        <v>685</v>
      </c>
      <c r="C2" s="1257" t="s">
        <v>1035</v>
      </c>
      <c r="D2" s="1258"/>
      <c r="E2" s="1258"/>
      <c r="F2" s="1258"/>
      <c r="G2" s="1258"/>
      <c r="H2" s="1258"/>
      <c r="I2" s="1258"/>
      <c r="J2" s="1258"/>
      <c r="K2" s="1258"/>
      <c r="L2" s="1258"/>
      <c r="M2" s="1258"/>
      <c r="N2" s="1259"/>
      <c r="O2" s="795"/>
      <c r="P2" s="795"/>
    </row>
    <row r="3" spans="2:16" ht="14.25" customHeight="1">
      <c r="B3" s="2"/>
      <c r="C3" s="2"/>
      <c r="D3" s="2"/>
      <c r="E3" s="2"/>
      <c r="F3" s="2"/>
      <c r="G3" s="2"/>
      <c r="H3" s="2"/>
      <c r="I3" s="2"/>
      <c r="J3" s="2"/>
      <c r="K3" s="2"/>
      <c r="L3" s="2"/>
    </row>
    <row r="4" spans="2:16" ht="32.450000000000003" customHeight="1">
      <c r="B4" s="829" t="s">
        <v>713</v>
      </c>
      <c r="C4" s="905" t="str">
        <f>_xlfn.CONCAT('1-Infor Det Sgto PEI 2021-2024 '!C4,'1-Infor Det Sgto PEI 2021-2024 '!D4)</f>
        <v>SEMESTRE 1 2022</v>
      </c>
      <c r="D4" s="836"/>
      <c r="E4" s="836"/>
      <c r="F4" s="836"/>
      <c r="G4" s="836"/>
      <c r="H4" s="836"/>
      <c r="I4" s="836"/>
      <c r="J4" s="836"/>
      <c r="K4" s="836"/>
      <c r="L4" s="836"/>
      <c r="N4" s="836"/>
      <c r="O4" s="691"/>
      <c r="P4" s="691"/>
    </row>
    <row r="5" spans="2:16" ht="14.25" customHeight="1">
      <c r="B5" s="2"/>
      <c r="C5" s="2"/>
      <c r="D5" s="2"/>
      <c r="E5" s="2"/>
      <c r="F5" s="2"/>
      <c r="G5" s="2"/>
      <c r="H5" s="2"/>
      <c r="I5" s="2"/>
      <c r="J5" s="2"/>
      <c r="K5" s="2"/>
      <c r="L5" s="2"/>
      <c r="M5" s="12"/>
      <c r="N5" s="12"/>
      <c r="O5" s="12"/>
      <c r="P5" s="12"/>
    </row>
    <row r="6" spans="2:16" ht="34.15" customHeight="1">
      <c r="B6" s="831" t="s">
        <v>1179</v>
      </c>
      <c r="C6" s="2"/>
      <c r="D6" s="2"/>
      <c r="E6" s="2"/>
      <c r="F6" s="2"/>
      <c r="G6" s="2"/>
      <c r="H6" s="2"/>
      <c r="I6" s="2"/>
      <c r="J6" s="2"/>
      <c r="K6" s="2"/>
      <c r="L6" s="2"/>
      <c r="M6" s="12"/>
      <c r="N6" s="12"/>
      <c r="O6" s="12"/>
      <c r="P6" s="12"/>
    </row>
    <row r="7" spans="2:16" ht="52.15" customHeight="1">
      <c r="B7" s="1243" t="s">
        <v>708</v>
      </c>
      <c r="C7" s="1244"/>
      <c r="D7" s="1244"/>
      <c r="E7" s="1260"/>
      <c r="F7" s="1260"/>
      <c r="G7" s="1260"/>
      <c r="H7" s="1260"/>
      <c r="I7" s="1260"/>
      <c r="J7" s="1260"/>
      <c r="K7" s="1260"/>
      <c r="L7" s="1260"/>
      <c r="M7" s="1244"/>
      <c r="N7" s="1245"/>
      <c r="O7" s="817"/>
      <c r="P7" s="817"/>
    </row>
    <row r="8" spans="2:16" ht="51.6" customHeight="1">
      <c r="B8" s="1246" t="s">
        <v>0</v>
      </c>
      <c r="C8" s="1246" t="s">
        <v>52</v>
      </c>
      <c r="D8" s="1263" t="s">
        <v>934</v>
      </c>
      <c r="E8" s="1264" t="s">
        <v>1171</v>
      </c>
      <c r="F8" s="1264"/>
      <c r="G8" s="1264"/>
      <c r="H8" s="1264"/>
      <c r="I8" s="1264" t="s">
        <v>1178</v>
      </c>
      <c r="J8" s="1264"/>
      <c r="K8" s="1264"/>
      <c r="L8" s="1265" t="s">
        <v>707</v>
      </c>
      <c r="M8" s="1261" t="s">
        <v>1022</v>
      </c>
      <c r="N8" s="1262" t="s">
        <v>1023</v>
      </c>
      <c r="O8" s="818"/>
      <c r="P8" s="818"/>
    </row>
    <row r="9" spans="2:16" ht="70.150000000000006" customHeight="1">
      <c r="B9" s="1247"/>
      <c r="C9" s="1247"/>
      <c r="D9" s="1247"/>
      <c r="E9" s="830" t="s">
        <v>973</v>
      </c>
      <c r="F9" s="830" t="s">
        <v>703</v>
      </c>
      <c r="G9" s="830" t="s">
        <v>704</v>
      </c>
      <c r="H9" s="1110" t="s">
        <v>1175</v>
      </c>
      <c r="I9" s="1082" t="s">
        <v>703</v>
      </c>
      <c r="J9" s="1082" t="s">
        <v>704</v>
      </c>
      <c r="K9" s="1109" t="s">
        <v>1174</v>
      </c>
      <c r="L9" s="1266"/>
      <c r="M9" s="1222"/>
      <c r="N9" s="1262"/>
      <c r="O9" s="818"/>
      <c r="P9" s="818"/>
    </row>
    <row r="10" spans="2:16" ht="103.5" customHeight="1">
      <c r="B10" s="1225"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0" s="1271" t="str">
        <f>+'Matriz PEI 2021-2024'!C10</f>
        <v>1.1. Realizar 884.203 acciones que promuevan la defensa, garantía y restablecimiento de los derechos de las personas en el Distrito Capital.</v>
      </c>
      <c r="D10" s="1269">
        <f>+'Matriz PEI 2021-2024'!E10</f>
        <v>884203</v>
      </c>
      <c r="E10" s="838" t="str">
        <f>+'1-Infor Det Sgto PEI 2021-2024 '!F9</f>
        <v>Acciones realizadas que promueven la defensa, garantía y restablecimiento de los derechos</v>
      </c>
      <c r="F10" s="839">
        <f>SUM('1-Infor Det Sgto PEI 2021-2024 '!AJ9:AJ18)</f>
        <v>262415</v>
      </c>
      <c r="G10" s="839">
        <f>SUM('1-Infor Det Sgto PEI 2021-2024 '!AK9:AK18)</f>
        <v>249011</v>
      </c>
      <c r="H10" s="865">
        <f>AVERAGE('1-Infor Det Sgto PEI 2021-2024 '!AL9:AL18)</f>
        <v>0.94475557943239019</v>
      </c>
      <c r="I10" s="902">
        <f>SUM('1-Infor Det Sgto PEI 2021-2024 '!BJ9:BJ18)</f>
        <v>370346</v>
      </c>
      <c r="J10" s="902">
        <f>SUM('1-Infor Det Sgto PEI 2021-2024 '!BK9:BK18)</f>
        <v>450169</v>
      </c>
      <c r="K10" s="1111">
        <f>AVERAGE('1-Infor Det Sgto PEI 2021-2024 '!BL9:BL18)</f>
        <v>1.222517326875564</v>
      </c>
      <c r="L10" s="1112">
        <f>SUM('1-Infor Det Sgto PEI 2021-2024 '!BN9:BN18)</f>
        <v>0.49601739063965827</v>
      </c>
      <c r="M10" s="1218">
        <f>+'1-Infor Det Sgto PEI 2021-2024 '!BO9</f>
        <v>0.49733040233556469</v>
      </c>
      <c r="N10" s="1267">
        <f>+'1-Infor Det Sgto PEI 2021-2024 '!BP9</f>
        <v>0.48538679520443978</v>
      </c>
      <c r="O10" s="819"/>
      <c r="P10" s="819"/>
    </row>
    <row r="11" spans="2:16" ht="103.5" customHeight="1">
      <c r="B11" s="1226"/>
      <c r="C11" s="1272"/>
      <c r="D11" s="1270"/>
      <c r="E11" s="838" t="str">
        <f>+'1-Infor Det Sgto PEI 2021-2024 '!F19</f>
        <v>Porcentaje de Acciones de Tutela, Desacatos e Impugnaciones entregadas en un Termino Menor a Cinco (5) Días Hábiles</v>
      </c>
      <c r="F11" s="841">
        <f>+'1-Infor Det Sgto PEI 2021-2024 '!AJ19</f>
        <v>0.94999999999999984</v>
      </c>
      <c r="G11" s="859">
        <f>+'1-Infor Det Sgto PEI 2021-2024 '!AK19</f>
        <v>0.749</v>
      </c>
      <c r="H11" s="861">
        <f>+'1-Infor Det Sgto PEI 2021-2024 '!AL19</f>
        <v>0.59131578947368424</v>
      </c>
      <c r="I11" s="865">
        <f>'1-Infor Det Sgto PEI 2021-2024 '!BJ19</f>
        <v>0.94999999999999984</v>
      </c>
      <c r="J11" s="865">
        <f>'1-Infor Det Sgto PEI 2021-2024 '!BK19</f>
        <v>0.99788888888888894</v>
      </c>
      <c r="K11" s="861">
        <f>+'1-Infor Det Sgto PEI 2021-2024 '!BL19</f>
        <v>1.0504093567251465</v>
      </c>
      <c r="L11" s="1113">
        <f>'1-Infor Det Sgto PEI 2021-2024 '!BN19</f>
        <v>1.3130116959064327E-3</v>
      </c>
      <c r="M11" s="1220"/>
      <c r="N11" s="1267"/>
      <c r="O11" s="819"/>
      <c r="P11" s="819"/>
    </row>
    <row r="12" spans="2:16" ht="135.75" customHeight="1">
      <c r="B12" s="1226"/>
      <c r="C12" s="926"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12" s="839">
        <f>+'Matriz PEI 2021-2024'!E11</f>
        <v>260709</v>
      </c>
      <c r="E12" s="838" t="str">
        <f>+'1-Infor Det Sgto PEI 2021-2024 '!F20</f>
        <v>Acciones realizadas que propendan por la efectiva defensa y garantía de los derechos de los sujetos de especial protección constitucional</v>
      </c>
      <c r="F12" s="839">
        <f>SUM('1-Infor Det Sgto PEI 2021-2024 '!AJ20:AJ25)</f>
        <v>85619</v>
      </c>
      <c r="G12" s="839">
        <f>SUM('1-Infor Det Sgto PEI 2021-2024 '!AK20:AK25)</f>
        <v>83869</v>
      </c>
      <c r="H12" s="859">
        <f>AVERAGE('1-Infor Det Sgto PEI 2021-2024 '!AL20:AL25)</f>
        <v>1.0786115560163032</v>
      </c>
      <c r="I12" s="1083">
        <f>SUM('1-Infor Det Sgto PEI 2021-2024 '!BJ20:BJ25)</f>
        <v>116264</v>
      </c>
      <c r="J12" s="1083">
        <f>SUM('1-Infor Det Sgto PEI 2021-2024 '!BK20:BK25)</f>
        <v>150609</v>
      </c>
      <c r="K12" s="859">
        <f>AVERAGE('1-Infor Det Sgto PEI 2021-2024 '!BL20:BL25)</f>
        <v>1.2489131018381756</v>
      </c>
      <c r="L12" s="859">
        <f>SUM('1-Infor Det Sgto PEI 2021-2024 '!BN20:BN25)</f>
        <v>0.57425484057499543</v>
      </c>
      <c r="M12" s="798">
        <f>+'1-Infor Det Sgto PEI 2021-2024 '!BO20</f>
        <v>0.57425484057499543</v>
      </c>
      <c r="N12" s="1267"/>
      <c r="O12" s="820"/>
      <c r="P12" s="820"/>
    </row>
    <row r="13" spans="2:16" ht="90" customHeight="1">
      <c r="B13" s="1226"/>
      <c r="C13" s="926" t="str">
        <f>+'Matriz PEI 2021-2024'!C12</f>
        <v>1.3. Construir e Implementar 35 estrategias que permitan incrementar la oferta y cobertura de los servicios prestados por la Entidad.</v>
      </c>
      <c r="D13" s="839">
        <f>+'Matriz PEI 2021-2024'!E12</f>
        <v>35</v>
      </c>
      <c r="E13" s="838" t="str">
        <f>+'1-Infor Det Sgto PEI 2021-2024 '!F26</f>
        <v>Estrategias construidas e implementadas</v>
      </c>
      <c r="F13" s="839">
        <f>SUM('1-Infor Det Sgto PEI 2021-2024 '!AJ26:AJ28)</f>
        <v>12</v>
      </c>
      <c r="G13" s="860">
        <f>SUM('1-Infor Det Sgto PEI 2021-2024 '!AK26:AK28)</f>
        <v>5.6000000000000005</v>
      </c>
      <c r="H13" s="859">
        <f>AVERAGE('1-Infor Det Sgto PEI 2021-2024 '!AL26:AL28)</f>
        <v>0.30277777777777781</v>
      </c>
      <c r="I13" s="1083">
        <f>SUM('1-Infor Det Sgto PEI 2021-2024 '!BJ26:BJ28)</f>
        <v>8</v>
      </c>
      <c r="J13" s="1083">
        <f>SUM('1-Infor Det Sgto PEI 2021-2024 '!BK26:BK28)</f>
        <v>8</v>
      </c>
      <c r="K13" s="859">
        <f>AVERAGE('1-Infor Det Sgto PEI 2021-2024 '!BL26:BL28)</f>
        <v>1</v>
      </c>
      <c r="L13" s="859">
        <f>SUM('1-Infor Det Sgto PEI 2021-2024 '!BN26:BN28)</f>
        <v>0.22404545454545455</v>
      </c>
      <c r="M13" s="798">
        <f>+'1-Infor Det Sgto PEI 2021-2024 '!BO26</f>
        <v>0.22404545454545455</v>
      </c>
      <c r="N13" s="1267"/>
      <c r="O13" s="820"/>
      <c r="P13" s="820"/>
    </row>
    <row r="14" spans="2:16" ht="102" customHeight="1">
      <c r="B14" s="1256" t="str">
        <f>+'Matriz PEI 2021-2024'!B13</f>
        <v>2. Realizar acciones de prevención y control a la Función Pública, en el marco del cumplimiento del Plan de Desarrollo, con énfasis en los Derechos e intereses colectivos.</v>
      </c>
      <c r="C14" s="927" t="str">
        <f>+'Matriz PEI 2021-2024'!C13</f>
        <v>2.1. Realizar 22 acciones de prevención y control a la función pública en medio ambiente, agua, protección y bienestar animal y desarrollo urbano.</v>
      </c>
      <c r="D14" s="840">
        <f>+'Matriz PEI 2021-2024'!E13</f>
        <v>22</v>
      </c>
      <c r="E14" s="843" t="str">
        <f>+'1-Infor Det Sgto PEI 2021-2024 '!F29</f>
        <v>Acciones realizadas de prevención y control a la función pública en temas priorizados</v>
      </c>
      <c r="F14" s="840">
        <f>SUM('1-Infor Det Sgto PEI 2021-2024 '!AJ29:AJ30)</f>
        <v>8</v>
      </c>
      <c r="G14" s="840">
        <f>SUM('1-Infor Det Sgto PEI 2021-2024 '!AK29:AK30)</f>
        <v>2</v>
      </c>
      <c r="H14" s="842">
        <f>AVERAGE('1-Infor Det Sgto PEI 2021-2024 '!AL29:AL30)</f>
        <v>0.14285714285714285</v>
      </c>
      <c r="I14" s="840">
        <f>SUM('1-Infor Det Sgto PEI 2021-2024 '!BJ29:BJ30)</f>
        <v>5</v>
      </c>
      <c r="J14" s="840">
        <f>SUM('1-Infor Det Sgto PEI 2021-2024 '!BK29:BK30)</f>
        <v>3</v>
      </c>
      <c r="K14" s="1095">
        <f>AVERAGE('1-Infor Det Sgto PEI 2021-2024 '!BL29:BL30)</f>
        <v>0.75</v>
      </c>
      <c r="L14" s="868">
        <f>SUM('1-Infor Det Sgto PEI 2021-2024 '!BN29:BN30)</f>
        <v>0.13636363636363635</v>
      </c>
      <c r="M14" s="808">
        <f>+'1-Infor Det Sgto PEI 2021-2024 '!BO29</f>
        <v>0.13636363636363635</v>
      </c>
      <c r="N14" s="1253">
        <f>+'1-Infor Det Sgto PEI 2021-2024 '!BP29</f>
        <v>0.42746533127889058</v>
      </c>
      <c r="O14" s="820"/>
      <c r="P14" s="820"/>
    </row>
    <row r="15" spans="2:16" ht="100.5" customHeight="1">
      <c r="B15" s="1251"/>
      <c r="C15" s="927" t="str">
        <f>+'Matriz PEI 2021-2024'!C14</f>
        <v>2.2. Fortalecer la moralidad publica realizando  952 acciones de prevención y control a la función pública.</v>
      </c>
      <c r="D15" s="840">
        <f>+'Matriz PEI 2021-2024'!E14</f>
        <v>952</v>
      </c>
      <c r="E15" s="843" t="str">
        <f>+'1-Infor Det Sgto PEI 2021-2024 '!F31</f>
        <v>Acciones realizadas de prevención y control a la función pública para fortalecer la moralidad pública</v>
      </c>
      <c r="F15" s="840">
        <f>SUM('1-Infor Det Sgto PEI 2021-2024 '!AJ31:AJ32)</f>
        <v>353</v>
      </c>
      <c r="G15" s="840">
        <f>SUM('1-Infor Det Sgto PEI 2021-2024 '!AK31:AK32)</f>
        <v>216</v>
      </c>
      <c r="H15" s="866">
        <f>AVERAGE('1-Infor Det Sgto PEI 2021-2024 '!AL31:AL32)</f>
        <v>0.54334098737083814</v>
      </c>
      <c r="I15" s="840">
        <f>SUM('1-Infor Det Sgto PEI 2021-2024 '!BJ31:BJ32)</f>
        <v>367</v>
      </c>
      <c r="J15" s="840">
        <f>SUM('1-Infor Det Sgto PEI 2021-2024 '!BK31:BK32)</f>
        <v>470</v>
      </c>
      <c r="K15" s="866">
        <f>AVERAGE('1-Infor Det Sgto PEI 2021-2024 '!BL31:BL32)</f>
        <v>1.4036388140161726</v>
      </c>
      <c r="L15" s="1095">
        <f>SUM('1-Infor Det Sgto PEI 2021-2024 '!BN31:BN32)</f>
        <v>0.53409090909090906</v>
      </c>
      <c r="M15" s="808">
        <f>+'1-Infor Det Sgto PEI 2021-2024 '!BO31</f>
        <v>0.53409090909090906</v>
      </c>
      <c r="N15" s="1254"/>
      <c r="O15" s="820"/>
      <c r="P15" s="820"/>
    </row>
    <row r="16" spans="2:16" ht="65.25" customHeight="1">
      <c r="B16" s="1251"/>
      <c r="C16" s="927" t="str">
        <f>+'Matriz PEI 2021-2024'!C15</f>
        <v>2.3. Fortalecer 320 espacios de participación ciudadana en la Personería de Bogotá</v>
      </c>
      <c r="D16" s="840">
        <f>+'Matriz PEI 2021-2024'!E15</f>
        <v>320</v>
      </c>
      <c r="E16" s="843" t="str">
        <f>+'1-Infor Det Sgto PEI 2021-2024 '!F33</f>
        <v>Espacios de participación ciudadana fortalecidos</v>
      </c>
      <c r="F16" s="840">
        <f>SUM('1-Infor Det Sgto PEI 2021-2024 '!AJ33:AJ35)</f>
        <v>111</v>
      </c>
      <c r="G16" s="840">
        <f>SUM('1-Infor Det Sgto PEI 2021-2024 '!AK33:AK35)</f>
        <v>85</v>
      </c>
      <c r="H16" s="867">
        <f>AVERAGE('1-Infor Det Sgto PEI 2021-2024 '!AL33:AL35)</f>
        <v>0.79047619047619044</v>
      </c>
      <c r="I16" s="840">
        <f>SUM('1-Infor Det Sgto PEI 2021-2024 '!BJ33:BJ35)</f>
        <v>125</v>
      </c>
      <c r="J16" s="840">
        <f>SUM('1-Infor Det Sgto PEI 2021-2024 '!BK33:BK35)</f>
        <v>195</v>
      </c>
      <c r="K16" s="1096">
        <f>AVERAGE('1-Infor Det Sgto PEI 2021-2024 '!BL33:BL35)</f>
        <v>1.392857142857143</v>
      </c>
      <c r="L16" s="1095">
        <f>SUM('1-Infor Det Sgto PEI 2021-2024 '!BN33:BN35)</f>
        <v>0.66101694915254239</v>
      </c>
      <c r="M16" s="797">
        <f>+'1-Infor Det Sgto PEI 2021-2024 '!BO33</f>
        <v>0.66101694915254239</v>
      </c>
      <c r="N16" s="1254"/>
      <c r="O16" s="820"/>
      <c r="P16" s="820"/>
    </row>
    <row r="17" spans="2:16" ht="93.75" customHeight="1">
      <c r="B17" s="1225" t="str">
        <f>+'Matriz PEI 2021-2024'!B16</f>
        <v>3. Vigilar la conducta oficial de los(as) servidores(as) públicos(as) del Distrito Capital, mediante acciones preventivas y correctivas, que permitan un adecuado cumplimiento de los principios de la Función Pública</v>
      </c>
      <c r="C17" s="1271" t="str">
        <f>+'Matriz PEI 2021-2024'!C16</f>
        <v>3.1. Descongestionar 6.700 procesos disciplinarios con criterios de calidad, efectividad y garantía del debido proceso.</v>
      </c>
      <c r="D17" s="1269">
        <f>+'Matriz PEI 2021-2024'!E16</f>
        <v>6700</v>
      </c>
      <c r="E17" s="838" t="str">
        <f>+'1-Infor Det Sgto PEI 2021-2024 '!F36</f>
        <v xml:space="preserve">Procesos disciplinarios descongestionados </v>
      </c>
      <c r="F17" s="839">
        <f>+'1-Infor Det Sgto PEI 2021-2024 '!AJ36</f>
        <v>1800</v>
      </c>
      <c r="G17" s="839">
        <f>+'1-Infor Det Sgto PEI 2021-2024 '!AK36</f>
        <v>1134</v>
      </c>
      <c r="H17" s="864">
        <f>'1-Infor Det Sgto PEI 2021-2024 '!AL36</f>
        <v>0.63</v>
      </c>
      <c r="I17" s="1083">
        <f>'1-Infor Det Sgto PEI 2021-2024 '!BJ36</f>
        <v>2390</v>
      </c>
      <c r="J17" s="1083">
        <f>'1-Infor Det Sgto PEI 2021-2024 '!BK36</f>
        <v>2253</v>
      </c>
      <c r="K17" s="864">
        <f>'1-Infor Det Sgto PEI 2021-2024 '!BL36</f>
        <v>0.94267782426778246</v>
      </c>
      <c r="L17" s="1120">
        <f>'1-Infor Det Sgto PEI 2021-2024 '!BN36</f>
        <v>0.26901492537313437</v>
      </c>
      <c r="M17" s="1218">
        <f>+'1-Infor Det Sgto PEI 2021-2024 '!BO36</f>
        <v>0.29280798092868993</v>
      </c>
      <c r="N17" s="1218">
        <f>+'1-Infor Det Sgto PEI 2021-2024 '!BP36</f>
        <v>0.316416942371476</v>
      </c>
      <c r="O17" s="819"/>
      <c r="P17" s="819"/>
    </row>
    <row r="18" spans="2:16" ht="93.75" customHeight="1">
      <c r="B18" s="1226"/>
      <c r="C18" s="1272"/>
      <c r="D18" s="1270"/>
      <c r="E18" s="838" t="str">
        <f>+'1-Infor Det Sgto PEI 2021-2024 '!F37</f>
        <v>Noticias disciplinarias  evaluadas y con impulso procesal</v>
      </c>
      <c r="F18" s="859">
        <f>+'1-Infor Det Sgto PEI 2021-2024 '!AJ37</f>
        <v>1</v>
      </c>
      <c r="G18" s="859">
        <f>+'1-Infor Det Sgto PEI 2021-2024 '!AK37</f>
        <v>0.65600000000000003</v>
      </c>
      <c r="H18" s="864">
        <f>'1-Infor Det Sgto PEI 2021-2024 '!AL37</f>
        <v>0.49199999999999999</v>
      </c>
      <c r="I18" s="864">
        <f>'1-Infor Det Sgto PEI 2021-2024 '!BJ37</f>
        <v>1</v>
      </c>
      <c r="J18" s="865">
        <f>'1-Infor Det Sgto PEI 2021-2024 '!BK37</f>
        <v>0.95172222222222214</v>
      </c>
      <c r="K18" s="864">
        <f>'1-Infor Det Sgto PEI 2021-2024 '!BL37</f>
        <v>0.95172222222222214</v>
      </c>
      <c r="L18" s="1113">
        <f>'1-Infor Det Sgto PEI 2021-2024 '!BN37</f>
        <v>2.3793055555555553E-2</v>
      </c>
      <c r="M18" s="1220"/>
      <c r="N18" s="1219"/>
      <c r="O18" s="819"/>
      <c r="P18" s="819"/>
    </row>
    <row r="19" spans="2:16" ht="95.25" customHeight="1">
      <c r="B19" s="1226"/>
      <c r="C19" s="1271" t="str">
        <f>+'Matriz PEI 2021-2024'!C17</f>
        <v xml:space="preserve">3.2. Identificar el 100% de los hechos constitutivos de faltas disciplinarias para ejercer el poder preferente en las Oficinas de Control Interno Disciplinario, en temas de interés e impacto para el Distrito Capital. </v>
      </c>
      <c r="D19" s="1273">
        <f>+'Matriz PEI 2021-2024'!E17</f>
        <v>1</v>
      </c>
      <c r="E19" s="844" t="str">
        <f>+'1-Infor Det Sgto PEI 2021-2024 '!F38</f>
        <v>Visitas de seguimiento a Oficinas de Control Interno Disciplinario realizadas</v>
      </c>
      <c r="F19" s="839">
        <f>+'1-Infor Det Sgto PEI 2021-2024 '!AJ38</f>
        <v>51</v>
      </c>
      <c r="G19" s="839">
        <f>+'1-Infor Det Sgto PEI 2021-2024 '!AK38</f>
        <v>9</v>
      </c>
      <c r="H19" s="864">
        <f>'1-Infor Det Sgto PEI 2021-2024 '!AL38</f>
        <v>0.17647058823529413</v>
      </c>
      <c r="I19" s="1083">
        <f>'1-Infor Det Sgto PEI 2021-2024 '!BJ38</f>
        <v>81</v>
      </c>
      <c r="J19" s="1083">
        <f>'1-Infor Det Sgto PEI 2021-2024 '!BK38</f>
        <v>51</v>
      </c>
      <c r="K19" s="864">
        <f>'1-Infor Det Sgto PEI 2021-2024 '!BL38</f>
        <v>0.62962962962962965</v>
      </c>
      <c r="L19" s="1113">
        <f>'1-Infor Det Sgto PEI 2021-2024 '!BN38</f>
        <v>0.125</v>
      </c>
      <c r="M19" s="1218">
        <f>+'1-Infor Det Sgto PEI 2021-2024 '!BO38</f>
        <v>0.140625</v>
      </c>
      <c r="N19" s="1219"/>
      <c r="O19" s="819"/>
      <c r="P19" s="819"/>
    </row>
    <row r="20" spans="2:16" ht="95.25" customHeight="1">
      <c r="B20" s="1226"/>
      <c r="C20" s="1272"/>
      <c r="D20" s="1274"/>
      <c r="E20" s="844" t="str">
        <f>+'1-Infor Det Sgto PEI 2021-2024 '!F39</f>
        <v>Procesos de interés e impacto asumidos por competencia</v>
      </c>
      <c r="F20" s="841">
        <f>+'1-Infor Det Sgto PEI 2021-2024 '!AJ39</f>
        <v>1</v>
      </c>
      <c r="G20" s="841">
        <f>+'1-Infor Det Sgto PEI 2021-2024 '!AK39</f>
        <v>0.73199999999999998</v>
      </c>
      <c r="H20" s="864">
        <f>'1-Infor Det Sgto PEI 2021-2024 '!AL39</f>
        <v>0.54899999999999993</v>
      </c>
      <c r="I20" s="864">
        <f>'1-Infor Det Sgto PEI 2021-2024 '!BJ39</f>
        <v>1</v>
      </c>
      <c r="J20" s="864">
        <f>'1-Infor Det Sgto PEI 2021-2024 '!BK39</f>
        <v>1</v>
      </c>
      <c r="K20" s="864">
        <f>'1-Infor Det Sgto PEI 2021-2024 '!BL39</f>
        <v>1</v>
      </c>
      <c r="L20" s="1113">
        <f>'1-Infor Det Sgto PEI 2021-2024 '!BN39</f>
        <v>1.5625E-2</v>
      </c>
      <c r="M20" s="1220"/>
      <c r="N20" s="1219"/>
      <c r="O20" s="819"/>
      <c r="P20" s="819"/>
    </row>
    <row r="21" spans="2:16" ht="126.75" customHeight="1">
      <c r="B21" s="1226"/>
      <c r="C21" s="928" t="str">
        <f>+'Matriz PEI 2021-2024'!C18</f>
        <v>3.3. Generar 8 escenarios que fortalezcan el conocimiento y las competencias del operador disciplinario, que apoya el cumplimiento de la labor misional, extendiendo el alcance a los jueces naturales en el Distrito Capital.</v>
      </c>
      <c r="D21" s="839">
        <f>+'Matriz PEI 2021-2024'!E18</f>
        <v>8</v>
      </c>
      <c r="E21" s="838" t="str">
        <f>+'1-Infor Det Sgto PEI 2021-2024 '!F40</f>
        <v>Escenarios generados que fortalezcan el conocimiento</v>
      </c>
      <c r="F21" s="839">
        <f>+'1-Infor Det Sgto PEI 2021-2024 '!AJ40</f>
        <v>2</v>
      </c>
      <c r="G21" s="839">
        <f>+'1-Infor Det Sgto PEI 2021-2024 '!AK40</f>
        <v>1</v>
      </c>
      <c r="H21" s="841">
        <f>+'1-Infor Det Sgto PEI 2021-2024 '!AL40</f>
        <v>0.5</v>
      </c>
      <c r="I21" s="1083">
        <f>'1-Infor Det Sgto PEI 2021-2024 '!BJ40</f>
        <v>2</v>
      </c>
      <c r="J21" s="1083">
        <f>'1-Infor Det Sgto PEI 2021-2024 '!BK40</f>
        <v>3</v>
      </c>
      <c r="K21" s="1097">
        <f>+'1-Infor Det Sgto PEI 2021-2024 '!BL40</f>
        <v>1.5</v>
      </c>
      <c r="L21" s="1120">
        <f>'1-Infor Det Sgto PEI 2021-2024 '!BN40</f>
        <v>0.375</v>
      </c>
      <c r="M21" s="792">
        <f>+'1-Infor Det Sgto PEI 2021-2024 '!BO40</f>
        <v>0.375</v>
      </c>
      <c r="N21" s="1219"/>
      <c r="O21" s="819"/>
      <c r="P21" s="819"/>
    </row>
    <row r="22" spans="2:16" ht="61.5" customHeight="1">
      <c r="B22" s="1268"/>
      <c r="C22" s="926" t="str">
        <f>+'Matriz PEI 2021-2024'!C19</f>
        <v>3.4. Implementar al 100% tres soluciones informáticas propias para la ejecución y gestión de la Potestad Disciplinaria.</v>
      </c>
      <c r="D22" s="841">
        <f>+'Matriz PEI 2021-2024'!E19</f>
        <v>1</v>
      </c>
      <c r="E22" s="838" t="str">
        <f>+'1-Infor Det Sgto PEI 2021-2024 '!F41</f>
        <v>Soluciones informáticas implementadas</v>
      </c>
      <c r="F22" s="860">
        <f>AVERAGE('1-Infor Det Sgto PEI 2021-2024 '!AJ41:AJ43)</f>
        <v>0.40000000000000008</v>
      </c>
      <c r="G22" s="860">
        <f>AVERAGE('1-Infor Det Sgto PEI 2021-2024 '!AK41:AK43)</f>
        <v>0.33333333333333331</v>
      </c>
      <c r="H22" s="862">
        <f>AVERAGE('1-Infor Det Sgto PEI 2021-2024 '!AL41:AL43)</f>
        <v>0.82499999999999984</v>
      </c>
      <c r="I22" s="860">
        <f>AVERAGE('1-Infor Det Sgto PEI 2021-2024 '!BJ41:BJ43)</f>
        <v>0.47000000000000003</v>
      </c>
      <c r="J22" s="860">
        <f>AVERAGE('1-Infor Det Sgto PEI 2021-2024 '!BK41:BK43)</f>
        <v>0.45333333333333337</v>
      </c>
      <c r="K22" s="862">
        <f>AVERAGE('1-Infor Det Sgto PEI 2021-2024 '!BL41:BL43)</f>
        <v>0.95370370370370372</v>
      </c>
      <c r="L22" s="1120">
        <f>SUM('1-Infor Det Sgto PEI 2021-2024 '!BN41:BN43)</f>
        <v>0.40200000000000002</v>
      </c>
      <c r="M22" s="825">
        <f>+'1-Infor Det Sgto PEI 2021-2024 '!BO41</f>
        <v>0.40200000000000002</v>
      </c>
      <c r="N22" s="1219"/>
      <c r="O22" s="819"/>
      <c r="P22" s="819"/>
    </row>
    <row r="23" spans="2:16" ht="75" customHeight="1">
      <c r="B23" s="1251"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3" s="927" t="str">
        <f>+'Matriz PEI 2021-2024'!C20</f>
        <v>4.1. Implementar el 100% de las acciones que impulsen el crecimiento del Modelo de Madurez de Transformación Digital de la Entidad, aplicando los principios , lineamientos y normas que lo enmarcan.</v>
      </c>
      <c r="D23" s="842">
        <f>+'Matriz PEI 2021-2024'!E20</f>
        <v>1</v>
      </c>
      <c r="E23" s="845" t="str">
        <f>+'1-Infor Det Sgto PEI 2021-2024 '!F44</f>
        <v>Acciones implementadas que impulsan el crecimiento del modelo de la Entidad</v>
      </c>
      <c r="F23" s="842">
        <f>AVERAGE('1-Infor Det Sgto PEI 2021-2024 '!AJ44:AJ50)</f>
        <v>0.39999999999999997</v>
      </c>
      <c r="G23" s="868">
        <f>AVERAGE('1-Infor Det Sgto PEI 2021-2024 '!AK44:AK50)</f>
        <v>0.33</v>
      </c>
      <c r="H23" s="863">
        <f>AVERAGE('1-Infor Det Sgto PEI 2021-2024 '!AL44:AL50)</f>
        <v>0.82500000000000007</v>
      </c>
      <c r="I23" s="1095">
        <f>AVERAGE('1-Infor Det Sgto PEI 2021-2024 '!BJ44:BJ50)</f>
        <v>0.5</v>
      </c>
      <c r="J23" s="868">
        <f>AVERAGE('1-Infor Det Sgto PEI 2021-2024 '!BK44:BK50)</f>
        <v>0.5</v>
      </c>
      <c r="K23" s="863">
        <f>AVERAGE('1-Infor Det Sgto PEI 2021-2024 '!BL44:BL50)</f>
        <v>1</v>
      </c>
      <c r="L23" s="1121">
        <f>SUM('1-Infor Det Sgto PEI 2021-2024 '!BN44:BN50)</f>
        <v>0.5</v>
      </c>
      <c r="M23" s="826">
        <f>+'1-Infor Det Sgto PEI 2021-2024 '!BO44</f>
        <v>0.5</v>
      </c>
      <c r="N23" s="1248">
        <f>+'1-Infor Det Sgto PEI 2021-2024 '!BP44</f>
        <v>0.36511067124682328</v>
      </c>
      <c r="O23" s="821"/>
      <c r="P23" s="821"/>
    </row>
    <row r="24" spans="2:16" ht="105" customHeight="1">
      <c r="B24" s="1251"/>
      <c r="C24" s="1276" t="str">
        <f>+'Matriz PEI 2021-2024'!C21</f>
        <v>4.2. Consolidar el 90% del Modelo Integrado de Planeación y Gestión –MIPG- y sus sistemas de gestión articulados, como compromiso con la Calidad, la Excelencia, la Responsabilidad Ambiental y la Mejora en la prestación del Servicio.</v>
      </c>
      <c r="D24" s="1279">
        <f>+'Matriz PEI 2021-2024'!E21</f>
        <v>0.9</v>
      </c>
      <c r="E24" s="845" t="str">
        <f>+'1-Infor Det Sgto PEI 2021-2024 '!F51</f>
        <v xml:space="preserve">Porcentaje de acciones implementadas para la sostenibilidad y mejora del SGC </v>
      </c>
      <c r="F24" s="842">
        <f>+'1-Infor Det Sgto PEI 2021-2024 '!AJ51</f>
        <v>1</v>
      </c>
      <c r="G24" s="842">
        <f>+'1-Infor Det Sgto PEI 2021-2024 '!AK51</f>
        <v>0.79600000000000004</v>
      </c>
      <c r="H24" s="842">
        <f>+'1-Infor Det Sgto PEI 2021-2024 '!AL51</f>
        <v>0.79600000000000004</v>
      </c>
      <c r="I24" s="1095">
        <f>+'1-Infor Det Sgto PEI 2021-2024 '!BJ51</f>
        <v>1</v>
      </c>
      <c r="J24" s="1095">
        <f>+'1-Infor Det Sgto PEI 2021-2024 '!BK51</f>
        <v>0.89424512213760887</v>
      </c>
      <c r="K24" s="1095">
        <f>+'1-Infor Det Sgto PEI 2021-2024 '!BL51</f>
        <v>0.89424512213760887</v>
      </c>
      <c r="L24" s="1121">
        <f>+'1-Infor Det Sgto PEI 2021-2024 '!BN51</f>
        <v>4.4712256106880448E-2</v>
      </c>
      <c r="M24" s="1253">
        <f>+'1-Infor Det Sgto PEI 2021-2024 '!BO51</f>
        <v>0.45127654182116611</v>
      </c>
      <c r="N24" s="1249"/>
      <c r="O24" s="820"/>
      <c r="P24" s="820"/>
    </row>
    <row r="25" spans="2:16" ht="69.599999999999994" customHeight="1">
      <c r="B25" s="1251"/>
      <c r="C25" s="1277"/>
      <c r="D25" s="1280"/>
      <c r="E25" s="845" t="str">
        <f>+'1-Infor Det Sgto PEI 2021-2024 '!F52</f>
        <v>Porcentaje de actividades implementadas para la sostenibilidad  y mejora del MIPG</v>
      </c>
      <c r="F25" s="842">
        <f>+'1-Infor Det Sgto PEI 2021-2024 '!AJ52</f>
        <v>0.13999999999999999</v>
      </c>
      <c r="G25" s="842">
        <f>+'1-Infor Det Sgto PEI 2021-2024 '!AK52</f>
        <v>0.1134</v>
      </c>
      <c r="H25" s="842">
        <f>+'1-Infor Det Sgto PEI 2021-2024 '!AL52</f>
        <v>0.81</v>
      </c>
      <c r="I25" s="1095">
        <f>+'1-Infor Det Sgto PEI 2021-2024 '!BJ52</f>
        <v>0.307</v>
      </c>
      <c r="J25" s="1095">
        <f>+'1-Infor Det Sgto PEI 2021-2024 '!BK52</f>
        <v>0.28639999999999999</v>
      </c>
      <c r="K25" s="1095">
        <f>+'1-Infor Det Sgto PEI 2021-2024 '!BL52</f>
        <v>0.93289902280130288</v>
      </c>
      <c r="L25" s="1121">
        <f>+'1-Infor Det Sgto PEI 2021-2024 '!BN52</f>
        <v>0.14319999999999999</v>
      </c>
      <c r="M25" s="1254"/>
      <c r="N25" s="1249"/>
      <c r="O25" s="820"/>
      <c r="P25" s="820"/>
    </row>
    <row r="26" spans="2:16" ht="55.9" customHeight="1">
      <c r="B26" s="1251"/>
      <c r="C26" s="1277"/>
      <c r="D26" s="1280"/>
      <c r="E26" s="845" t="str">
        <f>+'1-Infor Det Sgto PEI 2021-2024 '!F53</f>
        <v xml:space="preserve">Porcentaje de requisitos del  SGA implementados bajo los estándares de la norma ISO 14001 </v>
      </c>
      <c r="F26" s="842">
        <f>+'1-Infor Det Sgto PEI 2021-2024 '!AJ53</f>
        <v>0.33</v>
      </c>
      <c r="G26" s="842">
        <f>+'1-Infor Det Sgto PEI 2021-2024 '!AK53</f>
        <v>0.26400000000000001</v>
      </c>
      <c r="H26" s="842">
        <f>+'1-Infor Det Sgto PEI 2021-2024 '!AL53</f>
        <v>0.8</v>
      </c>
      <c r="I26" s="1095">
        <f>+'1-Infor Det Sgto PEI 2021-2024 '!BJ53</f>
        <v>0.55599999999999994</v>
      </c>
      <c r="J26" s="1095">
        <f>+'1-Infor Det Sgto PEI 2021-2024 '!BK53</f>
        <v>0.55599999999999994</v>
      </c>
      <c r="K26" s="1095">
        <f>+'1-Infor Det Sgto PEI 2021-2024 '!BL53</f>
        <v>1</v>
      </c>
      <c r="L26" s="1121">
        <f>+'1-Infor Det Sgto PEI 2021-2024 '!BN53</f>
        <v>8.3399999999999988E-2</v>
      </c>
      <c r="M26" s="1254"/>
      <c r="N26" s="1249"/>
      <c r="O26" s="820"/>
      <c r="P26" s="820"/>
    </row>
    <row r="27" spans="2:16" ht="52.15" customHeight="1">
      <c r="B27" s="1251"/>
      <c r="C27" s="1277"/>
      <c r="D27" s="1280"/>
      <c r="E27" s="845" t="str">
        <f>+'1-Infor Det Sgto PEI 2021-2024 '!F54</f>
        <v>Acciones de monitoreo y revisión realizadas al PAAC</v>
      </c>
      <c r="F27" s="840">
        <f>+'1-Infor Det Sgto PEI 2021-2024 '!AJ54</f>
        <v>3</v>
      </c>
      <c r="G27" s="840">
        <f>+'1-Infor Det Sgto PEI 2021-2024 '!AK54</f>
        <v>3</v>
      </c>
      <c r="H27" s="842">
        <f>+'1-Infor Det Sgto PEI 2021-2024 '!AL54</f>
        <v>1</v>
      </c>
      <c r="I27" s="840">
        <f>+'1-Infor Det Sgto PEI 2021-2024 '!BJ54</f>
        <v>5</v>
      </c>
      <c r="J27" s="840">
        <f>+'1-Infor Det Sgto PEI 2021-2024 '!BK54</f>
        <v>5</v>
      </c>
      <c r="K27" s="840">
        <f>+'1-Infor Det Sgto PEI 2021-2024 '!BL54</f>
        <v>1</v>
      </c>
      <c r="L27" s="1121">
        <f>+'1-Infor Det Sgto PEI 2021-2024 '!BN54</f>
        <v>4.1666666666666671E-2</v>
      </c>
      <c r="M27" s="1254"/>
      <c r="N27" s="1249"/>
      <c r="O27" s="820"/>
      <c r="P27" s="820"/>
    </row>
    <row r="28" spans="2:16" ht="64.900000000000006" customHeight="1">
      <c r="B28" s="1251"/>
      <c r="C28" s="1277"/>
      <c r="D28" s="1280"/>
      <c r="E28" s="845" t="str">
        <f>+'1-Infor Det Sgto PEI 2021-2024 '!F55</f>
        <v>Porcentaje de Percepción de los usuarios en calificación excelente y bueno incrementado</v>
      </c>
      <c r="F28" s="842">
        <f>+'1-Infor Det Sgto PEI 2021-2024 '!AJ55</f>
        <v>0.9</v>
      </c>
      <c r="G28" s="842">
        <f>+'1-Infor Det Sgto PEI 2021-2024 '!AK55</f>
        <v>0.95899999999999996</v>
      </c>
      <c r="H28" s="842">
        <f>+'1-Infor Det Sgto PEI 2021-2024 '!AL55</f>
        <v>1.0655555555555556</v>
      </c>
      <c r="I28" s="1095">
        <f>+'1-Infor Det Sgto PEI 2021-2024 '!BJ55</f>
        <v>0.9</v>
      </c>
      <c r="J28" s="1095">
        <f>+'1-Infor Det Sgto PEI 2021-2024 '!BK55</f>
        <v>0.94650000000000001</v>
      </c>
      <c r="K28" s="1095">
        <f>+'1-Infor Det Sgto PEI 2021-2024 '!BL55</f>
        <v>1.0516666666666667</v>
      </c>
      <c r="L28" s="1121">
        <f>+'1-Infor Det Sgto PEI 2021-2024 '!BN55</f>
        <v>5.2583333333333343E-2</v>
      </c>
      <c r="M28" s="1254"/>
      <c r="N28" s="1249"/>
      <c r="O28" s="820"/>
      <c r="P28" s="820"/>
    </row>
    <row r="29" spans="2:16" ht="42" customHeight="1">
      <c r="B29" s="1251"/>
      <c r="C29" s="1278"/>
      <c r="D29" s="1281"/>
      <c r="E29" s="845" t="str">
        <f>+'1-Infor Det Sgto PEI 2021-2024 '!F56</f>
        <v>Acuerdos interinstitucionales gestionados</v>
      </c>
      <c r="F29" s="840">
        <f>+'1-Infor Det Sgto PEI 2021-2024 '!AJ56</f>
        <v>3</v>
      </c>
      <c r="G29" s="840">
        <f>+'1-Infor Det Sgto PEI 2021-2024 '!AK56</f>
        <v>2</v>
      </c>
      <c r="H29" s="842">
        <f>+'1-Infor Det Sgto PEI 2021-2024 '!AL56</f>
        <v>0.66666666666666663</v>
      </c>
      <c r="I29" s="840">
        <f>+'1-Infor Det Sgto PEI 2021-2024 '!BJ56</f>
        <v>4</v>
      </c>
      <c r="J29" s="840">
        <f>+'1-Infor Det Sgto PEI 2021-2024 '!BK56</f>
        <v>4</v>
      </c>
      <c r="K29" s="840">
        <f>+'1-Infor Det Sgto PEI 2021-2024 '!BL56</f>
        <v>1</v>
      </c>
      <c r="L29" s="1121">
        <f>+'1-Infor Det Sgto PEI 2021-2024 '!BN56</f>
        <v>8.5714285714285701E-2</v>
      </c>
      <c r="M29" s="1255"/>
      <c r="N29" s="1249"/>
      <c r="O29" s="820"/>
      <c r="P29" s="820"/>
    </row>
    <row r="30" spans="2:16" ht="60" customHeight="1">
      <c r="B30" s="1251"/>
      <c r="C30" s="1276" t="str">
        <f>+'Matriz PEI 2021-2024'!C22</f>
        <v xml:space="preserve">4.3. Realizar el 100% de las actividades relacionadas con la Gestión del Talento Humano, que permita su fortalecimiento y el desarrollo de sus conocimientos, su competencia y bienestar. </v>
      </c>
      <c r="D30" s="1279">
        <f>+'Matriz PEI 2021-2024'!E22</f>
        <v>1</v>
      </c>
      <c r="E30" s="845" t="str">
        <f>+'1-Infor Det Sgto PEI 2021-2024 '!F57</f>
        <v>Porcentaje de novedades y situaciones administrativas gestionadas</v>
      </c>
      <c r="F30" s="842">
        <f>+'1-Infor Det Sgto PEI 2021-2024 '!AJ57</f>
        <v>1</v>
      </c>
      <c r="G30" s="842">
        <f>+'1-Infor Det Sgto PEI 2021-2024 '!AK57</f>
        <v>1</v>
      </c>
      <c r="H30" s="842">
        <f>+'1-Infor Det Sgto PEI 2021-2024 '!AL57</f>
        <v>0.75</v>
      </c>
      <c r="I30" s="1095">
        <f>+'1-Infor Det Sgto PEI 2021-2024 '!BJ57</f>
        <v>1</v>
      </c>
      <c r="J30" s="1095">
        <f>+'1-Infor Det Sgto PEI 2021-2024 '!BK57</f>
        <v>1</v>
      </c>
      <c r="K30" s="1095">
        <f>+'1-Infor Det Sgto PEI 2021-2024 '!BL57</f>
        <v>1</v>
      </c>
      <c r="L30" s="1121">
        <f>+'1-Infor Det Sgto PEI 2021-2024 '!BN57</f>
        <v>1.2500000000000001E-2</v>
      </c>
      <c r="M30" s="1282">
        <f>+'1-Infor Det Sgto PEI 2021-2024 '!BO57</f>
        <v>0.19944372773436234</v>
      </c>
      <c r="N30" s="1249"/>
      <c r="O30" s="813"/>
      <c r="P30" s="813"/>
    </row>
    <row r="31" spans="2:16" ht="60" customHeight="1">
      <c r="B31" s="1251"/>
      <c r="C31" s="1277"/>
      <c r="D31" s="1280"/>
      <c r="E31" s="845" t="str">
        <f>+'1-Infor Det Sgto PEI 2021-2024 '!F58</f>
        <v xml:space="preserve">Novedades incluidas en la nómina  oportunamente  </v>
      </c>
      <c r="F31" s="842">
        <f>+'1-Infor Det Sgto PEI 2021-2024 '!AJ58</f>
        <v>0.98000000000000032</v>
      </c>
      <c r="G31" s="842">
        <f>+'1-Infor Det Sgto PEI 2021-2024 '!AK58</f>
        <v>0.97799999999999998</v>
      </c>
      <c r="H31" s="842">
        <f>+'1-Infor Det Sgto PEI 2021-2024 '!AL58</f>
        <v>0.74846938775510174</v>
      </c>
      <c r="I31" s="1095">
        <f>+'1-Infor Det Sgto PEI 2021-2024 '!BJ58</f>
        <v>0.97333333333333327</v>
      </c>
      <c r="J31" s="1095">
        <f>+'1-Infor Det Sgto PEI 2021-2024 '!BK58</f>
        <v>0.97583333333333322</v>
      </c>
      <c r="K31" s="1095">
        <f>+'1-Infor Det Sgto PEI 2021-2024 '!BL58</f>
        <v>1.0025684931506849</v>
      </c>
      <c r="L31" s="1121">
        <f>+'1-Infor Det Sgto PEI 2021-2024 '!BN58</f>
        <v>1.2472307430129516E-2</v>
      </c>
      <c r="M31" s="1283"/>
      <c r="N31" s="1249"/>
      <c r="O31" s="813"/>
      <c r="P31" s="813"/>
    </row>
    <row r="32" spans="2:16" ht="119.45" customHeight="1">
      <c r="B32" s="1251"/>
      <c r="C32" s="1277"/>
      <c r="D32" s="1280"/>
      <c r="E32" s="845" t="str">
        <f>+'1-Infor Det Sgto PEI 2021-2024 '!F59</f>
        <v>Porcentaje de Usuarios internos satisfechos con las solicitudes de los servicios atendidas de la SGTH (Certificaciones laborales, bonos pensionales y autorizaciones de retiro de cesantías)</v>
      </c>
      <c r="F32" s="842">
        <f>+'1-Infor Det Sgto PEI 2021-2024 '!AJ59</f>
        <v>0.96000000000000008</v>
      </c>
      <c r="G32" s="842">
        <f>+'1-Infor Det Sgto PEI 2021-2024 '!AK59</f>
        <v>0.96299999999999997</v>
      </c>
      <c r="H32" s="842">
        <f>+'1-Infor Det Sgto PEI 2021-2024 '!AL59</f>
        <v>0.75234374999999987</v>
      </c>
      <c r="I32" s="1095">
        <f>+'1-Infor Det Sgto PEI 2021-2024 '!BJ59</f>
        <v>0.92400000000000004</v>
      </c>
      <c r="J32" s="1095">
        <f>+'1-Infor Det Sgto PEI 2021-2024 '!BK59</f>
        <v>0.95719999999999994</v>
      </c>
      <c r="K32" s="1095">
        <f>+'1-Infor Det Sgto PEI 2021-2024 '!BL59</f>
        <v>1.0359307359307359</v>
      </c>
      <c r="L32" s="1121">
        <f>+'1-Infor Det Sgto PEI 2021-2024 '!BN59</f>
        <v>1.2661375661375663E-2</v>
      </c>
      <c r="M32" s="1283"/>
      <c r="N32" s="1249"/>
      <c r="O32" s="813"/>
      <c r="P32" s="813"/>
    </row>
    <row r="33" spans="2:16" ht="60" customHeight="1">
      <c r="B33" s="1251"/>
      <c r="C33" s="1277"/>
      <c r="D33" s="1280"/>
      <c r="E33" s="845" t="str">
        <f>+'1-Infor Det Sgto PEI 2021-2024 '!F60</f>
        <v>Avance en la ejecución de los planes que desarrollan la gestión del talento humano</v>
      </c>
      <c r="F33" s="842">
        <f>AVERAGE('1-Infor Det Sgto PEI 2021-2024 '!AJ60:AJ63)</f>
        <v>1</v>
      </c>
      <c r="G33" s="842">
        <f>AVERAGE('1-Infor Det Sgto PEI 2021-2024 '!AK60:AK63)</f>
        <v>0.59097500000000003</v>
      </c>
      <c r="H33" s="870">
        <f>AVERAGE('1-Infor Det Sgto PEI 2021-2024 '!AL60:AL63)</f>
        <v>0.59097500000000003</v>
      </c>
      <c r="I33" s="1095">
        <f>AVERAGE('1-Infor Det Sgto PEI 2021-2024 '!BJ60:BJ63)</f>
        <v>1</v>
      </c>
      <c r="J33" s="1095">
        <f>AVERAGE('1-Infor Det Sgto PEI 2021-2024 '!BK60:BK63)</f>
        <v>0.82701874999999991</v>
      </c>
      <c r="K33" s="1095">
        <f>AVERAGE('1-Infor Det Sgto PEI 2021-2024 '!BL60:BL63)</f>
        <v>0.82701874999999991</v>
      </c>
      <c r="L33" s="1121">
        <f>SUM('1-Infor Det Sgto PEI 2021-2024 '!BN60:BN63)</f>
        <v>0.10466718749999999</v>
      </c>
      <c r="M33" s="1283"/>
      <c r="N33" s="1249"/>
      <c r="O33" s="813"/>
      <c r="P33" s="813"/>
    </row>
    <row r="34" spans="2:16" ht="106.9" customHeight="1">
      <c r="B34" s="1251"/>
      <c r="C34" s="1278"/>
      <c r="D34" s="1281"/>
      <c r="E34" s="845" t="str">
        <f>+'1-Infor Det Sgto PEI 2021-2024 '!F64</f>
        <v>Capacitaciones realizadas sobre los Sistemas de Gestión y Evaluación del Desempeño Laboral de la Personería de Bogotá, D.C.</v>
      </c>
      <c r="F34" s="840">
        <f>+'1-Infor Det Sgto PEI 2021-2024 '!AJ64</f>
        <v>4</v>
      </c>
      <c r="G34" s="840">
        <f>+'1-Infor Det Sgto PEI 2021-2024 '!AK64</f>
        <v>4</v>
      </c>
      <c r="H34" s="868">
        <f>+'1-Infor Det Sgto PEI 2021-2024 '!AL64</f>
        <v>1</v>
      </c>
      <c r="I34" s="840">
        <f>+'1-Infor Det Sgto PEI 2021-2024 '!BJ64</f>
        <v>12</v>
      </c>
      <c r="J34" s="840">
        <f>+'1-Infor Det Sgto PEI 2021-2024 '!BK64</f>
        <v>12</v>
      </c>
      <c r="K34" s="840">
        <f>+'1-Infor Det Sgto PEI 2021-2024 '!BL64</f>
        <v>1</v>
      </c>
      <c r="L34" s="1121">
        <f>+'1-Infor Det Sgto PEI 2021-2024 '!BN64</f>
        <v>5.7142857142857141E-2</v>
      </c>
      <c r="M34" s="1284"/>
      <c r="N34" s="1249"/>
      <c r="O34" s="813"/>
      <c r="P34" s="813"/>
    </row>
    <row r="35" spans="2:16" ht="76.5" customHeight="1">
      <c r="B35" s="1251"/>
      <c r="C35" s="1276" t="str">
        <f>+'Matriz PEI 2021-2024'!C23</f>
        <v>4.4. Implementar el 100% de las acciones necesarias para la modernización de la gestión institucional a través de los procesos de apoyo, que permita una mejor prestación del servicio.</v>
      </c>
      <c r="D35" s="1279">
        <f>+'Matriz PEI 2021-2024'!E23</f>
        <v>1</v>
      </c>
      <c r="E35" s="845" t="str">
        <f>+'1-Infor Det Sgto PEI 2021-2024 '!F65</f>
        <v>Acciones implementadas para la modernización de la gestión institucional en el proceso Gestión Administrativa</v>
      </c>
      <c r="F35" s="868">
        <f>AVERAGE('1-Infor Det Sgto PEI 2021-2024 '!AJ65:AJ66)</f>
        <v>0.9850000000000001</v>
      </c>
      <c r="G35" s="868">
        <f>AVERAGE('1-Infor Det Sgto PEI 2021-2024 '!AK65:AK66)</f>
        <v>1.0765</v>
      </c>
      <c r="H35" s="863">
        <f>AVERAGE('1-Infor Det Sgto PEI 2021-2024 '!AL65:AL66)</f>
        <v>0.82074742268041234</v>
      </c>
      <c r="I35" s="868">
        <f>AVERAGE('1-Infor Det Sgto PEI 2021-2024 '!BJ65:BJ66)</f>
        <v>0.9850000000000001</v>
      </c>
      <c r="J35" s="868">
        <f>AVERAGE('1-Infor Det Sgto PEI 2021-2024 '!BK65:BK66)</f>
        <v>1.0317808641975308</v>
      </c>
      <c r="K35" s="868">
        <f>AVERAGE('1-Infor Det Sgto PEI 2021-2024 '!BL65:BL66)</f>
        <v>1.0482371452208223</v>
      </c>
      <c r="L35" s="1121">
        <f>SUM('1-Infor Det Sgto PEI 2021-2024 '!BN65:BN66)</f>
        <v>2.6205928630520556E-2</v>
      </c>
      <c r="M35" s="1253">
        <f>+'1-Infor Det Sgto PEI 2021-2024 '!BO65</f>
        <v>0.17576026757290703</v>
      </c>
      <c r="N35" s="1249"/>
      <c r="O35" s="819"/>
      <c r="P35" s="819"/>
    </row>
    <row r="36" spans="2:16" ht="76.5" customHeight="1">
      <c r="B36" s="1251"/>
      <c r="C36" s="1277"/>
      <c r="D36" s="1280"/>
      <c r="E36" s="845" t="str">
        <f>+'1-Infor Det Sgto PEI 2021-2024 '!F67</f>
        <v>Acciones implementadas para la modernización de la gestión institucional en el proceso Gestión Financiera</v>
      </c>
      <c r="F36" s="870">
        <f>AVERAGE('1-Infor Det Sgto PEI 2021-2024 '!AJ67:AJ69)</f>
        <v>0.96666666666666667</v>
      </c>
      <c r="G36" s="868">
        <f>AVERAGE('1-Infor Det Sgto PEI 2021-2024 '!AK67:AK69)</f>
        <v>0.69693333333333329</v>
      </c>
      <c r="H36" s="863">
        <f>AVERAGE('1-Infor Det Sgto PEI 2021-2024 '!AL67:AL69)</f>
        <v>0.72045614035087713</v>
      </c>
      <c r="I36" s="1095">
        <f>AVERAGE('1-Infor Det Sgto PEI 2021-2024 '!BJ67:BJ69)</f>
        <v>0.96666666666666667</v>
      </c>
      <c r="J36" s="868">
        <f>AVERAGE('1-Infor Det Sgto PEI 2021-2024 '!BK67:BK69)</f>
        <v>0.83794408959238942</v>
      </c>
      <c r="K36" s="868">
        <f>AVERAGE('1-Infor Det Sgto PEI 2021-2024 '!BL67:BL69)</f>
        <v>0.86669553290426971</v>
      </c>
      <c r="L36" s="1121">
        <f>SUM('1-Infor Det Sgto PEI 2021-2024 '!BN67:BN69)</f>
        <v>4.3314015477474162E-2</v>
      </c>
      <c r="M36" s="1254"/>
      <c r="N36" s="1249"/>
      <c r="O36" s="819"/>
      <c r="P36" s="819"/>
    </row>
    <row r="37" spans="2:16" ht="76.5" customHeight="1">
      <c r="B37" s="1251"/>
      <c r="C37" s="1277"/>
      <c r="D37" s="1280"/>
      <c r="E37" s="845" t="str">
        <f>+'1-Infor Det Sgto PEI 2021-2024 '!F70</f>
        <v xml:space="preserve">Porcentaje del Plan Anual de Adquisiciones ejecutado </v>
      </c>
      <c r="F37" s="870">
        <f>+'1-Infor Det Sgto PEI 2021-2024 '!AJ70</f>
        <v>0.95000000000000007</v>
      </c>
      <c r="G37" s="870">
        <f>+'1-Infor Det Sgto PEI 2021-2024 '!AK70</f>
        <v>0.73</v>
      </c>
      <c r="H37" s="870">
        <f>+'1-Infor Det Sgto PEI 2021-2024 '!AL70</f>
        <v>0.76842105263157889</v>
      </c>
      <c r="I37" s="1095">
        <f>+'1-Infor Det Sgto PEI 2021-2024 '!BJ70</f>
        <v>0.95</v>
      </c>
      <c r="J37" s="1095">
        <f>+'1-Infor Det Sgto PEI 2021-2024 '!BK70</f>
        <v>0.79499999999999993</v>
      </c>
      <c r="K37" s="1095">
        <f>+'1-Infor Det Sgto PEI 2021-2024 '!BL70</f>
        <v>0.83684210526315783</v>
      </c>
      <c r="L37" s="1121">
        <f>+'1-Infor Det Sgto PEI 2021-2024 '!BN70</f>
        <v>2.0921052631578948E-2</v>
      </c>
      <c r="M37" s="1254"/>
      <c r="N37" s="1249"/>
      <c r="O37" s="819"/>
      <c r="P37" s="819"/>
    </row>
    <row r="38" spans="2:16" ht="76.5" customHeight="1">
      <c r="B38" s="1251"/>
      <c r="C38" s="1277"/>
      <c r="D38" s="1280"/>
      <c r="E38" s="845" t="str">
        <f>+'1-Infor Det Sgto PEI 2021-2024 '!F71</f>
        <v>Porcentaje de Comunicaciones oficiales con reparto realizado dentro de los 3 días hábiles desde su radicación</v>
      </c>
      <c r="F38" s="870">
        <f>+'1-Infor Det Sgto PEI 2021-2024 '!AJ71</f>
        <v>0.94999999999999984</v>
      </c>
      <c r="G38" s="870">
        <f>+'1-Infor Det Sgto PEI 2021-2024 '!AK71</f>
        <v>0.98599999999999999</v>
      </c>
      <c r="H38" s="870">
        <f>+'1-Infor Det Sgto PEI 2021-2024 '!AL71</f>
        <v>0.77842105263157912</v>
      </c>
      <c r="I38" s="1095">
        <f>+'1-Infor Det Sgto PEI 2021-2024 '!BJ71</f>
        <v>0.94999999999999984</v>
      </c>
      <c r="J38" s="1095">
        <f>+'1-Infor Det Sgto PEI 2021-2024 '!BK71</f>
        <v>0.97888333333333344</v>
      </c>
      <c r="K38" s="1095">
        <f>+'1-Infor Det Sgto PEI 2021-2024 '!BL71</f>
        <v>1.0304035087719301</v>
      </c>
      <c r="L38" s="1121">
        <f>+'1-Infor Det Sgto PEI 2021-2024 '!BN71</f>
        <v>6.4400219298245617E-3</v>
      </c>
      <c r="M38" s="1254"/>
      <c r="N38" s="1249"/>
      <c r="O38" s="819"/>
      <c r="P38" s="819"/>
    </row>
    <row r="39" spans="2:16" ht="76.5" customHeight="1">
      <c r="B39" s="1251"/>
      <c r="C39" s="1277"/>
      <c r="D39" s="1280"/>
      <c r="E39" s="845" t="str">
        <f>+'1-Infor Det Sgto PEI 2021-2024 '!F72</f>
        <v>Porcentaje de documentación incorporada en el archivo central durante la vigencia.</v>
      </c>
      <c r="F39" s="870">
        <f>+'1-Infor Det Sgto PEI 2021-2024 '!AJ72</f>
        <v>0.79999999999999993</v>
      </c>
      <c r="G39" s="870">
        <f>+'1-Infor Det Sgto PEI 2021-2024 '!AK72</f>
        <v>0.85299999999999998</v>
      </c>
      <c r="H39" s="868">
        <f>+'1-Infor Det Sgto PEI 2021-2024 '!AL72</f>
        <v>0.79968750000000011</v>
      </c>
      <c r="I39" s="1095">
        <f>+'1-Infor Det Sgto PEI 2021-2024 '!BJ72</f>
        <v>0.80000000000000016</v>
      </c>
      <c r="J39" s="1095">
        <f>+'1-Infor Det Sgto PEI 2021-2024 '!BK72</f>
        <v>0.82833333333333348</v>
      </c>
      <c r="K39" s="1095">
        <f>+'1-Infor Det Sgto PEI 2021-2024 '!BL72</f>
        <v>1.0354166666666667</v>
      </c>
      <c r="L39" s="1121">
        <f>+'1-Infor Det Sgto PEI 2021-2024 '!BN72</f>
        <v>6.4713541666666687E-3</v>
      </c>
      <c r="M39" s="1254"/>
      <c r="N39" s="1249"/>
      <c r="O39" s="819"/>
      <c r="P39" s="819"/>
    </row>
    <row r="40" spans="2:16" ht="105.6" customHeight="1">
      <c r="B40" s="1251"/>
      <c r="C40" s="1277"/>
      <c r="D40" s="1280"/>
      <c r="E40" s="845" t="str">
        <f>+'1-Infor Det Sgto PEI 2021-2024 '!F73</f>
        <v xml:space="preserve">Acciones implementadas para la modernización de la gestión institucional en actualización e  implementación de instrumentos archivísticos </v>
      </c>
      <c r="F40" s="840">
        <f>'1-Infor Det Sgto PEI 2021-2024 '!AJ73+'1-Infor Det Sgto PEI 2021-2024 '!AJ74</f>
        <v>50</v>
      </c>
      <c r="G40" s="840">
        <f>'1-Infor Det Sgto PEI 2021-2024 '!AK73+'1-Infor Det Sgto PEI 2021-2024 '!AK74</f>
        <v>38.75</v>
      </c>
      <c r="H40" s="863">
        <f>AVERAGE('1-Infor Det Sgto PEI 2021-2024 '!AL73:AL74)</f>
        <v>0.77499999999999991</v>
      </c>
      <c r="I40" s="840">
        <f>'1-Infor Det Sgto PEI 2021-2024 '!BJ73+'1-Infor Det Sgto PEI 2021-2024 '!BJ74</f>
        <v>74</v>
      </c>
      <c r="J40" s="840">
        <f>'1-Infor Det Sgto PEI 2021-2024 '!BK73+'1-Infor Det Sgto PEI 2021-2024 '!BK74</f>
        <v>75.75</v>
      </c>
      <c r="K40" s="840">
        <f>'1-Infor Det Sgto PEI 2021-2024 '!BL73+'1-Infor Det Sgto PEI 2021-2024 '!BL74</f>
        <v>2.0472972972972974</v>
      </c>
      <c r="L40" s="1121">
        <f>'1-Infor Det Sgto PEI 2021-2024 '!BN73+'1-Infor Det Sgto PEI 2021-2024 '!BN74</f>
        <v>3.7875000000000006E-2</v>
      </c>
      <c r="M40" s="1254"/>
      <c r="N40" s="1249"/>
      <c r="O40" s="819"/>
      <c r="P40" s="819"/>
    </row>
    <row r="41" spans="2:16" ht="76.5" customHeight="1">
      <c r="B41" s="1251"/>
      <c r="C41" s="1277"/>
      <c r="D41" s="1280"/>
      <c r="E41" s="845" t="str">
        <f>+'1-Infor Det Sgto PEI 2021-2024 '!F75</f>
        <v>Acciones implementadas para la modernización de la gestión institucional en el proceso Gestión Jurídica</v>
      </c>
      <c r="F41" s="870">
        <f>AVERAGE('1-Infor Det Sgto PEI 2021-2024 '!AJ75:AJ79)</f>
        <v>1</v>
      </c>
      <c r="G41" s="870">
        <f>AVERAGE('1-Infor Det Sgto PEI 2021-2024 '!AK75:AK79)</f>
        <v>1</v>
      </c>
      <c r="H41" s="870">
        <f>AVERAGE('1-Infor Det Sgto PEI 2021-2024 '!AL75:AL79)</f>
        <v>0.75</v>
      </c>
      <c r="I41" s="1095">
        <f>AVERAGE('1-Infor Det Sgto PEI 2021-2024 '!BJ75:BJ79)</f>
        <v>1</v>
      </c>
      <c r="J41" s="1095">
        <f>AVERAGE('1-Infor Det Sgto PEI 2021-2024 '!BK75:BK79)</f>
        <v>1</v>
      </c>
      <c r="K41" s="1095">
        <f>AVERAGE('1-Infor Det Sgto PEI 2021-2024 '!BL75:BL79)</f>
        <v>1</v>
      </c>
      <c r="L41" s="1121">
        <f>SUM('1-Infor Det Sgto PEI 2021-2024 '!BN75:BN79)</f>
        <v>2.5000000000000001E-2</v>
      </c>
      <c r="M41" s="1254"/>
      <c r="N41" s="1249"/>
      <c r="O41" s="819"/>
      <c r="P41" s="819"/>
    </row>
    <row r="42" spans="2:16" ht="76.5" customHeight="1">
      <c r="B42" s="1251"/>
      <c r="C42" s="1278"/>
      <c r="D42" s="1281"/>
      <c r="E42" s="845" t="str">
        <f>+'1-Infor Det Sgto PEI 2021-2024 '!F80</f>
        <v xml:space="preserve">Porcentaje de contratos en las diferentes modalidades de contratación elaborados en los tiempos óptimos </v>
      </c>
      <c r="F42" s="870">
        <f>AVERAGE('1-Infor Det Sgto PEI 2021-2024 '!AJ80:AJ82)</f>
        <v>0.80000000000000016</v>
      </c>
      <c r="G42" s="870">
        <f>AVERAGE('1-Infor Det Sgto PEI 2021-2024 '!AK80:AK82)</f>
        <v>0.876</v>
      </c>
      <c r="H42" s="870">
        <f>AVERAGE('1-Infor Det Sgto PEI 2021-2024 '!AL80:AL82)</f>
        <v>0.82125000000000004</v>
      </c>
      <c r="I42" s="1095">
        <f>AVERAGE('1-Infor Det Sgto PEI 2021-2024 '!BJ80:BJ82)</f>
        <v>0.64444444444444438</v>
      </c>
      <c r="J42" s="1095">
        <f>AVERAGE('1-Infor Det Sgto PEI 2021-2024 '!BK80:BK82)</f>
        <v>0.72449999999999992</v>
      </c>
      <c r="K42" s="1095">
        <f>AVERAGE('1-Infor Det Sgto PEI 2021-2024 '!BL80:BL82)</f>
        <v>1.127</v>
      </c>
      <c r="L42" s="1121">
        <f>SUM('1-Infor Det Sgto PEI 2021-2024 '!BN80:BN82)</f>
        <v>9.5328947368421065E-3</v>
      </c>
      <c r="M42" s="1255"/>
      <c r="N42" s="1249"/>
      <c r="O42" s="819"/>
      <c r="P42" s="819"/>
    </row>
    <row r="43" spans="2:16" ht="83.45" customHeight="1">
      <c r="B43" s="1251"/>
      <c r="C43" s="927" t="str">
        <f>+'Matriz PEI 2021-2024'!C24</f>
        <v>4.5. Desarrollar el 100% de las acciones relacionadas con el fomento de la Cultura del Autocontrol, la Autorregulación y la Autogestión institucional.</v>
      </c>
      <c r="D43" s="842">
        <f>+'Matriz PEI 2021-2024'!E24</f>
        <v>1</v>
      </c>
      <c r="E43" s="845" t="str">
        <f>+'1-Infor Det Sgto PEI 2021-2024 '!F83</f>
        <v>Acciones desarrolladas relacionadas con el fomento de la cultura del autocontrol, autoregulación y autogestión</v>
      </c>
      <c r="F43" s="840">
        <f>SUM('1-Infor Det Sgto PEI 2021-2024 '!AJ83:AJ88)</f>
        <v>161</v>
      </c>
      <c r="G43" s="840">
        <f>SUM('1-Infor Det Sgto PEI 2021-2024 '!AK83:AK88)</f>
        <v>188.94</v>
      </c>
      <c r="H43" s="863">
        <f>AVERAGE('1-Infor Det Sgto PEI 2021-2024 '!AL83:AL88)</f>
        <v>0.8255982905982906</v>
      </c>
      <c r="I43" s="840">
        <f>SUM('1-Infor Det Sgto PEI 2021-2024 '!BJ83:BJ88)</f>
        <v>197.5</v>
      </c>
      <c r="J43" s="840">
        <f>SUM('1-Infor Det Sgto PEI 2021-2024 '!BK83:BK88)</f>
        <v>331.5</v>
      </c>
      <c r="K43" s="840">
        <f>SUM('1-Infor Det Sgto PEI 2021-2024 '!BL83:BL88)</f>
        <v>7.7042483660130721</v>
      </c>
      <c r="L43" s="1121">
        <f>SUM('1-Infor Det Sgto PEI 2021-2024 '!BN83:BN88)</f>
        <v>0.42183783783783785</v>
      </c>
      <c r="M43" s="1123">
        <f>+'1-Infor Det Sgto PEI 2021-2024 '!BO83</f>
        <v>0.42183783783783785</v>
      </c>
      <c r="N43" s="1249"/>
      <c r="O43" s="811"/>
      <c r="P43" s="811"/>
    </row>
    <row r="44" spans="2:16" ht="60" customHeight="1">
      <c r="B44" s="1251"/>
      <c r="C44" s="927" t="str">
        <f>+'Matriz PEI 2021-2024'!C25</f>
        <v>4.6. Desarrollar el 100% de las estrategias de comunicación organizacional y de medios que contribuyan al logro de los objetivos institucionales y al posicionamiento de la Entidad.</v>
      </c>
      <c r="D44" s="842">
        <f>+'Matriz PEI 2021-2024'!E25</f>
        <v>1</v>
      </c>
      <c r="E44" s="845" t="str">
        <f>'1-Infor Det Sgto PEI 2021-2024 '!F89</f>
        <v>Estrategias desarrolladas para la comunicación en la Entidad</v>
      </c>
      <c r="F44" s="842">
        <f>AVERAGE('1-Infor Det Sgto PEI 2021-2024 '!AJ89:AJ90)</f>
        <v>1</v>
      </c>
      <c r="G44" s="870">
        <f>AVERAGE('1-Infor Det Sgto PEI 2021-2024 '!AK89:AK90)</f>
        <v>1</v>
      </c>
      <c r="H44" s="870">
        <f>AVERAGE('1-Infor Det Sgto PEI 2021-2024 '!AL89:AL90)</f>
        <v>0.75</v>
      </c>
      <c r="I44" s="1095">
        <f>AVERAGE('1-Infor Det Sgto PEI 2021-2024 '!BJ89:BJ90)</f>
        <v>1</v>
      </c>
      <c r="J44" s="1095">
        <f>AVERAGE('1-Infor Det Sgto PEI 2021-2024 '!BK89:BK90)</f>
        <v>1</v>
      </c>
      <c r="K44" s="1095">
        <f>AVERAGE('1-Infor Det Sgto PEI 2021-2024 '!BL89:BL90)</f>
        <v>1</v>
      </c>
      <c r="L44" s="1121">
        <f>SUM('1-Infor Det Sgto PEI 2021-2024 '!BN89:BN90)</f>
        <v>0.125</v>
      </c>
      <c r="M44" s="1124">
        <f>+'1-Infor Det Sgto PEI 2021-2024 '!BO89</f>
        <v>0.125</v>
      </c>
      <c r="N44" s="1249"/>
      <c r="O44" s="813"/>
      <c r="P44" s="813"/>
    </row>
    <row r="45" spans="2:16" ht="114" customHeight="1">
      <c r="B45" s="1252"/>
      <c r="C45" s="929" t="str">
        <f>+'Matriz PEI 2021-2024'!C26</f>
        <v>4.7. Articular el 100% de las acciones de trabajo interinstitucional y cooperación nacional e internacional que permita aunar esfuerzos para el cumplimiento de la misión institucional.</v>
      </c>
      <c r="D45" s="842">
        <f>+'Matriz PEI 2021-2024'!E26</f>
        <v>1</v>
      </c>
      <c r="E45" s="845" t="str">
        <f>'1-Infor Det Sgto PEI 2021-2024 '!F91</f>
        <v>Acciones articuladas de trabajo interinstitucional y de cooperación</v>
      </c>
      <c r="F45" s="840">
        <f>'1-Infor Det Sgto PEI 2021-2024 '!AJ91</f>
        <v>1</v>
      </c>
      <c r="G45" s="840">
        <f>'1-Infor Det Sgto PEI 2021-2024 '!AK91</f>
        <v>0</v>
      </c>
      <c r="H45" s="870">
        <f>'1-Infor Det Sgto PEI 2021-2024 '!AL91</f>
        <v>0</v>
      </c>
      <c r="I45" s="840">
        <f>'1-Infor Det Sgto PEI 2021-2024 '!BJ91</f>
        <v>1</v>
      </c>
      <c r="J45" s="840">
        <f>'1-Infor Det Sgto PEI 2021-2024 '!BK91</f>
        <v>2</v>
      </c>
      <c r="K45" s="840">
        <f>'1-Infor Det Sgto PEI 2021-2024 '!BL91</f>
        <v>2</v>
      </c>
      <c r="L45" s="1121">
        <f>'1-Infor Det Sgto PEI 2021-2024 '!BN91</f>
        <v>0.66666666666666663</v>
      </c>
      <c r="M45" s="1125">
        <f>+'1-Infor Det Sgto PEI 2021-2024 '!BO91</f>
        <v>0.66666666666666663</v>
      </c>
      <c r="N45" s="1250"/>
      <c r="O45" s="813"/>
      <c r="P45" s="813"/>
    </row>
    <row r="46" spans="2:16" ht="93.75" customHeight="1">
      <c r="B46" s="1225" t="str">
        <f>+'Matriz PEI 2021-2024'!B27</f>
        <v xml:space="preserve">5. Incorporar una cultura del conocimiento y la innovación a través de actividades que permitan el desarrollo de ideas, lecciones aprendidas e investigaciones para mejorar los resultados de la gestión institucional. </v>
      </c>
      <c r="C46" s="930" t="str">
        <f>+'Matriz PEI 2021-2024'!C27</f>
        <v>5.1 Generar el 100% de productos de nuevo conocimiento o transformar los existentes, alineados con proyectos resultados de la investigación, desarrollo e innovación (I+D+I) en la Entidad.</v>
      </c>
      <c r="D46" s="841">
        <f>+'Matriz PEI 2021-2024'!E27</f>
        <v>1</v>
      </c>
      <c r="E46" s="844" t="str">
        <f>+'1-Infor Det Sgto PEI 2021-2024 '!F92</f>
        <v xml:space="preserve">Productos generados
</v>
      </c>
      <c r="F46" s="902">
        <f>+'1-Infor Det Sgto PEI 2021-2024 '!AJ92</f>
        <v>1</v>
      </c>
      <c r="G46" s="902">
        <f>+'1-Infor Det Sgto PEI 2021-2024 '!AK92</f>
        <v>0</v>
      </c>
      <c r="H46" s="903">
        <f>+'1-Infor Det Sgto PEI 2021-2024 '!AL92</f>
        <v>0</v>
      </c>
      <c r="I46" s="902">
        <f>+'1-Infor Det Sgto PEI 2021-2024 '!BJ92</f>
        <v>1</v>
      </c>
      <c r="J46" s="902">
        <f>+'1-Infor Det Sgto PEI 2021-2024 '!BK92</f>
        <v>1</v>
      </c>
      <c r="K46" s="903">
        <f>+'1-Infor Det Sgto PEI 2021-2024 '!BL92</f>
        <v>1</v>
      </c>
      <c r="L46" s="1122">
        <f>+'1-Infor Det Sgto PEI 2021-2024 '!BN92</f>
        <v>0.125</v>
      </c>
      <c r="M46" s="810">
        <f>+'1-Infor Det Sgto PEI 2021-2024 '!BO92</f>
        <v>0.125</v>
      </c>
      <c r="N46" s="1234">
        <f>+'1-Infor Det Sgto PEI 2021-2024 '!BP92</f>
        <v>0.25249999999999995</v>
      </c>
      <c r="O46" s="815"/>
      <c r="P46" s="815"/>
    </row>
    <row r="47" spans="2:16" ht="102" customHeight="1">
      <c r="B47" s="1226"/>
      <c r="C47" s="930" t="str">
        <f>+'Matriz PEI 2021-2024'!C28</f>
        <v>5.2 Formular el 100% de herramientas y acciones que permitan categorizar, preservar y utilizar el conocimiento para la toma de decisiones y compartir fácilmente los datos y la información de la Entidad.</v>
      </c>
      <c r="D47" s="841">
        <f>+'Matriz PEI 2021-2024'!E28</f>
        <v>1</v>
      </c>
      <c r="E47" s="844" t="str">
        <f>+'1-Infor Det Sgto PEI 2021-2024 '!F94</f>
        <v xml:space="preserve">Herramientas y acciones formuladas </v>
      </c>
      <c r="F47" s="902">
        <f>+'1-Infor Det Sgto PEI 2021-2024 '!AJ94</f>
        <v>2</v>
      </c>
      <c r="G47" s="902">
        <f>+'1-Infor Det Sgto PEI 2021-2024 '!AK94</f>
        <v>1</v>
      </c>
      <c r="H47" s="903">
        <f>+'1-Infor Det Sgto PEI 2021-2024 '!AL94</f>
        <v>0.5</v>
      </c>
      <c r="I47" s="902">
        <f>+'1-Infor Det Sgto PEI 2021-2024 '!BJ94</f>
        <v>3</v>
      </c>
      <c r="J47" s="902">
        <f>+'1-Infor Det Sgto PEI 2021-2024 '!BK94</f>
        <v>3</v>
      </c>
      <c r="K47" s="903">
        <f>+'1-Infor Det Sgto PEI 2021-2024 '!BL94</f>
        <v>1</v>
      </c>
      <c r="L47" s="1122">
        <f>+'1-Infor Det Sgto PEI 2021-2024 '!BN94</f>
        <v>0.375</v>
      </c>
      <c r="M47" s="810">
        <f>+'1-Infor Det Sgto PEI 2021-2024 '!BO94</f>
        <v>0.375</v>
      </c>
      <c r="N47" s="1235"/>
      <c r="O47" s="815"/>
      <c r="P47" s="815"/>
    </row>
    <row r="48" spans="2:16" ht="124.5" customHeight="1" thickBot="1">
      <c r="B48" s="1233"/>
      <c r="C48" s="931"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48" s="841">
        <f>+'Matriz PEI 2021-2024'!E29</f>
        <v>1</v>
      </c>
      <c r="E48" s="844" t="str">
        <f>+'1-Infor Det Sgto PEI 2021-2024 '!F95</f>
        <v>Espacios y mecanismos desarrollados para la difusión de conocimiento</v>
      </c>
      <c r="F48" s="902">
        <f>+'1-Infor Det Sgto PEI 2021-2024 '!AJ95</f>
        <v>38</v>
      </c>
      <c r="G48" s="902">
        <f>+'1-Infor Det Sgto PEI 2021-2024 '!AK95</f>
        <v>31</v>
      </c>
      <c r="H48" s="903">
        <f>+'1-Infor Det Sgto PEI 2021-2024 '!AL95</f>
        <v>0.81578947368421051</v>
      </c>
      <c r="I48" s="902">
        <f>+'1-Infor Det Sgto PEI 2021-2024 '!BJ95</f>
        <v>21</v>
      </c>
      <c r="J48" s="902">
        <f>+'1-Infor Det Sgto PEI 2021-2024 '!BK95</f>
        <v>24</v>
      </c>
      <c r="K48" s="903">
        <f>+'1-Infor Det Sgto PEI 2021-2024 '!BL95</f>
        <v>1.1428571428571428</v>
      </c>
      <c r="L48" s="1122">
        <f>+'1-Infor Det Sgto PEI 2021-2024 '!BN95</f>
        <v>0.3</v>
      </c>
      <c r="M48" s="810">
        <f>+'1-Infor Det Sgto PEI 2021-2024 '!BO95</f>
        <v>0.3</v>
      </c>
      <c r="N48" s="1275"/>
      <c r="O48" s="815"/>
      <c r="P48" s="815"/>
    </row>
    <row r="49" spans="2:16" ht="18.75" thickBot="1">
      <c r="B49" s="735"/>
      <c r="C49" s="827"/>
      <c r="D49" s="837"/>
      <c r="E49" s="837"/>
      <c r="F49" s="837"/>
      <c r="G49" s="837"/>
      <c r="H49" s="837"/>
      <c r="I49" s="837"/>
      <c r="J49" s="837"/>
      <c r="K49" s="837"/>
      <c r="L49" s="837"/>
      <c r="M49" s="828">
        <f>AVERAGE(M10:M48)</f>
        <v>0.35887601073123665</v>
      </c>
      <c r="N49" s="823">
        <f>AVERAGE(N10:N48)</f>
        <v>0.36937594802032592</v>
      </c>
      <c r="O49" s="816"/>
      <c r="P49" s="816"/>
    </row>
    <row r="50" spans="2:16" ht="13.5" customHeight="1">
      <c r="B50" s="43"/>
      <c r="C50" s="43"/>
      <c r="D50" s="43"/>
      <c r="E50" s="43"/>
      <c r="F50" s="43"/>
      <c r="G50" s="43"/>
      <c r="H50" s="43"/>
      <c r="I50" s="43"/>
      <c r="J50" s="43"/>
      <c r="K50" s="43"/>
      <c r="L50" s="43"/>
    </row>
    <row r="51" spans="2:16" ht="15" customHeight="1">
      <c r="B51" s="43" t="s">
        <v>1032</v>
      </c>
      <c r="C51" s="43"/>
      <c r="D51" s="43"/>
      <c r="E51" s="43"/>
      <c r="F51" s="43"/>
      <c r="G51" s="43"/>
      <c r="H51" s="43"/>
      <c r="I51" s="43"/>
      <c r="J51" s="43"/>
      <c r="K51" s="43"/>
      <c r="L51" s="43"/>
    </row>
    <row r="52" spans="2:16" ht="15" customHeight="1">
      <c r="B52" s="43"/>
      <c r="C52" s="43"/>
      <c r="D52" s="43"/>
      <c r="E52" s="43"/>
      <c r="F52" s="43"/>
      <c r="G52" s="43"/>
      <c r="H52" s="43"/>
      <c r="I52" s="43"/>
      <c r="J52" s="43"/>
      <c r="K52" s="43"/>
      <c r="L52" s="43"/>
    </row>
  </sheetData>
  <mergeCells count="38">
    <mergeCell ref="B23:B45"/>
    <mergeCell ref="N23:N45"/>
    <mergeCell ref="B46:B48"/>
    <mergeCell ref="N46:N48"/>
    <mergeCell ref="C24:C29"/>
    <mergeCell ref="D24:D29"/>
    <mergeCell ref="M24:M29"/>
    <mergeCell ref="C30:C34"/>
    <mergeCell ref="D30:D34"/>
    <mergeCell ref="M30:M34"/>
    <mergeCell ref="C35:C42"/>
    <mergeCell ref="D35:D42"/>
    <mergeCell ref="M35:M42"/>
    <mergeCell ref="B10:B13"/>
    <mergeCell ref="N10:N13"/>
    <mergeCell ref="B14:B16"/>
    <mergeCell ref="N14:N16"/>
    <mergeCell ref="B17:B22"/>
    <mergeCell ref="N17:N22"/>
    <mergeCell ref="D10:D11"/>
    <mergeCell ref="C10:C11"/>
    <mergeCell ref="M10:M11"/>
    <mergeCell ref="C17:C18"/>
    <mergeCell ref="D17:D18"/>
    <mergeCell ref="M17:M18"/>
    <mergeCell ref="C19:C20"/>
    <mergeCell ref="D19:D20"/>
    <mergeCell ref="M19:M20"/>
    <mergeCell ref="C2:N2"/>
    <mergeCell ref="B7:N7"/>
    <mergeCell ref="B8:B9"/>
    <mergeCell ref="C8:C9"/>
    <mergeCell ref="M8:M9"/>
    <mergeCell ref="N8:N9"/>
    <mergeCell ref="D8:D9"/>
    <mergeCell ref="E8:H8"/>
    <mergeCell ref="I8:K8"/>
    <mergeCell ref="L8:L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F3DF-BE98-4C49-ACEA-200B689C587C}">
  <sheetPr>
    <tabColor rgb="FF00B0F0"/>
  </sheetPr>
  <dimension ref="B1:BT101"/>
  <sheetViews>
    <sheetView showGridLines="0" zoomScale="50" zoomScaleNormal="50" workbookViewId="0">
      <pane xSplit="2" ySplit="8" topLeftCell="AH75" activePane="bottomRight" state="frozen"/>
      <selection activeCell="Q86" sqref="Q86"/>
      <selection pane="topRight" activeCell="Q86" sqref="Q86"/>
      <selection pane="bottomLeft" activeCell="Q86" sqref="Q86"/>
      <selection pane="bottomRight" activeCell="Q86" sqref="Q86"/>
    </sheetView>
  </sheetViews>
  <sheetFormatPr baseColWidth="10" defaultColWidth="17.28515625" defaultRowHeight="17.25"/>
  <cols>
    <col min="1" max="1" width="4.28515625" style="1" customWidth="1"/>
    <col min="2" max="2" width="50.42578125" style="3" customWidth="1"/>
    <col min="3" max="3" width="55.140625" style="3" customWidth="1"/>
    <col min="4" max="4" width="36.28515625" style="3" customWidth="1"/>
    <col min="5" max="5" width="29.42578125" style="5" customWidth="1"/>
    <col min="6" max="6" width="37.5703125" style="5" customWidth="1"/>
    <col min="7" max="7" width="60.42578125" style="5" customWidth="1"/>
    <col min="8" max="8" width="52.85546875" style="3" customWidth="1"/>
    <col min="9" max="9" width="25.42578125" style="5" customWidth="1"/>
    <col min="10" max="10" width="26.28515625" style="5" customWidth="1"/>
    <col min="11" max="11" width="29.42578125" style="3" customWidth="1"/>
    <col min="12" max="12" width="56.28515625" style="3" customWidth="1"/>
    <col min="13" max="20" width="25.7109375" style="3" customWidth="1"/>
    <col min="21" max="21" width="26.7109375" style="3" customWidth="1"/>
    <col min="22" max="22" width="25.7109375" style="3" customWidth="1"/>
    <col min="23" max="23" width="28.28515625" style="3" customWidth="1"/>
    <col min="24" max="24" width="28.42578125" style="3" customWidth="1"/>
    <col min="25" max="25" width="35.7109375" style="3" customWidth="1"/>
    <col min="26" max="26" width="23.7109375" style="687" customWidth="1"/>
    <col min="27" max="39" width="23.28515625" style="687" customWidth="1"/>
    <col min="40" max="47" width="23.28515625" style="687" hidden="1" customWidth="1"/>
    <col min="48" max="50" width="23.28515625" style="687" customWidth="1"/>
    <col min="51" max="58" width="23.28515625" style="687" hidden="1" customWidth="1"/>
    <col min="59" max="61" width="23.28515625" style="687" customWidth="1"/>
    <col min="62" max="62" width="30.28515625" style="687" customWidth="1"/>
    <col min="63" max="64" width="34.7109375" style="687" customWidth="1"/>
    <col min="65" max="65" width="36.7109375" style="687" customWidth="1"/>
    <col min="66" max="66" width="38.7109375" style="687" customWidth="1"/>
    <col min="67" max="70" width="38.7109375" style="1" customWidth="1"/>
    <col min="71" max="16384" width="17.28515625" style="1"/>
  </cols>
  <sheetData>
    <row r="1" spans="2:72" ht="15" customHeight="1" thickBot="1"/>
    <row r="2" spans="2:72" ht="95.45" customHeight="1" thickBot="1">
      <c r="B2" s="878" t="s">
        <v>701</v>
      </c>
      <c r="C2" s="1314" t="s">
        <v>968</v>
      </c>
      <c r="D2" s="1315"/>
      <c r="E2" s="1315"/>
      <c r="F2" s="1315"/>
      <c r="G2" s="1315"/>
      <c r="H2" s="1315"/>
      <c r="I2" s="1315"/>
      <c r="J2" s="1315"/>
      <c r="K2" s="1315"/>
      <c r="L2" s="1316"/>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7"/>
      <c r="BH2" s="877"/>
      <c r="BI2" s="877"/>
      <c r="BJ2" s="877"/>
      <c r="BK2" s="877"/>
      <c r="BL2" s="877"/>
      <c r="BM2" s="877"/>
      <c r="BN2" s="877"/>
      <c r="BO2" s="877"/>
      <c r="BP2" s="875"/>
      <c r="BQ2" s="875"/>
      <c r="BR2" s="875"/>
      <c r="BS2" s="12"/>
      <c r="BT2" s="12"/>
    </row>
    <row r="3" spans="2:72" ht="14.25" customHeight="1" thickBot="1">
      <c r="B3" s="2"/>
      <c r="C3" s="2"/>
      <c r="D3" s="2"/>
      <c r="E3" s="4"/>
      <c r="F3" s="4"/>
      <c r="G3" s="4"/>
      <c r="H3" s="2"/>
      <c r="I3" s="4"/>
      <c r="J3" s="4"/>
      <c r="K3" s="2"/>
      <c r="L3" s="2"/>
      <c r="M3" s="2"/>
      <c r="N3" s="2"/>
      <c r="O3" s="2"/>
      <c r="P3" s="2"/>
      <c r="Q3" s="2"/>
      <c r="R3" s="2"/>
      <c r="S3" s="2"/>
      <c r="T3" s="2"/>
      <c r="U3" s="2"/>
      <c r="V3" s="2"/>
      <c r="W3" s="2"/>
      <c r="X3" s="2"/>
      <c r="Y3" s="2"/>
    </row>
    <row r="4" spans="2:72" ht="32.450000000000003" customHeight="1" thickBot="1">
      <c r="B4" s="688" t="s">
        <v>713</v>
      </c>
      <c r="C4" s="689" t="s">
        <v>1170</v>
      </c>
      <c r="D4" s="690">
        <v>2022</v>
      </c>
      <c r="E4" s="739"/>
      <c r="F4" s="739"/>
      <c r="G4" s="739"/>
      <c r="H4" s="740"/>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row>
    <row r="5" spans="2:72" ht="14.25" customHeight="1">
      <c r="B5" s="2"/>
      <c r="C5" s="2"/>
      <c r="D5" s="2"/>
      <c r="E5" s="4"/>
      <c r="F5" s="4"/>
      <c r="G5" s="4"/>
      <c r="H5" s="2"/>
      <c r="I5" s="4"/>
      <c r="J5" s="4"/>
      <c r="K5" s="2"/>
      <c r="L5" s="2"/>
      <c r="M5" s="2"/>
      <c r="N5" s="2"/>
      <c r="O5" s="2"/>
      <c r="P5" s="2"/>
      <c r="Q5" s="2"/>
      <c r="R5" s="2"/>
      <c r="S5" s="2"/>
      <c r="T5" s="2"/>
      <c r="U5" s="2"/>
      <c r="V5" s="2"/>
      <c r="W5" s="2"/>
      <c r="X5" s="2"/>
      <c r="Y5" s="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12"/>
      <c r="BP5" s="12"/>
      <c r="BQ5" s="12"/>
      <c r="BR5" s="12"/>
    </row>
    <row r="6" spans="2:72" ht="52.15" customHeight="1">
      <c r="B6" s="1366" t="s">
        <v>0</v>
      </c>
      <c r="C6" s="1366" t="s">
        <v>52</v>
      </c>
      <c r="D6" s="1367" t="s">
        <v>934</v>
      </c>
      <c r="E6" s="1368" t="s">
        <v>935</v>
      </c>
      <c r="F6" s="1366" t="s">
        <v>936</v>
      </c>
      <c r="G6" s="1368" t="s">
        <v>937</v>
      </c>
      <c r="H6" s="1366" t="s">
        <v>54</v>
      </c>
      <c r="I6" s="1371" t="s">
        <v>55</v>
      </c>
      <c r="J6" s="1366" t="s">
        <v>56</v>
      </c>
      <c r="K6" s="1366" t="s">
        <v>41</v>
      </c>
      <c r="L6" s="1366" t="s">
        <v>42</v>
      </c>
      <c r="M6" s="1398" t="s">
        <v>75</v>
      </c>
      <c r="N6" s="1398"/>
      <c r="O6" s="1398"/>
      <c r="P6" s="1398"/>
      <c r="Q6" s="1386">
        <v>2021</v>
      </c>
      <c r="R6" s="1387"/>
      <c r="S6" s="1387"/>
      <c r="T6" s="1387"/>
      <c r="U6" s="1387"/>
      <c r="V6" s="1387"/>
      <c r="W6" s="1387"/>
      <c r="X6" s="1387"/>
      <c r="Y6" s="1387"/>
      <c r="Z6" s="1387"/>
      <c r="AA6" s="1388"/>
      <c r="AB6" s="1380">
        <v>2022</v>
      </c>
      <c r="AC6" s="1381"/>
      <c r="AD6" s="1381"/>
      <c r="AE6" s="1381"/>
      <c r="AF6" s="1381"/>
      <c r="AG6" s="1381"/>
      <c r="AH6" s="1381"/>
      <c r="AI6" s="1381"/>
      <c r="AJ6" s="1381"/>
      <c r="AK6" s="1381"/>
      <c r="AL6" s="1381"/>
      <c r="AM6" s="1382"/>
      <c r="AN6" s="1386">
        <v>2023</v>
      </c>
      <c r="AO6" s="1387"/>
      <c r="AP6" s="1387"/>
      <c r="AQ6" s="1387"/>
      <c r="AR6" s="1387"/>
      <c r="AS6" s="1387"/>
      <c r="AT6" s="1387"/>
      <c r="AU6" s="1387"/>
      <c r="AV6" s="1387"/>
      <c r="AW6" s="1387"/>
      <c r="AX6" s="1388"/>
      <c r="AY6" s="1380">
        <v>2024</v>
      </c>
      <c r="AZ6" s="1381"/>
      <c r="BA6" s="1381"/>
      <c r="BB6" s="1381"/>
      <c r="BC6" s="1381"/>
      <c r="BD6" s="1381"/>
      <c r="BE6" s="1381"/>
      <c r="BF6" s="1381"/>
      <c r="BG6" s="1381"/>
      <c r="BH6" s="1381"/>
      <c r="BI6" s="1382"/>
      <c r="BJ6" s="1400" t="s">
        <v>708</v>
      </c>
      <c r="BK6" s="1401"/>
      <c r="BL6" s="1401"/>
      <c r="BM6" s="1401"/>
      <c r="BN6" s="1401"/>
      <c r="BO6" s="1401"/>
      <c r="BP6" s="1402"/>
      <c r="BQ6" s="817"/>
      <c r="BR6" s="817"/>
    </row>
    <row r="7" spans="2:72" ht="59.45" customHeight="1">
      <c r="B7" s="1366"/>
      <c r="C7" s="1366"/>
      <c r="D7" s="1367"/>
      <c r="E7" s="1369"/>
      <c r="F7" s="1366"/>
      <c r="G7" s="1369"/>
      <c r="H7" s="1366"/>
      <c r="I7" s="1372"/>
      <c r="J7" s="1366"/>
      <c r="K7" s="1366"/>
      <c r="L7" s="1366"/>
      <c r="M7" s="671" t="s">
        <v>59</v>
      </c>
      <c r="N7" s="671" t="s">
        <v>59</v>
      </c>
      <c r="O7" s="671" t="s">
        <v>59</v>
      </c>
      <c r="P7" s="671" t="s">
        <v>59</v>
      </c>
      <c r="Q7" s="1358" t="s">
        <v>21</v>
      </c>
      <c r="R7" s="1359"/>
      <c r="S7" s="1358" t="s">
        <v>22</v>
      </c>
      <c r="T7" s="1359"/>
      <c r="U7" s="1358" t="s">
        <v>23</v>
      </c>
      <c r="V7" s="1359"/>
      <c r="W7" s="1358" t="s">
        <v>24</v>
      </c>
      <c r="X7" s="1359"/>
      <c r="Y7" s="1374" t="s">
        <v>711</v>
      </c>
      <c r="Z7" s="1374" t="s">
        <v>706</v>
      </c>
      <c r="AA7" s="1384" t="s">
        <v>933</v>
      </c>
      <c r="AB7" s="1376" t="s">
        <v>21</v>
      </c>
      <c r="AC7" s="1377"/>
      <c r="AD7" s="1376" t="s">
        <v>22</v>
      </c>
      <c r="AE7" s="1377"/>
      <c r="AF7" s="1376" t="s">
        <v>23</v>
      </c>
      <c r="AG7" s="1377"/>
      <c r="AH7" s="1376" t="s">
        <v>24</v>
      </c>
      <c r="AI7" s="1377"/>
      <c r="AJ7" s="1378" t="s">
        <v>711</v>
      </c>
      <c r="AK7" s="1378" t="s">
        <v>706</v>
      </c>
      <c r="AL7" s="1378" t="s">
        <v>1180</v>
      </c>
      <c r="AM7" s="1378" t="s">
        <v>1181</v>
      </c>
      <c r="AN7" s="1358" t="s">
        <v>21</v>
      </c>
      <c r="AO7" s="1359"/>
      <c r="AP7" s="1358" t="s">
        <v>22</v>
      </c>
      <c r="AQ7" s="1359"/>
      <c r="AR7" s="1358" t="s">
        <v>23</v>
      </c>
      <c r="AS7" s="1359"/>
      <c r="AT7" s="1358" t="s">
        <v>24</v>
      </c>
      <c r="AU7" s="1359"/>
      <c r="AV7" s="1374" t="s">
        <v>711</v>
      </c>
      <c r="AW7" s="1374" t="s">
        <v>706</v>
      </c>
      <c r="AX7" s="1374" t="s">
        <v>938</v>
      </c>
      <c r="AY7" s="1376" t="s">
        <v>21</v>
      </c>
      <c r="AZ7" s="1377"/>
      <c r="BA7" s="1376" t="s">
        <v>22</v>
      </c>
      <c r="BB7" s="1377"/>
      <c r="BC7" s="1376" t="s">
        <v>23</v>
      </c>
      <c r="BD7" s="1377"/>
      <c r="BE7" s="1376" t="s">
        <v>24</v>
      </c>
      <c r="BF7" s="1377"/>
      <c r="BG7" s="1378" t="s">
        <v>711</v>
      </c>
      <c r="BH7" s="1378" t="s">
        <v>706</v>
      </c>
      <c r="BI7" s="1378" t="s">
        <v>938</v>
      </c>
      <c r="BJ7" s="1406" t="s">
        <v>979</v>
      </c>
      <c r="BK7" s="1407"/>
      <c r="BL7" s="803" t="s">
        <v>1169</v>
      </c>
      <c r="BM7" s="1265" t="s">
        <v>992</v>
      </c>
      <c r="BN7" s="1265" t="s">
        <v>707</v>
      </c>
      <c r="BO7" s="1265" t="s">
        <v>939</v>
      </c>
      <c r="BP7" s="1399" t="s">
        <v>993</v>
      </c>
      <c r="BQ7" s="818"/>
      <c r="BR7" s="818"/>
    </row>
    <row r="8" spans="2:72" ht="38.450000000000003" customHeight="1">
      <c r="B8" s="1366"/>
      <c r="C8" s="1366"/>
      <c r="D8" s="1367"/>
      <c r="E8" s="1370"/>
      <c r="F8" s="1366"/>
      <c r="G8" s="1370"/>
      <c r="H8" s="1366"/>
      <c r="I8" s="1373"/>
      <c r="J8" s="1366"/>
      <c r="K8" s="1366"/>
      <c r="L8" s="1366"/>
      <c r="M8" s="670">
        <v>2021</v>
      </c>
      <c r="N8" s="670">
        <v>2022</v>
      </c>
      <c r="O8" s="670">
        <v>2023</v>
      </c>
      <c r="P8" s="670">
        <v>2024</v>
      </c>
      <c r="Q8" s="668" t="s">
        <v>703</v>
      </c>
      <c r="R8" s="668" t="s">
        <v>704</v>
      </c>
      <c r="S8" s="668" t="s">
        <v>703</v>
      </c>
      <c r="T8" s="668" t="s">
        <v>704</v>
      </c>
      <c r="U8" s="668" t="s">
        <v>703</v>
      </c>
      <c r="V8" s="668" t="s">
        <v>704</v>
      </c>
      <c r="W8" s="668" t="s">
        <v>703</v>
      </c>
      <c r="X8" s="668" t="s">
        <v>704</v>
      </c>
      <c r="Y8" s="1375"/>
      <c r="Z8" s="1375"/>
      <c r="AA8" s="1385"/>
      <c r="AB8" s="693" t="s">
        <v>703</v>
      </c>
      <c r="AC8" s="693" t="s">
        <v>704</v>
      </c>
      <c r="AD8" s="693" t="s">
        <v>703</v>
      </c>
      <c r="AE8" s="693" t="s">
        <v>704</v>
      </c>
      <c r="AF8" s="693" t="s">
        <v>703</v>
      </c>
      <c r="AG8" s="693" t="s">
        <v>704</v>
      </c>
      <c r="AH8" s="693" t="s">
        <v>703</v>
      </c>
      <c r="AI8" s="693" t="s">
        <v>704</v>
      </c>
      <c r="AJ8" s="1379"/>
      <c r="AK8" s="1379"/>
      <c r="AL8" s="1379"/>
      <c r="AM8" s="1383"/>
      <c r="AN8" s="668" t="s">
        <v>703</v>
      </c>
      <c r="AO8" s="668" t="s">
        <v>704</v>
      </c>
      <c r="AP8" s="668" t="s">
        <v>703</v>
      </c>
      <c r="AQ8" s="668" t="s">
        <v>704</v>
      </c>
      <c r="AR8" s="668" t="s">
        <v>703</v>
      </c>
      <c r="AS8" s="668" t="s">
        <v>704</v>
      </c>
      <c r="AT8" s="668" t="s">
        <v>703</v>
      </c>
      <c r="AU8" s="668" t="s">
        <v>704</v>
      </c>
      <c r="AV8" s="1375"/>
      <c r="AW8" s="1375"/>
      <c r="AX8" s="1375"/>
      <c r="AY8" s="693" t="s">
        <v>703</v>
      </c>
      <c r="AZ8" s="693" t="s">
        <v>704</v>
      </c>
      <c r="BA8" s="693" t="s">
        <v>703</v>
      </c>
      <c r="BB8" s="693" t="s">
        <v>704</v>
      </c>
      <c r="BC8" s="693" t="s">
        <v>703</v>
      </c>
      <c r="BD8" s="693" t="s">
        <v>704</v>
      </c>
      <c r="BE8" s="693" t="s">
        <v>703</v>
      </c>
      <c r="BF8" s="693" t="s">
        <v>704</v>
      </c>
      <c r="BG8" s="1379"/>
      <c r="BH8" s="1379"/>
      <c r="BI8" s="1379"/>
      <c r="BJ8" s="1108" t="s">
        <v>17</v>
      </c>
      <c r="BK8" s="834" t="s">
        <v>18</v>
      </c>
      <c r="BL8" s="835" t="s">
        <v>980</v>
      </c>
      <c r="BM8" s="1266"/>
      <c r="BN8" s="1266"/>
      <c r="BO8" s="1266"/>
      <c r="BP8" s="1399"/>
      <c r="BQ8" s="818"/>
      <c r="BR8" s="818"/>
    </row>
    <row r="9" spans="2:72" ht="103.5" customHeight="1">
      <c r="B9" s="1225"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9" s="1285" t="str">
        <f>+'Matriz PEI 2021-2024'!C10</f>
        <v>1.1. Realizar 884.203 acciones que promuevan la defensa, garantía y restablecimiento de los derechos de las personas en el Distrito Capital.</v>
      </c>
      <c r="D9" s="1325">
        <f>+'Matriz PEI 2021-2024'!E10</f>
        <v>884203</v>
      </c>
      <c r="E9" s="1294">
        <f>+'Matriz PEI 2021-2024'!D10</f>
        <v>0.7</v>
      </c>
      <c r="F9" s="1293" t="s">
        <v>988</v>
      </c>
      <c r="G9" s="1293" t="s">
        <v>990</v>
      </c>
      <c r="H9" s="51" t="str">
        <f>+'1.Informe Seguimiento POA 2022'!D13</f>
        <v>1.1.1 Realizar 356.610 intervenciones dentro del ejercicio del Ministerio Público para prevenir la vulneración de derechos y/o lograr el  restablecimiento de los mismos.</v>
      </c>
      <c r="I9" s="773">
        <f>+'1.Informe Seguimiento POA 2022'!E13</f>
        <v>0.38</v>
      </c>
      <c r="J9" s="709">
        <f>+'1.Informe Seguimiento POA 2022'!F13</f>
        <v>356610</v>
      </c>
      <c r="K9" s="778" t="str">
        <f>+'1.Informe Seguimiento POA 2022'!I13</f>
        <v>Promoción y Defensa de Derechos</v>
      </c>
      <c r="L9" s="778" t="str">
        <f>+'1.Informe Seguimiento POA 2022'!J13</f>
        <v>P.D. para Asuntos Penales I, Penales II, Derechos Humanos y Policivos y Civiles
P.D. para los Sectores Planeación y Movilidad y la P.D. para los Sectores Educación y Cultura, Recreación y Deporte</v>
      </c>
      <c r="M9" s="695">
        <f>+'1.Informe Seguimiento POA 2022'!K13</f>
        <v>102450</v>
      </c>
      <c r="N9" s="695">
        <f>+'1.Informe Seguimiento POA 2022'!L13</f>
        <v>106660</v>
      </c>
      <c r="O9" s="695">
        <f>+'1.Informe Seguimiento POA 2022'!M13</f>
        <v>98250</v>
      </c>
      <c r="P9" s="695">
        <f>+'1.Informe Seguimiento POA 2022'!N13</f>
        <v>49250</v>
      </c>
      <c r="Q9" s="696">
        <v>22050</v>
      </c>
      <c r="R9" s="696">
        <v>29988</v>
      </c>
      <c r="S9" s="696">
        <v>27075</v>
      </c>
      <c r="T9" s="696">
        <v>30354</v>
      </c>
      <c r="U9" s="696">
        <v>28635</v>
      </c>
      <c r="V9" s="696">
        <v>36860</v>
      </c>
      <c r="W9" s="696">
        <v>24690</v>
      </c>
      <c r="X9" s="696">
        <v>30952</v>
      </c>
      <c r="Y9" s="696">
        <v>102450</v>
      </c>
      <c r="Z9" s="696">
        <v>128154</v>
      </c>
      <c r="AA9" s="1072">
        <v>1.2508931185944363</v>
      </c>
      <c r="AB9" s="696">
        <f>+'1.Informe Seguimiento POA 2022'!O13</f>
        <v>25305</v>
      </c>
      <c r="AC9" s="696">
        <f>+'1.Informe Seguimiento POA 2022'!P13</f>
        <v>29145</v>
      </c>
      <c r="AD9" s="696">
        <f>+'1.Informe Seguimiento POA 2022'!Q13</f>
        <v>28020</v>
      </c>
      <c r="AE9" s="696">
        <f>+'1.Informe Seguimiento POA 2022'!R13</f>
        <v>33363</v>
      </c>
      <c r="AF9" s="696">
        <f>+'1.Informe Seguimiento POA 2022'!S13</f>
        <v>28020</v>
      </c>
      <c r="AG9" s="696">
        <f>+'1.Informe Seguimiento POA 2022'!T13</f>
        <v>36093</v>
      </c>
      <c r="AH9" s="696">
        <f>+'1.Informe Seguimiento POA 2022'!U13</f>
        <v>25315</v>
      </c>
      <c r="AI9" s="696">
        <f>+'1.Informe Seguimiento POA 2022'!V13</f>
        <v>0</v>
      </c>
      <c r="AJ9" s="696">
        <f>+'1.Informe Seguimiento POA 2022'!W13</f>
        <v>106660</v>
      </c>
      <c r="AK9" s="696">
        <f>+'1.Informe Seguimiento POA 2022'!X13</f>
        <v>98601</v>
      </c>
      <c r="AL9" s="781">
        <f>+'1.Informe Seguimiento POA 2022'!Y13</f>
        <v>0.92444215263453966</v>
      </c>
      <c r="AM9" s="1303">
        <f>'1.Informe Seguimiento POA 2022'!AB13</f>
        <v>0.28000138114720924</v>
      </c>
      <c r="AN9" s="697"/>
      <c r="AO9" s="697"/>
      <c r="AP9" s="697"/>
      <c r="AQ9" s="697"/>
      <c r="AR9" s="697"/>
      <c r="AS9" s="697"/>
      <c r="AT9" s="697"/>
      <c r="AU9" s="697"/>
      <c r="AV9" s="696">
        <f t="shared" ref="AV9:AV40" si="0">+O9</f>
        <v>98250</v>
      </c>
      <c r="AW9" s="696"/>
      <c r="AX9" s="697"/>
      <c r="AY9" s="697"/>
      <c r="AZ9" s="697"/>
      <c r="BA9" s="697"/>
      <c r="BB9" s="697"/>
      <c r="BC9" s="697"/>
      <c r="BD9" s="697"/>
      <c r="BE9" s="697"/>
      <c r="BF9" s="697"/>
      <c r="BG9" s="696">
        <f t="shared" ref="BG9:BG40" si="1">+P9</f>
        <v>49250</v>
      </c>
      <c r="BH9" s="696"/>
      <c r="BI9" s="697"/>
      <c r="BJ9" s="791">
        <f t="shared" ref="BJ9:BJ18" si="2">+Q9+S9+U9+W9+AB9+AD9</f>
        <v>155775</v>
      </c>
      <c r="BK9" s="791">
        <f t="shared" ref="BK9:BK18" si="3">+R9+T9+V9+X9+AC9+AE9</f>
        <v>190662</v>
      </c>
      <c r="BL9" s="697">
        <f>IF(AND(BJ9&gt;0),BK9/BJ9,"No programado")</f>
        <v>1.2239576311988445</v>
      </c>
      <c r="BM9" s="697">
        <f>IF(AND(BK9&gt;0,$J9&gt;0),BK9/$J9,0)</f>
        <v>0.53465129973921088</v>
      </c>
      <c r="BN9" s="1114">
        <f t="shared" ref="BN9:BN38" si="4">IF(AND(BM9&gt;0,I9&gt;0),BM9*I9,0)</f>
        <v>0.20316749390090014</v>
      </c>
      <c r="BO9" s="1312">
        <f>SUM(BN9:BN19)</f>
        <v>0.49733040233556469</v>
      </c>
      <c r="BP9" s="1267">
        <f>(IF(AND(BO9&gt;0,E9&gt;0),BO9*E9))+(IF(AND(BO20&gt;0,E20&gt;0),BO20*E20))+(IF(AND(BO26&gt;0,E26&gt;0),BO26*E26))</f>
        <v>0.48538679520443978</v>
      </c>
      <c r="BQ9" s="819"/>
      <c r="BR9" s="819"/>
    </row>
    <row r="10" spans="2:72" ht="133.15" customHeight="1">
      <c r="B10" s="1226"/>
      <c r="C10" s="1291"/>
      <c r="D10" s="1333"/>
      <c r="E10" s="1295"/>
      <c r="F10" s="1293"/>
      <c r="G10" s="1293"/>
      <c r="H10" s="51" t="str">
        <f>+'1.Informe Seguimiento POA 2022'!D14</f>
        <v>1.1.2 Orientar 292.755 personas en garantía de derechos.</v>
      </c>
      <c r="I10" s="773">
        <f>+'1.Informe Seguimiento POA 2022'!E14</f>
        <v>0.3</v>
      </c>
      <c r="J10" s="709">
        <f>+'1.Informe Seguimiento POA 2022'!F14</f>
        <v>292755</v>
      </c>
      <c r="K10" s="778" t="str">
        <f>+'1.Informe Seguimiento POA 2022'!I14</f>
        <v>Promoción y Defensa de Derechos</v>
      </c>
      <c r="L10" s="778" t="str">
        <f>+'1.Informe Seguimiento POA 2022'!J14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M10" s="695">
        <f>+'1.Informe Seguimiento POA 2022'!K14</f>
        <v>78750</v>
      </c>
      <c r="N10" s="695">
        <f>+'1.Informe Seguimiento POA 2022'!L14</f>
        <v>97105</v>
      </c>
      <c r="O10" s="695">
        <f>+'1.Informe Seguimiento POA 2022'!M14</f>
        <v>76600</v>
      </c>
      <c r="P10" s="695">
        <f>+'1.Informe Seguimiento POA 2022'!N14</f>
        <v>40300</v>
      </c>
      <c r="Q10" s="696">
        <v>17420</v>
      </c>
      <c r="R10" s="696">
        <v>17308</v>
      </c>
      <c r="S10" s="696">
        <v>19380</v>
      </c>
      <c r="T10" s="696">
        <v>18431</v>
      </c>
      <c r="U10" s="696">
        <v>20444</v>
      </c>
      <c r="V10" s="696">
        <v>28295</v>
      </c>
      <c r="W10" s="696">
        <v>21506</v>
      </c>
      <c r="X10" s="696">
        <v>32130</v>
      </c>
      <c r="Y10" s="696">
        <v>78750</v>
      </c>
      <c r="Z10" s="696">
        <v>96164</v>
      </c>
      <c r="AA10" s="1072">
        <v>1.2211301587301586</v>
      </c>
      <c r="AB10" s="696">
        <f>+'1.Informe Seguimiento POA 2022'!O14</f>
        <v>21621</v>
      </c>
      <c r="AC10" s="696">
        <f>+'1.Informe Seguimiento POA 2022'!P14</f>
        <v>26507</v>
      </c>
      <c r="AD10" s="696">
        <f>+'1.Informe Seguimiento POA 2022'!Q14</f>
        <v>25997</v>
      </c>
      <c r="AE10" s="696">
        <f>+'1.Informe Seguimiento POA 2022'!R14</f>
        <v>27698</v>
      </c>
      <c r="AF10" s="696">
        <f>+'1.Informe Seguimiento POA 2022'!S14</f>
        <v>26645</v>
      </c>
      <c r="AG10" s="696">
        <f>+'1.Informe Seguimiento POA 2022'!T14</f>
        <v>30355</v>
      </c>
      <c r="AH10" s="696">
        <f>+'1.Informe Seguimiento POA 2022'!U14</f>
        <v>22842</v>
      </c>
      <c r="AI10" s="696">
        <f>+'1.Informe Seguimiento POA 2022'!V14</f>
        <v>0</v>
      </c>
      <c r="AJ10" s="696">
        <f>+'1.Informe Seguimiento POA 2022'!W14</f>
        <v>97105</v>
      </c>
      <c r="AK10" s="696">
        <f>+'1.Informe Seguimiento POA 2022'!X14</f>
        <v>84560</v>
      </c>
      <c r="AL10" s="781">
        <f>+'1.Informe Seguimiento POA 2022'!Y14</f>
        <v>0.870809947994439</v>
      </c>
      <c r="AM10" s="1304"/>
      <c r="AN10" s="697"/>
      <c r="AO10" s="697"/>
      <c r="AP10" s="697"/>
      <c r="AQ10" s="697"/>
      <c r="AR10" s="697"/>
      <c r="AS10" s="697"/>
      <c r="AT10" s="697"/>
      <c r="AU10" s="697"/>
      <c r="AV10" s="696">
        <f t="shared" si="0"/>
        <v>76600</v>
      </c>
      <c r="AW10" s="696"/>
      <c r="AX10" s="697"/>
      <c r="AY10" s="697"/>
      <c r="AZ10" s="697"/>
      <c r="BA10" s="697"/>
      <c r="BB10" s="697"/>
      <c r="BC10" s="697"/>
      <c r="BD10" s="697"/>
      <c r="BE10" s="697"/>
      <c r="BF10" s="697"/>
      <c r="BG10" s="696">
        <f t="shared" si="1"/>
        <v>40300</v>
      </c>
      <c r="BH10" s="696"/>
      <c r="BI10" s="697"/>
      <c r="BJ10" s="791">
        <f t="shared" si="2"/>
        <v>126368</v>
      </c>
      <c r="BK10" s="791">
        <f t="shared" si="3"/>
        <v>150369</v>
      </c>
      <c r="BL10" s="697">
        <f t="shared" ref="BL10:BL26" si="5">IF(AND(BJ10&gt;0),BK10/BJ10,"No programado")</f>
        <v>1.1899294125094961</v>
      </c>
      <c r="BM10" s="697">
        <f t="shared" ref="BM10:BM56" si="6">IF(AND(BK10&gt;0,$J10&gt;0),BK10/$J10,0)</f>
        <v>0.5136342675616129</v>
      </c>
      <c r="BN10" s="1114">
        <f t="shared" si="4"/>
        <v>0.15409028026848387</v>
      </c>
      <c r="BO10" s="1219"/>
      <c r="BP10" s="1267"/>
      <c r="BQ10" s="819"/>
      <c r="BR10" s="819"/>
    </row>
    <row r="11" spans="2:72" ht="185.25" customHeight="1">
      <c r="B11" s="1226"/>
      <c r="C11" s="1291"/>
      <c r="D11" s="1333"/>
      <c r="E11" s="1295"/>
      <c r="F11" s="1293"/>
      <c r="G11" s="1293"/>
      <c r="H11" s="51" t="str">
        <f>+'1.Informe Seguimiento POA 2022'!D15</f>
        <v>1.1.3 Asistir 117.610 personas en garantía de derechos.</v>
      </c>
      <c r="I11" s="773">
        <f>+'1.Informe Seguimiento POA 2022'!E15</f>
        <v>0.15</v>
      </c>
      <c r="J11" s="709">
        <f>+'1.Informe Seguimiento POA 2022'!F15</f>
        <v>117610</v>
      </c>
      <c r="K11" s="778" t="str">
        <f>+'1.Informe Seguimiento POA 2022'!I15</f>
        <v>Promoción y Defensa de Derechos</v>
      </c>
      <c r="L11" s="778" t="str">
        <f>+'1.Informe Seguimiento POA 2022'!J15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M11" s="695">
        <f>+'1.Informe Seguimiento POA 2022'!K15</f>
        <v>28695</v>
      </c>
      <c r="N11" s="695">
        <f>+'1.Informe Seguimiento POA 2022'!L15</f>
        <v>26115</v>
      </c>
      <c r="O11" s="695">
        <f>+'1.Informe Seguimiento POA 2022'!M15</f>
        <v>39200</v>
      </c>
      <c r="P11" s="695">
        <f>+'1.Informe Seguimiento POA 2022'!N15</f>
        <v>23600</v>
      </c>
      <c r="Q11" s="696">
        <v>8750</v>
      </c>
      <c r="R11" s="696">
        <v>4414</v>
      </c>
      <c r="S11" s="696">
        <v>10350</v>
      </c>
      <c r="T11" s="696">
        <v>6018</v>
      </c>
      <c r="U11" s="696">
        <v>6260</v>
      </c>
      <c r="V11" s="696">
        <v>8637</v>
      </c>
      <c r="W11" s="696">
        <v>3335</v>
      </c>
      <c r="X11" s="696">
        <v>11029</v>
      </c>
      <c r="Y11" s="696">
        <v>28695</v>
      </c>
      <c r="Z11" s="696">
        <v>30098</v>
      </c>
      <c r="AA11" s="1072">
        <v>1.0488935354591393</v>
      </c>
      <c r="AB11" s="696">
        <f>+'1.Informe Seguimiento POA 2022'!O15</f>
        <v>6670</v>
      </c>
      <c r="AC11" s="696">
        <f>+'1.Informe Seguimiento POA 2022'!P15</f>
        <v>9518</v>
      </c>
      <c r="AD11" s="696">
        <f>+'1.Informe Seguimiento POA 2022'!Q15</f>
        <v>8165</v>
      </c>
      <c r="AE11" s="696">
        <f>+'1.Informe Seguimiento POA 2022'!R15</f>
        <v>10298</v>
      </c>
      <c r="AF11" s="696">
        <f>+'1.Informe Seguimiento POA 2022'!S15</f>
        <v>6765</v>
      </c>
      <c r="AG11" s="696">
        <f>+'1.Informe Seguimiento POA 2022'!T15</f>
        <v>10102</v>
      </c>
      <c r="AH11" s="696">
        <f>+'1.Informe Seguimiento POA 2022'!U15</f>
        <v>4515</v>
      </c>
      <c r="AI11" s="696">
        <f>+'1.Informe Seguimiento POA 2022'!V15</f>
        <v>0</v>
      </c>
      <c r="AJ11" s="696">
        <f>+'1.Informe Seguimiento POA 2022'!W15</f>
        <v>26115</v>
      </c>
      <c r="AK11" s="696">
        <f>+'1.Informe Seguimiento POA 2022'!X15</f>
        <v>29918</v>
      </c>
      <c r="AL11" s="781">
        <f>+'1.Informe Seguimiento POA 2022'!Y15</f>
        <v>1.1456251196630289</v>
      </c>
      <c r="AM11" s="1304"/>
      <c r="AN11" s="697"/>
      <c r="AO11" s="697"/>
      <c r="AP11" s="697"/>
      <c r="AQ11" s="697"/>
      <c r="AR11" s="697"/>
      <c r="AS11" s="697"/>
      <c r="AT11" s="697"/>
      <c r="AU11" s="697"/>
      <c r="AV11" s="696">
        <f t="shared" si="0"/>
        <v>39200</v>
      </c>
      <c r="AW11" s="696"/>
      <c r="AX11" s="697"/>
      <c r="AY11" s="697"/>
      <c r="AZ11" s="697"/>
      <c r="BA11" s="697"/>
      <c r="BB11" s="697"/>
      <c r="BC11" s="697"/>
      <c r="BD11" s="697"/>
      <c r="BE11" s="697"/>
      <c r="BF11" s="697"/>
      <c r="BG11" s="696">
        <f t="shared" si="1"/>
        <v>23600</v>
      </c>
      <c r="BH11" s="696"/>
      <c r="BI11" s="697"/>
      <c r="BJ11" s="791">
        <f t="shared" si="2"/>
        <v>43530</v>
      </c>
      <c r="BK11" s="791">
        <f t="shared" si="3"/>
        <v>49914</v>
      </c>
      <c r="BL11" s="697">
        <f t="shared" si="5"/>
        <v>1.146657477601654</v>
      </c>
      <c r="BM11" s="697">
        <f t="shared" si="6"/>
        <v>0.42440268684635662</v>
      </c>
      <c r="BN11" s="1114">
        <f t="shared" si="4"/>
        <v>6.3660403026953485E-2</v>
      </c>
      <c r="BO11" s="1219"/>
      <c r="BP11" s="1267"/>
      <c r="BQ11" s="819"/>
      <c r="BR11" s="819"/>
    </row>
    <row r="12" spans="2:72" ht="94.9" customHeight="1">
      <c r="B12" s="1226"/>
      <c r="C12" s="1291"/>
      <c r="D12" s="1333"/>
      <c r="E12" s="1295"/>
      <c r="F12" s="1293"/>
      <c r="G12" s="1293"/>
      <c r="H12" s="51" t="str">
        <f>+'1.Informe Seguimiento POA 2022'!D16</f>
        <v>1.1.4 Asistir a 28.586 personas en mecanismos alternativos de solución de conflictos.</v>
      </c>
      <c r="I12" s="773">
        <f>+'1.Informe Seguimiento POA 2022'!E16</f>
        <v>0.04</v>
      </c>
      <c r="J12" s="709">
        <f>+'1.Informe Seguimiento POA 2022'!F16</f>
        <v>28586</v>
      </c>
      <c r="K12" s="778" t="str">
        <f>+'1.Informe Seguimiento POA 2022'!I16</f>
        <v>Promoción y Defensa de Derechos</v>
      </c>
      <c r="L12" s="778" t="str">
        <f>+'1.Informe Seguimiento POA 2022'!J16</f>
        <v>Dirección de Conciliación y M.A.S.C.</v>
      </c>
      <c r="M12" s="695">
        <f>+'1.Informe Seguimiento POA 2022'!K16</f>
        <v>6810</v>
      </c>
      <c r="N12" s="695">
        <f>+'1.Informe Seguimiento POA 2022'!L16</f>
        <v>6900</v>
      </c>
      <c r="O12" s="695">
        <f>+'1.Informe Seguimiento POA 2022'!M16</f>
        <v>10500</v>
      </c>
      <c r="P12" s="695">
        <f>+'1.Informe Seguimiento POA 2022'!N16</f>
        <v>4376</v>
      </c>
      <c r="Q12" s="696">
        <v>2420</v>
      </c>
      <c r="R12" s="696">
        <v>1338</v>
      </c>
      <c r="S12" s="696">
        <v>2730</v>
      </c>
      <c r="T12" s="696">
        <v>1814</v>
      </c>
      <c r="U12" s="696">
        <v>1210</v>
      </c>
      <c r="V12" s="696">
        <v>2484</v>
      </c>
      <c r="W12" s="696">
        <v>450</v>
      </c>
      <c r="X12" s="696">
        <v>3080</v>
      </c>
      <c r="Y12" s="696">
        <v>6810</v>
      </c>
      <c r="Z12" s="696">
        <v>8716</v>
      </c>
      <c r="AA12" s="1072">
        <v>1.2798825256975037</v>
      </c>
      <c r="AB12" s="696">
        <f>+'1.Informe Seguimiento POA 2022'!O16</f>
        <v>900</v>
      </c>
      <c r="AC12" s="696">
        <f>+'1.Informe Seguimiento POA 2022'!P16</f>
        <v>3289</v>
      </c>
      <c r="AD12" s="696">
        <f>+'1.Informe Seguimiento POA 2022'!Q16</f>
        <v>1500</v>
      </c>
      <c r="AE12" s="696">
        <f>+'1.Informe Seguimiento POA 2022'!R16</f>
        <v>3199</v>
      </c>
      <c r="AF12" s="696">
        <f>+'1.Informe Seguimiento POA 2022'!S16</f>
        <v>2100</v>
      </c>
      <c r="AG12" s="696">
        <f>+'1.Informe Seguimiento POA 2022'!T16</f>
        <v>3709</v>
      </c>
      <c r="AH12" s="696">
        <f>+'1.Informe Seguimiento POA 2022'!U16</f>
        <v>2400</v>
      </c>
      <c r="AI12" s="696">
        <f>+'1.Informe Seguimiento POA 2022'!V16</f>
        <v>0</v>
      </c>
      <c r="AJ12" s="696">
        <f>+'1.Informe Seguimiento POA 2022'!W16</f>
        <v>6900</v>
      </c>
      <c r="AK12" s="696">
        <f>+'1.Informe Seguimiento POA 2022'!X16</f>
        <v>10197</v>
      </c>
      <c r="AL12" s="781">
        <f>+'1.Informe Seguimiento POA 2022'!Y16</f>
        <v>1.4778260869565218</v>
      </c>
      <c r="AM12" s="1304"/>
      <c r="AN12" s="697"/>
      <c r="AO12" s="697"/>
      <c r="AP12" s="697"/>
      <c r="AQ12" s="697"/>
      <c r="AR12" s="697"/>
      <c r="AS12" s="697"/>
      <c r="AT12" s="697"/>
      <c r="AU12" s="697"/>
      <c r="AV12" s="696">
        <f t="shared" si="0"/>
        <v>10500</v>
      </c>
      <c r="AW12" s="696"/>
      <c r="AX12" s="697"/>
      <c r="AY12" s="697"/>
      <c r="AZ12" s="697"/>
      <c r="BA12" s="697"/>
      <c r="BB12" s="697"/>
      <c r="BC12" s="697"/>
      <c r="BD12" s="697"/>
      <c r="BE12" s="697"/>
      <c r="BF12" s="697"/>
      <c r="BG12" s="696">
        <f t="shared" si="1"/>
        <v>4376</v>
      </c>
      <c r="BH12" s="696"/>
      <c r="BI12" s="697"/>
      <c r="BJ12" s="791">
        <f t="shared" si="2"/>
        <v>9210</v>
      </c>
      <c r="BK12" s="791">
        <f t="shared" si="3"/>
        <v>15204</v>
      </c>
      <c r="BL12" s="697">
        <f t="shared" si="5"/>
        <v>1.650814332247557</v>
      </c>
      <c r="BM12" s="697">
        <f t="shared" si="6"/>
        <v>0.53186874693906105</v>
      </c>
      <c r="BN12" s="1114">
        <f t="shared" si="4"/>
        <v>2.1274749877562442E-2</v>
      </c>
      <c r="BO12" s="1219"/>
      <c r="BP12" s="1267"/>
      <c r="BQ12" s="819"/>
      <c r="BR12" s="819"/>
    </row>
    <row r="13" spans="2:72" ht="136.5" customHeight="1">
      <c r="B13" s="1226"/>
      <c r="C13" s="1291"/>
      <c r="D13" s="1333"/>
      <c r="E13" s="1295"/>
      <c r="F13" s="1293"/>
      <c r="G13" s="1293"/>
      <c r="H13" s="51" t="str">
        <f>+'1.Informe Seguimiento POA 2022'!D17</f>
        <v>1.1.5 Atender y gestionar 55.722 peticiones y/o requerimientos presentados por la comunidad en garantía de derechos.</v>
      </c>
      <c r="I13" s="773">
        <f>+'1.Informe Seguimiento POA 2022'!E17</f>
        <v>0.06</v>
      </c>
      <c r="J13" s="709">
        <f>+'1.Informe Seguimiento POA 2022'!F17</f>
        <v>55722</v>
      </c>
      <c r="K13" s="778" t="str">
        <f>+'1.Informe Seguimiento POA 2022'!I17</f>
        <v>Promoción y Defensa de Derechos</v>
      </c>
      <c r="L13" s="778" t="str">
        <f>+'1.Informe Seguimiento POA 2022'!J17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M13" s="695">
        <f>+'1.Informe Seguimiento POA 2022'!K17</f>
        <v>14307</v>
      </c>
      <c r="N13" s="695">
        <f>+'1.Informe Seguimiento POA 2022'!L17</f>
        <v>16115</v>
      </c>
      <c r="O13" s="695">
        <f>+'1.Informe Seguimiento POA 2022'!M17</f>
        <v>21200</v>
      </c>
      <c r="P13" s="695">
        <f>+'1.Informe Seguimiento POA 2022'!N17</f>
        <v>4100</v>
      </c>
      <c r="Q13" s="696">
        <v>3520</v>
      </c>
      <c r="R13" s="696">
        <v>2602</v>
      </c>
      <c r="S13" s="696">
        <v>4530</v>
      </c>
      <c r="T13" s="696">
        <v>4847</v>
      </c>
      <c r="U13" s="696">
        <v>5182</v>
      </c>
      <c r="V13" s="696">
        <v>3793</v>
      </c>
      <c r="W13" s="696">
        <v>1075</v>
      </c>
      <c r="X13" s="696">
        <v>5899</v>
      </c>
      <c r="Y13" s="696">
        <v>14307</v>
      </c>
      <c r="Z13" s="696">
        <v>17141</v>
      </c>
      <c r="AA13" s="1072">
        <v>1.1980848535681834</v>
      </c>
      <c r="AB13" s="696">
        <f>+'1.Informe Seguimiento POA 2022'!O17</f>
        <v>3408</v>
      </c>
      <c r="AC13" s="696">
        <f>+'1.Informe Seguimiento POA 2022'!P17</f>
        <v>5102</v>
      </c>
      <c r="AD13" s="696">
        <f>+'1.Informe Seguimiento POA 2022'!Q17</f>
        <v>4265</v>
      </c>
      <c r="AE13" s="696">
        <f>+'1.Informe Seguimiento POA 2022'!R17</f>
        <v>5964</v>
      </c>
      <c r="AF13" s="696">
        <f>+'1.Informe Seguimiento POA 2022'!S17</f>
        <v>4275</v>
      </c>
      <c r="AG13" s="696">
        <f>+'1.Informe Seguimiento POA 2022'!T17</f>
        <v>6560</v>
      </c>
      <c r="AH13" s="696">
        <f>+'1.Informe Seguimiento POA 2022'!U17</f>
        <v>4167</v>
      </c>
      <c r="AI13" s="696">
        <f>+'1.Informe Seguimiento POA 2022'!V17</f>
        <v>0</v>
      </c>
      <c r="AJ13" s="696">
        <f>+'1.Informe Seguimiento POA 2022'!W17</f>
        <v>16115</v>
      </c>
      <c r="AK13" s="696">
        <f>+'1.Informe Seguimiento POA 2022'!X17</f>
        <v>17626</v>
      </c>
      <c r="AL13" s="781">
        <f>+'1.Informe Seguimiento POA 2022'!Y17</f>
        <v>1.0937635743096494</v>
      </c>
      <c r="AM13" s="1304"/>
      <c r="AN13" s="697"/>
      <c r="AO13" s="697"/>
      <c r="AP13" s="697"/>
      <c r="AQ13" s="697"/>
      <c r="AR13" s="697"/>
      <c r="AS13" s="697"/>
      <c r="AT13" s="697"/>
      <c r="AU13" s="697"/>
      <c r="AV13" s="696">
        <f t="shared" si="0"/>
        <v>21200</v>
      </c>
      <c r="AW13" s="696"/>
      <c r="AX13" s="697"/>
      <c r="AY13" s="697"/>
      <c r="AZ13" s="697"/>
      <c r="BA13" s="697"/>
      <c r="BB13" s="697"/>
      <c r="BC13" s="697"/>
      <c r="BD13" s="697"/>
      <c r="BE13" s="697"/>
      <c r="BF13" s="697"/>
      <c r="BG13" s="696">
        <f t="shared" si="1"/>
        <v>4100</v>
      </c>
      <c r="BH13" s="696"/>
      <c r="BI13" s="697"/>
      <c r="BJ13" s="791">
        <f t="shared" si="2"/>
        <v>21980</v>
      </c>
      <c r="BK13" s="791">
        <f t="shared" si="3"/>
        <v>28207</v>
      </c>
      <c r="BL13" s="697">
        <f t="shared" si="5"/>
        <v>1.2833030027297543</v>
      </c>
      <c r="BM13" s="697">
        <f t="shared" si="6"/>
        <v>0.50620939664764364</v>
      </c>
      <c r="BN13" s="1114">
        <f t="shared" si="4"/>
        <v>3.0372563798858616E-2</v>
      </c>
      <c r="BO13" s="1219"/>
      <c r="BP13" s="1267"/>
      <c r="BQ13" s="819"/>
      <c r="BR13" s="819"/>
    </row>
    <row r="14" spans="2:72" ht="96" customHeight="1">
      <c r="B14" s="1226"/>
      <c r="C14" s="1291"/>
      <c r="D14" s="1333"/>
      <c r="E14" s="1295"/>
      <c r="F14" s="1293"/>
      <c r="G14" s="1293"/>
      <c r="H14" s="51" t="str">
        <f>+'1.Informe Seguimiento POA 2022'!D18</f>
        <v>1.1.6 Generar 80 espacios de mejora, de transferencia de conocimientos y buenas prácticas que permitan brindar una atención idónea a las personas que acuden a la Personería de Bogotá, D. C</v>
      </c>
      <c r="I14" s="773">
        <f>+'1.Informe Seguimiento POA 2022'!E18</f>
        <v>0.01</v>
      </c>
      <c r="J14" s="709">
        <f>+'1.Informe Seguimiento POA 2022'!F18</f>
        <v>80</v>
      </c>
      <c r="K14" s="778" t="str">
        <f>+'1.Informe Seguimiento POA 2022'!I18</f>
        <v>Promoción y Defensa de Derechos</v>
      </c>
      <c r="L14" s="778" t="str">
        <f>+'1.Informe Seguimiento POA 2022'!J18</f>
        <v>P.D. para la Coordinación del MP y DDHH y sus dependencias adscritas.</v>
      </c>
      <c r="M14" s="695">
        <f>+'1.Informe Seguimiento POA 2022'!K18</f>
        <v>20</v>
      </c>
      <c r="N14" s="695">
        <f>+'1.Informe Seguimiento POA 2022'!L18</f>
        <v>20</v>
      </c>
      <c r="O14" s="695">
        <f>+'1.Informe Seguimiento POA 2022'!M18</f>
        <v>20</v>
      </c>
      <c r="P14" s="695">
        <f>+'1.Informe Seguimiento POA 2022'!N18</f>
        <v>20</v>
      </c>
      <c r="Q14" s="696">
        <v>5</v>
      </c>
      <c r="R14" s="696">
        <v>1</v>
      </c>
      <c r="S14" s="696">
        <v>15</v>
      </c>
      <c r="T14" s="696">
        <v>10</v>
      </c>
      <c r="U14" s="696">
        <v>0</v>
      </c>
      <c r="V14" s="696">
        <v>6</v>
      </c>
      <c r="W14" s="696">
        <v>0</v>
      </c>
      <c r="X14" s="696">
        <v>3</v>
      </c>
      <c r="Y14" s="696">
        <v>20</v>
      </c>
      <c r="Z14" s="696">
        <v>20</v>
      </c>
      <c r="AA14" s="1072">
        <v>1</v>
      </c>
      <c r="AB14" s="696">
        <f>+'1.Informe Seguimiento POA 2022'!O18</f>
        <v>2</v>
      </c>
      <c r="AC14" s="696">
        <f>+'1.Informe Seguimiento POA 2022'!P18</f>
        <v>0</v>
      </c>
      <c r="AD14" s="696">
        <f>+'1.Informe Seguimiento POA 2022'!Q18</f>
        <v>11</v>
      </c>
      <c r="AE14" s="696">
        <f>+'1.Informe Seguimiento POA 2022'!R18</f>
        <v>11</v>
      </c>
      <c r="AF14" s="696">
        <f>+'1.Informe Seguimiento POA 2022'!S18</f>
        <v>6</v>
      </c>
      <c r="AG14" s="696">
        <f>+'1.Informe Seguimiento POA 2022'!T18</f>
        <v>4</v>
      </c>
      <c r="AH14" s="696">
        <f>+'1.Informe Seguimiento POA 2022'!U18</f>
        <v>1</v>
      </c>
      <c r="AI14" s="696">
        <f>+'1.Informe Seguimiento POA 2022'!V18</f>
        <v>0</v>
      </c>
      <c r="AJ14" s="696">
        <f>+'1.Informe Seguimiento POA 2022'!W18</f>
        <v>20</v>
      </c>
      <c r="AK14" s="696">
        <f>+'1.Informe Seguimiento POA 2022'!X18</f>
        <v>15</v>
      </c>
      <c r="AL14" s="781">
        <f>+'1.Informe Seguimiento POA 2022'!Y18</f>
        <v>0.75</v>
      </c>
      <c r="AM14" s="1304"/>
      <c r="AN14" s="697"/>
      <c r="AO14" s="697"/>
      <c r="AP14" s="697"/>
      <c r="AQ14" s="697"/>
      <c r="AR14" s="697"/>
      <c r="AS14" s="697"/>
      <c r="AT14" s="697"/>
      <c r="AU14" s="697"/>
      <c r="AV14" s="696">
        <f t="shared" si="0"/>
        <v>20</v>
      </c>
      <c r="AW14" s="696"/>
      <c r="AX14" s="697"/>
      <c r="AY14" s="697"/>
      <c r="AZ14" s="697"/>
      <c r="BA14" s="697"/>
      <c r="BB14" s="697"/>
      <c r="BC14" s="697"/>
      <c r="BD14" s="697"/>
      <c r="BE14" s="697"/>
      <c r="BF14" s="697"/>
      <c r="BG14" s="696">
        <f t="shared" si="1"/>
        <v>20</v>
      </c>
      <c r="BH14" s="696"/>
      <c r="BI14" s="697"/>
      <c r="BJ14" s="791">
        <f t="shared" si="2"/>
        <v>33</v>
      </c>
      <c r="BK14" s="791">
        <f t="shared" si="3"/>
        <v>31</v>
      </c>
      <c r="BL14" s="697">
        <f t="shared" si="5"/>
        <v>0.93939393939393945</v>
      </c>
      <c r="BM14" s="697">
        <f t="shared" si="6"/>
        <v>0.38750000000000001</v>
      </c>
      <c r="BN14" s="1114">
        <f t="shared" si="4"/>
        <v>3.8750000000000004E-3</v>
      </c>
      <c r="BO14" s="1219"/>
      <c r="BP14" s="1267"/>
      <c r="BQ14" s="819"/>
      <c r="BR14" s="819"/>
    </row>
    <row r="15" spans="2:72" ht="115.15" customHeight="1">
      <c r="B15" s="1226"/>
      <c r="C15" s="1291"/>
      <c r="D15" s="1333"/>
      <c r="E15" s="1295"/>
      <c r="F15" s="1293"/>
      <c r="G15" s="1293"/>
      <c r="H15" s="51" t="str">
        <f>+'1.Informe Seguimiento POA 2022'!D20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I15" s="773">
        <f>+'1.Informe Seguimiento POA 2022'!E20</f>
        <v>0.02</v>
      </c>
      <c r="J15" s="694">
        <f>+'1.Informe Seguimiento POA 2022'!F20</f>
        <v>19500</v>
      </c>
      <c r="K15" s="778" t="str">
        <f>+'1.Informe Seguimiento POA 2022'!I20</f>
        <v>Promoción y Defensa de Derechos</v>
      </c>
      <c r="L15" s="778" t="str">
        <f>+'1.Informe Seguimiento POA 2022'!J20</f>
        <v>P.D. para la Coordinación de la Gestión de Personerías Locales y sus Personerías Locales adscritas</v>
      </c>
      <c r="M15" s="695">
        <f>+'1.Informe Seguimiento POA 2022'!K20</f>
        <v>5000</v>
      </c>
      <c r="N15" s="695">
        <f>+'1.Informe Seguimiento POA 2022'!L20</f>
        <v>6000</v>
      </c>
      <c r="O15" s="695">
        <f>+'1.Informe Seguimiento POA 2022'!M20</f>
        <v>6500</v>
      </c>
      <c r="P15" s="695">
        <f>+'1.Informe Seguimiento POA 2022'!N20</f>
        <v>2000</v>
      </c>
      <c r="Q15" s="696">
        <v>1020</v>
      </c>
      <c r="R15" s="696">
        <v>977</v>
      </c>
      <c r="S15" s="696">
        <v>1380</v>
      </c>
      <c r="T15" s="696">
        <v>1846</v>
      </c>
      <c r="U15" s="696">
        <v>1380</v>
      </c>
      <c r="V15" s="696">
        <v>1748</v>
      </c>
      <c r="W15" s="696">
        <v>1220</v>
      </c>
      <c r="X15" s="696">
        <v>1608</v>
      </c>
      <c r="Y15" s="696">
        <v>5000</v>
      </c>
      <c r="Z15" s="696">
        <v>6179</v>
      </c>
      <c r="AA15" s="1072">
        <v>1.2358</v>
      </c>
      <c r="AB15" s="696">
        <f>+'1.Informe Seguimiento POA 2022'!O20</f>
        <v>1200</v>
      </c>
      <c r="AC15" s="696">
        <f>+'1.Informe Seguimiento POA 2022'!P20</f>
        <v>1452</v>
      </c>
      <c r="AD15" s="696">
        <f>+'1.Informe Seguimiento POA 2022'!Q20</f>
        <v>1800</v>
      </c>
      <c r="AE15" s="696">
        <f>+'1.Informe Seguimiento POA 2022'!R20</f>
        <v>1952</v>
      </c>
      <c r="AF15" s="696">
        <f>+'1.Informe Seguimiento POA 2022'!S20</f>
        <v>1800</v>
      </c>
      <c r="AG15" s="696">
        <f>+'1.Informe Seguimiento POA 2022'!T20</f>
        <v>2402</v>
      </c>
      <c r="AH15" s="696">
        <f>+'1.Informe Seguimiento POA 2022'!U20</f>
        <v>1200</v>
      </c>
      <c r="AI15" s="696">
        <f>+'1.Informe Seguimiento POA 2022'!V20</f>
        <v>0</v>
      </c>
      <c r="AJ15" s="696">
        <f>+'1.Informe Seguimiento POA 2022'!W20</f>
        <v>6000</v>
      </c>
      <c r="AK15" s="696">
        <f>+'1.Informe Seguimiento POA 2022'!X20</f>
        <v>5806</v>
      </c>
      <c r="AL15" s="781">
        <f>+'1.Informe Seguimiento POA 2022'!Y20</f>
        <v>0.96766666666666667</v>
      </c>
      <c r="AM15" s="1304"/>
      <c r="AN15" s="697"/>
      <c r="AO15" s="697"/>
      <c r="AP15" s="697"/>
      <c r="AQ15" s="697"/>
      <c r="AR15" s="697"/>
      <c r="AS15" s="697"/>
      <c r="AT15" s="697"/>
      <c r="AU15" s="697"/>
      <c r="AV15" s="696">
        <f t="shared" si="0"/>
        <v>6500</v>
      </c>
      <c r="AW15" s="696"/>
      <c r="AX15" s="697"/>
      <c r="AY15" s="697"/>
      <c r="AZ15" s="697"/>
      <c r="BA15" s="697"/>
      <c r="BB15" s="697"/>
      <c r="BC15" s="697"/>
      <c r="BD15" s="697"/>
      <c r="BE15" s="697"/>
      <c r="BF15" s="697"/>
      <c r="BG15" s="696">
        <f t="shared" si="1"/>
        <v>2000</v>
      </c>
      <c r="BH15" s="696"/>
      <c r="BI15" s="697"/>
      <c r="BJ15" s="791">
        <f t="shared" si="2"/>
        <v>8000</v>
      </c>
      <c r="BK15" s="791">
        <f t="shared" si="3"/>
        <v>9583</v>
      </c>
      <c r="BL15" s="697">
        <f>IF(AND(BJ15&gt;0),BK15/BJ15,"No programado")</f>
        <v>1.197875</v>
      </c>
      <c r="BM15" s="697">
        <f t="shared" si="6"/>
        <v>0.49143589743589744</v>
      </c>
      <c r="BN15" s="1114">
        <f t="shared" si="4"/>
        <v>9.8287179487179487E-3</v>
      </c>
      <c r="BO15" s="1219"/>
      <c r="BP15" s="1267"/>
      <c r="BQ15" s="819"/>
      <c r="BR15" s="819"/>
    </row>
    <row r="16" spans="2:72" ht="121.5" customHeight="1">
      <c r="B16" s="1226"/>
      <c r="C16" s="1291"/>
      <c r="D16" s="1333"/>
      <c r="E16" s="1295"/>
      <c r="F16" s="1293"/>
      <c r="G16" s="1293"/>
      <c r="H16" s="51" t="str">
        <f>+'1.Informe Seguimiento POA 2022'!D21</f>
        <v>1.1.9 Realizar 11.000 intervenciones de manera oportuna para evitar situaciones de caducidad y perdida de fuerza ejecutoria en las actuaciones administrativas y policivas</v>
      </c>
      <c r="I16" s="147">
        <f>+'1.Informe Seguimiento POA 2022'!E21</f>
        <v>0.01</v>
      </c>
      <c r="J16" s="694">
        <f>+'1.Informe Seguimiento POA 2022'!F21</f>
        <v>11000</v>
      </c>
      <c r="K16" s="778" t="str">
        <f>+'1.Informe Seguimiento POA 2022'!I21</f>
        <v>Promoción y Defensa de Derechos</v>
      </c>
      <c r="L16" s="778" t="str">
        <f>+'1.Informe Seguimiento POA 2022'!J21</f>
        <v>P.D. para la Coordinación de la Gestión de Personerías Locales y sus Personerías Locales adscritas</v>
      </c>
      <c r="M16" s="695">
        <f>+'1.Informe Seguimiento POA 2022'!K21</f>
        <v>3000</v>
      </c>
      <c r="N16" s="695">
        <f>+'1.Informe Seguimiento POA 2022'!L21</f>
        <v>3000</v>
      </c>
      <c r="O16" s="695">
        <f>+'1.Informe Seguimiento POA 2022'!M21</f>
        <v>4000</v>
      </c>
      <c r="P16" s="695">
        <f>+'1.Informe Seguimiento POA 2022'!N21</f>
        <v>1000</v>
      </c>
      <c r="Q16" s="696">
        <v>640</v>
      </c>
      <c r="R16" s="696">
        <v>488</v>
      </c>
      <c r="S16" s="696">
        <v>810</v>
      </c>
      <c r="T16" s="696">
        <v>1360</v>
      </c>
      <c r="U16" s="696">
        <v>810</v>
      </c>
      <c r="V16" s="696">
        <v>1087</v>
      </c>
      <c r="W16" s="696">
        <v>740</v>
      </c>
      <c r="X16" s="696">
        <v>903</v>
      </c>
      <c r="Y16" s="696">
        <v>3000</v>
      </c>
      <c r="Z16" s="696">
        <v>3838</v>
      </c>
      <c r="AA16" s="1072">
        <v>1.2793333333333334</v>
      </c>
      <c r="AB16" s="696">
        <f>+'1.Informe Seguimiento POA 2022'!O21</f>
        <v>600</v>
      </c>
      <c r="AC16" s="696">
        <f>+'1.Informe Seguimiento POA 2022'!P21</f>
        <v>438</v>
      </c>
      <c r="AD16" s="696">
        <f>+'1.Informe Seguimiento POA 2022'!Q21</f>
        <v>900</v>
      </c>
      <c r="AE16" s="696">
        <f>+'1.Informe Seguimiento POA 2022'!R21</f>
        <v>727</v>
      </c>
      <c r="AF16" s="696">
        <f>+'1.Informe Seguimiento POA 2022'!S21</f>
        <v>900</v>
      </c>
      <c r="AG16" s="696">
        <f>+'1.Informe Seguimiento POA 2022'!T21</f>
        <v>817</v>
      </c>
      <c r="AH16" s="696">
        <f>+'1.Informe Seguimiento POA 2022'!U21</f>
        <v>600</v>
      </c>
      <c r="AI16" s="696">
        <f>+'1.Informe Seguimiento POA 2022'!V21</f>
        <v>0</v>
      </c>
      <c r="AJ16" s="696">
        <f>+'1.Informe Seguimiento POA 2022'!W21</f>
        <v>3000</v>
      </c>
      <c r="AK16" s="696">
        <f>+'1.Informe Seguimiento POA 2022'!X21</f>
        <v>1982</v>
      </c>
      <c r="AL16" s="781">
        <f>+'1.Informe Seguimiento POA 2022'!Y21</f>
        <v>0.66066666666666662</v>
      </c>
      <c r="AM16" s="1304"/>
      <c r="AN16" s="697"/>
      <c r="AO16" s="697"/>
      <c r="AP16" s="697"/>
      <c r="AQ16" s="697"/>
      <c r="AR16" s="697"/>
      <c r="AS16" s="697"/>
      <c r="AT16" s="697"/>
      <c r="AU16" s="697"/>
      <c r="AV16" s="696">
        <f t="shared" si="0"/>
        <v>4000</v>
      </c>
      <c r="AW16" s="696"/>
      <c r="AX16" s="697"/>
      <c r="AY16" s="697"/>
      <c r="AZ16" s="697"/>
      <c r="BA16" s="697"/>
      <c r="BB16" s="697"/>
      <c r="BC16" s="697"/>
      <c r="BD16" s="697"/>
      <c r="BE16" s="697"/>
      <c r="BF16" s="697"/>
      <c r="BG16" s="696">
        <f t="shared" si="1"/>
        <v>1000</v>
      </c>
      <c r="BH16" s="696"/>
      <c r="BI16" s="697"/>
      <c r="BJ16" s="791">
        <f t="shared" si="2"/>
        <v>4500</v>
      </c>
      <c r="BK16" s="791">
        <f t="shared" si="3"/>
        <v>5003</v>
      </c>
      <c r="BL16" s="697">
        <f t="shared" si="5"/>
        <v>1.1117777777777778</v>
      </c>
      <c r="BM16" s="697">
        <f t="shared" si="6"/>
        <v>0.45481818181818184</v>
      </c>
      <c r="BN16" s="1114">
        <f t="shared" si="4"/>
        <v>4.5481818181818184E-3</v>
      </c>
      <c r="BO16" s="1219"/>
      <c r="BP16" s="1267"/>
      <c r="BQ16" s="819"/>
      <c r="BR16" s="819"/>
    </row>
    <row r="17" spans="2:70" ht="84.75" customHeight="1">
      <c r="B17" s="1226"/>
      <c r="C17" s="1291"/>
      <c r="D17" s="1333"/>
      <c r="E17" s="1295"/>
      <c r="F17" s="1293"/>
      <c r="G17" s="1293"/>
      <c r="H17" s="51" t="str">
        <f>+'1.Informe Seguimiento POA 2022'!D22</f>
        <v>1.1.10 Impulsar 2.300 expedientes que contengan orden de policía (MULTA) en firme y ejecutoriada, para que se efectúen cobros persuasivos y/o se de traslado para el cobro coactivo.</v>
      </c>
      <c r="I17" s="147">
        <f>+'1.Informe Seguimiento POA 2022'!E22</f>
        <v>0.01</v>
      </c>
      <c r="J17" s="694">
        <f>+'1.Informe Seguimiento POA 2022'!F22</f>
        <v>2300</v>
      </c>
      <c r="K17" s="778" t="str">
        <f>+'1.Informe Seguimiento POA 2022'!I22</f>
        <v>Promoción y Defensa de Derechos</v>
      </c>
      <c r="L17" s="778" t="str">
        <f>+'1.Informe Seguimiento POA 2022'!J22</f>
        <v>P.D. para la Coordinación de la Gestión de Personerías Locales y sus Personerías Locales adscritas</v>
      </c>
      <c r="M17" s="695">
        <f>+'1.Informe Seguimiento POA 2022'!K22</f>
        <v>700</v>
      </c>
      <c r="N17" s="695">
        <f>+'1.Informe Seguimiento POA 2022'!L22</f>
        <v>500</v>
      </c>
      <c r="O17" s="695">
        <f>+'1.Informe Seguimiento POA 2022'!M22</f>
        <v>800</v>
      </c>
      <c r="P17" s="695">
        <f>+'1.Informe Seguimiento POA 2022'!N22</f>
        <v>300</v>
      </c>
      <c r="Q17" s="696">
        <v>145</v>
      </c>
      <c r="R17" s="696">
        <v>74</v>
      </c>
      <c r="S17" s="696">
        <v>190</v>
      </c>
      <c r="T17" s="696">
        <v>635</v>
      </c>
      <c r="U17" s="696">
        <v>195</v>
      </c>
      <c r="V17" s="696">
        <v>110</v>
      </c>
      <c r="W17" s="696">
        <v>170</v>
      </c>
      <c r="X17" s="696">
        <v>221</v>
      </c>
      <c r="Y17" s="696">
        <v>700</v>
      </c>
      <c r="Z17" s="696">
        <v>1040</v>
      </c>
      <c r="AA17" s="1072">
        <v>1.4857142857142858</v>
      </c>
      <c r="AB17" s="696">
        <f>+'1.Informe Seguimiento POA 2022'!O22</f>
        <v>100</v>
      </c>
      <c r="AC17" s="696">
        <f>+'1.Informe Seguimiento POA 2022'!P22</f>
        <v>82</v>
      </c>
      <c r="AD17" s="696">
        <f>+'1.Informe Seguimiento POA 2022'!Q22</f>
        <v>150</v>
      </c>
      <c r="AE17" s="696">
        <f>+'1.Informe Seguimiento POA 2022'!R22</f>
        <v>74</v>
      </c>
      <c r="AF17" s="696">
        <f>+'1.Informe Seguimiento POA 2022'!S22</f>
        <v>150</v>
      </c>
      <c r="AG17" s="696">
        <f>+'1.Informe Seguimiento POA 2022'!T22</f>
        <v>150</v>
      </c>
      <c r="AH17" s="696">
        <f>+'1.Informe Seguimiento POA 2022'!U22</f>
        <v>100</v>
      </c>
      <c r="AI17" s="696">
        <f>+'1.Informe Seguimiento POA 2022'!V22</f>
        <v>0</v>
      </c>
      <c r="AJ17" s="696">
        <f>+'1.Informe Seguimiento POA 2022'!W22</f>
        <v>500</v>
      </c>
      <c r="AK17" s="696">
        <f>+'1.Informe Seguimiento POA 2022'!X22</f>
        <v>306</v>
      </c>
      <c r="AL17" s="781">
        <f>+'1.Informe Seguimiento POA 2022'!Y22</f>
        <v>0.61199999999999999</v>
      </c>
      <c r="AM17" s="1304"/>
      <c r="AN17" s="697"/>
      <c r="AO17" s="697"/>
      <c r="AP17" s="697"/>
      <c r="AQ17" s="697"/>
      <c r="AR17" s="697"/>
      <c r="AS17" s="697"/>
      <c r="AT17" s="697"/>
      <c r="AU17" s="697"/>
      <c r="AV17" s="696">
        <f t="shared" si="0"/>
        <v>800</v>
      </c>
      <c r="AW17" s="696"/>
      <c r="AX17" s="697"/>
      <c r="AY17" s="697"/>
      <c r="AZ17" s="697"/>
      <c r="BA17" s="697"/>
      <c r="BB17" s="697"/>
      <c r="BC17" s="697"/>
      <c r="BD17" s="697"/>
      <c r="BE17" s="697"/>
      <c r="BF17" s="697"/>
      <c r="BG17" s="696">
        <f t="shared" si="1"/>
        <v>300</v>
      </c>
      <c r="BH17" s="696"/>
      <c r="BI17" s="697"/>
      <c r="BJ17" s="791">
        <f t="shared" si="2"/>
        <v>950</v>
      </c>
      <c r="BK17" s="791">
        <f t="shared" si="3"/>
        <v>1196</v>
      </c>
      <c r="BL17" s="697">
        <f t="shared" si="5"/>
        <v>1.2589473684210526</v>
      </c>
      <c r="BM17" s="697">
        <f t="shared" si="6"/>
        <v>0.52</v>
      </c>
      <c r="BN17" s="1114">
        <f t="shared" si="4"/>
        <v>5.2000000000000006E-3</v>
      </c>
      <c r="BO17" s="1219"/>
      <c r="BP17" s="1267"/>
      <c r="BQ17" s="819"/>
      <c r="BR17" s="819"/>
    </row>
    <row r="18" spans="2:70" ht="83.25" customHeight="1">
      <c r="B18" s="1226"/>
      <c r="C18" s="1291"/>
      <c r="D18" s="1333"/>
      <c r="E18" s="1295"/>
      <c r="F18" s="1293"/>
      <c r="G18" s="1293"/>
      <c r="H18" s="51" t="str">
        <f>+'1.Informe Seguimiento POA 2022'!D23</f>
        <v>1.1.11 Establecer de forma periódica, 40 estados de la vulneración de  los derechos humanos en las localidades, dando a conocer a las Entidades correspondientes los hechos observados que requieren su intervención.</v>
      </c>
      <c r="I18" s="147">
        <f>+'1.Informe Seguimiento POA 2022'!E23</f>
        <v>0.01</v>
      </c>
      <c r="J18" s="694">
        <f>+'1.Informe Seguimiento POA 2022'!F23</f>
        <v>40</v>
      </c>
      <c r="K18" s="778" t="str">
        <f>+'1.Informe Seguimiento POA 2022'!I23</f>
        <v>Promoción y Defensa de Derechos</v>
      </c>
      <c r="L18" s="778" t="str">
        <f>+'1.Informe Seguimiento POA 2022'!J23</f>
        <v>P.D. para la Coordinación de la Gestión de Personerías Locales y sus Personerías Locales adscritas</v>
      </c>
      <c r="M18" s="695">
        <f>+'1.Informe Seguimiento POA 2022'!K23</f>
        <v>0</v>
      </c>
      <c r="N18" s="695">
        <f>+'1.Informe Seguimiento POA 2022'!L23</f>
        <v>0</v>
      </c>
      <c r="O18" s="695">
        <f>+'1.Informe Seguimiento POA 2022'!M23</f>
        <v>20</v>
      </c>
      <c r="P18" s="695">
        <f>+'1.Informe Seguimiento POA 2022'!N23</f>
        <v>20</v>
      </c>
      <c r="Q18" s="696">
        <v>0</v>
      </c>
      <c r="R18" s="696">
        <v>0</v>
      </c>
      <c r="S18" s="696">
        <v>0</v>
      </c>
      <c r="T18" s="696">
        <v>0</v>
      </c>
      <c r="U18" s="696">
        <v>0</v>
      </c>
      <c r="V18" s="696">
        <v>0</v>
      </c>
      <c r="W18" s="696">
        <v>0</v>
      </c>
      <c r="X18" s="696">
        <v>0</v>
      </c>
      <c r="Y18" s="696">
        <v>0</v>
      </c>
      <c r="Z18" s="696">
        <v>0</v>
      </c>
      <c r="AA18" s="1072" t="s">
        <v>1163</v>
      </c>
      <c r="AB18" s="696">
        <f>+'1.Informe Seguimiento POA 2022'!O23</f>
        <v>0</v>
      </c>
      <c r="AC18" s="696">
        <f>+'1.Informe Seguimiento POA 2022'!P23</f>
        <v>0</v>
      </c>
      <c r="AD18" s="696">
        <f>+'1.Informe Seguimiento POA 2022'!Q23</f>
        <v>0</v>
      </c>
      <c r="AE18" s="696">
        <f>+'1.Informe Seguimiento POA 2022'!R23</f>
        <v>0</v>
      </c>
      <c r="AF18" s="696">
        <f>+'1.Informe Seguimiento POA 2022'!S23</f>
        <v>0</v>
      </c>
      <c r="AG18" s="696">
        <f>+'1.Informe Seguimiento POA 2022'!T23</f>
        <v>0</v>
      </c>
      <c r="AH18" s="696">
        <f>+'1.Informe Seguimiento POA 2022'!U23</f>
        <v>0</v>
      </c>
      <c r="AI18" s="696">
        <f>+'1.Informe Seguimiento POA 2022'!V23</f>
        <v>0</v>
      </c>
      <c r="AJ18" s="696">
        <f>+'1.Informe Seguimiento POA 2022'!W23</f>
        <v>0</v>
      </c>
      <c r="AK18" s="696">
        <f>+'1.Informe Seguimiento POA 2022'!X23</f>
        <v>0</v>
      </c>
      <c r="AL18" s="781" t="str">
        <f>+'1.Informe Seguimiento POA 2022'!Y23</f>
        <v>No programado</v>
      </c>
      <c r="AM18" s="1304"/>
      <c r="AN18" s="697"/>
      <c r="AO18" s="697"/>
      <c r="AP18" s="697"/>
      <c r="AQ18" s="697"/>
      <c r="AR18" s="697"/>
      <c r="AS18" s="697"/>
      <c r="AT18" s="697"/>
      <c r="AU18" s="697"/>
      <c r="AV18" s="696">
        <f t="shared" si="0"/>
        <v>20</v>
      </c>
      <c r="AW18" s="696"/>
      <c r="AX18" s="697"/>
      <c r="AY18" s="697"/>
      <c r="AZ18" s="697"/>
      <c r="BA18" s="697"/>
      <c r="BB18" s="697"/>
      <c r="BC18" s="697"/>
      <c r="BD18" s="697"/>
      <c r="BE18" s="697"/>
      <c r="BF18" s="697"/>
      <c r="BG18" s="696">
        <f t="shared" si="1"/>
        <v>20</v>
      </c>
      <c r="BH18" s="696"/>
      <c r="BI18" s="698"/>
      <c r="BJ18" s="791">
        <f t="shared" si="2"/>
        <v>0</v>
      </c>
      <c r="BK18" s="791">
        <f t="shared" si="3"/>
        <v>0</v>
      </c>
      <c r="BL18" s="697" t="str">
        <f t="shared" si="5"/>
        <v>No programado</v>
      </c>
      <c r="BM18" s="697">
        <f t="shared" si="6"/>
        <v>0</v>
      </c>
      <c r="BN18" s="1114">
        <f t="shared" si="4"/>
        <v>0</v>
      </c>
      <c r="BO18" s="1219"/>
      <c r="BP18" s="1267"/>
      <c r="BQ18" s="819"/>
      <c r="BR18" s="819"/>
    </row>
    <row r="19" spans="2:70" ht="153.6" customHeight="1">
      <c r="B19" s="1226"/>
      <c r="C19" s="1286"/>
      <c r="D19" s="1334"/>
      <c r="E19" s="1296"/>
      <c r="F19" s="774" t="s">
        <v>1037</v>
      </c>
      <c r="G19" s="774" t="s">
        <v>228</v>
      </c>
      <c r="H19" s="51" t="str">
        <f>+'1.Informe Seguimiento POA 2022'!D19</f>
        <v>1.1.7 Entregar en un termino menor a los cinco (5) días hábiles, mas del 95% de las solicitudes de elaboración de tutelas, desacatos e impugnaciones que realicen las personas en el Distrito Capital.</v>
      </c>
      <c r="I19" s="147">
        <f>+'1.Informe Seguimiento POA 2022'!E19</f>
        <v>0.01</v>
      </c>
      <c r="J19" s="694" t="str">
        <f>+'1.Informe Seguimiento POA 2022'!F19</f>
        <v>&gt;=95%</v>
      </c>
      <c r="K19" s="778" t="str">
        <f>+'1.Informe Seguimiento POA 2022'!I19</f>
        <v>Promoción y Defensa de Derechos</v>
      </c>
      <c r="L19" s="778" t="str">
        <f>+'1.Informe Seguimiento POA 2022'!J19</f>
        <v>P.D. para Asuntos Jurisdiccionales, Víctimas y Penal II.
P.D. para la Coordinación de la Gestión de Personerías Locales y sus Personerías Locales adscritas</v>
      </c>
      <c r="M19" s="695" t="str">
        <f>+'1.Informe Seguimiento POA 2022'!K19</f>
        <v>&gt;=95%</v>
      </c>
      <c r="N19" s="695" t="str">
        <f>+'1.Informe Seguimiento POA 2022'!L19</f>
        <v>&gt;=95%</v>
      </c>
      <c r="O19" s="695" t="str">
        <f>+'1.Informe Seguimiento POA 2022'!M19</f>
        <v>&gt;=95%</v>
      </c>
      <c r="P19" s="695" t="str">
        <f>+'1.Informe Seguimiento POA 2022'!N19</f>
        <v>&gt;=95%</v>
      </c>
      <c r="Q19" s="1073">
        <v>0.94999999999999984</v>
      </c>
      <c r="R19" s="1073">
        <v>0.99199999999999999</v>
      </c>
      <c r="S19" s="1073">
        <v>0.94999999999999984</v>
      </c>
      <c r="T19" s="1073">
        <v>0.99633333333333329</v>
      </c>
      <c r="U19" s="1073">
        <v>0.94999999999999984</v>
      </c>
      <c r="V19" s="1074">
        <v>0.999</v>
      </c>
      <c r="W19" s="1073">
        <v>0.94999999999999984</v>
      </c>
      <c r="X19" s="1073">
        <v>1</v>
      </c>
      <c r="Y19" s="1073">
        <v>0.94999999999999984</v>
      </c>
      <c r="Z19" s="1074">
        <v>0.996</v>
      </c>
      <c r="AA19" s="1072">
        <v>1.0484210526315791</v>
      </c>
      <c r="AB19" s="773">
        <f>+'1.Informe Seguimiento POA 2022'!O19</f>
        <v>0.94999999999999984</v>
      </c>
      <c r="AC19" s="773">
        <f>+'1.Informe Seguimiento POA 2022'!P19</f>
        <v>1</v>
      </c>
      <c r="AD19" s="773">
        <f>+'1.Informe Seguimiento POA 2022'!Q19</f>
        <v>0.94999999999999984</v>
      </c>
      <c r="AE19" s="773">
        <f>+'1.Informe Seguimiento POA 2022'!R19</f>
        <v>1</v>
      </c>
      <c r="AF19" s="773">
        <f>+'1.Informe Seguimiento POA 2022'!S19</f>
        <v>0.94999999999999984</v>
      </c>
      <c r="AG19" s="780">
        <f>+'1.Informe Seguimiento POA 2022'!T19</f>
        <v>0.99933333333333341</v>
      </c>
      <c r="AH19" s="773">
        <f>+'1.Informe Seguimiento POA 2022'!U19</f>
        <v>0.94999999999999984</v>
      </c>
      <c r="AI19" s="773">
        <f>+'1.Informe Seguimiento POA 2022'!V19</f>
        <v>0</v>
      </c>
      <c r="AJ19" s="773">
        <f>+'1.Informe Seguimiento POA 2022'!W19</f>
        <v>0.94999999999999984</v>
      </c>
      <c r="AK19" s="780">
        <f>+'1.Informe Seguimiento POA 2022'!X19</f>
        <v>0.749</v>
      </c>
      <c r="AL19" s="781">
        <f>+'1.Informe Seguimiento POA 2022'!Y19</f>
        <v>0.59131578947368424</v>
      </c>
      <c r="AM19" s="1305"/>
      <c r="AN19" s="697"/>
      <c r="AO19" s="697"/>
      <c r="AP19" s="697"/>
      <c r="AQ19" s="697"/>
      <c r="AR19" s="697"/>
      <c r="AS19" s="697"/>
      <c r="AT19" s="697"/>
      <c r="AU19" s="697"/>
      <c r="AV19" s="696" t="str">
        <f t="shared" si="0"/>
        <v>&gt;=95%</v>
      </c>
      <c r="AW19" s="696"/>
      <c r="AX19" s="697"/>
      <c r="AY19" s="697"/>
      <c r="AZ19" s="697"/>
      <c r="BA19" s="697"/>
      <c r="BB19" s="697"/>
      <c r="BC19" s="697"/>
      <c r="BD19" s="697"/>
      <c r="BE19" s="697"/>
      <c r="BF19" s="697"/>
      <c r="BG19" s="696" t="str">
        <f t="shared" si="1"/>
        <v>&gt;=95%</v>
      </c>
      <c r="BH19" s="696"/>
      <c r="BI19" s="697"/>
      <c r="BJ19" s="697">
        <f>IFERROR(AVERAGE(Q19,S19,U19,W19,AB19,AD19),0)</f>
        <v>0.94999999999999984</v>
      </c>
      <c r="BK19" s="697">
        <f>IFERROR(AVERAGE(R19,T19,V19,X19,AC19,AE19),0)</f>
        <v>0.99788888888888894</v>
      </c>
      <c r="BL19" s="697">
        <f>IF(AND(BJ19&gt;0),BK19/BJ19,"No programado")</f>
        <v>1.0504093567251465</v>
      </c>
      <c r="BM19" s="697">
        <f>((IF(AND(BK19&gt;0,95%&gt;0),BK19/95%,0)/4)*0.5)</f>
        <v>0.13130116959064328</v>
      </c>
      <c r="BN19" s="1114">
        <f t="shared" si="4"/>
        <v>1.3130116959064327E-3</v>
      </c>
      <c r="BO19" s="1313"/>
      <c r="BP19" s="1267"/>
      <c r="BQ19" s="819"/>
      <c r="BR19" s="819"/>
    </row>
    <row r="20" spans="2:70" ht="135.75" customHeight="1">
      <c r="B20" s="1226"/>
      <c r="C20" s="1285"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20" s="1325">
        <f>+'Matriz PEI 2021-2024'!E11</f>
        <v>260709</v>
      </c>
      <c r="E20" s="1294">
        <f>+'Matriz PEI 2021-2024'!D11</f>
        <v>0.2</v>
      </c>
      <c r="F20" s="1285" t="s">
        <v>940</v>
      </c>
      <c r="G20" s="1285" t="s">
        <v>941</v>
      </c>
      <c r="H20" s="51" t="str">
        <f>+'1.Informe Seguimiento POA 2022'!D24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I20" s="777">
        <f>+'1.Informe Seguimiento POA 2022'!E24</f>
        <v>0.75</v>
      </c>
      <c r="J20" s="694">
        <f>+'1.Informe Seguimiento POA 2022'!F24</f>
        <v>205930</v>
      </c>
      <c r="K20" s="778" t="str">
        <f>+'1.Informe Seguimiento POA 2022'!I24</f>
        <v>Promoción y Defensa de Derechos</v>
      </c>
      <c r="L20" s="778" t="str">
        <f>+'1.Informe Seguimiento POA 2022'!J24</f>
        <v>P.D. para la Coordinación del MP y DDHH y sus dependencias adscritas
P.D. para la Coordinación de la Gestión de Personerías Locales y sus Personerías Locales adscritas</v>
      </c>
      <c r="M20" s="695">
        <f>+'1.Informe Seguimiento POA 2022'!K24</f>
        <v>62360</v>
      </c>
      <c r="N20" s="695">
        <f>+'1.Informe Seguimiento POA 2022'!L24</f>
        <v>71570</v>
      </c>
      <c r="O20" s="695">
        <f>+'1.Informe Seguimiento POA 2022'!M24</f>
        <v>53000</v>
      </c>
      <c r="P20" s="695">
        <f>+'1.Informe Seguimiento POA 2022'!N24</f>
        <v>19000</v>
      </c>
      <c r="Q20" s="696">
        <v>5300</v>
      </c>
      <c r="R20" s="696">
        <v>25347</v>
      </c>
      <c r="S20" s="696">
        <v>15930</v>
      </c>
      <c r="T20" s="696">
        <v>25884</v>
      </c>
      <c r="U20" s="696">
        <v>21720</v>
      </c>
      <c r="V20" s="696">
        <v>17775</v>
      </c>
      <c r="W20" s="696">
        <v>19410</v>
      </c>
      <c r="X20" s="696">
        <v>7874</v>
      </c>
      <c r="Y20" s="696">
        <v>62360</v>
      </c>
      <c r="Z20" s="696">
        <v>76880</v>
      </c>
      <c r="AA20" s="1072">
        <v>1.2328415651058371</v>
      </c>
      <c r="AB20" s="696">
        <f>+'1.Informe Seguimiento POA 2022'!O24</f>
        <v>10700</v>
      </c>
      <c r="AC20" s="696">
        <f>+'1.Informe Seguimiento POA 2022'!P24</f>
        <v>16789</v>
      </c>
      <c r="AD20" s="696">
        <f>+'1.Informe Seguimiento POA 2022'!Q24</f>
        <v>21400</v>
      </c>
      <c r="AE20" s="696">
        <f>+'1.Informe Seguimiento POA 2022'!R24</f>
        <v>27872</v>
      </c>
      <c r="AF20" s="696">
        <f>+'1.Informe Seguimiento POA 2022'!S24</f>
        <v>23550</v>
      </c>
      <c r="AG20" s="696">
        <f>+'1.Informe Seguimiento POA 2022'!T24</f>
        <v>22710</v>
      </c>
      <c r="AH20" s="696">
        <f>+'1.Informe Seguimiento POA 2022'!U24</f>
        <v>15920</v>
      </c>
      <c r="AI20" s="696">
        <f>+'1.Informe Seguimiento POA 2022'!V24</f>
        <v>0</v>
      </c>
      <c r="AJ20" s="696">
        <f>+'1.Informe Seguimiento POA 2022'!W24</f>
        <v>71570</v>
      </c>
      <c r="AK20" s="696">
        <f>+'1.Informe Seguimiento POA 2022'!X24</f>
        <v>67371</v>
      </c>
      <c r="AL20" s="781">
        <f>+'1.Informe Seguimiento POA 2022'!Y24</f>
        <v>0.94133016627078381</v>
      </c>
      <c r="AM20" s="1303">
        <f>'1.Informe Seguimiento POA 2022'!AB24</f>
        <v>0.32123222092222897</v>
      </c>
      <c r="AN20" s="697"/>
      <c r="AO20" s="697"/>
      <c r="AP20" s="697"/>
      <c r="AQ20" s="697"/>
      <c r="AR20" s="697"/>
      <c r="AS20" s="697"/>
      <c r="AT20" s="697"/>
      <c r="AU20" s="697"/>
      <c r="AV20" s="696">
        <f t="shared" si="0"/>
        <v>53000</v>
      </c>
      <c r="AW20" s="696"/>
      <c r="AX20" s="697"/>
      <c r="AY20" s="697"/>
      <c r="AZ20" s="697"/>
      <c r="BA20" s="697"/>
      <c r="BB20" s="697"/>
      <c r="BC20" s="697"/>
      <c r="BD20" s="697"/>
      <c r="BE20" s="697"/>
      <c r="BF20" s="697"/>
      <c r="BG20" s="696">
        <f t="shared" si="1"/>
        <v>19000</v>
      </c>
      <c r="BH20" s="696"/>
      <c r="BI20" s="697"/>
      <c r="BJ20" s="791">
        <f t="shared" ref="BJ20:BJ28" si="7">+Q20+S20+U20+W20+AB20+AD20</f>
        <v>94460</v>
      </c>
      <c r="BK20" s="791">
        <f t="shared" ref="BK20:BK28" si="8">+R20+T20+V20+X20+AC20+AE20</f>
        <v>121541</v>
      </c>
      <c r="BL20" s="697">
        <f t="shared" si="5"/>
        <v>1.2866927800127037</v>
      </c>
      <c r="BM20" s="697">
        <f t="shared" si="6"/>
        <v>0.59020540960520562</v>
      </c>
      <c r="BN20" s="1114">
        <f t="shared" si="4"/>
        <v>0.44265405720390422</v>
      </c>
      <c r="BO20" s="1323">
        <f>+BN20+BN21+BN22+BN23+BN24+BN25</f>
        <v>0.57425484057499543</v>
      </c>
      <c r="BP20" s="1267"/>
      <c r="BQ20" s="820"/>
      <c r="BR20" s="820"/>
    </row>
    <row r="21" spans="2:70" ht="106.15" customHeight="1">
      <c r="B21" s="1226"/>
      <c r="C21" s="1291"/>
      <c r="D21" s="1326"/>
      <c r="E21" s="1295"/>
      <c r="F21" s="1291"/>
      <c r="G21" s="1291"/>
      <c r="H21" s="51" t="str">
        <f>+'1.Informe Seguimiento POA 2022'!D25</f>
        <v>1.2.2 Adelantar 23.910 acciones necesarias en favor de la población víctima del conflicto armado interno mediante el apoyo jurídico, la atención psicosocial, la gestión para acceso a derechos, la toma de declaraciones y la elaboración de derechos de petición.</v>
      </c>
      <c r="I21" s="777">
        <f>+'1.Informe Seguimiento POA 2022'!E25</f>
        <v>0.12</v>
      </c>
      <c r="J21" s="694">
        <f>+'1.Informe Seguimiento POA 2022'!F25</f>
        <v>23910</v>
      </c>
      <c r="K21" s="778" t="str">
        <f>+'1.Informe Seguimiento POA 2022'!I25</f>
        <v>Promoción y Defensa de Derechos</v>
      </c>
      <c r="L21" s="778" t="str">
        <f>+'1.Informe Seguimiento POA 2022'!J25</f>
        <v>P.D. para la Protección de las Víctimas del Conflicto Armado Interno
P.D. para la Coordinación de la Gestión de Personerías Locales y sus Personerías Locales adscritas</v>
      </c>
      <c r="M21" s="695">
        <f>+'1.Informe Seguimiento POA 2022'!K25</f>
        <v>5480</v>
      </c>
      <c r="N21" s="695">
        <f>+'1.Informe Seguimiento POA 2022'!L25</f>
        <v>5480</v>
      </c>
      <c r="O21" s="695">
        <f>+'1.Informe Seguimiento POA 2022'!M25</f>
        <v>8650</v>
      </c>
      <c r="P21" s="695">
        <f>+'1.Informe Seguimiento POA 2022'!N25</f>
        <v>4300</v>
      </c>
      <c r="Q21" s="696">
        <v>1404</v>
      </c>
      <c r="R21" s="696">
        <v>1308</v>
      </c>
      <c r="S21" s="696">
        <v>1944</v>
      </c>
      <c r="T21" s="696">
        <v>1590</v>
      </c>
      <c r="U21" s="696">
        <v>684</v>
      </c>
      <c r="V21" s="696">
        <v>2806</v>
      </c>
      <c r="W21" s="696">
        <v>1448</v>
      </c>
      <c r="X21" s="696">
        <v>2904</v>
      </c>
      <c r="Y21" s="696">
        <v>5480</v>
      </c>
      <c r="Z21" s="696">
        <v>8608</v>
      </c>
      <c r="AA21" s="1072">
        <v>1.5708029197080291</v>
      </c>
      <c r="AB21" s="696">
        <f>+'1.Informe Seguimiento POA 2022'!O25</f>
        <v>920</v>
      </c>
      <c r="AC21" s="696">
        <f>+'1.Informe Seguimiento POA 2022'!P25</f>
        <v>2701</v>
      </c>
      <c r="AD21" s="696">
        <f>+'1.Informe Seguimiento POA 2022'!Q25</f>
        <v>1760</v>
      </c>
      <c r="AE21" s="696">
        <f>+'1.Informe Seguimiento POA 2022'!R25</f>
        <v>2810</v>
      </c>
      <c r="AF21" s="696">
        <f>+'1.Informe Seguimiento POA 2022'!S25</f>
        <v>1680</v>
      </c>
      <c r="AG21" s="696">
        <f>+'1.Informe Seguimiento POA 2022'!T25</f>
        <v>2279</v>
      </c>
      <c r="AH21" s="696">
        <f>+'1.Informe Seguimiento POA 2022'!U25</f>
        <v>1120</v>
      </c>
      <c r="AI21" s="696">
        <f>+'1.Informe Seguimiento POA 2022'!V25</f>
        <v>0</v>
      </c>
      <c r="AJ21" s="696">
        <f>+'1.Informe Seguimiento POA 2022'!W25</f>
        <v>5480</v>
      </c>
      <c r="AK21" s="696">
        <f>+'1.Informe Seguimiento POA 2022'!X25</f>
        <v>7790</v>
      </c>
      <c r="AL21" s="781">
        <f>+'1.Informe Seguimiento POA 2022'!Y25</f>
        <v>1.4215328467153285</v>
      </c>
      <c r="AM21" s="1304"/>
      <c r="AN21" s="697"/>
      <c r="AO21" s="697"/>
      <c r="AP21" s="697"/>
      <c r="AQ21" s="697"/>
      <c r="AR21" s="697"/>
      <c r="AS21" s="697"/>
      <c r="AT21" s="697"/>
      <c r="AU21" s="697"/>
      <c r="AV21" s="696">
        <f t="shared" si="0"/>
        <v>8650</v>
      </c>
      <c r="AW21" s="696"/>
      <c r="AX21" s="697"/>
      <c r="AY21" s="697"/>
      <c r="AZ21" s="697"/>
      <c r="BA21" s="697"/>
      <c r="BB21" s="697"/>
      <c r="BC21" s="697"/>
      <c r="BD21" s="697"/>
      <c r="BE21" s="697"/>
      <c r="BF21" s="697"/>
      <c r="BG21" s="696">
        <f t="shared" si="1"/>
        <v>4300</v>
      </c>
      <c r="BH21" s="696"/>
      <c r="BI21" s="697"/>
      <c r="BJ21" s="791">
        <f t="shared" si="7"/>
        <v>8160</v>
      </c>
      <c r="BK21" s="791">
        <f t="shared" si="8"/>
        <v>14119</v>
      </c>
      <c r="BL21" s="697">
        <f t="shared" si="5"/>
        <v>1.7302696078431372</v>
      </c>
      <c r="BM21" s="697">
        <f t="shared" si="6"/>
        <v>0.59050606440819742</v>
      </c>
      <c r="BN21" s="1114">
        <f t="shared" si="4"/>
        <v>7.0860727728983691E-2</v>
      </c>
      <c r="BO21" s="1324"/>
      <c r="BP21" s="1267"/>
      <c r="BQ21" s="820"/>
      <c r="BR21" s="820"/>
    </row>
    <row r="22" spans="2:70" ht="75">
      <c r="B22" s="1226"/>
      <c r="C22" s="1291"/>
      <c r="D22" s="1326"/>
      <c r="E22" s="1295"/>
      <c r="F22" s="1291"/>
      <c r="G22" s="1291"/>
      <c r="H22" s="51" t="str">
        <f>+'1.Informe Seguimiento POA 2022'!D26</f>
        <v>1.2.3 Prevenir mediante la elaboración de 18.880 acciones constitucionales, la vulneración de derechos  con énfasis en sujetos de especial protección constitucional.</v>
      </c>
      <c r="I22" s="777">
        <f>+'1.Informe Seguimiento POA 2022'!E26</f>
        <v>0.09</v>
      </c>
      <c r="J22" s="694">
        <f>+'1.Informe Seguimiento POA 2022'!F26</f>
        <v>18880</v>
      </c>
      <c r="K22" s="778" t="str">
        <f>+'1.Informe Seguimiento POA 2022'!I26</f>
        <v>Promoción y Defensa de Derechos</v>
      </c>
      <c r="L22" s="778" t="str">
        <f>+'1.Informe Seguimiento POA 2022'!J26</f>
        <v>P.D. para Asuntos Jurisdiccionales, Víctimas, Penal II y Consumidor.
P.D. para la Coordinación de la Gestión de Personerías Locales y sus Personerías Locales adscritas</v>
      </c>
      <c r="M22" s="695">
        <f>+'1.Informe Seguimiento POA 2022'!K26</f>
        <v>4790</v>
      </c>
      <c r="N22" s="695">
        <f>+'1.Informe Seguimiento POA 2022'!L26</f>
        <v>4790</v>
      </c>
      <c r="O22" s="695">
        <f>+'1.Informe Seguimiento POA 2022'!M26</f>
        <v>6300</v>
      </c>
      <c r="P22" s="695">
        <f>+'1.Informe Seguimiento POA 2022'!N26</f>
        <v>3000</v>
      </c>
      <c r="Q22" s="696">
        <v>1350</v>
      </c>
      <c r="R22" s="696">
        <v>1189</v>
      </c>
      <c r="S22" s="696">
        <v>1650</v>
      </c>
      <c r="T22" s="696">
        <v>1167</v>
      </c>
      <c r="U22" s="696">
        <v>1070</v>
      </c>
      <c r="V22" s="696">
        <v>1356</v>
      </c>
      <c r="W22" s="696">
        <v>720</v>
      </c>
      <c r="X22" s="696">
        <v>1750</v>
      </c>
      <c r="Y22" s="696">
        <v>4790</v>
      </c>
      <c r="Z22" s="696">
        <v>5462</v>
      </c>
      <c r="AA22" s="1072">
        <v>1.1402922755741127</v>
      </c>
      <c r="AB22" s="696">
        <f>+'1.Informe Seguimiento POA 2022'!O26</f>
        <v>1311</v>
      </c>
      <c r="AC22" s="696">
        <f>+'1.Informe Seguimiento POA 2022'!P26</f>
        <v>1473</v>
      </c>
      <c r="AD22" s="696">
        <f>+'1.Informe Seguimiento POA 2022'!Q26</f>
        <v>1674</v>
      </c>
      <c r="AE22" s="696">
        <f>+'1.Informe Seguimiento POA 2022'!R26</f>
        <v>1824</v>
      </c>
      <c r="AF22" s="696">
        <f>+'1.Informe Seguimiento POA 2022'!S26</f>
        <v>1107</v>
      </c>
      <c r="AG22" s="696">
        <f>+'1.Informe Seguimiento POA 2022'!T26</f>
        <v>2201</v>
      </c>
      <c r="AH22" s="696">
        <f>+'1.Informe Seguimiento POA 2022'!U26</f>
        <v>698</v>
      </c>
      <c r="AI22" s="696">
        <f>+'1.Informe Seguimiento POA 2022'!V26</f>
        <v>0</v>
      </c>
      <c r="AJ22" s="696">
        <f>+'1.Informe Seguimiento POA 2022'!W26</f>
        <v>4790</v>
      </c>
      <c r="AK22" s="696">
        <f>+'1.Informe Seguimiento POA 2022'!X26</f>
        <v>5498</v>
      </c>
      <c r="AL22" s="781">
        <f>+'1.Informe Seguimiento POA 2022'!Y26</f>
        <v>1.1478079331941544</v>
      </c>
      <c r="AM22" s="1304"/>
      <c r="AN22" s="697"/>
      <c r="AO22" s="697"/>
      <c r="AP22" s="697"/>
      <c r="AQ22" s="697"/>
      <c r="AR22" s="697"/>
      <c r="AS22" s="697"/>
      <c r="AT22" s="697"/>
      <c r="AU22" s="697"/>
      <c r="AV22" s="696">
        <f t="shared" si="0"/>
        <v>6300</v>
      </c>
      <c r="AW22" s="696"/>
      <c r="AX22" s="697"/>
      <c r="AY22" s="697"/>
      <c r="AZ22" s="697"/>
      <c r="BA22" s="697"/>
      <c r="BB22" s="697"/>
      <c r="BC22" s="697"/>
      <c r="BD22" s="697"/>
      <c r="BE22" s="697"/>
      <c r="BF22" s="697"/>
      <c r="BG22" s="696">
        <f t="shared" si="1"/>
        <v>3000</v>
      </c>
      <c r="BH22" s="696"/>
      <c r="BI22" s="697"/>
      <c r="BJ22" s="791">
        <f t="shared" si="7"/>
        <v>7775</v>
      </c>
      <c r="BK22" s="791">
        <f t="shared" si="8"/>
        <v>8759</v>
      </c>
      <c r="BL22" s="697">
        <f>IF(AND(BJ22&gt;0),BK22/BJ22,"No programado")</f>
        <v>1.1265594855305465</v>
      </c>
      <c r="BM22" s="697">
        <f t="shared" si="6"/>
        <v>0.46393008474576269</v>
      </c>
      <c r="BN22" s="1114">
        <f t="shared" si="4"/>
        <v>4.1753707627118643E-2</v>
      </c>
      <c r="BO22" s="1324"/>
      <c r="BP22" s="1267"/>
      <c r="BQ22" s="820"/>
      <c r="BR22" s="820"/>
    </row>
    <row r="23" spans="2:70" ht="85.15" customHeight="1">
      <c r="B23" s="1226"/>
      <c r="C23" s="1291"/>
      <c r="D23" s="1326"/>
      <c r="E23" s="1295"/>
      <c r="F23" s="1291"/>
      <c r="G23" s="1291"/>
      <c r="H23" s="51" t="str">
        <f>+'1.Informe Seguimiento POA 2022'!D27</f>
        <v>1.2.4 Fortalecer el ejercicio del ministerio público ante las comisarías de familia, verificando el cumplimiento a 3.540 medidas de protección que se imponen.</v>
      </c>
      <c r="I23" s="777">
        <f>+'1.Informe Seguimiento POA 2022'!E27</f>
        <v>0.02</v>
      </c>
      <c r="J23" s="694">
        <f>+'1.Informe Seguimiento POA 2022'!F27</f>
        <v>3540</v>
      </c>
      <c r="K23" s="778" t="str">
        <f>+'1.Informe Seguimiento POA 2022'!I27</f>
        <v>Promoción y Defensa de Derechos</v>
      </c>
      <c r="L23" s="778" t="str">
        <f>+'1.Informe Seguimiento POA 2022'!J27</f>
        <v>P.D. para la Familia y Sujetos de Especial Protección Constitucional</v>
      </c>
      <c r="M23" s="695">
        <f>+'1.Informe Seguimiento POA 2022'!K27</f>
        <v>940</v>
      </c>
      <c r="N23" s="695">
        <f>+'1.Informe Seguimiento POA 2022'!L27</f>
        <v>800</v>
      </c>
      <c r="O23" s="695">
        <f>+'1.Informe Seguimiento POA 2022'!M27</f>
        <v>1200</v>
      </c>
      <c r="P23" s="695">
        <f>+'1.Informe Seguimiento POA 2022'!N27</f>
        <v>600</v>
      </c>
      <c r="Q23" s="696">
        <v>100</v>
      </c>
      <c r="R23" s="696">
        <v>264</v>
      </c>
      <c r="S23" s="696">
        <v>390</v>
      </c>
      <c r="T23" s="696">
        <v>224</v>
      </c>
      <c r="U23" s="696">
        <v>290</v>
      </c>
      <c r="V23" s="696">
        <v>244</v>
      </c>
      <c r="W23" s="696">
        <v>160</v>
      </c>
      <c r="X23" s="696">
        <v>177</v>
      </c>
      <c r="Y23" s="696">
        <v>940</v>
      </c>
      <c r="Z23" s="696">
        <v>909</v>
      </c>
      <c r="AA23" s="1072">
        <v>0.96702127659574466</v>
      </c>
      <c r="AB23" s="696">
        <f>+'1.Informe Seguimiento POA 2022'!O27</f>
        <v>140</v>
      </c>
      <c r="AC23" s="696">
        <f>+'1.Informe Seguimiento POA 2022'!P27</f>
        <v>53</v>
      </c>
      <c r="AD23" s="696">
        <f>+'1.Informe Seguimiento POA 2022'!Q27</f>
        <v>270</v>
      </c>
      <c r="AE23" s="696">
        <f>+'1.Informe Seguimiento POA 2022'!R27</f>
        <v>144</v>
      </c>
      <c r="AF23" s="696">
        <f>+'1.Informe Seguimiento POA 2022'!S27</f>
        <v>240</v>
      </c>
      <c r="AG23" s="696">
        <f>+'1.Informe Seguimiento POA 2022'!T27</f>
        <v>485</v>
      </c>
      <c r="AH23" s="696">
        <f>+'1.Informe Seguimiento POA 2022'!U27</f>
        <v>150</v>
      </c>
      <c r="AI23" s="696">
        <f>+'1.Informe Seguimiento POA 2022'!V27</f>
        <v>0</v>
      </c>
      <c r="AJ23" s="696">
        <f>+'1.Informe Seguimiento POA 2022'!W27</f>
        <v>800</v>
      </c>
      <c r="AK23" s="696">
        <f>+'1.Informe Seguimiento POA 2022'!X27</f>
        <v>682</v>
      </c>
      <c r="AL23" s="781">
        <f>+'1.Informe Seguimiento POA 2022'!Y27</f>
        <v>0.85250000000000004</v>
      </c>
      <c r="AM23" s="1304"/>
      <c r="AN23" s="697"/>
      <c r="AO23" s="697"/>
      <c r="AP23" s="697"/>
      <c r="AQ23" s="697"/>
      <c r="AR23" s="697"/>
      <c r="AS23" s="697"/>
      <c r="AT23" s="697"/>
      <c r="AU23" s="697"/>
      <c r="AV23" s="696">
        <f t="shared" si="0"/>
        <v>1200</v>
      </c>
      <c r="AW23" s="696"/>
      <c r="AX23" s="697"/>
      <c r="AY23" s="697"/>
      <c r="AZ23" s="697"/>
      <c r="BA23" s="697"/>
      <c r="BB23" s="697"/>
      <c r="BC23" s="697"/>
      <c r="BD23" s="697"/>
      <c r="BE23" s="697"/>
      <c r="BF23" s="697"/>
      <c r="BG23" s="696">
        <f t="shared" si="1"/>
        <v>600</v>
      </c>
      <c r="BH23" s="696"/>
      <c r="BI23" s="697"/>
      <c r="BJ23" s="791">
        <f t="shared" si="7"/>
        <v>1350</v>
      </c>
      <c r="BK23" s="791">
        <f t="shared" si="8"/>
        <v>1106</v>
      </c>
      <c r="BL23" s="697">
        <f t="shared" si="5"/>
        <v>0.81925925925925924</v>
      </c>
      <c r="BM23" s="697">
        <f t="shared" si="6"/>
        <v>0.31242937853107344</v>
      </c>
      <c r="BN23" s="1114">
        <f t="shared" si="4"/>
        <v>6.2485875706214692E-3</v>
      </c>
      <c r="BO23" s="1324"/>
      <c r="BP23" s="1267"/>
      <c r="BQ23" s="820"/>
      <c r="BR23" s="820"/>
    </row>
    <row r="24" spans="2:70" ht="120" customHeight="1">
      <c r="B24" s="1226"/>
      <c r="C24" s="1291"/>
      <c r="D24" s="1326"/>
      <c r="E24" s="1295"/>
      <c r="F24" s="1291"/>
      <c r="G24" s="1291"/>
      <c r="H24" s="51" t="str">
        <f>+'1.Informe Seguimiento POA 2022'!D28</f>
        <v>1.2.5 Participar en 7.711 comités, mesas y consejos interinstitucionales en garantía de derechos, con énfasis en temas relacionados con sujetos de especial protección constitucional, en particular, persona mayor, mujer y población migrante.</v>
      </c>
      <c r="I24" s="777">
        <f>+'1.Informe Seguimiento POA 2022'!E28</f>
        <v>0.01</v>
      </c>
      <c r="J24" s="694">
        <f>+'1.Informe Seguimiento POA 2022'!F28</f>
        <v>7711</v>
      </c>
      <c r="K24" s="778" t="str">
        <f>+'1.Informe Seguimiento POA 2022'!I28</f>
        <v>Promoción y Defensa de Derechos</v>
      </c>
      <c r="L24" s="778" t="str">
        <f>+'1.Informe Seguimiento POA 2022'!J28</f>
        <v>P.D. para la Coordinación del MP y DDHH, P.D. para Asuntos Penales I, Penales II, Derechos Humanos, Familia, Víctimas, Asuntos Jurisdiccionales y Consumidor.
 P.D. para la Coordinación de la Gestión de Personerías Locales y sus Personerías Locales adscritas</v>
      </c>
      <c r="M24" s="695">
        <f>+'1.Informe Seguimiento POA 2022'!K28</f>
        <v>2802</v>
      </c>
      <c r="N24" s="695">
        <f>+'1.Informe Seguimiento POA 2022'!L28</f>
        <v>2771</v>
      </c>
      <c r="O24" s="695">
        <f>+'1.Informe Seguimiento POA 2022'!M28</f>
        <v>1092</v>
      </c>
      <c r="P24" s="695">
        <f>+'1.Informe Seguimiento POA 2022'!N28</f>
        <v>1046</v>
      </c>
      <c r="Q24" s="696">
        <v>196</v>
      </c>
      <c r="R24" s="696">
        <v>642</v>
      </c>
      <c r="S24" s="696">
        <v>327</v>
      </c>
      <c r="T24" s="696">
        <v>722</v>
      </c>
      <c r="U24" s="696">
        <v>451</v>
      </c>
      <c r="V24" s="696">
        <v>856</v>
      </c>
      <c r="W24" s="696">
        <v>1828</v>
      </c>
      <c r="X24" s="696">
        <v>933</v>
      </c>
      <c r="Y24" s="696">
        <v>2802</v>
      </c>
      <c r="Z24" s="696">
        <v>3153</v>
      </c>
      <c r="AA24" s="1072">
        <v>1.1252676659528908</v>
      </c>
      <c r="AB24" s="696">
        <f>+'1.Informe Seguimiento POA 2022'!O28</f>
        <v>678</v>
      </c>
      <c r="AC24" s="696">
        <f>+'1.Informe Seguimiento POA 2022'!P28</f>
        <v>602</v>
      </c>
      <c r="AD24" s="696">
        <f>+'1.Informe Seguimiento POA 2022'!Q28</f>
        <v>702</v>
      </c>
      <c r="AE24" s="696">
        <f>+'1.Informe Seguimiento POA 2022'!R28</f>
        <v>847</v>
      </c>
      <c r="AF24" s="696">
        <f>+'1.Informe Seguimiento POA 2022'!S28</f>
        <v>703</v>
      </c>
      <c r="AG24" s="696">
        <f>+'1.Informe Seguimiento POA 2022'!T28</f>
        <v>810</v>
      </c>
      <c r="AH24" s="696">
        <f>+'1.Informe Seguimiento POA 2022'!U28</f>
        <v>688</v>
      </c>
      <c r="AI24" s="696">
        <f>+'1.Informe Seguimiento POA 2022'!V28</f>
        <v>0</v>
      </c>
      <c r="AJ24" s="696">
        <f>+'1.Informe Seguimiento POA 2022'!W28</f>
        <v>2771</v>
      </c>
      <c r="AK24" s="696">
        <f>+'1.Informe Seguimiento POA 2022'!X28</f>
        <v>2259</v>
      </c>
      <c r="AL24" s="781">
        <f>+'1.Informe Seguimiento POA 2022'!Y28</f>
        <v>0.81522915914832195</v>
      </c>
      <c r="AM24" s="1304"/>
      <c r="AN24" s="697"/>
      <c r="AO24" s="697"/>
      <c r="AP24" s="697"/>
      <c r="AQ24" s="697"/>
      <c r="AR24" s="697"/>
      <c r="AS24" s="697"/>
      <c r="AT24" s="697"/>
      <c r="AU24" s="697"/>
      <c r="AV24" s="696">
        <f t="shared" si="0"/>
        <v>1092</v>
      </c>
      <c r="AW24" s="696"/>
      <c r="AX24" s="697"/>
      <c r="AY24" s="697"/>
      <c r="AZ24" s="697"/>
      <c r="BA24" s="697"/>
      <c r="BB24" s="697"/>
      <c r="BC24" s="697"/>
      <c r="BD24" s="697"/>
      <c r="BE24" s="697"/>
      <c r="BF24" s="697"/>
      <c r="BG24" s="696">
        <f t="shared" si="1"/>
        <v>1046</v>
      </c>
      <c r="BH24" s="696"/>
      <c r="BI24" s="697"/>
      <c r="BJ24" s="791">
        <f t="shared" si="7"/>
        <v>4182</v>
      </c>
      <c r="BK24" s="791">
        <f t="shared" si="8"/>
        <v>4602</v>
      </c>
      <c r="BL24" s="697">
        <f t="shared" si="5"/>
        <v>1.1004304160688665</v>
      </c>
      <c r="BM24" s="697">
        <f t="shared" si="6"/>
        <v>0.59680975230190636</v>
      </c>
      <c r="BN24" s="1114">
        <f t="shared" si="4"/>
        <v>5.9680975230190642E-3</v>
      </c>
      <c r="BO24" s="1324"/>
      <c r="BP24" s="1267"/>
      <c r="BQ24" s="820"/>
      <c r="BR24" s="820"/>
    </row>
    <row r="25" spans="2:70" ht="105">
      <c r="B25" s="1226"/>
      <c r="C25" s="1286"/>
      <c r="D25" s="1327"/>
      <c r="E25" s="1296"/>
      <c r="F25" s="1286"/>
      <c r="G25" s="1286"/>
      <c r="H25" s="51" t="str">
        <f>+'1.Informe Seguimiento POA 2022'!D29</f>
        <v>1.2.6 Realizar 738 seguimientos a la amenaza y vulneración de los derechos, con énfasis en sujetos de especial protección constitucional, en particular, persona mayor, mujer y población migrante</v>
      </c>
      <c r="I25" s="777">
        <f>+'1.Informe Seguimiento POA 2022'!E29</f>
        <v>0.01</v>
      </c>
      <c r="J25" s="694">
        <f>+'1.Informe Seguimiento POA 2022'!F29</f>
        <v>712</v>
      </c>
      <c r="K25" s="778" t="str">
        <f>+'1.Informe Seguimiento POA 2022'!I29</f>
        <v>Promoción y Defensa de Derechos</v>
      </c>
      <c r="L25" s="778" t="str">
        <f>+'1.Informe Seguimiento POA 2022'!J29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M25" s="695">
        <f>+'1.Informe Seguimiento POA 2022'!K29</f>
        <v>228</v>
      </c>
      <c r="N25" s="695">
        <f>+'1.Informe Seguimiento POA 2022'!L29</f>
        <v>208</v>
      </c>
      <c r="O25" s="695">
        <f>+'1.Informe Seguimiento POA 2022'!M29</f>
        <v>182</v>
      </c>
      <c r="P25" s="695">
        <f>+'1.Informe Seguimiento POA 2022'!N29</f>
        <v>120</v>
      </c>
      <c r="Q25" s="696">
        <v>41</v>
      </c>
      <c r="R25" s="696">
        <v>64</v>
      </c>
      <c r="S25" s="696">
        <v>51</v>
      </c>
      <c r="T25" s="696">
        <v>88</v>
      </c>
      <c r="U25" s="696">
        <v>72</v>
      </c>
      <c r="V25" s="696">
        <v>87</v>
      </c>
      <c r="W25" s="696">
        <v>64</v>
      </c>
      <c r="X25" s="696">
        <v>61</v>
      </c>
      <c r="Y25" s="696">
        <v>228</v>
      </c>
      <c r="Z25" s="696">
        <v>300</v>
      </c>
      <c r="AA25" s="1072">
        <v>1.3157894736842106</v>
      </c>
      <c r="AB25" s="696">
        <f>+'1.Informe Seguimiento POA 2022'!O29</f>
        <v>45</v>
      </c>
      <c r="AC25" s="696">
        <f>+'1.Informe Seguimiento POA 2022'!P29</f>
        <v>88</v>
      </c>
      <c r="AD25" s="696">
        <f>+'1.Informe Seguimiento POA 2022'!Q29</f>
        <v>64</v>
      </c>
      <c r="AE25" s="696">
        <f>+'1.Informe Seguimiento POA 2022'!R29</f>
        <v>94</v>
      </c>
      <c r="AF25" s="696">
        <f>+'1.Informe Seguimiento POA 2022'!S29</f>
        <v>57</v>
      </c>
      <c r="AG25" s="696">
        <f>+'1.Informe Seguimiento POA 2022'!T29</f>
        <v>87</v>
      </c>
      <c r="AH25" s="696">
        <f>+'1.Informe Seguimiento POA 2022'!U29</f>
        <v>42</v>
      </c>
      <c r="AI25" s="696">
        <f>+'1.Informe Seguimiento POA 2022'!V29</f>
        <v>0</v>
      </c>
      <c r="AJ25" s="696">
        <f>+'1.Informe Seguimiento POA 2022'!W29</f>
        <v>208</v>
      </c>
      <c r="AK25" s="696">
        <f>+'1.Informe Seguimiento POA 2022'!X29</f>
        <v>269</v>
      </c>
      <c r="AL25" s="781">
        <f>+'1.Informe Seguimiento POA 2022'!Y29</f>
        <v>1.2932692307692308</v>
      </c>
      <c r="AM25" s="1305"/>
      <c r="AN25" s="697"/>
      <c r="AO25" s="697"/>
      <c r="AP25" s="697"/>
      <c r="AQ25" s="697"/>
      <c r="AR25" s="697"/>
      <c r="AS25" s="697"/>
      <c r="AT25" s="697"/>
      <c r="AU25" s="697"/>
      <c r="AV25" s="696">
        <f t="shared" si="0"/>
        <v>182</v>
      </c>
      <c r="AW25" s="696"/>
      <c r="AX25" s="697"/>
      <c r="AY25" s="697"/>
      <c r="AZ25" s="697"/>
      <c r="BA25" s="697"/>
      <c r="BB25" s="697"/>
      <c r="BC25" s="697"/>
      <c r="BD25" s="697"/>
      <c r="BE25" s="697"/>
      <c r="BF25" s="697"/>
      <c r="BG25" s="696">
        <f t="shared" si="1"/>
        <v>120</v>
      </c>
      <c r="BH25" s="696"/>
      <c r="BI25" s="697"/>
      <c r="BJ25" s="791">
        <f t="shared" si="7"/>
        <v>337</v>
      </c>
      <c r="BK25" s="791">
        <f t="shared" si="8"/>
        <v>482</v>
      </c>
      <c r="BL25" s="697">
        <f t="shared" si="5"/>
        <v>1.4302670623145401</v>
      </c>
      <c r="BM25" s="697">
        <f t="shared" si="6"/>
        <v>0.6769662921348315</v>
      </c>
      <c r="BN25" s="1114">
        <f t="shared" si="4"/>
        <v>6.7696629213483154E-3</v>
      </c>
      <c r="BO25" s="1408"/>
      <c r="BP25" s="1267"/>
      <c r="BQ25" s="820"/>
      <c r="BR25" s="820"/>
    </row>
    <row r="26" spans="2:70" ht="90" customHeight="1">
      <c r="B26" s="1226"/>
      <c r="C26" s="1285" t="str">
        <f>+'Matriz PEI 2021-2024'!C12</f>
        <v>1.3. Construir e Implementar 35 estrategias que permitan incrementar la oferta y cobertura de los servicios prestados por la Entidad.</v>
      </c>
      <c r="D26" s="1331">
        <f>+'Matriz PEI 2021-2024'!E12</f>
        <v>35</v>
      </c>
      <c r="E26" s="1294">
        <f>+'Matriz PEI 2021-2024'!D12</f>
        <v>0.1</v>
      </c>
      <c r="F26" s="1285" t="s">
        <v>942</v>
      </c>
      <c r="G26" s="1285" t="s">
        <v>943</v>
      </c>
      <c r="H26" s="51" t="str">
        <f>+'1.Informe Seguimiento POA 2022'!D30</f>
        <v>1.3.1 Realizar 20 actividades que permitan el acercamiento de la Entidad a la Comunidad.</v>
      </c>
      <c r="I26" s="777">
        <f>+'1.Informe Seguimiento POA 2022'!E30</f>
        <v>0.56000000000000005</v>
      </c>
      <c r="J26" s="694">
        <f>+'1.Informe Seguimiento POA 2022'!F30</f>
        <v>20</v>
      </c>
      <c r="K26" s="778" t="str">
        <f>+'1.Informe Seguimiento POA 2022'!I30</f>
        <v>Promoción y Defensa de Derechos</v>
      </c>
      <c r="L26" s="778" t="str">
        <f>+'1.Informe Seguimiento POA 2022'!J30</f>
        <v>P.D. para la Coordinación del MP y DDHH y sus dependencias adscritas
 P.D. para la Coordinación de la Gestión de Personerías Locales y sus Personerías Locales adscritas</v>
      </c>
      <c r="M26" s="695">
        <f>+'1.Informe Seguimiento POA 2022'!K30</f>
        <v>2</v>
      </c>
      <c r="N26" s="695">
        <f>+'1.Informe Seguimiento POA 2022'!L30</f>
        <v>8</v>
      </c>
      <c r="O26" s="695">
        <f>+'1.Informe Seguimiento POA 2022'!M30</f>
        <v>8</v>
      </c>
      <c r="P26" s="695">
        <f>+'1.Informe Seguimiento POA 2022'!N30</f>
        <v>2</v>
      </c>
      <c r="Q26" s="696">
        <v>0</v>
      </c>
      <c r="R26" s="696">
        <v>0</v>
      </c>
      <c r="S26" s="696">
        <v>0</v>
      </c>
      <c r="T26" s="696">
        <v>0.1</v>
      </c>
      <c r="U26" s="696">
        <v>2</v>
      </c>
      <c r="V26" s="696">
        <v>0.6</v>
      </c>
      <c r="W26" s="696">
        <v>0</v>
      </c>
      <c r="X26" s="696">
        <v>1.3</v>
      </c>
      <c r="Y26" s="696">
        <v>2</v>
      </c>
      <c r="Z26" s="696">
        <v>2</v>
      </c>
      <c r="AA26" s="1072">
        <v>1</v>
      </c>
      <c r="AB26" s="696">
        <f>+'1.Informe Seguimiento POA 2022'!O30</f>
        <v>0</v>
      </c>
      <c r="AC26" s="696">
        <f>+'1.Informe Seguimiento POA 2022'!P30</f>
        <v>0.2</v>
      </c>
      <c r="AD26" s="696">
        <f>+'1.Informe Seguimiento POA 2022'!Q30</f>
        <v>2</v>
      </c>
      <c r="AE26" s="696">
        <f>+'1.Informe Seguimiento POA 2022'!R30</f>
        <v>1.8000000000000003</v>
      </c>
      <c r="AF26" s="696">
        <f>+'1.Informe Seguimiento POA 2022'!S30</f>
        <v>5</v>
      </c>
      <c r="AG26" s="696">
        <f>+'1.Informe Seguimiento POA 2022'!T30</f>
        <v>2.6</v>
      </c>
      <c r="AH26" s="696">
        <f>+'1.Informe Seguimiento POA 2022'!U30</f>
        <v>1</v>
      </c>
      <c r="AI26" s="696">
        <f>+'1.Informe Seguimiento POA 2022'!V30</f>
        <v>0</v>
      </c>
      <c r="AJ26" s="696">
        <f>+'1.Informe Seguimiento POA 2022'!W30</f>
        <v>8</v>
      </c>
      <c r="AK26" s="696">
        <f>+'1.Informe Seguimiento POA 2022'!X30</f>
        <v>4.6000000000000005</v>
      </c>
      <c r="AL26" s="781">
        <f>+'1.Informe Seguimiento POA 2022'!Y30</f>
        <v>0.57500000000000007</v>
      </c>
      <c r="AM26" s="1303">
        <f>'1.Informe Seguimiento POA 2022'!AB30</f>
        <v>0.15698181818181822</v>
      </c>
      <c r="AN26" s="697"/>
      <c r="AO26" s="697"/>
      <c r="AP26" s="697"/>
      <c r="AQ26" s="697"/>
      <c r="AR26" s="697"/>
      <c r="AS26" s="697"/>
      <c r="AT26" s="697"/>
      <c r="AU26" s="697"/>
      <c r="AV26" s="696">
        <f t="shared" si="0"/>
        <v>8</v>
      </c>
      <c r="AW26" s="696"/>
      <c r="AX26" s="697"/>
      <c r="AY26" s="697"/>
      <c r="AZ26" s="697"/>
      <c r="BA26" s="697"/>
      <c r="BB26" s="697"/>
      <c r="BC26" s="697"/>
      <c r="BD26" s="697"/>
      <c r="BE26" s="697"/>
      <c r="BF26" s="697"/>
      <c r="BG26" s="696">
        <f t="shared" si="1"/>
        <v>2</v>
      </c>
      <c r="BH26" s="696"/>
      <c r="BI26" s="697"/>
      <c r="BJ26" s="791">
        <f t="shared" si="7"/>
        <v>4</v>
      </c>
      <c r="BK26" s="791">
        <f t="shared" si="8"/>
        <v>4</v>
      </c>
      <c r="BL26" s="697">
        <f t="shared" si="5"/>
        <v>1</v>
      </c>
      <c r="BM26" s="697">
        <f t="shared" si="6"/>
        <v>0.2</v>
      </c>
      <c r="BN26" s="1114">
        <f t="shared" si="4"/>
        <v>0.11200000000000002</v>
      </c>
      <c r="BO26" s="1323">
        <f>+BN26+BN27+BN28</f>
        <v>0.22404545454545455</v>
      </c>
      <c r="BP26" s="1267"/>
      <c r="BQ26" s="820"/>
      <c r="BR26" s="820"/>
    </row>
    <row r="27" spans="2:70" ht="92.25" customHeight="1">
      <c r="B27" s="1226"/>
      <c r="C27" s="1291"/>
      <c r="D27" s="1332"/>
      <c r="E27" s="1295"/>
      <c r="F27" s="1291"/>
      <c r="G27" s="1291"/>
      <c r="H27" s="51" t="str">
        <f>+'1.Informe Seguimiento POA 2022'!D31</f>
        <v>1.3.2 Incrementar la cobertura de los servicios que presta el proceso de Promoción y Defensa de Derechos, mediante la implementación de 11 acciones que propendan por el mejoramiento de los mismos.</v>
      </c>
      <c r="I27" s="777">
        <f>+'1.Informe Seguimiento POA 2022'!E31</f>
        <v>0.31</v>
      </c>
      <c r="J27" s="694">
        <f>+'1.Informe Seguimiento POA 2022'!F31</f>
        <v>11</v>
      </c>
      <c r="K27" s="778" t="str">
        <f>+'1.Informe Seguimiento POA 2022'!I31</f>
        <v>Promoción y Defensa de Derechos</v>
      </c>
      <c r="L27" s="778" t="str">
        <f>+'1.Informe Seguimiento POA 2022'!J31</f>
        <v>P.D. para la Coordinación del MP y DDHH y sus dependencias adscritas
 P.D. para la Coordinación de la Gestión de Personerías Locales y sus Personerías Locales adscritas</v>
      </c>
      <c r="M27" s="695">
        <f>+'1.Informe Seguimiento POA 2022'!K31</f>
        <v>3</v>
      </c>
      <c r="N27" s="695">
        <f>+'1.Informe Seguimiento POA 2022'!L31</f>
        <v>3</v>
      </c>
      <c r="O27" s="695">
        <f>+'1.Informe Seguimiento POA 2022'!M31</f>
        <v>3</v>
      </c>
      <c r="P27" s="695">
        <f>+'1.Informe Seguimiento POA 2022'!N31</f>
        <v>2</v>
      </c>
      <c r="Q27" s="696">
        <v>0</v>
      </c>
      <c r="R27" s="696">
        <v>0</v>
      </c>
      <c r="S27" s="696">
        <v>1</v>
      </c>
      <c r="T27" s="696">
        <v>0</v>
      </c>
      <c r="U27" s="696">
        <v>2</v>
      </c>
      <c r="V27" s="696">
        <v>1</v>
      </c>
      <c r="W27" s="696">
        <v>0</v>
      </c>
      <c r="X27" s="696">
        <v>2</v>
      </c>
      <c r="Y27" s="696">
        <v>3</v>
      </c>
      <c r="Z27" s="696">
        <v>3</v>
      </c>
      <c r="AA27" s="1072">
        <v>1</v>
      </c>
      <c r="AB27" s="696">
        <f>+'1.Informe Seguimiento POA 2022'!O31</f>
        <v>0</v>
      </c>
      <c r="AC27" s="696">
        <f>+'1.Informe Seguimiento POA 2022'!P31</f>
        <v>0</v>
      </c>
      <c r="AD27" s="696">
        <f>+'1.Informe Seguimiento POA 2022'!Q31</f>
        <v>0</v>
      </c>
      <c r="AE27" s="696">
        <f>+'1.Informe Seguimiento POA 2022'!R31</f>
        <v>0</v>
      </c>
      <c r="AF27" s="696">
        <f>+'1.Informe Seguimiento POA 2022'!S31</f>
        <v>3</v>
      </c>
      <c r="AG27" s="696">
        <f>+'1.Informe Seguimiento POA 2022'!T31</f>
        <v>1</v>
      </c>
      <c r="AH27" s="696">
        <f>+'1.Informe Seguimiento POA 2022'!U31</f>
        <v>0</v>
      </c>
      <c r="AI27" s="696">
        <f>+'1.Informe Seguimiento POA 2022'!V31</f>
        <v>0</v>
      </c>
      <c r="AJ27" s="696">
        <f>+'1.Informe Seguimiento POA 2022'!W31</f>
        <v>3</v>
      </c>
      <c r="AK27" s="696">
        <f>+'1.Informe Seguimiento POA 2022'!X31</f>
        <v>1</v>
      </c>
      <c r="AL27" s="781">
        <f>+'1.Informe Seguimiento POA 2022'!Y31</f>
        <v>0.33333333333333331</v>
      </c>
      <c r="AM27" s="1304"/>
      <c r="AN27" s="697"/>
      <c r="AO27" s="697"/>
      <c r="AP27" s="697"/>
      <c r="AQ27" s="697"/>
      <c r="AR27" s="697"/>
      <c r="AS27" s="697"/>
      <c r="AT27" s="697"/>
      <c r="AU27" s="697"/>
      <c r="AV27" s="696">
        <f t="shared" si="0"/>
        <v>3</v>
      </c>
      <c r="AW27" s="696"/>
      <c r="AX27" s="697"/>
      <c r="AY27" s="697"/>
      <c r="AZ27" s="697"/>
      <c r="BA27" s="697"/>
      <c r="BB27" s="697"/>
      <c r="BC27" s="697"/>
      <c r="BD27" s="697"/>
      <c r="BE27" s="697"/>
      <c r="BF27" s="697"/>
      <c r="BG27" s="696">
        <f t="shared" si="1"/>
        <v>2</v>
      </c>
      <c r="BH27" s="696"/>
      <c r="BI27" s="697"/>
      <c r="BJ27" s="791">
        <f t="shared" si="7"/>
        <v>3</v>
      </c>
      <c r="BK27" s="791">
        <f t="shared" si="8"/>
        <v>3</v>
      </c>
      <c r="BL27" s="697">
        <f>IF(AND(BJ27&gt;0),BK27/BJ27,"No programado")</f>
        <v>1</v>
      </c>
      <c r="BM27" s="697">
        <f t="shared" si="6"/>
        <v>0.27272727272727271</v>
      </c>
      <c r="BN27" s="1114">
        <f t="shared" si="4"/>
        <v>8.4545454545454535E-2</v>
      </c>
      <c r="BO27" s="1324"/>
      <c r="BP27" s="1267"/>
      <c r="BQ27" s="820"/>
      <c r="BR27" s="820"/>
    </row>
    <row r="28" spans="2:70" ht="83.25" customHeight="1">
      <c r="B28" s="1226"/>
      <c r="C28" s="1291"/>
      <c r="D28" s="1332"/>
      <c r="E28" s="1295"/>
      <c r="F28" s="1291"/>
      <c r="G28" s="1291"/>
      <c r="H28" s="51" t="str">
        <f>+'1.Informe Seguimiento POA 2022'!D32</f>
        <v>1.3.3 Implementar 4 herramientas para la promoción y prevención a infracciones del Derecho Internacional Humanitario en el Distrito Capital</v>
      </c>
      <c r="I28" s="777">
        <f>+'1.Informe Seguimiento POA 2022'!E32</f>
        <v>0.11</v>
      </c>
      <c r="J28" s="694">
        <f>+'1.Informe Seguimiento POA 2022'!F32</f>
        <v>4</v>
      </c>
      <c r="K28" s="778" t="str">
        <f>+'1.Informe Seguimiento POA 2022'!I32</f>
        <v>Promoción y Defensa de Derechos</v>
      </c>
      <c r="L28" s="778" t="str">
        <f>+'1.Informe Seguimiento POA 2022'!J32</f>
        <v>P.D. para la Coordinación del MP y DDHH y sus dependencias adscritas
 P.D. para la Coordinación de la Gestión de Personerías Locales y sus Personerías Locales adscritas</v>
      </c>
      <c r="M28" s="695">
        <f>+'1.Informe Seguimiento POA 2022'!K32</f>
        <v>1</v>
      </c>
      <c r="N28" s="695">
        <f>+'1.Informe Seguimiento POA 2022'!L32</f>
        <v>1</v>
      </c>
      <c r="O28" s="695">
        <f>+'1.Informe Seguimiento POA 2022'!M32</f>
        <v>1</v>
      </c>
      <c r="P28" s="695">
        <f>+'1.Informe Seguimiento POA 2022'!N32</f>
        <v>1</v>
      </c>
      <c r="Q28" s="696">
        <v>0</v>
      </c>
      <c r="R28" s="696">
        <v>0</v>
      </c>
      <c r="S28" s="696">
        <v>0</v>
      </c>
      <c r="T28" s="696">
        <v>0</v>
      </c>
      <c r="U28" s="696">
        <v>1</v>
      </c>
      <c r="V28" s="696">
        <v>0</v>
      </c>
      <c r="W28" s="696">
        <v>0</v>
      </c>
      <c r="X28" s="696">
        <v>1</v>
      </c>
      <c r="Y28" s="696">
        <v>1</v>
      </c>
      <c r="Z28" s="696">
        <v>1</v>
      </c>
      <c r="AA28" s="1072">
        <v>1</v>
      </c>
      <c r="AB28" s="696">
        <f>+'1.Informe Seguimiento POA 2022'!O32</f>
        <v>0</v>
      </c>
      <c r="AC28" s="696">
        <f>+'1.Informe Seguimiento POA 2022'!P32</f>
        <v>0</v>
      </c>
      <c r="AD28" s="696">
        <f>+'1.Informe Seguimiento POA 2022'!Q32</f>
        <v>0</v>
      </c>
      <c r="AE28" s="696">
        <f>+'1.Informe Seguimiento POA 2022'!R32</f>
        <v>0</v>
      </c>
      <c r="AF28" s="696">
        <f>+'1.Informe Seguimiento POA 2022'!S32</f>
        <v>0</v>
      </c>
      <c r="AG28" s="696">
        <f>+'1.Informe Seguimiento POA 2022'!T32</f>
        <v>0</v>
      </c>
      <c r="AH28" s="696">
        <f>+'1.Informe Seguimiento POA 2022'!U32</f>
        <v>1</v>
      </c>
      <c r="AI28" s="696">
        <f>+'1.Informe Seguimiento POA 2022'!V32</f>
        <v>0</v>
      </c>
      <c r="AJ28" s="696">
        <f>+'1.Informe Seguimiento POA 2022'!W32</f>
        <v>1</v>
      </c>
      <c r="AK28" s="696">
        <f>+'1.Informe Seguimiento POA 2022'!X32</f>
        <v>0</v>
      </c>
      <c r="AL28" s="781">
        <f>+'1.Informe Seguimiento POA 2022'!Y32</f>
        <v>0</v>
      </c>
      <c r="AM28" s="1305"/>
      <c r="AN28" s="697"/>
      <c r="AO28" s="697"/>
      <c r="AP28" s="697"/>
      <c r="AQ28" s="697"/>
      <c r="AR28" s="697"/>
      <c r="AS28" s="697"/>
      <c r="AT28" s="697"/>
      <c r="AU28" s="697"/>
      <c r="AV28" s="696">
        <f t="shared" si="0"/>
        <v>1</v>
      </c>
      <c r="AW28" s="696"/>
      <c r="AX28" s="697"/>
      <c r="AY28" s="697"/>
      <c r="AZ28" s="697"/>
      <c r="BA28" s="697"/>
      <c r="BB28" s="697"/>
      <c r="BC28" s="697"/>
      <c r="BD28" s="697"/>
      <c r="BE28" s="697"/>
      <c r="BF28" s="697"/>
      <c r="BG28" s="696">
        <f t="shared" si="1"/>
        <v>1</v>
      </c>
      <c r="BH28" s="696"/>
      <c r="BI28" s="697"/>
      <c r="BJ28" s="791">
        <f t="shared" si="7"/>
        <v>1</v>
      </c>
      <c r="BK28" s="791">
        <f t="shared" si="8"/>
        <v>1</v>
      </c>
      <c r="BL28" s="697">
        <f>IF(AND(BJ28&gt;0),BK28/BJ28,"No programado")</f>
        <v>1</v>
      </c>
      <c r="BM28" s="697">
        <f t="shared" si="6"/>
        <v>0.25</v>
      </c>
      <c r="BN28" s="1114">
        <f t="shared" si="4"/>
        <v>2.75E-2</v>
      </c>
      <c r="BO28" s="1324"/>
      <c r="BP28" s="1267"/>
      <c r="BQ28" s="820"/>
      <c r="BR28" s="820"/>
    </row>
    <row r="29" spans="2:70" ht="102" customHeight="1">
      <c r="B29" s="1256" t="str">
        <f>+'Matriz PEI 2021-2024'!B13</f>
        <v>2. Realizar acciones de prevención y control a la Función Pública, en el marco del cumplimiento del Plan de Desarrollo, con énfasis en los Derechos e intereses colectivos.</v>
      </c>
      <c r="C29" s="1328" t="str">
        <f>+'Matriz PEI 2021-2024'!C13</f>
        <v>2.1. Realizar 22 acciones de prevención y control a la función pública en medio ambiente, agua, protección y bienestar animal y desarrollo urbano.</v>
      </c>
      <c r="D29" s="1362">
        <f>+'Matriz PEI 2021-2024'!E13</f>
        <v>22</v>
      </c>
      <c r="E29" s="1360">
        <f>+'Matriz PEI 2021-2024'!D13</f>
        <v>0.3</v>
      </c>
      <c r="F29" s="1328" t="s">
        <v>944</v>
      </c>
      <c r="G29" s="1328" t="s">
        <v>945</v>
      </c>
      <c r="H29" s="701" t="str">
        <f>+'1.Informe Seguimiento POA 2022'!D33</f>
        <v>2.1.1 Realizar 16 informes en los cuales se evalúen las políticas ambientales, el manejo de recursos hídricos, protección y bienestar animal y desarrollo urbano en el Distrito Capital.</v>
      </c>
      <c r="I29" s="152">
        <f>+'1.Informe Seguimiento POA 2022'!E33</f>
        <v>0.72727272727272696</v>
      </c>
      <c r="J29" s="702">
        <f>+'1.Informe Seguimiento POA 2022'!F33</f>
        <v>16</v>
      </c>
      <c r="K29" s="703" t="str">
        <f>+'1.Informe Seguimiento POA 2022'!I33</f>
        <v>Prevención y Control a la Función Pública</v>
      </c>
      <c r="L29" s="704" t="str">
        <f>+'1.Informe Seguimiento POA 2022'!J33</f>
        <v xml:space="preserve">Personería Delegada para la Coordinación de Prevención y Control a la Función Pública y sus Personerías Delegadas.
Personería Delegada para la Coordinación de Gestión de las Personerías Locales y sus Personerías Locales. </v>
      </c>
      <c r="M29" s="705">
        <f>+'1.Informe Seguimiento POA 2022'!K33</f>
        <v>2</v>
      </c>
      <c r="N29" s="705">
        <f>+'1.Informe Seguimiento POA 2022'!L33</f>
        <v>7</v>
      </c>
      <c r="O29" s="705">
        <f>+'1.Informe Seguimiento POA 2022'!M33</f>
        <v>6</v>
      </c>
      <c r="P29" s="705">
        <f>+'1.Informe Seguimiento POA 2022'!N33</f>
        <v>1</v>
      </c>
      <c r="Q29" s="706">
        <v>0</v>
      </c>
      <c r="R29" s="706">
        <v>0</v>
      </c>
      <c r="S29" s="706">
        <v>0</v>
      </c>
      <c r="T29" s="782">
        <v>0</v>
      </c>
      <c r="U29" s="706">
        <v>2</v>
      </c>
      <c r="V29" s="782">
        <v>0</v>
      </c>
      <c r="W29" s="706">
        <v>0</v>
      </c>
      <c r="X29" s="782">
        <v>2</v>
      </c>
      <c r="Y29" s="706">
        <v>2</v>
      </c>
      <c r="Z29" s="706">
        <v>2</v>
      </c>
      <c r="AA29" s="707">
        <v>1</v>
      </c>
      <c r="AB29" s="706">
        <f>+'1.Informe Seguimiento POA 2022'!O33</f>
        <v>0</v>
      </c>
      <c r="AC29" s="706">
        <f>+'1.Informe Seguimiento POA 2022'!P33</f>
        <v>0</v>
      </c>
      <c r="AD29" s="706">
        <f>+'1.Informe Seguimiento POA 2022'!Q33</f>
        <v>2</v>
      </c>
      <c r="AE29" s="782">
        <f>+'1.Informe Seguimiento POA 2022'!R33</f>
        <v>0</v>
      </c>
      <c r="AF29" s="706">
        <f>+'1.Informe Seguimiento POA 2022'!S33</f>
        <v>0</v>
      </c>
      <c r="AG29" s="782">
        <f>+'1.Informe Seguimiento POA 2022'!T33</f>
        <v>2</v>
      </c>
      <c r="AH29" s="706">
        <f>+'1.Informe Seguimiento POA 2022'!U33</f>
        <v>5</v>
      </c>
      <c r="AI29" s="782">
        <f>+'1.Informe Seguimiento POA 2022'!V33</f>
        <v>0</v>
      </c>
      <c r="AJ29" s="706">
        <f>+'1.Informe Seguimiento POA 2022'!W33</f>
        <v>7</v>
      </c>
      <c r="AK29" s="706">
        <f>+'1.Informe Seguimiento POA 2022'!X33</f>
        <v>2</v>
      </c>
      <c r="AL29" s="707">
        <f>+'1.Informe Seguimiento POA 2022'!Y33</f>
        <v>0.2857142857142857</v>
      </c>
      <c r="AM29" s="1306">
        <f>'1.Informe Seguimiento POA 2022'!AB33</f>
        <v>9.090909090909087E-2</v>
      </c>
      <c r="AN29" s="707"/>
      <c r="AO29" s="707"/>
      <c r="AP29" s="707"/>
      <c r="AQ29" s="707"/>
      <c r="AR29" s="707"/>
      <c r="AS29" s="707"/>
      <c r="AT29" s="707"/>
      <c r="AU29" s="707"/>
      <c r="AV29" s="706">
        <f t="shared" si="0"/>
        <v>6</v>
      </c>
      <c r="AW29" s="706"/>
      <c r="AX29" s="707"/>
      <c r="AY29" s="707"/>
      <c r="AZ29" s="707"/>
      <c r="BA29" s="707"/>
      <c r="BB29" s="707"/>
      <c r="BC29" s="707"/>
      <c r="BD29" s="707"/>
      <c r="BE29" s="707"/>
      <c r="BF29" s="707"/>
      <c r="BG29" s="706">
        <f t="shared" si="1"/>
        <v>1</v>
      </c>
      <c r="BH29" s="706"/>
      <c r="BI29" s="707"/>
      <c r="BJ29" s="706">
        <f t="shared" ref="BJ29:BK36" si="9">Q29+S29+U29+W29+AB29+AD29</f>
        <v>4</v>
      </c>
      <c r="BK29" s="706">
        <f t="shared" si="9"/>
        <v>2</v>
      </c>
      <c r="BL29" s="801">
        <f t="shared" ref="BL29:BL93" si="10">IF(AND(BJ29&gt;0),BK29/BJ29,"No programado")</f>
        <v>0.5</v>
      </c>
      <c r="BM29" s="707">
        <f t="shared" si="6"/>
        <v>0.125</v>
      </c>
      <c r="BN29" s="1115">
        <f t="shared" si="4"/>
        <v>9.090909090909087E-2</v>
      </c>
      <c r="BO29" s="1403">
        <f>+BN29+BN30</f>
        <v>0.13636363636363635</v>
      </c>
      <c r="BP29" s="1253">
        <f>(IF(AND(BO29&gt;0,E29&gt;0),BO29*E29))+(IF(AND(BO31&gt;0,E31&gt;0),BO31*E31))+(IF(AND(BO33&gt;0,E33&gt;0),BO33*E33))</f>
        <v>0.42746533127889058</v>
      </c>
      <c r="BQ29" s="820"/>
      <c r="BR29" s="820"/>
    </row>
    <row r="30" spans="2:70" ht="120" customHeight="1">
      <c r="B30" s="1251"/>
      <c r="C30" s="1330"/>
      <c r="D30" s="1363"/>
      <c r="E30" s="1361"/>
      <c r="F30" s="1330"/>
      <c r="G30" s="1330"/>
      <c r="H30" s="701" t="str">
        <f>+'1.Informe Seguimiento POA 2022'!D34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I30" s="152">
        <f>+'1.Informe Seguimiento POA 2022'!E34</f>
        <v>0.27272727272727298</v>
      </c>
      <c r="J30" s="702">
        <f>+'1.Informe Seguimiento POA 2022'!F34</f>
        <v>6</v>
      </c>
      <c r="K30" s="703" t="str">
        <f>+'1.Informe Seguimiento POA 2022'!I34</f>
        <v>Prevención y Control a la Función Pública</v>
      </c>
      <c r="L30" s="704" t="str">
        <f>+'1.Informe Seguimiento POA 2022'!J34</f>
        <v xml:space="preserve">Personería Delegada para la Coordinación de Prevención y Control a la Función Pública y sus Personerías Delegadas.
Personería Delegada para la Coordinación de Gestión de las Personerías Locales y sus Personerías Locales. </v>
      </c>
      <c r="M30" s="705">
        <f>+'1.Informe Seguimiento POA 2022'!K34</f>
        <v>1</v>
      </c>
      <c r="N30" s="705">
        <f>+'1.Informe Seguimiento POA 2022'!L34</f>
        <v>1</v>
      </c>
      <c r="O30" s="705">
        <f>+'1.Informe Seguimiento POA 2022'!M34</f>
        <v>3</v>
      </c>
      <c r="P30" s="705">
        <f>+'1.Informe Seguimiento POA 2022'!N34</f>
        <v>1</v>
      </c>
      <c r="Q30" s="706">
        <v>1</v>
      </c>
      <c r="R30" s="706">
        <v>1</v>
      </c>
      <c r="S30" s="706">
        <v>0</v>
      </c>
      <c r="T30" s="782">
        <v>0</v>
      </c>
      <c r="U30" s="706">
        <v>0</v>
      </c>
      <c r="V30" s="782">
        <v>0</v>
      </c>
      <c r="W30" s="706">
        <v>0</v>
      </c>
      <c r="X30" s="782">
        <v>0</v>
      </c>
      <c r="Y30" s="706">
        <v>1</v>
      </c>
      <c r="Z30" s="706">
        <v>1</v>
      </c>
      <c r="AA30" s="707">
        <v>1</v>
      </c>
      <c r="AB30" s="706">
        <f>+'1.Informe Seguimiento POA 2022'!O34</f>
        <v>0</v>
      </c>
      <c r="AC30" s="706">
        <f>+'1.Informe Seguimiento POA 2022'!P34</f>
        <v>0</v>
      </c>
      <c r="AD30" s="706">
        <f>+'1.Informe Seguimiento POA 2022'!Q34</f>
        <v>0</v>
      </c>
      <c r="AE30" s="782">
        <f>+'1.Informe Seguimiento POA 2022'!R34</f>
        <v>0</v>
      </c>
      <c r="AF30" s="706">
        <f>+'1.Informe Seguimiento POA 2022'!S34</f>
        <v>0</v>
      </c>
      <c r="AG30" s="782">
        <f>+'1.Informe Seguimiento POA 2022'!T34</f>
        <v>0</v>
      </c>
      <c r="AH30" s="706">
        <f>+'1.Informe Seguimiento POA 2022'!U34</f>
        <v>1</v>
      </c>
      <c r="AI30" s="782">
        <f>+'1.Informe Seguimiento POA 2022'!V34</f>
        <v>0</v>
      </c>
      <c r="AJ30" s="706">
        <f>+'1.Informe Seguimiento POA 2022'!W34</f>
        <v>1</v>
      </c>
      <c r="AK30" s="706">
        <f>+'1.Informe Seguimiento POA 2022'!X34</f>
        <v>0</v>
      </c>
      <c r="AL30" s="707">
        <f>+'1.Informe Seguimiento POA 2022'!Y34</f>
        <v>0</v>
      </c>
      <c r="AM30" s="1307"/>
      <c r="AN30" s="707"/>
      <c r="AO30" s="707"/>
      <c r="AP30" s="707"/>
      <c r="AQ30" s="707"/>
      <c r="AR30" s="707"/>
      <c r="AS30" s="707"/>
      <c r="AT30" s="707"/>
      <c r="AU30" s="707"/>
      <c r="AV30" s="706">
        <f t="shared" si="0"/>
        <v>3</v>
      </c>
      <c r="AW30" s="706"/>
      <c r="AX30" s="707"/>
      <c r="AY30" s="707"/>
      <c r="AZ30" s="707"/>
      <c r="BA30" s="707"/>
      <c r="BB30" s="707"/>
      <c r="BC30" s="707"/>
      <c r="BD30" s="707"/>
      <c r="BE30" s="707"/>
      <c r="BF30" s="707"/>
      <c r="BG30" s="706">
        <f t="shared" si="1"/>
        <v>1</v>
      </c>
      <c r="BH30" s="706"/>
      <c r="BI30" s="707"/>
      <c r="BJ30" s="706">
        <f t="shared" si="9"/>
        <v>1</v>
      </c>
      <c r="BK30" s="706">
        <f t="shared" si="9"/>
        <v>1</v>
      </c>
      <c r="BL30" s="801">
        <f t="shared" si="10"/>
        <v>1</v>
      </c>
      <c r="BM30" s="707">
        <f t="shared" si="6"/>
        <v>0.16666666666666666</v>
      </c>
      <c r="BN30" s="1115">
        <f t="shared" si="4"/>
        <v>4.5454545454545497E-2</v>
      </c>
      <c r="BO30" s="1403"/>
      <c r="BP30" s="1254"/>
      <c r="BQ30" s="820"/>
      <c r="BR30" s="820"/>
    </row>
    <row r="31" spans="2:70" ht="100.5" customHeight="1">
      <c r="B31" s="1251"/>
      <c r="C31" s="1328" t="str">
        <f>+'Matriz PEI 2021-2024'!C14</f>
        <v>2.2. Fortalecer la moralidad publica realizando  952 acciones de prevención y control a la función pública.</v>
      </c>
      <c r="D31" s="1362">
        <f>+'Matriz PEI 2021-2024'!E14</f>
        <v>952</v>
      </c>
      <c r="E31" s="1360">
        <f>+'Matriz PEI 2021-2024'!D14</f>
        <v>0.6</v>
      </c>
      <c r="F31" s="1328" t="s">
        <v>946</v>
      </c>
      <c r="G31" s="1328" t="s">
        <v>947</v>
      </c>
      <c r="H31" s="701" t="str">
        <f>+'1.Informe Seguimiento POA 2022'!D35</f>
        <v>2.2.1 Realizar 817 acciones de prevención y control a la función pública para fortalecer la moralidad pública.</v>
      </c>
      <c r="I31" s="152">
        <f>+'1.Informe Seguimiento POA 2022'!E35</f>
        <v>0.92840909090909096</v>
      </c>
      <c r="J31" s="702">
        <f>+'1.Informe Seguimiento POA 2022'!F35</f>
        <v>817</v>
      </c>
      <c r="K31" s="703" t="str">
        <f>+'1.Informe Seguimiento POA 2022'!I35</f>
        <v>Prevención y Control a la Función Pública</v>
      </c>
      <c r="L31" s="704" t="str">
        <f>+'1.Informe Seguimiento POA 2022'!J35</f>
        <v xml:space="preserve">Personería Delegada para la Coordinación de Prevención y Control a la Función Pública y sus Personerías Delegadas.
Personería Delegada para la Coordinación de Gestión de las Personerías Locales y sus Personerías Locales. </v>
      </c>
      <c r="M31" s="705">
        <f>+'1.Informe Seguimiento POA 2022'!K35</f>
        <v>200</v>
      </c>
      <c r="N31" s="705">
        <f>+'1.Informe Seguimiento POA 2022'!L35</f>
        <v>286</v>
      </c>
      <c r="O31" s="705">
        <f>+'1.Informe Seguimiento POA 2022'!M35</f>
        <v>259</v>
      </c>
      <c r="P31" s="705">
        <f>+'1.Informe Seguimiento POA 2022'!N35</f>
        <v>72</v>
      </c>
      <c r="Q31" s="706">
        <v>13</v>
      </c>
      <c r="R31" s="706">
        <v>37</v>
      </c>
      <c r="S31" s="706">
        <v>70</v>
      </c>
      <c r="T31" s="782">
        <v>74</v>
      </c>
      <c r="U31" s="706">
        <v>72</v>
      </c>
      <c r="V31" s="782">
        <v>40</v>
      </c>
      <c r="W31" s="706">
        <v>45</v>
      </c>
      <c r="X31" s="782">
        <v>129</v>
      </c>
      <c r="Y31" s="706">
        <v>200</v>
      </c>
      <c r="Z31" s="706">
        <v>280</v>
      </c>
      <c r="AA31" s="707">
        <v>1.4</v>
      </c>
      <c r="AB31" s="706">
        <f>+'1.Informe Seguimiento POA 2022'!O35</f>
        <v>41</v>
      </c>
      <c r="AC31" s="706">
        <f>+'1.Informe Seguimiento POA 2022'!P35</f>
        <v>16</v>
      </c>
      <c r="AD31" s="706">
        <f>+'1.Informe Seguimiento POA 2022'!Q35</f>
        <v>77</v>
      </c>
      <c r="AE31" s="782">
        <f>+'1.Informe Seguimiento POA 2022'!R35</f>
        <v>97</v>
      </c>
      <c r="AF31" s="706">
        <f>+'1.Informe Seguimiento POA 2022'!S35</f>
        <v>114</v>
      </c>
      <c r="AG31" s="782">
        <f>+'1.Informe Seguimiento POA 2022'!T35</f>
        <v>74</v>
      </c>
      <c r="AH31" s="706">
        <f>+'1.Informe Seguimiento POA 2022'!U35</f>
        <v>54</v>
      </c>
      <c r="AI31" s="782">
        <f>+'1.Informe Seguimiento POA 2022'!V35</f>
        <v>0</v>
      </c>
      <c r="AJ31" s="706">
        <f>+'1.Informe Seguimiento POA 2022'!W35</f>
        <v>286</v>
      </c>
      <c r="AK31" s="706">
        <f>+'1.Informe Seguimiento POA 2022'!X35</f>
        <v>187</v>
      </c>
      <c r="AL31" s="707">
        <f>+'1.Informe Seguimiento POA 2022'!Y35</f>
        <v>0.65384615384615385</v>
      </c>
      <c r="AM31" s="1306">
        <f>'1.Informe Seguimiento POA 2022'!AB35</f>
        <v>0.24545454545454548</v>
      </c>
      <c r="AN31" s="707"/>
      <c r="AO31" s="707"/>
      <c r="AP31" s="707"/>
      <c r="AQ31" s="707"/>
      <c r="AR31" s="707"/>
      <c r="AS31" s="707"/>
      <c r="AT31" s="707"/>
      <c r="AU31" s="707"/>
      <c r="AV31" s="706">
        <f t="shared" si="0"/>
        <v>259</v>
      </c>
      <c r="AW31" s="706"/>
      <c r="AX31" s="707"/>
      <c r="AY31" s="707"/>
      <c r="AZ31" s="707"/>
      <c r="BA31" s="707"/>
      <c r="BB31" s="707"/>
      <c r="BC31" s="707"/>
      <c r="BD31" s="707"/>
      <c r="BE31" s="707"/>
      <c r="BF31" s="707"/>
      <c r="BG31" s="706">
        <f t="shared" si="1"/>
        <v>72</v>
      </c>
      <c r="BH31" s="706"/>
      <c r="BI31" s="707"/>
      <c r="BJ31" s="706">
        <f t="shared" si="9"/>
        <v>318</v>
      </c>
      <c r="BK31" s="706">
        <f t="shared" si="9"/>
        <v>393</v>
      </c>
      <c r="BL31" s="801">
        <f t="shared" si="10"/>
        <v>1.2358490566037736</v>
      </c>
      <c r="BM31" s="707">
        <f t="shared" si="6"/>
        <v>0.48102815177478581</v>
      </c>
      <c r="BN31" s="1115">
        <f t="shared" si="4"/>
        <v>0.44659090909090909</v>
      </c>
      <c r="BO31" s="1403">
        <f>+BN31+BN32</f>
        <v>0.53409090909090906</v>
      </c>
      <c r="BP31" s="1254"/>
      <c r="BQ31" s="820"/>
      <c r="BR31" s="820"/>
    </row>
    <row r="32" spans="2:70" ht="100.5" customHeight="1">
      <c r="B32" s="1251"/>
      <c r="C32" s="1330"/>
      <c r="D32" s="1363"/>
      <c r="E32" s="1361"/>
      <c r="F32" s="1330"/>
      <c r="G32" s="1330"/>
      <c r="H32" s="701" t="str">
        <f>+'1.Informe Seguimiento POA 2022'!D36</f>
        <v>2.2.2 Realizar 135 acciones de prevención y control a la función pública - seguimientos, para fortalecer la moralidad pública en el Distrito Capital.</v>
      </c>
      <c r="I32" s="152">
        <f>+'1.Informe Seguimiento POA 2022'!E36</f>
        <v>0.15340909090909091</v>
      </c>
      <c r="J32" s="702">
        <f>+'1.Informe Seguimiento POA 2022'!F36</f>
        <v>135</v>
      </c>
      <c r="K32" s="703" t="str">
        <f>+'1.Informe Seguimiento POA 2022'!I36</f>
        <v>Prevención y Control a la Función Pública</v>
      </c>
      <c r="L32" s="704" t="str">
        <f>+'1.Informe Seguimiento POA 2022'!J36</f>
        <v xml:space="preserve">Personería Delegada para la Coordinación de Prevención y Control a la Función Pública y sus Personerías Delegadas.
Personería Delegada para la Coordinación de Gestión de las Personerías Locales y sus Personerías Locales. </v>
      </c>
      <c r="M32" s="705">
        <f>+'1.Informe Seguimiento POA 2022'!K36</f>
        <v>28</v>
      </c>
      <c r="N32" s="705">
        <f>+'1.Informe Seguimiento POA 2022'!L36</f>
        <v>67</v>
      </c>
      <c r="O32" s="705">
        <f>+'1.Informe Seguimiento POA 2022'!M36</f>
        <v>30</v>
      </c>
      <c r="P32" s="705">
        <f>+'1.Informe Seguimiento POA 2022'!N36</f>
        <v>10</v>
      </c>
      <c r="Q32" s="706">
        <v>0</v>
      </c>
      <c r="R32" s="706">
        <v>0</v>
      </c>
      <c r="S32" s="706">
        <v>4</v>
      </c>
      <c r="T32" s="782">
        <v>23</v>
      </c>
      <c r="U32" s="706">
        <v>8</v>
      </c>
      <c r="V32" s="782">
        <v>0</v>
      </c>
      <c r="W32" s="706">
        <v>16</v>
      </c>
      <c r="X32" s="782">
        <v>43</v>
      </c>
      <c r="Y32" s="706">
        <v>28</v>
      </c>
      <c r="Z32" s="706">
        <v>66</v>
      </c>
      <c r="AA32" s="707">
        <v>2.3571428571428572</v>
      </c>
      <c r="AB32" s="706">
        <f>+'1.Informe Seguimiento POA 2022'!O36</f>
        <v>1</v>
      </c>
      <c r="AC32" s="706">
        <f>+'1.Informe Seguimiento POA 2022'!P36</f>
        <v>2</v>
      </c>
      <c r="AD32" s="706">
        <f>+'1.Informe Seguimiento POA 2022'!Q36</f>
        <v>20</v>
      </c>
      <c r="AE32" s="782">
        <f>+'1.Informe Seguimiento POA 2022'!R36</f>
        <v>9</v>
      </c>
      <c r="AF32" s="706">
        <f>+'1.Informe Seguimiento POA 2022'!S36</f>
        <v>43</v>
      </c>
      <c r="AG32" s="782">
        <f>+'1.Informe Seguimiento POA 2022'!T36</f>
        <v>18</v>
      </c>
      <c r="AH32" s="706">
        <f>+'1.Informe Seguimiento POA 2022'!U36</f>
        <v>3</v>
      </c>
      <c r="AI32" s="782">
        <f>+'1.Informe Seguimiento POA 2022'!V36</f>
        <v>0</v>
      </c>
      <c r="AJ32" s="706">
        <f>+'1.Informe Seguimiento POA 2022'!W36</f>
        <v>67</v>
      </c>
      <c r="AK32" s="706">
        <f>+'1.Informe Seguimiento POA 2022'!X36</f>
        <v>29</v>
      </c>
      <c r="AL32" s="707">
        <f>+'1.Informe Seguimiento POA 2022'!Y36</f>
        <v>0.43283582089552236</v>
      </c>
      <c r="AM32" s="1307"/>
      <c r="AN32" s="707"/>
      <c r="AO32" s="707"/>
      <c r="AP32" s="707"/>
      <c r="AQ32" s="707"/>
      <c r="AR32" s="707"/>
      <c r="AS32" s="707"/>
      <c r="AT32" s="707"/>
      <c r="AU32" s="707"/>
      <c r="AV32" s="706">
        <f t="shared" si="0"/>
        <v>30</v>
      </c>
      <c r="AW32" s="706"/>
      <c r="AX32" s="707"/>
      <c r="AY32" s="707"/>
      <c r="AZ32" s="707"/>
      <c r="BA32" s="707"/>
      <c r="BB32" s="707"/>
      <c r="BC32" s="707"/>
      <c r="BD32" s="707"/>
      <c r="BE32" s="707"/>
      <c r="BF32" s="707"/>
      <c r="BG32" s="706">
        <f t="shared" si="1"/>
        <v>10</v>
      </c>
      <c r="BH32" s="706"/>
      <c r="BI32" s="707"/>
      <c r="BJ32" s="706">
        <f t="shared" si="9"/>
        <v>49</v>
      </c>
      <c r="BK32" s="706">
        <f t="shared" si="9"/>
        <v>77</v>
      </c>
      <c r="BL32" s="801">
        <f t="shared" si="10"/>
        <v>1.5714285714285714</v>
      </c>
      <c r="BM32" s="707">
        <f t="shared" si="6"/>
        <v>0.57037037037037042</v>
      </c>
      <c r="BN32" s="1115">
        <f t="shared" si="4"/>
        <v>8.7500000000000008E-2</v>
      </c>
      <c r="BO32" s="1403"/>
      <c r="BP32" s="1254"/>
      <c r="BQ32" s="820"/>
      <c r="BR32" s="820"/>
    </row>
    <row r="33" spans="2:70" ht="65.25" customHeight="1">
      <c r="B33" s="1251"/>
      <c r="C33" s="1328" t="str">
        <f>+'Matriz PEI 2021-2024'!C15</f>
        <v>2.3. Fortalecer 320 espacios de participación ciudadana en la Personería de Bogotá</v>
      </c>
      <c r="D33" s="1362">
        <f>+'Matriz PEI 2021-2024'!E15</f>
        <v>320</v>
      </c>
      <c r="E33" s="1360">
        <f>+'Matriz PEI 2021-2024'!D15</f>
        <v>0.1</v>
      </c>
      <c r="F33" s="1328" t="s">
        <v>948</v>
      </c>
      <c r="G33" s="1328" t="s">
        <v>949</v>
      </c>
      <c r="H33" s="701" t="str">
        <f>+'1.Informe Seguimiento POA 2022'!D37</f>
        <v>2.3.1 Realizar 60 audiencias públicas y/o mesas de trabajo, las cuales permitan la participación ciudadana, con énfasis en los Derechos e intereses colectivos.</v>
      </c>
      <c r="I33" s="152">
        <f>+'1.Informe Seguimiento POA 2022'!E37</f>
        <v>0.20338983050847459</v>
      </c>
      <c r="J33" s="702">
        <f>+'1.Informe Seguimiento POA 2022'!F37</f>
        <v>60</v>
      </c>
      <c r="K33" s="703" t="str">
        <f>+'1.Informe Seguimiento POA 2022'!I37</f>
        <v>Prevención y Control a la Función Pública</v>
      </c>
      <c r="L33" s="704" t="str">
        <f>+'1.Informe Seguimiento POA 2022'!J37</f>
        <v>Personería Delegada para la Coordinación de Prevención y Control a la Función Pública y sus Personerías Delegadas.</v>
      </c>
      <c r="M33" s="705">
        <f>+'1.Informe Seguimiento POA 2022'!K37</f>
        <v>12</v>
      </c>
      <c r="N33" s="705">
        <f>+'1.Informe Seguimiento POA 2022'!L37</f>
        <v>21</v>
      </c>
      <c r="O33" s="705">
        <f>+'1.Informe Seguimiento POA 2022'!M37</f>
        <v>23</v>
      </c>
      <c r="P33" s="705">
        <f>+'1.Informe Seguimiento POA 2022'!N37</f>
        <v>4</v>
      </c>
      <c r="Q33" s="706">
        <v>1</v>
      </c>
      <c r="R33" s="706">
        <v>2</v>
      </c>
      <c r="S33" s="706">
        <v>3</v>
      </c>
      <c r="T33" s="782">
        <v>3</v>
      </c>
      <c r="U33" s="706">
        <v>3</v>
      </c>
      <c r="V33" s="782">
        <v>3</v>
      </c>
      <c r="W33" s="706">
        <v>5</v>
      </c>
      <c r="X33" s="782">
        <v>4</v>
      </c>
      <c r="Y33" s="706">
        <v>12</v>
      </c>
      <c r="Z33" s="706">
        <v>12</v>
      </c>
      <c r="AA33" s="707">
        <v>1</v>
      </c>
      <c r="AB33" s="706">
        <f>+'1.Informe Seguimiento POA 2022'!O37</f>
        <v>2</v>
      </c>
      <c r="AC33" s="706">
        <f>+'1.Informe Seguimiento POA 2022'!P37</f>
        <v>0</v>
      </c>
      <c r="AD33" s="706">
        <f>+'1.Informe Seguimiento POA 2022'!Q37</f>
        <v>6</v>
      </c>
      <c r="AE33" s="782">
        <f>+'1.Informe Seguimiento POA 2022'!R37</f>
        <v>3</v>
      </c>
      <c r="AF33" s="706">
        <f>+'1.Informe Seguimiento POA 2022'!S37</f>
        <v>5</v>
      </c>
      <c r="AG33" s="782">
        <f>+'1.Informe Seguimiento POA 2022'!T37</f>
        <v>9</v>
      </c>
      <c r="AH33" s="706">
        <f>+'1.Informe Seguimiento POA 2022'!U37</f>
        <v>8</v>
      </c>
      <c r="AI33" s="782">
        <f>+'1.Informe Seguimiento POA 2022'!V37</f>
        <v>0</v>
      </c>
      <c r="AJ33" s="706">
        <f>+'1.Informe Seguimiento POA 2022'!W37</f>
        <v>21</v>
      </c>
      <c r="AK33" s="706">
        <f>+'1.Informe Seguimiento POA 2022'!X37</f>
        <v>12</v>
      </c>
      <c r="AL33" s="707">
        <f>+'1.Informe Seguimiento POA 2022'!Y37</f>
        <v>0.5714285714285714</v>
      </c>
      <c r="AM33" s="1306">
        <f>'1.Informe Seguimiento POA 2022'!AB37</f>
        <v>0.28813559322033899</v>
      </c>
      <c r="AN33" s="707"/>
      <c r="AO33" s="707"/>
      <c r="AP33" s="707"/>
      <c r="AQ33" s="707"/>
      <c r="AR33" s="707"/>
      <c r="AS33" s="707"/>
      <c r="AT33" s="707"/>
      <c r="AU33" s="707"/>
      <c r="AV33" s="706">
        <f t="shared" si="0"/>
        <v>23</v>
      </c>
      <c r="AW33" s="706"/>
      <c r="AX33" s="707"/>
      <c r="AY33" s="707"/>
      <c r="AZ33" s="707"/>
      <c r="BA33" s="707"/>
      <c r="BB33" s="707"/>
      <c r="BC33" s="707"/>
      <c r="BD33" s="707"/>
      <c r="BE33" s="707"/>
      <c r="BF33" s="707"/>
      <c r="BG33" s="706">
        <f t="shared" si="1"/>
        <v>4</v>
      </c>
      <c r="BH33" s="706"/>
      <c r="BI33" s="707"/>
      <c r="BJ33" s="706">
        <f t="shared" si="9"/>
        <v>20</v>
      </c>
      <c r="BK33" s="706">
        <f t="shared" si="9"/>
        <v>15</v>
      </c>
      <c r="BL33" s="801">
        <f t="shared" si="10"/>
        <v>0.75</v>
      </c>
      <c r="BM33" s="707">
        <f t="shared" si="6"/>
        <v>0.25</v>
      </c>
      <c r="BN33" s="1115">
        <f t="shared" si="4"/>
        <v>5.0847457627118647E-2</v>
      </c>
      <c r="BO33" s="1404">
        <f>+BN33+BN34+BN35</f>
        <v>0.66101694915254239</v>
      </c>
      <c r="BP33" s="1254"/>
      <c r="BQ33" s="820"/>
      <c r="BR33" s="820"/>
    </row>
    <row r="34" spans="2:70" ht="63.75" customHeight="1">
      <c r="B34" s="1251"/>
      <c r="C34" s="1329"/>
      <c r="D34" s="1364"/>
      <c r="E34" s="1365"/>
      <c r="F34" s="1329"/>
      <c r="G34" s="1329"/>
      <c r="H34" s="701" t="str">
        <f>+'1.Informe Seguimiento POA 2022'!D38</f>
        <v>2.3.2 Realizar 160 acompañamientos a los ciudadanos que intervienen en los diferentes espacios de participación ciudadana.</v>
      </c>
      <c r="I34" s="152">
        <f>+'1.Informe Seguimiento POA 2022'!E38</f>
        <v>0.5423728813559322</v>
      </c>
      <c r="J34" s="702">
        <f>+'1.Informe Seguimiento POA 2022'!F38</f>
        <v>160</v>
      </c>
      <c r="K34" s="703" t="str">
        <f>+'1.Informe Seguimiento POA 2022'!I38</f>
        <v>Prevención y Control a la Función Pública</v>
      </c>
      <c r="L34" s="704" t="str">
        <f>+'1.Informe Seguimiento POA 2022'!J38</f>
        <v xml:space="preserve">Personería Delegada para la Coordinación de Gestión de las Personerías Locales y sus Personerías Locales. </v>
      </c>
      <c r="M34" s="705">
        <f>+'1.Informe Seguimiento POA 2022'!K38</f>
        <v>40</v>
      </c>
      <c r="N34" s="705">
        <f>+'1.Informe Seguimiento POA 2022'!L38</f>
        <v>60</v>
      </c>
      <c r="O34" s="705">
        <f>+'1.Informe Seguimiento POA 2022'!M38</f>
        <v>40</v>
      </c>
      <c r="P34" s="705">
        <f>+'1.Informe Seguimiento POA 2022'!N38</f>
        <v>20</v>
      </c>
      <c r="Q34" s="706">
        <v>8</v>
      </c>
      <c r="R34" s="706">
        <v>23</v>
      </c>
      <c r="S34" s="706">
        <v>12</v>
      </c>
      <c r="T34" s="782">
        <v>21</v>
      </c>
      <c r="U34" s="706">
        <v>12</v>
      </c>
      <c r="V34" s="782">
        <v>26</v>
      </c>
      <c r="W34" s="706">
        <v>8</v>
      </c>
      <c r="X34" s="782">
        <v>19</v>
      </c>
      <c r="Y34" s="706">
        <v>40</v>
      </c>
      <c r="Z34" s="706">
        <v>89</v>
      </c>
      <c r="AA34" s="707">
        <v>2.2250000000000001</v>
      </c>
      <c r="AB34" s="706">
        <f>+'1.Informe Seguimiento POA 2022'!O38</f>
        <v>12</v>
      </c>
      <c r="AC34" s="706">
        <f>+'1.Informe Seguimiento POA 2022'!P38</f>
        <v>18</v>
      </c>
      <c r="AD34" s="706">
        <f>+'1.Informe Seguimiento POA 2022'!Q38</f>
        <v>18</v>
      </c>
      <c r="AE34" s="782">
        <f>+'1.Informe Seguimiento POA 2022'!R38</f>
        <v>13</v>
      </c>
      <c r="AF34" s="706">
        <f>+'1.Informe Seguimiento POA 2022'!S38</f>
        <v>18</v>
      </c>
      <c r="AG34" s="782">
        <f>+'1.Informe Seguimiento POA 2022'!T38</f>
        <v>7</v>
      </c>
      <c r="AH34" s="706">
        <f>+'1.Informe Seguimiento POA 2022'!U38</f>
        <v>12</v>
      </c>
      <c r="AI34" s="782">
        <f>+'1.Informe Seguimiento POA 2022'!V38</f>
        <v>0</v>
      </c>
      <c r="AJ34" s="706">
        <f>+'1.Informe Seguimiento POA 2022'!W38</f>
        <v>60</v>
      </c>
      <c r="AK34" s="706">
        <f>+'1.Informe Seguimiento POA 2022'!X38</f>
        <v>38</v>
      </c>
      <c r="AL34" s="707">
        <f>+'1.Informe Seguimiento POA 2022'!Y38</f>
        <v>0.6333333333333333</v>
      </c>
      <c r="AM34" s="1308"/>
      <c r="AN34" s="707"/>
      <c r="AO34" s="707"/>
      <c r="AP34" s="707"/>
      <c r="AQ34" s="707"/>
      <c r="AR34" s="707"/>
      <c r="AS34" s="707"/>
      <c r="AT34" s="707"/>
      <c r="AU34" s="707"/>
      <c r="AV34" s="706">
        <f t="shared" si="0"/>
        <v>40</v>
      </c>
      <c r="AW34" s="706"/>
      <c r="AX34" s="707"/>
      <c r="AY34" s="707"/>
      <c r="AZ34" s="707"/>
      <c r="BA34" s="707"/>
      <c r="BB34" s="707"/>
      <c r="BC34" s="707"/>
      <c r="BD34" s="707"/>
      <c r="BE34" s="707"/>
      <c r="BF34" s="707"/>
      <c r="BG34" s="706">
        <f t="shared" si="1"/>
        <v>20</v>
      </c>
      <c r="BH34" s="706"/>
      <c r="BI34" s="707"/>
      <c r="BJ34" s="706">
        <f t="shared" si="9"/>
        <v>70</v>
      </c>
      <c r="BK34" s="706">
        <f t="shared" si="9"/>
        <v>120</v>
      </c>
      <c r="BL34" s="801">
        <f t="shared" si="10"/>
        <v>1.7142857142857142</v>
      </c>
      <c r="BM34" s="707">
        <f t="shared" si="6"/>
        <v>0.75</v>
      </c>
      <c r="BN34" s="1115">
        <f t="shared" si="4"/>
        <v>0.40677966101694918</v>
      </c>
      <c r="BO34" s="1404"/>
      <c r="BP34" s="1254"/>
      <c r="BQ34" s="820"/>
      <c r="BR34" s="820"/>
    </row>
    <row r="35" spans="2:70" ht="102" customHeight="1">
      <c r="B35" s="1252"/>
      <c r="C35" s="1330"/>
      <c r="D35" s="1363"/>
      <c r="E35" s="1361"/>
      <c r="F35" s="1330"/>
      <c r="G35" s="1330"/>
      <c r="H35" s="701" t="str">
        <f>+'1.Informe Seguimiento POA 2022'!D39</f>
        <v>2.3.3 Realizar 100 espacios de diálogo con las personas para retroalimentar las actividades de participación ciudadana</v>
      </c>
      <c r="I35" s="152">
        <f>+'1.Informe Seguimiento POA 2022'!E39</f>
        <v>0.33898305084745761</v>
      </c>
      <c r="J35" s="702">
        <f>+'1.Informe Seguimiento POA 2022'!F39</f>
        <v>100</v>
      </c>
      <c r="K35" s="703" t="str">
        <f>+'1.Informe Seguimiento POA 2022'!I39</f>
        <v>Prevención y Control a la Función Pública</v>
      </c>
      <c r="L35" s="704" t="str">
        <f>+'1.Informe Seguimiento POA 2022'!J39</f>
        <v>Personería Delegada para la Coordinación de Gestión de las Personerías Locales y sus Personerías Locales. 
Personería Delegada para la Coordinación de Prevención y Control a la Función Pública y sus Personerías Delegadas.</v>
      </c>
      <c r="M35" s="705">
        <f>+'1.Informe Seguimiento POA 2022'!K39</f>
        <v>20</v>
      </c>
      <c r="N35" s="705">
        <f>+'1.Informe Seguimiento POA 2022'!L39</f>
        <v>30</v>
      </c>
      <c r="O35" s="705">
        <f>+'1.Informe Seguimiento POA 2022'!M39</f>
        <v>30</v>
      </c>
      <c r="P35" s="705">
        <f>+'1.Informe Seguimiento POA 2022'!N39</f>
        <v>20</v>
      </c>
      <c r="Q35" s="706">
        <v>4</v>
      </c>
      <c r="R35" s="706">
        <v>0</v>
      </c>
      <c r="S35" s="706">
        <v>6</v>
      </c>
      <c r="T35" s="782">
        <v>7</v>
      </c>
      <c r="U35" s="706">
        <v>6</v>
      </c>
      <c r="V35" s="782">
        <v>16</v>
      </c>
      <c r="W35" s="706">
        <v>4</v>
      </c>
      <c r="X35" s="782">
        <v>20</v>
      </c>
      <c r="Y35" s="706">
        <v>20</v>
      </c>
      <c r="Z35" s="706">
        <v>43</v>
      </c>
      <c r="AA35" s="707">
        <v>2.15</v>
      </c>
      <c r="AB35" s="706">
        <f>+'1.Informe Seguimiento POA 2022'!O39</f>
        <v>6</v>
      </c>
      <c r="AC35" s="706">
        <f>+'1.Informe Seguimiento POA 2022'!P39</f>
        <v>13</v>
      </c>
      <c r="AD35" s="706">
        <f>+'1.Informe Seguimiento POA 2022'!Q39</f>
        <v>9</v>
      </c>
      <c r="AE35" s="782">
        <f>+'1.Informe Seguimiento POA 2022'!R39</f>
        <v>4</v>
      </c>
      <c r="AF35" s="706">
        <f>+'1.Informe Seguimiento POA 2022'!S39</f>
        <v>9</v>
      </c>
      <c r="AG35" s="782">
        <f>+'1.Informe Seguimiento POA 2022'!T39</f>
        <v>18</v>
      </c>
      <c r="AH35" s="706">
        <f>+'1.Informe Seguimiento POA 2022'!U39</f>
        <v>6</v>
      </c>
      <c r="AI35" s="782">
        <f>+'1.Informe Seguimiento POA 2022'!V39</f>
        <v>0</v>
      </c>
      <c r="AJ35" s="706">
        <f>+'1.Informe Seguimiento POA 2022'!W39</f>
        <v>30</v>
      </c>
      <c r="AK35" s="706">
        <f>+'1.Informe Seguimiento POA 2022'!X39</f>
        <v>35</v>
      </c>
      <c r="AL35" s="707">
        <f>+'1.Informe Seguimiento POA 2022'!Y39</f>
        <v>1.1666666666666667</v>
      </c>
      <c r="AM35" s="1307"/>
      <c r="AN35" s="707"/>
      <c r="AO35" s="707"/>
      <c r="AP35" s="707"/>
      <c r="AQ35" s="707"/>
      <c r="AR35" s="707"/>
      <c r="AS35" s="707"/>
      <c r="AT35" s="707"/>
      <c r="AU35" s="707"/>
      <c r="AV35" s="706">
        <f t="shared" si="0"/>
        <v>30</v>
      </c>
      <c r="AW35" s="706"/>
      <c r="AX35" s="707"/>
      <c r="AY35" s="707"/>
      <c r="AZ35" s="707"/>
      <c r="BA35" s="707"/>
      <c r="BB35" s="707"/>
      <c r="BC35" s="707"/>
      <c r="BD35" s="707"/>
      <c r="BE35" s="707"/>
      <c r="BF35" s="707"/>
      <c r="BG35" s="706">
        <f t="shared" si="1"/>
        <v>20</v>
      </c>
      <c r="BH35" s="706"/>
      <c r="BI35" s="707"/>
      <c r="BJ35" s="706">
        <f t="shared" si="9"/>
        <v>35</v>
      </c>
      <c r="BK35" s="706">
        <f t="shared" si="9"/>
        <v>60</v>
      </c>
      <c r="BL35" s="801">
        <f t="shared" si="10"/>
        <v>1.7142857142857142</v>
      </c>
      <c r="BM35" s="707">
        <f t="shared" si="6"/>
        <v>0.6</v>
      </c>
      <c r="BN35" s="1115">
        <f t="shared" si="4"/>
        <v>0.20338983050847456</v>
      </c>
      <c r="BO35" s="1405"/>
      <c r="BP35" s="1255"/>
      <c r="BQ35" s="820"/>
      <c r="BR35" s="820"/>
    </row>
    <row r="36" spans="2:70" ht="93.75" customHeight="1">
      <c r="B36" s="1225" t="str">
        <f>+'Matriz PEI 2021-2024'!B16</f>
        <v>3. Vigilar la conducta oficial de los(as) servidores(as) públicos(as) del Distrito Capital, mediante acciones preventivas y correctivas, que permitan un adecuado cumplimiento de los principios de la Función Pública</v>
      </c>
      <c r="C36" s="1285" t="str">
        <f>+'Matriz PEI 2021-2024'!C16</f>
        <v>3.1. Descongestionar 6.700 procesos disciplinarios con criterios de calidad, efectividad y garantía del debido proceso.</v>
      </c>
      <c r="D36" s="1355">
        <f>+'Matriz PEI 2021-2024'!E16</f>
        <v>6700</v>
      </c>
      <c r="E36" s="1287">
        <f>+'Matriz PEI 2021-2024'!D16</f>
        <v>0.4</v>
      </c>
      <c r="F36" s="774" t="s">
        <v>950</v>
      </c>
      <c r="G36" s="775" t="s">
        <v>951</v>
      </c>
      <c r="H36" s="51" t="str">
        <f>+'1.Informe Seguimiento POA 2022'!D40</f>
        <v xml:space="preserve">3.1.1 Identificar y decidir de fondo 6,700  procesos, priorizando aquellos que se encuentren con riesgo de prescripción y/o vencidos en su etapa procesal (indagación, investigación y juzgamiento). </v>
      </c>
      <c r="I36" s="777">
        <f>+'1.Informe Seguimiento POA 2022'!E40</f>
        <v>0.8</v>
      </c>
      <c r="J36" s="694">
        <f>+'1.Informe Seguimiento POA 2022'!F40</f>
        <v>6700</v>
      </c>
      <c r="K36" s="778" t="str">
        <f>+'1.Informe Seguimiento POA 2022'!I40</f>
        <v>Potestad Disciplinaria</v>
      </c>
      <c r="L36" s="778" t="str">
        <f>+'1.Informe Seguimiento POA 2022'!J40</f>
        <v>Personería Delegada para la Coordinación de Potestad Disciplinaria</v>
      </c>
      <c r="M36" s="695">
        <f>+'1.Informe Seguimiento POA 2022'!K40</f>
        <v>1600</v>
      </c>
      <c r="N36" s="695">
        <f>+'1.Informe Seguimiento POA 2022'!L40</f>
        <v>1800</v>
      </c>
      <c r="O36" s="695">
        <f>+'1.Informe Seguimiento POA 2022'!M40</f>
        <v>1800</v>
      </c>
      <c r="P36" s="695">
        <f>+'1.Informe Seguimiento POA 2022'!N40</f>
        <v>1500</v>
      </c>
      <c r="Q36" s="696">
        <v>250</v>
      </c>
      <c r="R36" s="696">
        <v>319</v>
      </c>
      <c r="S36" s="696">
        <v>450</v>
      </c>
      <c r="T36" s="696">
        <v>528</v>
      </c>
      <c r="U36" s="696">
        <v>140</v>
      </c>
      <c r="V36" s="696">
        <v>329</v>
      </c>
      <c r="W36" s="696">
        <v>760</v>
      </c>
      <c r="X36" s="696">
        <v>393</v>
      </c>
      <c r="Y36" s="696">
        <v>1600</v>
      </c>
      <c r="Z36" s="696">
        <v>1569</v>
      </c>
      <c r="AA36" s="1072">
        <v>0.98062499999999997</v>
      </c>
      <c r="AB36" s="696">
        <f>+'1.Informe Seguimiento POA 2022'!O40</f>
        <v>300</v>
      </c>
      <c r="AC36" s="696">
        <f>+'1.Informe Seguimiento POA 2022'!P40</f>
        <v>318</v>
      </c>
      <c r="AD36" s="696">
        <f>+'1.Informe Seguimiento POA 2022'!Q40</f>
        <v>490</v>
      </c>
      <c r="AE36" s="696">
        <f>+'1.Informe Seguimiento POA 2022'!R40</f>
        <v>366</v>
      </c>
      <c r="AF36" s="696">
        <f>+'1.Informe Seguimiento POA 2022'!S40</f>
        <v>630</v>
      </c>
      <c r="AG36" s="696">
        <f>+'1.Informe Seguimiento POA 2022'!T40</f>
        <v>450</v>
      </c>
      <c r="AH36" s="696">
        <f>+'1.Informe Seguimiento POA 2022'!U40</f>
        <v>380</v>
      </c>
      <c r="AI36" s="696">
        <f>+'1.Informe Seguimiento POA 2022'!V40</f>
        <v>0</v>
      </c>
      <c r="AJ36" s="696">
        <f>+'1.Informe Seguimiento POA 2022'!W40</f>
        <v>1800</v>
      </c>
      <c r="AK36" s="696">
        <f>+'1.Informe Seguimiento POA 2022'!X40</f>
        <v>1134</v>
      </c>
      <c r="AL36" s="781">
        <f>+'1.Informe Seguimiento POA 2022'!Y40</f>
        <v>0.63</v>
      </c>
      <c r="AM36" s="1303">
        <f>'1.Informe Seguimiento POA 2022'!AB40</f>
        <v>0.23380298507462688</v>
      </c>
      <c r="AN36" s="697"/>
      <c r="AO36" s="697"/>
      <c r="AP36" s="697"/>
      <c r="AQ36" s="697"/>
      <c r="AR36" s="697"/>
      <c r="AS36" s="697"/>
      <c r="AT36" s="697"/>
      <c r="AU36" s="697"/>
      <c r="AV36" s="696">
        <f t="shared" si="0"/>
        <v>1800</v>
      </c>
      <c r="AW36" s="696"/>
      <c r="AX36" s="697"/>
      <c r="AY36" s="697"/>
      <c r="AZ36" s="697"/>
      <c r="BA36" s="697"/>
      <c r="BB36" s="697"/>
      <c r="BC36" s="697"/>
      <c r="BD36" s="697"/>
      <c r="BE36" s="697"/>
      <c r="BF36" s="697"/>
      <c r="BG36" s="696">
        <f t="shared" si="1"/>
        <v>1500</v>
      </c>
      <c r="BH36" s="696"/>
      <c r="BI36" s="697"/>
      <c r="BJ36" s="791">
        <f t="shared" si="9"/>
        <v>2390</v>
      </c>
      <c r="BK36" s="791">
        <f t="shared" si="9"/>
        <v>2253</v>
      </c>
      <c r="BL36" s="697">
        <f t="shared" si="10"/>
        <v>0.94267782426778246</v>
      </c>
      <c r="BM36" s="697">
        <f t="shared" si="6"/>
        <v>0.33626865671641792</v>
      </c>
      <c r="BN36" s="1114">
        <f t="shared" si="4"/>
        <v>0.26901492537313437</v>
      </c>
      <c r="BO36" s="1411">
        <f>SUM(BN36:BN37)</f>
        <v>0.29280798092868993</v>
      </c>
      <c r="BP36" s="1218">
        <f>(IF(AND(BO36&gt;0,E36&gt;0),BO36*E36))+(IF(AND(BO38&gt;0,E38&gt;0),BO38*E38))+(IF(AND(BO40&gt;0,E40&gt;0),BO40*E40))+(IF(AND(BO41&gt;0,E41&gt;0),BO41*E41))</f>
        <v>0.316416942371476</v>
      </c>
      <c r="BQ36" s="819"/>
      <c r="BR36" s="819"/>
    </row>
    <row r="37" spans="2:70" ht="67.5" customHeight="1">
      <c r="B37" s="1226"/>
      <c r="C37" s="1286"/>
      <c r="D37" s="1356"/>
      <c r="E37" s="1288"/>
      <c r="F37" s="774" t="s">
        <v>285</v>
      </c>
      <c r="G37" s="775" t="s">
        <v>952</v>
      </c>
      <c r="H37" s="51" t="str">
        <f>+'1.Informe Seguimiento POA 2022'!D41</f>
        <v>3.1.2 Evaluar y dar impulso procesal al 100% las noticias disciplinarias (quejas) puestas en conocimiento de la Entidad.</v>
      </c>
      <c r="I37" s="777">
        <f>+'1.Informe Seguimiento POA 2022'!E41</f>
        <v>0.2</v>
      </c>
      <c r="J37" s="773">
        <f>+'1.Informe Seguimiento POA 2022'!F41</f>
        <v>1</v>
      </c>
      <c r="K37" s="778" t="str">
        <f>+'1.Informe Seguimiento POA 2022'!I41</f>
        <v>Potestad Disciplinaria</v>
      </c>
      <c r="L37" s="778" t="str">
        <f>+'1.Informe Seguimiento POA 2022'!J41</f>
        <v>Personería Delegada para la Coordinación de Potestad Disciplinaria</v>
      </c>
      <c r="M37" s="770">
        <f>+'1.Informe Seguimiento POA 2022'!K41</f>
        <v>1</v>
      </c>
      <c r="N37" s="770">
        <f>+'1.Informe Seguimiento POA 2022'!L41</f>
        <v>1</v>
      </c>
      <c r="O37" s="770">
        <f>+'1.Informe Seguimiento POA 2022'!M41</f>
        <v>1</v>
      </c>
      <c r="P37" s="770">
        <f>+'1.Informe Seguimiento POA 2022'!N41</f>
        <v>1</v>
      </c>
      <c r="Q37" s="1074">
        <v>1</v>
      </c>
      <c r="R37" s="1074">
        <v>0.72299999999999998</v>
      </c>
      <c r="S37" s="1074">
        <v>1</v>
      </c>
      <c r="T37" s="1074">
        <v>0.69200000000000006</v>
      </c>
      <c r="U37" s="1074">
        <v>1</v>
      </c>
      <c r="V37" s="1074">
        <v>1.0813333333333333</v>
      </c>
      <c r="W37" s="1074">
        <v>1</v>
      </c>
      <c r="X37" s="1074">
        <v>1.5069999999999999</v>
      </c>
      <c r="Y37" s="699">
        <v>1</v>
      </c>
      <c r="Z37" s="699">
        <v>1</v>
      </c>
      <c r="AA37" s="699">
        <v>1</v>
      </c>
      <c r="AB37" s="780">
        <f>+'1.Informe Seguimiento POA 2022'!O41</f>
        <v>1</v>
      </c>
      <c r="AC37" s="780">
        <f>+'1.Informe Seguimiento POA 2022'!P41</f>
        <v>0.79066666666666663</v>
      </c>
      <c r="AD37" s="780">
        <f>+'1.Informe Seguimiento POA 2022'!Q41</f>
        <v>1</v>
      </c>
      <c r="AE37" s="780">
        <f>+'1.Informe Seguimiento POA 2022'!R41</f>
        <v>0.91633333333333322</v>
      </c>
      <c r="AF37" s="780">
        <f>+'1.Informe Seguimiento POA 2022'!S41</f>
        <v>1</v>
      </c>
      <c r="AG37" s="780">
        <f>+'1.Informe Seguimiento POA 2022'!T41</f>
        <v>0.91733333333333322</v>
      </c>
      <c r="AH37" s="780">
        <f>+'1.Informe Seguimiento POA 2022'!U41</f>
        <v>1</v>
      </c>
      <c r="AI37" s="780">
        <f>+'1.Informe Seguimiento POA 2022'!V41</f>
        <v>0</v>
      </c>
      <c r="AJ37" s="699">
        <f>+'1.Informe Seguimiento POA 2022'!W41</f>
        <v>1</v>
      </c>
      <c r="AK37" s="699">
        <f>+'1.Informe Seguimiento POA 2022'!X41</f>
        <v>0.65600000000000003</v>
      </c>
      <c r="AL37" s="699">
        <f>+'1.Informe Seguimiento POA 2022'!Y41</f>
        <v>0.49199999999999999</v>
      </c>
      <c r="AM37" s="1305"/>
      <c r="AN37" s="788"/>
      <c r="AO37" s="788"/>
      <c r="AP37" s="788"/>
      <c r="AQ37" s="788"/>
      <c r="AR37" s="788"/>
      <c r="AS37" s="788"/>
      <c r="AT37" s="788"/>
      <c r="AU37" s="788"/>
      <c r="AV37" s="773">
        <f t="shared" si="0"/>
        <v>1</v>
      </c>
      <c r="AW37" s="773"/>
      <c r="AX37" s="788"/>
      <c r="AY37" s="788"/>
      <c r="AZ37" s="788"/>
      <c r="BA37" s="788"/>
      <c r="BB37" s="788"/>
      <c r="BC37" s="788"/>
      <c r="BD37" s="788"/>
      <c r="BE37" s="788"/>
      <c r="BF37" s="788"/>
      <c r="BG37" s="773">
        <f t="shared" si="1"/>
        <v>1</v>
      </c>
      <c r="BH37" s="773"/>
      <c r="BI37" s="788"/>
      <c r="BJ37" s="697">
        <f>IFERROR(AVERAGE(Q37,S37,U37,W37,AB37,AD37),0)</f>
        <v>1</v>
      </c>
      <c r="BK37" s="697">
        <f>IFERROR(AVERAGE(R37,T37,V37,X37,AC37,AE37),0)</f>
        <v>0.95172222222222214</v>
      </c>
      <c r="BL37" s="697">
        <f t="shared" si="10"/>
        <v>0.95172222222222214</v>
      </c>
      <c r="BM37" s="697">
        <f>(IF(AND(BK37&gt;0,$J37&gt;0),BK37/$J37,0)/4)*0.5</f>
        <v>0.11896527777777777</v>
      </c>
      <c r="BN37" s="1114">
        <f t="shared" si="4"/>
        <v>2.3793055555555553E-2</v>
      </c>
      <c r="BO37" s="1412"/>
      <c r="BP37" s="1219"/>
      <c r="BQ37" s="819"/>
      <c r="BR37" s="819"/>
    </row>
    <row r="38" spans="2:70" ht="95.25" customHeight="1">
      <c r="B38" s="1226"/>
      <c r="C38" s="1285" t="str">
        <f>+'Matriz PEI 2021-2024'!C17</f>
        <v xml:space="preserve">3.2. Identificar el 100% de los hechos constitutivos de faltas disciplinarias para ejercer el poder preferente en las Oficinas de Control Interno Disciplinario, en temas de interés e impacto para el Distrito Capital. </v>
      </c>
      <c r="D38" s="1287">
        <f>+'Matriz PEI 2021-2024'!E17</f>
        <v>1</v>
      </c>
      <c r="E38" s="1287">
        <f>+'Matriz PEI 2021-2024'!D17</f>
        <v>0.15</v>
      </c>
      <c r="F38" s="776" t="s">
        <v>302</v>
      </c>
      <c r="G38" s="775" t="s">
        <v>953</v>
      </c>
      <c r="H38" s="51" t="str">
        <f>+'1.Informe Seguimiento POA 2022'!D42</f>
        <v>3.2.1 Realizar una visita de seguimiento a las 51 Oficinas de Control Interno Disciplinario del Distrito e identificar hechos constitutivos de faltas relevantes en temas de interés e impacto en cada anualidad.</v>
      </c>
      <c r="I38" s="777">
        <f>+'1.Informe Seguimiento POA 2022'!E42</f>
        <v>0.5</v>
      </c>
      <c r="J38" s="694">
        <f>+'1.Informe Seguimiento POA 2022'!F42</f>
        <v>204</v>
      </c>
      <c r="K38" s="778" t="str">
        <f>+'1.Informe Seguimiento POA 2022'!I42</f>
        <v>Potestad Disciplinaria</v>
      </c>
      <c r="L38" s="778" t="str">
        <f>+'1.Informe Seguimiento POA 2022'!J42</f>
        <v>Personería Delegada para la Coordinación de Potestad Disciplinaria</v>
      </c>
      <c r="M38" s="695">
        <f>+'1.Informe Seguimiento POA 2022'!K42</f>
        <v>51</v>
      </c>
      <c r="N38" s="695">
        <f>+'1.Informe Seguimiento POA 2022'!L42</f>
        <v>51</v>
      </c>
      <c r="O38" s="695">
        <f>+'1.Informe Seguimiento POA 2022'!M42</f>
        <v>51</v>
      </c>
      <c r="P38" s="695">
        <f>+'1.Informe Seguimiento POA 2022'!N42</f>
        <v>51</v>
      </c>
      <c r="Q38" s="708">
        <v>0</v>
      </c>
      <c r="R38" s="708">
        <v>12</v>
      </c>
      <c r="S38" s="708">
        <v>15</v>
      </c>
      <c r="T38" s="708">
        <v>39</v>
      </c>
      <c r="U38" s="708">
        <v>15</v>
      </c>
      <c r="V38" s="708">
        <v>0</v>
      </c>
      <c r="W38" s="708">
        <v>21</v>
      </c>
      <c r="X38" s="708">
        <v>0</v>
      </c>
      <c r="Y38" s="696">
        <v>51</v>
      </c>
      <c r="Z38" s="696">
        <v>51</v>
      </c>
      <c r="AA38" s="1072">
        <v>1</v>
      </c>
      <c r="AB38" s="708">
        <f>+'1.Informe Seguimiento POA 2022'!O42</f>
        <v>0</v>
      </c>
      <c r="AC38" s="708">
        <f>+'1.Informe Seguimiento POA 2022'!P42</f>
        <v>0</v>
      </c>
      <c r="AD38" s="708">
        <f>+'1.Informe Seguimiento POA 2022'!Q42</f>
        <v>30</v>
      </c>
      <c r="AE38" s="708">
        <f>+'1.Informe Seguimiento POA 2022'!R42</f>
        <v>0</v>
      </c>
      <c r="AF38" s="708">
        <f>+'1.Informe Seguimiento POA 2022'!S42</f>
        <v>21</v>
      </c>
      <c r="AG38" s="708">
        <f>+'1.Informe Seguimiento POA 2022'!T42</f>
        <v>9</v>
      </c>
      <c r="AH38" s="708">
        <f>+'1.Informe Seguimiento POA 2022'!U42</f>
        <v>0</v>
      </c>
      <c r="AI38" s="708">
        <f>+'1.Informe Seguimiento POA 2022'!V42</f>
        <v>0</v>
      </c>
      <c r="AJ38" s="696">
        <f>+'1.Informe Seguimiento POA 2022'!W42</f>
        <v>51</v>
      </c>
      <c r="AK38" s="696">
        <f>+'1.Informe Seguimiento POA 2022'!X42</f>
        <v>9</v>
      </c>
      <c r="AL38" s="781">
        <f>+'1.Informe Seguimiento POA 2022'!Y42</f>
        <v>0.17647058823529413</v>
      </c>
      <c r="AM38" s="1303">
        <f>'1.Informe Seguimiento POA 2022'!AB42</f>
        <v>9.0683823529411761E-2</v>
      </c>
      <c r="AN38" s="697"/>
      <c r="AO38" s="697"/>
      <c r="AP38" s="697"/>
      <c r="AQ38" s="697"/>
      <c r="AR38" s="697"/>
      <c r="AS38" s="697"/>
      <c r="AT38" s="697"/>
      <c r="AU38" s="697"/>
      <c r="AV38" s="696">
        <f t="shared" si="0"/>
        <v>51</v>
      </c>
      <c r="AW38" s="696"/>
      <c r="AX38" s="697"/>
      <c r="AY38" s="697"/>
      <c r="AZ38" s="697"/>
      <c r="BA38" s="697"/>
      <c r="BB38" s="697"/>
      <c r="BC38" s="697"/>
      <c r="BD38" s="697"/>
      <c r="BE38" s="697"/>
      <c r="BF38" s="697"/>
      <c r="BG38" s="696">
        <f t="shared" si="1"/>
        <v>51</v>
      </c>
      <c r="BH38" s="696"/>
      <c r="BI38" s="697"/>
      <c r="BJ38" s="791">
        <f>Q38+S38+U38+W38+AB38+AD38</f>
        <v>81</v>
      </c>
      <c r="BK38" s="791">
        <f>R38+T38+V38+X38+AC38+AE38</f>
        <v>51</v>
      </c>
      <c r="BL38" s="697">
        <f t="shared" si="10"/>
        <v>0.62962962962962965</v>
      </c>
      <c r="BM38" s="697">
        <f t="shared" si="6"/>
        <v>0.25</v>
      </c>
      <c r="BN38" s="1114">
        <f t="shared" si="4"/>
        <v>0.125</v>
      </c>
      <c r="BO38" s="1411">
        <f>SUM(BN38:BN39)</f>
        <v>0.140625</v>
      </c>
      <c r="BP38" s="1219"/>
      <c r="BQ38" s="819"/>
      <c r="BR38" s="819"/>
    </row>
    <row r="39" spans="2:70" ht="95.25" customHeight="1">
      <c r="B39" s="1226"/>
      <c r="C39" s="1286"/>
      <c r="D39" s="1288"/>
      <c r="E39" s="1320"/>
      <c r="F39" s="873" t="s">
        <v>286</v>
      </c>
      <c r="G39" s="873" t="s">
        <v>664</v>
      </c>
      <c r="H39" s="51" t="str">
        <f>+'1.Informe Seguimiento POA 2022'!D43</f>
        <v>3.2.2 Asumir por competencia preferente el 100% de los procesos cuyos temas sean considerados de interés e impacto el Distrito Capital.</v>
      </c>
      <c r="I39" s="777">
        <f>+'1.Informe Seguimiento POA 2022'!E43</f>
        <v>0.5</v>
      </c>
      <c r="J39" s="773">
        <f>+'1.Informe Seguimiento POA 2022'!F43</f>
        <v>1</v>
      </c>
      <c r="K39" s="778" t="str">
        <f>+'1.Informe Seguimiento POA 2022'!I43</f>
        <v>Potestad Disciplinaria</v>
      </c>
      <c r="L39" s="778" t="str">
        <f>+'1.Informe Seguimiento POA 2022'!J43</f>
        <v>Personería Delegada para la Coordinación de Potestad Disciplinaria</v>
      </c>
      <c r="M39" s="770">
        <f>+'1.Informe Seguimiento POA 2022'!K43</f>
        <v>1</v>
      </c>
      <c r="N39" s="770">
        <f>+'1.Informe Seguimiento POA 2022'!L43</f>
        <v>1</v>
      </c>
      <c r="O39" s="770">
        <f>+'1.Informe Seguimiento POA 2022'!M43</f>
        <v>1</v>
      </c>
      <c r="P39" s="770">
        <f>+'1.Informe Seguimiento POA 2022'!N43</f>
        <v>1</v>
      </c>
      <c r="Q39" s="1074">
        <v>0</v>
      </c>
      <c r="R39" s="1074">
        <v>1</v>
      </c>
      <c r="S39" s="1074">
        <v>1</v>
      </c>
      <c r="T39" s="1074">
        <v>1</v>
      </c>
      <c r="U39" s="1074">
        <v>1</v>
      </c>
      <c r="V39" s="1074">
        <v>1</v>
      </c>
      <c r="W39" s="1074">
        <v>1</v>
      </c>
      <c r="X39" s="1074">
        <v>1</v>
      </c>
      <c r="Y39" s="699">
        <v>1</v>
      </c>
      <c r="Z39" s="699">
        <v>1</v>
      </c>
      <c r="AA39" s="699">
        <v>1</v>
      </c>
      <c r="AB39" s="780">
        <f>+'1.Informe Seguimiento POA 2022'!O43</f>
        <v>1</v>
      </c>
      <c r="AC39" s="780">
        <f>+'1.Informe Seguimiento POA 2022'!P43</f>
        <v>1</v>
      </c>
      <c r="AD39" s="780">
        <f>+'1.Informe Seguimiento POA 2022'!Q43</f>
        <v>1</v>
      </c>
      <c r="AE39" s="780">
        <f>+'1.Informe Seguimiento POA 2022'!R43</f>
        <v>1</v>
      </c>
      <c r="AF39" s="780">
        <f>+'1.Informe Seguimiento POA 2022'!S43</f>
        <v>1</v>
      </c>
      <c r="AG39" s="780">
        <f>+'1.Informe Seguimiento POA 2022'!T43</f>
        <v>0.92966666666666675</v>
      </c>
      <c r="AH39" s="780">
        <f>+'1.Informe Seguimiento POA 2022'!U43</f>
        <v>1</v>
      </c>
      <c r="AI39" s="780">
        <f>+'1.Informe Seguimiento POA 2022'!V43</f>
        <v>0</v>
      </c>
      <c r="AJ39" s="699">
        <f>+'1.Informe Seguimiento POA 2022'!W43</f>
        <v>1</v>
      </c>
      <c r="AK39" s="699">
        <f>+'1.Informe Seguimiento POA 2022'!X43</f>
        <v>0.73199999999999998</v>
      </c>
      <c r="AL39" s="699">
        <f>+'1.Informe Seguimiento POA 2022'!Y43</f>
        <v>0.54899999999999993</v>
      </c>
      <c r="AM39" s="1305"/>
      <c r="AN39" s="788"/>
      <c r="AO39" s="788"/>
      <c r="AP39" s="788"/>
      <c r="AQ39" s="788"/>
      <c r="AR39" s="788"/>
      <c r="AS39" s="788"/>
      <c r="AT39" s="788"/>
      <c r="AU39" s="788"/>
      <c r="AV39" s="773">
        <f t="shared" si="0"/>
        <v>1</v>
      </c>
      <c r="AW39" s="773"/>
      <c r="AX39" s="788"/>
      <c r="AY39" s="788"/>
      <c r="AZ39" s="788"/>
      <c r="BA39" s="788"/>
      <c r="BB39" s="788"/>
      <c r="BC39" s="788"/>
      <c r="BD39" s="788"/>
      <c r="BE39" s="788"/>
      <c r="BF39" s="788"/>
      <c r="BG39" s="773">
        <f t="shared" si="1"/>
        <v>1</v>
      </c>
      <c r="BH39" s="773"/>
      <c r="BI39" s="788"/>
      <c r="BJ39" s="697">
        <f>IFERROR(AVERAGE(S39,U39,W39,AB39,AD39),0)</f>
        <v>1</v>
      </c>
      <c r="BK39" s="697">
        <f>IFERROR(AVERAGE(R39,T39,V39,X39,AC39,AE39),0)</f>
        <v>1</v>
      </c>
      <c r="BL39" s="697">
        <f t="shared" si="10"/>
        <v>1</v>
      </c>
      <c r="BM39" s="697">
        <f>(IF(AND(BK39&gt;0,$J39&gt;0),BK39/$J39,0)/4)*0.5</f>
        <v>0.125</v>
      </c>
      <c r="BN39" s="1114">
        <f>IF(AND(BM39&gt;0,I39&gt;0),BM39*I39,0)*0.25</f>
        <v>1.5625E-2</v>
      </c>
      <c r="BO39" s="1413"/>
      <c r="BP39" s="1219"/>
      <c r="BQ39" s="819"/>
      <c r="BR39" s="819"/>
    </row>
    <row r="40" spans="2:70" ht="126.75" customHeight="1">
      <c r="B40" s="1226"/>
      <c r="C40" s="710" t="str">
        <f>+'Matriz PEI 2021-2024'!C18</f>
        <v>3.3. Generar 8 escenarios que fortalezcan el conocimiento y las competencias del operador disciplinario, que apoya el cumplimiento de la labor misional, extendiendo el alcance a los jueces naturales en el Distrito Capital.</v>
      </c>
      <c r="D40" s="711">
        <f>+'Matriz PEI 2021-2024'!E18</f>
        <v>8</v>
      </c>
      <c r="E40" s="712">
        <f>+'Matriz PEI 2021-2024'!D18</f>
        <v>0.1</v>
      </c>
      <c r="F40" s="874" t="s">
        <v>954</v>
      </c>
      <c r="G40" s="874" t="s">
        <v>955</v>
      </c>
      <c r="H40" s="51" t="str">
        <f>+'1.Informe Seguimiento POA 2022'!D44</f>
        <v>3.3.1 Generar 8 escenarios de intercambio de conocimiento con los(as) servidores(as) públicos(as) para fortalecer el conocimiento en la sustanciación de procesos disciplinarios en el Distrito Capital.</v>
      </c>
      <c r="I40" s="777">
        <f>+'1.Informe Seguimiento POA 2022'!E44</f>
        <v>1</v>
      </c>
      <c r="J40" s="694">
        <f>+'1.Informe Seguimiento POA 2022'!F44</f>
        <v>8</v>
      </c>
      <c r="K40" s="778" t="str">
        <f>+'1.Informe Seguimiento POA 2022'!I44</f>
        <v>Potestad Disciplinaria</v>
      </c>
      <c r="L40" s="778" t="str">
        <f>+'1.Informe Seguimiento POA 2022'!J44</f>
        <v>Personería Delegada para la Coordinación de Potestad Disciplinaria</v>
      </c>
      <c r="M40" s="695">
        <f>+'1.Informe Seguimiento POA 2022'!K44</f>
        <v>2</v>
      </c>
      <c r="N40" s="695">
        <f>+'1.Informe Seguimiento POA 2022'!L44</f>
        <v>2</v>
      </c>
      <c r="O40" s="695">
        <f>+'1.Informe Seguimiento POA 2022'!M44</f>
        <v>2</v>
      </c>
      <c r="P40" s="695">
        <f>+'1.Informe Seguimiento POA 2022'!N44</f>
        <v>2</v>
      </c>
      <c r="Q40" s="696">
        <v>0</v>
      </c>
      <c r="R40" s="696">
        <v>0</v>
      </c>
      <c r="S40" s="696">
        <v>0</v>
      </c>
      <c r="T40" s="696">
        <v>1</v>
      </c>
      <c r="U40" s="696">
        <v>1</v>
      </c>
      <c r="V40" s="696">
        <v>0</v>
      </c>
      <c r="W40" s="696">
        <v>1</v>
      </c>
      <c r="X40" s="696">
        <v>1</v>
      </c>
      <c r="Y40" s="696">
        <v>2</v>
      </c>
      <c r="Z40" s="696">
        <v>2</v>
      </c>
      <c r="AA40" s="1072">
        <v>1</v>
      </c>
      <c r="AB40" s="696">
        <f>+'1.Informe Seguimiento POA 2022'!O44</f>
        <v>0</v>
      </c>
      <c r="AC40" s="696">
        <f>+'1.Informe Seguimiento POA 2022'!P44</f>
        <v>0</v>
      </c>
      <c r="AD40" s="696">
        <f>+'1.Informe Seguimiento POA 2022'!Q44</f>
        <v>0</v>
      </c>
      <c r="AE40" s="696">
        <f>+'1.Informe Seguimiento POA 2022'!R44</f>
        <v>1</v>
      </c>
      <c r="AF40" s="696">
        <f>+'1.Informe Seguimiento POA 2022'!S44</f>
        <v>1</v>
      </c>
      <c r="AG40" s="696">
        <f>+'1.Informe Seguimiento POA 2022'!T44</f>
        <v>0</v>
      </c>
      <c r="AH40" s="696">
        <f>+'1.Informe Seguimiento POA 2022'!U44</f>
        <v>1</v>
      </c>
      <c r="AI40" s="696">
        <f>+'1.Informe Seguimiento POA 2022'!V44</f>
        <v>0</v>
      </c>
      <c r="AJ40" s="696">
        <f>+'1.Informe Seguimiento POA 2022'!W44</f>
        <v>2</v>
      </c>
      <c r="AK40" s="696">
        <f>+'1.Informe Seguimiento POA 2022'!X44</f>
        <v>1</v>
      </c>
      <c r="AL40" s="781">
        <f>+'1.Informe Seguimiento POA 2022'!Y44</f>
        <v>0.5</v>
      </c>
      <c r="AM40" s="1142">
        <f>'1.Informe Seguimiento POA 2022'!AB44</f>
        <v>0.125</v>
      </c>
      <c r="AN40" s="697"/>
      <c r="AO40" s="697"/>
      <c r="AP40" s="697"/>
      <c r="AQ40" s="697"/>
      <c r="AR40" s="697"/>
      <c r="AS40" s="697"/>
      <c r="AT40" s="697"/>
      <c r="AU40" s="697"/>
      <c r="AV40" s="696">
        <f t="shared" si="0"/>
        <v>2</v>
      </c>
      <c r="AW40" s="696"/>
      <c r="AX40" s="697"/>
      <c r="AY40" s="697"/>
      <c r="AZ40" s="697"/>
      <c r="BA40" s="697"/>
      <c r="BB40" s="697"/>
      <c r="BC40" s="697"/>
      <c r="BD40" s="697"/>
      <c r="BE40" s="697"/>
      <c r="BF40" s="697"/>
      <c r="BG40" s="696">
        <f t="shared" si="1"/>
        <v>2</v>
      </c>
      <c r="BH40" s="696"/>
      <c r="BI40" s="697"/>
      <c r="BJ40" s="791">
        <f t="shared" ref="BJ40:BJ50" si="11">Q40+S40+U40+W40+AB40+AD40</f>
        <v>2</v>
      </c>
      <c r="BK40" s="791">
        <f t="shared" ref="BK40:BK50" si="12">R40+T40+V40+X40+AC40+AE40</f>
        <v>3</v>
      </c>
      <c r="BL40" s="697">
        <f t="shared" si="10"/>
        <v>1.5</v>
      </c>
      <c r="BM40" s="697">
        <f t="shared" si="6"/>
        <v>0.375</v>
      </c>
      <c r="BN40" s="1114">
        <f t="shared" ref="BN40:BN77" si="13">IF(AND(BM40&gt;0,I40&gt;0),BM40*I40,0)</f>
        <v>0.375</v>
      </c>
      <c r="BO40" s="805">
        <f>SUM(BN40)</f>
        <v>0.375</v>
      </c>
      <c r="BP40" s="1219"/>
      <c r="BQ40" s="819"/>
      <c r="BR40" s="819"/>
    </row>
    <row r="41" spans="2:70" ht="61.5" customHeight="1">
      <c r="B41" s="1226"/>
      <c r="C41" s="1285" t="str">
        <f>+'Matriz PEI 2021-2024'!C19</f>
        <v>3.4. Implementar al 100% tres soluciones informáticas propias para la ejecución y gestión de la Potestad Disciplinaria.</v>
      </c>
      <c r="D41" s="1287">
        <f>+'Matriz PEI 2021-2024'!E19</f>
        <v>1</v>
      </c>
      <c r="E41" s="1287">
        <f>+'Matriz PEI 2021-2024'!D19</f>
        <v>0.35</v>
      </c>
      <c r="F41" s="1285" t="s">
        <v>1040</v>
      </c>
      <c r="G41" s="871" t="s">
        <v>956</v>
      </c>
      <c r="H41" s="51" t="str">
        <f>+'1.Informe Seguimiento POA 2022'!D45</f>
        <v>3.4.1 Implementar un sistema de comunicación efectiva y eficiente con las Oficinas de Control Interno del Distrito Capital.</v>
      </c>
      <c r="I41" s="777">
        <f>+'1.Informe Seguimiento POA 2022'!E45</f>
        <v>0.2</v>
      </c>
      <c r="J41" s="694">
        <f>+'1.Informe Seguimiento POA 2022'!F45</f>
        <v>1</v>
      </c>
      <c r="K41" s="778" t="str">
        <f>+'1.Informe Seguimiento POA 2022'!I45</f>
        <v>Potestad Disciplinaria</v>
      </c>
      <c r="L41" s="778" t="str">
        <f>+'1.Informe Seguimiento POA 2022'!J45</f>
        <v>Personería Delegada para la Coordinación de Potestad Disciplinaria</v>
      </c>
      <c r="M41" s="771">
        <f>+'1.Informe Seguimiento POA 2022'!K45</f>
        <v>0.5</v>
      </c>
      <c r="N41" s="771">
        <f>+'1.Informe Seguimiento POA 2022'!L45</f>
        <v>0.5</v>
      </c>
      <c r="O41" s="771">
        <f>+'1.Informe Seguimiento POA 2022'!M45</f>
        <v>0</v>
      </c>
      <c r="P41" s="771">
        <f>+'1.Informe Seguimiento POA 2022'!N45</f>
        <v>0</v>
      </c>
      <c r="Q41" s="713">
        <v>0.05</v>
      </c>
      <c r="R41" s="713">
        <v>0.05</v>
      </c>
      <c r="S41" s="713">
        <v>0.2</v>
      </c>
      <c r="T41" s="713">
        <v>0</v>
      </c>
      <c r="U41" s="713">
        <v>0.15000000000000002</v>
      </c>
      <c r="V41" s="713">
        <v>0.35</v>
      </c>
      <c r="W41" s="713">
        <v>0.1</v>
      </c>
      <c r="X41" s="713">
        <v>0.1</v>
      </c>
      <c r="Y41" s="713">
        <v>0.5</v>
      </c>
      <c r="Z41" s="713">
        <v>0.5</v>
      </c>
      <c r="AA41" s="1073">
        <v>1</v>
      </c>
      <c r="AB41" s="713">
        <f>+'1.Informe Seguimiento POA 2022'!O45</f>
        <v>0.15000000000000002</v>
      </c>
      <c r="AC41" s="713">
        <f>+'1.Informe Seguimiento POA 2022'!P45</f>
        <v>0.15000000000000002</v>
      </c>
      <c r="AD41" s="713">
        <f>+'1.Informe Seguimiento POA 2022'!Q45</f>
        <v>0.15000000000000002</v>
      </c>
      <c r="AE41" s="713">
        <f>+'1.Informe Seguimiento POA 2022'!R45</f>
        <v>0.15000000000000002</v>
      </c>
      <c r="AF41" s="713">
        <f>+'1.Informe Seguimiento POA 2022'!S45</f>
        <v>0.15000000000000002</v>
      </c>
      <c r="AG41" s="713">
        <f>+'1.Informe Seguimiento POA 2022'!T45</f>
        <v>0.15000000000000002</v>
      </c>
      <c r="AH41" s="713">
        <f>+'1.Informe Seguimiento POA 2022'!U45</f>
        <v>0.05</v>
      </c>
      <c r="AI41" s="713">
        <f>+'1.Informe Seguimiento POA 2022'!V45</f>
        <v>0</v>
      </c>
      <c r="AJ41" s="713">
        <f>+'1.Informe Seguimiento POA 2022'!W45</f>
        <v>0.50000000000000011</v>
      </c>
      <c r="AK41" s="713">
        <f>+'1.Informe Seguimiento POA 2022'!X45</f>
        <v>0.45000000000000007</v>
      </c>
      <c r="AL41" s="773">
        <f>+'1.Informe Seguimiento POA 2022'!Y45</f>
        <v>0.89999999999999991</v>
      </c>
      <c r="AM41" s="1309">
        <f>'1.Informe Seguimiento POA 2022'!AB45</f>
        <v>0.33100000000000007</v>
      </c>
      <c r="AN41" s="789"/>
      <c r="AO41" s="789"/>
      <c r="AP41" s="789"/>
      <c r="AQ41" s="789"/>
      <c r="AR41" s="789"/>
      <c r="AS41" s="789"/>
      <c r="AT41" s="789"/>
      <c r="AU41" s="789"/>
      <c r="AV41" s="713">
        <f t="shared" ref="AV41:AV72" si="14">+O41</f>
        <v>0</v>
      </c>
      <c r="AW41" s="713"/>
      <c r="AX41" s="789"/>
      <c r="AY41" s="789"/>
      <c r="AZ41" s="789"/>
      <c r="BA41" s="789"/>
      <c r="BB41" s="789"/>
      <c r="BC41" s="789"/>
      <c r="BD41" s="789"/>
      <c r="BE41" s="789"/>
      <c r="BF41" s="789"/>
      <c r="BG41" s="713">
        <f t="shared" ref="BG41:BG72" si="15">+P41</f>
        <v>0</v>
      </c>
      <c r="BH41" s="713"/>
      <c r="BI41" s="789"/>
      <c r="BJ41" s="804">
        <f t="shared" si="11"/>
        <v>0.8</v>
      </c>
      <c r="BK41" s="804">
        <f t="shared" si="12"/>
        <v>0.8</v>
      </c>
      <c r="BL41" s="697">
        <f t="shared" si="10"/>
        <v>1</v>
      </c>
      <c r="BM41" s="697">
        <f t="shared" si="6"/>
        <v>0.8</v>
      </c>
      <c r="BN41" s="1114">
        <f t="shared" si="13"/>
        <v>0.16000000000000003</v>
      </c>
      <c r="BO41" s="1414">
        <f>SUM(BN41:BN43)</f>
        <v>0.40200000000000002</v>
      </c>
      <c r="BP41" s="1219"/>
      <c r="BQ41" s="819"/>
      <c r="BR41" s="819"/>
    </row>
    <row r="42" spans="2:70" ht="61.5" customHeight="1">
      <c r="B42" s="1226"/>
      <c r="C42" s="1291"/>
      <c r="D42" s="1321"/>
      <c r="E42" s="1322"/>
      <c r="F42" s="1291"/>
      <c r="G42" s="872"/>
      <c r="H42" s="51" t="str">
        <f>+'1.Informe Seguimiento POA 2022'!D46</f>
        <v xml:space="preserve">3.4.2 Diseñar e implementar un sistema de información misional que generé el expediente electrónico  </v>
      </c>
      <c r="I42" s="777">
        <f>+'1.Informe Seguimiento POA 2022'!E46</f>
        <v>0.7</v>
      </c>
      <c r="J42" s="694">
        <f>+'1.Informe Seguimiento POA 2022'!F46</f>
        <v>1</v>
      </c>
      <c r="K42" s="778" t="str">
        <f>+'1.Informe Seguimiento POA 2022'!I46</f>
        <v>Potestad Disciplinaria</v>
      </c>
      <c r="L42" s="778" t="str">
        <f>+'1.Informe Seguimiento POA 2022'!J46</f>
        <v>Personería Delegada para la Coordinación de Potestad Disciplinaria</v>
      </c>
      <c r="M42" s="771">
        <f>+'1.Informe Seguimiento POA 2022'!K46</f>
        <v>0.2</v>
      </c>
      <c r="N42" s="771">
        <f>+'1.Informe Seguimiento POA 2022'!L46</f>
        <v>0.4</v>
      </c>
      <c r="O42" s="771">
        <f>+'1.Informe Seguimiento POA 2022'!M46</f>
        <v>0.3</v>
      </c>
      <c r="P42" s="771">
        <f>+'1.Informe Seguimiento POA 2022'!N46</f>
        <v>0.1</v>
      </c>
      <c r="Q42" s="713">
        <v>0.02</v>
      </c>
      <c r="R42" s="713">
        <v>0.02</v>
      </c>
      <c r="S42" s="713">
        <v>0.06</v>
      </c>
      <c r="T42" s="713">
        <v>0.06</v>
      </c>
      <c r="U42" s="713">
        <v>0.06</v>
      </c>
      <c r="V42" s="713">
        <v>0.06</v>
      </c>
      <c r="W42" s="713">
        <v>0.06</v>
      </c>
      <c r="X42" s="713">
        <v>0.06</v>
      </c>
      <c r="Y42" s="713">
        <v>0.2</v>
      </c>
      <c r="Z42" s="713">
        <v>0.2</v>
      </c>
      <c r="AA42" s="1073">
        <v>1</v>
      </c>
      <c r="AB42" s="713">
        <f>+'1.Informe Seguimiento POA 2022'!O46</f>
        <v>0.05</v>
      </c>
      <c r="AC42" s="713">
        <f>+'1.Informe Seguimiento POA 2022'!P46</f>
        <v>0</v>
      </c>
      <c r="AD42" s="713">
        <f>+'1.Informe Seguimiento POA 2022'!Q46</f>
        <v>0.11</v>
      </c>
      <c r="AE42" s="713">
        <f>+'1.Informe Seguimiento POA 2022'!R46</f>
        <v>0.11</v>
      </c>
      <c r="AF42" s="713">
        <f>+'1.Informe Seguimiento POA 2022'!S46</f>
        <v>0.15000000000000002</v>
      </c>
      <c r="AG42" s="713">
        <f>+'1.Informe Seguimiento POA 2022'!T46</f>
        <v>0.2</v>
      </c>
      <c r="AH42" s="713">
        <f>+'1.Informe Seguimiento POA 2022'!U46</f>
        <v>0.09</v>
      </c>
      <c r="AI42" s="713">
        <f>+'1.Informe Seguimiento POA 2022'!V46</f>
        <v>0</v>
      </c>
      <c r="AJ42" s="713">
        <f>+'1.Informe Seguimiento POA 2022'!W46</f>
        <v>0.4</v>
      </c>
      <c r="AK42" s="713">
        <f>+'1.Informe Seguimiento POA 2022'!X46</f>
        <v>0.31</v>
      </c>
      <c r="AL42" s="773">
        <f>+'1.Informe Seguimiento POA 2022'!Y46</f>
        <v>0.77499999999999991</v>
      </c>
      <c r="AM42" s="1310"/>
      <c r="AN42" s="789"/>
      <c r="AO42" s="789"/>
      <c r="AP42" s="789"/>
      <c r="AQ42" s="789"/>
      <c r="AR42" s="789"/>
      <c r="AS42" s="789"/>
      <c r="AT42" s="789"/>
      <c r="AU42" s="789"/>
      <c r="AV42" s="713">
        <f t="shared" si="14"/>
        <v>0.3</v>
      </c>
      <c r="AW42" s="713"/>
      <c r="AX42" s="789"/>
      <c r="AY42" s="789"/>
      <c r="AZ42" s="789"/>
      <c r="BA42" s="789"/>
      <c r="BB42" s="789"/>
      <c r="BC42" s="789"/>
      <c r="BD42" s="789"/>
      <c r="BE42" s="789"/>
      <c r="BF42" s="789"/>
      <c r="BG42" s="713">
        <f t="shared" si="15"/>
        <v>0.1</v>
      </c>
      <c r="BH42" s="713"/>
      <c r="BI42" s="789"/>
      <c r="BJ42" s="804">
        <f t="shared" si="11"/>
        <v>0.36</v>
      </c>
      <c r="BK42" s="804">
        <f t="shared" si="12"/>
        <v>0.31</v>
      </c>
      <c r="BL42" s="697">
        <f t="shared" si="10"/>
        <v>0.86111111111111116</v>
      </c>
      <c r="BM42" s="697">
        <f t="shared" si="6"/>
        <v>0.31</v>
      </c>
      <c r="BN42" s="1114">
        <f t="shared" si="13"/>
        <v>0.217</v>
      </c>
      <c r="BO42" s="1414"/>
      <c r="BP42" s="1219"/>
      <c r="BQ42" s="819"/>
      <c r="BR42" s="819"/>
    </row>
    <row r="43" spans="2:70" ht="61.5" customHeight="1">
      <c r="B43" s="1233"/>
      <c r="C43" s="1286"/>
      <c r="D43" s="1288"/>
      <c r="E43" s="1320"/>
      <c r="F43" s="1286"/>
      <c r="G43" s="873"/>
      <c r="H43" s="51" t="str">
        <f>+'1.Informe Seguimiento POA 2022'!D47</f>
        <v xml:space="preserve">3.4.3 Diseñar e implementar una relatoría de las decisiones de fondo adoptadas en ejercicio de la potestad disciplinaria  </v>
      </c>
      <c r="I43" s="777">
        <f>+'1.Informe Seguimiento POA 2022'!E47</f>
        <v>0.1</v>
      </c>
      <c r="J43" s="694">
        <f>+'1.Informe Seguimiento POA 2022'!F47</f>
        <v>1</v>
      </c>
      <c r="K43" s="778" t="str">
        <f>+'1.Informe Seguimiento POA 2022'!I47</f>
        <v>Potestad Disciplinaria</v>
      </c>
      <c r="L43" s="778" t="str">
        <f>+'1.Informe Seguimiento POA 2022'!J47</f>
        <v>Personería Delegada para la Coordinación de Potestad Disciplinaria</v>
      </c>
      <c r="M43" s="771">
        <f>+'1.Informe Seguimiento POA 2022'!K47</f>
        <v>0.1</v>
      </c>
      <c r="N43" s="771">
        <f>+'1.Informe Seguimiento POA 2022'!L47</f>
        <v>0.3</v>
      </c>
      <c r="O43" s="771">
        <f>+'1.Informe Seguimiento POA 2022'!M47</f>
        <v>0.4</v>
      </c>
      <c r="P43" s="771">
        <f>+'1.Informe Seguimiento POA 2022'!N47</f>
        <v>0.2</v>
      </c>
      <c r="Q43" s="713">
        <v>0</v>
      </c>
      <c r="R43" s="713">
        <v>0</v>
      </c>
      <c r="S43" s="713">
        <v>0.02</v>
      </c>
      <c r="T43" s="713">
        <v>0.02</v>
      </c>
      <c r="U43" s="713">
        <v>0.05</v>
      </c>
      <c r="V43" s="713">
        <v>0.05</v>
      </c>
      <c r="W43" s="713">
        <v>0.03</v>
      </c>
      <c r="X43" s="713">
        <v>0.03</v>
      </c>
      <c r="Y43" s="713">
        <v>0.1</v>
      </c>
      <c r="Z43" s="713">
        <v>0.1</v>
      </c>
      <c r="AA43" s="1073">
        <v>1</v>
      </c>
      <c r="AB43" s="713">
        <f>+'1.Informe Seguimiento POA 2022'!O47</f>
        <v>0.06</v>
      </c>
      <c r="AC43" s="713">
        <f>+'1.Informe Seguimiento POA 2022'!P47</f>
        <v>0.06</v>
      </c>
      <c r="AD43" s="713">
        <f>+'1.Informe Seguimiento POA 2022'!Q47</f>
        <v>0.09</v>
      </c>
      <c r="AE43" s="713">
        <f>+'1.Informe Seguimiento POA 2022'!R47</f>
        <v>0.09</v>
      </c>
      <c r="AF43" s="713">
        <f>+'1.Informe Seguimiento POA 2022'!S47</f>
        <v>0.09</v>
      </c>
      <c r="AG43" s="713">
        <f>+'1.Informe Seguimiento POA 2022'!T47</f>
        <v>0.09</v>
      </c>
      <c r="AH43" s="713">
        <f>+'1.Informe Seguimiento POA 2022'!U47</f>
        <v>0.06</v>
      </c>
      <c r="AI43" s="713">
        <f>+'1.Informe Seguimiento POA 2022'!V47</f>
        <v>0</v>
      </c>
      <c r="AJ43" s="713">
        <f>+'1.Informe Seguimiento POA 2022'!W47</f>
        <v>0.3</v>
      </c>
      <c r="AK43" s="713">
        <f>+'1.Informe Seguimiento POA 2022'!X47</f>
        <v>0.24</v>
      </c>
      <c r="AL43" s="773">
        <f>+'1.Informe Seguimiento POA 2022'!Y47</f>
        <v>0.8</v>
      </c>
      <c r="AM43" s="1311"/>
      <c r="AN43" s="789"/>
      <c r="AO43" s="789"/>
      <c r="AP43" s="789"/>
      <c r="AQ43" s="789"/>
      <c r="AR43" s="789"/>
      <c r="AS43" s="789"/>
      <c r="AT43" s="789"/>
      <c r="AU43" s="789"/>
      <c r="AV43" s="713">
        <f t="shared" si="14"/>
        <v>0.4</v>
      </c>
      <c r="AW43" s="713"/>
      <c r="AX43" s="789"/>
      <c r="AY43" s="789"/>
      <c r="AZ43" s="789"/>
      <c r="BA43" s="789"/>
      <c r="BB43" s="789"/>
      <c r="BC43" s="789"/>
      <c r="BD43" s="789"/>
      <c r="BE43" s="789"/>
      <c r="BF43" s="789"/>
      <c r="BG43" s="713">
        <f t="shared" si="15"/>
        <v>0.2</v>
      </c>
      <c r="BH43" s="713"/>
      <c r="BI43" s="789"/>
      <c r="BJ43" s="804">
        <f t="shared" si="11"/>
        <v>0.25</v>
      </c>
      <c r="BK43" s="804">
        <f t="shared" si="12"/>
        <v>0.25</v>
      </c>
      <c r="BL43" s="697">
        <f t="shared" si="10"/>
        <v>1</v>
      </c>
      <c r="BM43" s="697">
        <f t="shared" si="6"/>
        <v>0.25</v>
      </c>
      <c r="BN43" s="1114">
        <f t="shared" si="13"/>
        <v>2.5000000000000001E-2</v>
      </c>
      <c r="BO43" s="1414"/>
      <c r="BP43" s="1220"/>
      <c r="BQ43" s="819"/>
      <c r="BR43" s="819"/>
    </row>
    <row r="44" spans="2:70" ht="75" customHeight="1">
      <c r="B44" s="1251"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44" s="1328" t="str">
        <f>+'Matriz PEI 2021-2024'!C20</f>
        <v>4.1. Implementar el 100% de las acciones que impulsen el crecimiento del Modelo de Madurez de Transformación Digital de la Entidad, aplicando los principios , lineamientos y normas que lo enmarcan.</v>
      </c>
      <c r="D44" s="1335">
        <f>+'Matriz PEI 2021-2024'!E20</f>
        <v>1</v>
      </c>
      <c r="E44" s="1335">
        <f>+'Matriz PEI 2021-2024'!D20</f>
        <v>0.15</v>
      </c>
      <c r="F44" s="1328" t="s">
        <v>957</v>
      </c>
      <c r="G44" s="1328" t="s">
        <v>958</v>
      </c>
      <c r="H44" s="701" t="str">
        <f>+'1.Informe Seguimiento POA 2022'!D48</f>
        <v>4.1.1 Implementar el 100 % de los proyectos de hoja de ruta del Plan Estratégico de Tecnología de la Información de tal forma que se optimicen los procesos de la Entidad</v>
      </c>
      <c r="I44" s="152">
        <f>+'1.Informe Seguimiento POA 2022'!E48</f>
        <v>0.14000000000000001</v>
      </c>
      <c r="J44" s="779">
        <f>+'1.Informe Seguimiento POA 2022'!F48</f>
        <v>1</v>
      </c>
      <c r="K44" s="703" t="str">
        <f>+'1.Informe Seguimiento POA 2022'!I48</f>
        <v>Direccionamiento TIC</v>
      </c>
      <c r="L44" s="704" t="str">
        <f>+'1.Informe Seguimiento POA 2022'!J48</f>
        <v>Dirección de Tecnologías de la  Información y las Comunicaciones</v>
      </c>
      <c r="M44" s="168">
        <f>+'1.Informe Seguimiento POA 2022'!K48</f>
        <v>0.3</v>
      </c>
      <c r="N44" s="168">
        <f>+'1.Informe Seguimiento POA 2022'!L48</f>
        <v>0.4</v>
      </c>
      <c r="O44" s="168">
        <f>+'1.Informe Seguimiento POA 2022'!M48</f>
        <v>0.25</v>
      </c>
      <c r="P44" s="168">
        <f>+'1.Informe Seguimiento POA 2022'!N48</f>
        <v>0.05</v>
      </c>
      <c r="Q44" s="714">
        <v>0.06</v>
      </c>
      <c r="R44" s="714">
        <v>0.06</v>
      </c>
      <c r="S44" s="714">
        <v>0.09</v>
      </c>
      <c r="T44" s="714">
        <v>0.09</v>
      </c>
      <c r="U44" s="714">
        <v>0.09</v>
      </c>
      <c r="V44" s="783">
        <v>0.09</v>
      </c>
      <c r="W44" s="714">
        <v>6.0000000000000005E-2</v>
      </c>
      <c r="X44" s="783">
        <v>6.0000000000000005E-2</v>
      </c>
      <c r="Y44" s="714">
        <v>0.3</v>
      </c>
      <c r="Z44" s="715">
        <v>0.3</v>
      </c>
      <c r="AA44" s="714">
        <v>1</v>
      </c>
      <c r="AB44" s="714">
        <f>+'1.Informe Seguimiento POA 2022'!O48</f>
        <v>7.0000000000000007E-2</v>
      </c>
      <c r="AC44" s="714">
        <f>+'1.Informe Seguimiento POA 2022'!P48</f>
        <v>7.0000000000000007E-2</v>
      </c>
      <c r="AD44" s="714">
        <f>+'1.Informe Seguimiento POA 2022'!Q48</f>
        <v>0.13</v>
      </c>
      <c r="AE44" s="714">
        <f>+'1.Informe Seguimiento POA 2022'!R48</f>
        <v>0.13</v>
      </c>
      <c r="AF44" s="714">
        <f>+'1.Informe Seguimiento POA 2022'!S48</f>
        <v>0.13</v>
      </c>
      <c r="AG44" s="783">
        <f>+'1.Informe Seguimiento POA 2022'!T48</f>
        <v>0.13</v>
      </c>
      <c r="AH44" s="714">
        <f>+'1.Informe Seguimiento POA 2022'!U48</f>
        <v>7.0000000000000007E-2</v>
      </c>
      <c r="AI44" s="783">
        <f>+'1.Informe Seguimiento POA 2022'!V48</f>
        <v>0</v>
      </c>
      <c r="AJ44" s="714">
        <f>+'1.Informe Seguimiento POA 2022'!W48</f>
        <v>0.4</v>
      </c>
      <c r="AK44" s="715">
        <f>+'1.Informe Seguimiento POA 2022'!X48</f>
        <v>0.33</v>
      </c>
      <c r="AL44" s="714">
        <f>+'1.Informe Seguimiento POA 2022'!Y48</f>
        <v>0.82499999999999996</v>
      </c>
      <c r="AM44" s="1306">
        <f>'1.Informe Seguimiento POA 2022'!AB48</f>
        <v>0.33</v>
      </c>
      <c r="AN44" s="714"/>
      <c r="AO44" s="714"/>
      <c r="AP44" s="714"/>
      <c r="AQ44" s="714"/>
      <c r="AR44" s="714"/>
      <c r="AS44" s="714"/>
      <c r="AT44" s="714"/>
      <c r="AU44" s="714"/>
      <c r="AV44" s="714">
        <f t="shared" si="14"/>
        <v>0.25</v>
      </c>
      <c r="AW44" s="714"/>
      <c r="AX44" s="714"/>
      <c r="AY44" s="714"/>
      <c r="AZ44" s="714"/>
      <c r="BA44" s="714"/>
      <c r="BB44" s="714"/>
      <c r="BC44" s="714"/>
      <c r="BD44" s="714"/>
      <c r="BE44" s="714"/>
      <c r="BF44" s="714"/>
      <c r="BG44" s="714">
        <f t="shared" si="15"/>
        <v>0.05</v>
      </c>
      <c r="BH44" s="714"/>
      <c r="BI44" s="714"/>
      <c r="BJ44" s="779">
        <f t="shared" si="11"/>
        <v>0.5</v>
      </c>
      <c r="BK44" s="779">
        <f t="shared" si="12"/>
        <v>0.5</v>
      </c>
      <c r="BL44" s="802">
        <f t="shared" si="10"/>
        <v>1</v>
      </c>
      <c r="BM44" s="707">
        <f t="shared" si="6"/>
        <v>0.5</v>
      </c>
      <c r="BN44" s="1116">
        <f t="shared" si="13"/>
        <v>7.0000000000000007E-2</v>
      </c>
      <c r="BO44" s="1392">
        <f>SUM(BN44:BN50)</f>
        <v>0.5</v>
      </c>
      <c r="BP44" s="1248">
        <f>((IF(AND(BO44&gt;0,E44&gt;0),BO44*E44))+(IF(AND(BO51&gt;0,E51&gt;0),BO51*E51))+(IF(AND(BO57&gt;0,E57&gt;0),BO57*E57))+(IF(AND(BO65&gt;0,E65&gt;0),BO65*E65))+(IF(AND(BO83&gt;0,E83&gt;0),BO83*E83))+(IF(AND(BO89&gt;0,E89&gt;0),BO89*E89))+(IF(AND(BO91&gt;0,E91&gt;0),BO91*E91)))</f>
        <v>0.36511067124682328</v>
      </c>
      <c r="BQ44" s="821"/>
      <c r="BR44" s="821"/>
    </row>
    <row r="45" spans="2:70" ht="80.25" customHeight="1">
      <c r="B45" s="1251"/>
      <c r="C45" s="1329"/>
      <c r="D45" s="1336"/>
      <c r="E45" s="1347"/>
      <c r="F45" s="1329"/>
      <c r="G45" s="1329"/>
      <c r="H45" s="701" t="str">
        <f>+'1.Informe Seguimiento POA 2022'!D49</f>
        <v>4.1.2 Ejecutar en un 100 % las actividades programadas en el plan de Seguridad de la Información, garantizando la disponibilidad, confiabilidad e integridad de los activos de información</v>
      </c>
      <c r="I45" s="152">
        <f>+'1.Informe Seguimiento POA 2022'!E49</f>
        <v>0.14000000000000001</v>
      </c>
      <c r="J45" s="779">
        <f>+'1.Informe Seguimiento POA 2022'!F49</f>
        <v>1</v>
      </c>
      <c r="K45" s="703" t="str">
        <f>+'1.Informe Seguimiento POA 2022'!I49</f>
        <v>Direccionamiento TIC</v>
      </c>
      <c r="L45" s="704" t="str">
        <f>+'1.Informe Seguimiento POA 2022'!J49</f>
        <v>Dirección de Tecnologías de la  Información y las Comunicaciones</v>
      </c>
      <c r="M45" s="168">
        <f>+'1.Informe Seguimiento POA 2022'!K49</f>
        <v>0.3</v>
      </c>
      <c r="N45" s="168">
        <f>+'1.Informe Seguimiento POA 2022'!L49</f>
        <v>0.4</v>
      </c>
      <c r="O45" s="168">
        <f>+'1.Informe Seguimiento POA 2022'!M49</f>
        <v>0.25</v>
      </c>
      <c r="P45" s="168">
        <f>+'1.Informe Seguimiento POA 2022'!N49</f>
        <v>0.05</v>
      </c>
      <c r="Q45" s="714">
        <v>0.06</v>
      </c>
      <c r="R45" s="714">
        <v>0.06</v>
      </c>
      <c r="S45" s="714">
        <v>0.09</v>
      </c>
      <c r="T45" s="714">
        <v>0.09</v>
      </c>
      <c r="U45" s="714">
        <v>0.09</v>
      </c>
      <c r="V45" s="783">
        <v>0.09</v>
      </c>
      <c r="W45" s="714">
        <v>0.06</v>
      </c>
      <c r="X45" s="783">
        <v>0.06</v>
      </c>
      <c r="Y45" s="714">
        <v>0.3</v>
      </c>
      <c r="Z45" s="715">
        <v>0.3</v>
      </c>
      <c r="AA45" s="714">
        <v>1</v>
      </c>
      <c r="AB45" s="714">
        <f>+'1.Informe Seguimiento POA 2022'!O49</f>
        <v>7.0000000000000007E-2</v>
      </c>
      <c r="AC45" s="714">
        <f>+'1.Informe Seguimiento POA 2022'!P49</f>
        <v>7.0000000000000007E-2</v>
      </c>
      <c r="AD45" s="714">
        <f>+'1.Informe Seguimiento POA 2022'!Q49</f>
        <v>0.13</v>
      </c>
      <c r="AE45" s="714">
        <f>+'1.Informe Seguimiento POA 2022'!R49</f>
        <v>0.13</v>
      </c>
      <c r="AF45" s="714">
        <f>+'1.Informe Seguimiento POA 2022'!S49</f>
        <v>0.13</v>
      </c>
      <c r="AG45" s="783">
        <f>+'1.Informe Seguimiento POA 2022'!T49</f>
        <v>0.13</v>
      </c>
      <c r="AH45" s="714">
        <f>+'1.Informe Seguimiento POA 2022'!U49</f>
        <v>7.0000000000000007E-2</v>
      </c>
      <c r="AI45" s="783">
        <f>+'1.Informe Seguimiento POA 2022'!V49</f>
        <v>0</v>
      </c>
      <c r="AJ45" s="714">
        <f>+'1.Informe Seguimiento POA 2022'!W49</f>
        <v>0.4</v>
      </c>
      <c r="AK45" s="715">
        <f>+'1.Informe Seguimiento POA 2022'!X49</f>
        <v>0.33</v>
      </c>
      <c r="AL45" s="714">
        <f>+'1.Informe Seguimiento POA 2022'!Y49</f>
        <v>0.82499999999999996</v>
      </c>
      <c r="AM45" s="1308"/>
      <c r="AN45" s="714"/>
      <c r="AO45" s="714"/>
      <c r="AP45" s="714"/>
      <c r="AQ45" s="714"/>
      <c r="AR45" s="714"/>
      <c r="AS45" s="714"/>
      <c r="AT45" s="714"/>
      <c r="AU45" s="714"/>
      <c r="AV45" s="714">
        <f t="shared" si="14"/>
        <v>0.25</v>
      </c>
      <c r="AW45" s="714"/>
      <c r="AX45" s="714"/>
      <c r="AY45" s="714"/>
      <c r="AZ45" s="714"/>
      <c r="BA45" s="714"/>
      <c r="BB45" s="714"/>
      <c r="BC45" s="714"/>
      <c r="BD45" s="714"/>
      <c r="BE45" s="714"/>
      <c r="BF45" s="714"/>
      <c r="BG45" s="714">
        <f t="shared" si="15"/>
        <v>0.05</v>
      </c>
      <c r="BH45" s="714"/>
      <c r="BI45" s="714"/>
      <c r="BJ45" s="779">
        <f t="shared" si="11"/>
        <v>0.5</v>
      </c>
      <c r="BK45" s="779">
        <f t="shared" si="12"/>
        <v>0.5</v>
      </c>
      <c r="BL45" s="802">
        <f t="shared" si="10"/>
        <v>1</v>
      </c>
      <c r="BM45" s="707">
        <f t="shared" si="6"/>
        <v>0.5</v>
      </c>
      <c r="BN45" s="1116">
        <f t="shared" si="13"/>
        <v>7.0000000000000007E-2</v>
      </c>
      <c r="BO45" s="1393"/>
      <c r="BP45" s="1249"/>
      <c r="BQ45" s="821"/>
      <c r="BR45" s="821"/>
    </row>
    <row r="46" spans="2:70" ht="111" customHeight="1">
      <c r="B46" s="1251"/>
      <c r="C46" s="1329"/>
      <c r="D46" s="1336"/>
      <c r="E46" s="1347"/>
      <c r="F46" s="1329"/>
      <c r="G46" s="1329"/>
      <c r="H46" s="701" t="str">
        <f>+'1.Informe Seguimiento POA 2022'!D50</f>
        <v>4.1.3 Realizar el 100% de las actividades definidas en la estrategia de servicios ciudadanos digitales, que permitan acceder a los tramites y servicios de la Entidad a través de canales digitales rápidos, fiables y seguros</v>
      </c>
      <c r="I46" s="152">
        <f>+'1.Informe Seguimiento POA 2022'!E50</f>
        <v>0.14000000000000001</v>
      </c>
      <c r="J46" s="779">
        <f>+'1.Informe Seguimiento POA 2022'!F50</f>
        <v>1</v>
      </c>
      <c r="K46" s="703" t="str">
        <f>+'1.Informe Seguimiento POA 2022'!I50</f>
        <v>Direccionamiento TIC</v>
      </c>
      <c r="L46" s="704" t="str">
        <f>+'1.Informe Seguimiento POA 2022'!J50</f>
        <v>Dirección de Tecnologías de la  Información y las Comunicaciones</v>
      </c>
      <c r="M46" s="168">
        <f>+'1.Informe Seguimiento POA 2022'!K50</f>
        <v>0.3</v>
      </c>
      <c r="N46" s="168">
        <f>+'1.Informe Seguimiento POA 2022'!L50</f>
        <v>0.4</v>
      </c>
      <c r="O46" s="168">
        <f>+'1.Informe Seguimiento POA 2022'!M50</f>
        <v>0.25</v>
      </c>
      <c r="P46" s="168">
        <f>+'1.Informe Seguimiento POA 2022'!N50</f>
        <v>0.05</v>
      </c>
      <c r="Q46" s="714">
        <v>0.05</v>
      </c>
      <c r="R46" s="714">
        <v>0.05</v>
      </c>
      <c r="S46" s="714">
        <v>0.09</v>
      </c>
      <c r="T46" s="714">
        <v>0.09</v>
      </c>
      <c r="U46" s="714">
        <v>0.09</v>
      </c>
      <c r="V46" s="783">
        <v>0.09</v>
      </c>
      <c r="W46" s="714">
        <v>7.0000000000000007E-2</v>
      </c>
      <c r="X46" s="783">
        <v>7.0000000000000007E-2</v>
      </c>
      <c r="Y46" s="714">
        <v>0.30000000000000004</v>
      </c>
      <c r="Z46" s="715">
        <v>0.30000000000000004</v>
      </c>
      <c r="AA46" s="714">
        <v>1</v>
      </c>
      <c r="AB46" s="714">
        <f>+'1.Informe Seguimiento POA 2022'!O50</f>
        <v>7.0000000000000007E-2</v>
      </c>
      <c r="AC46" s="714">
        <f>+'1.Informe Seguimiento POA 2022'!P50</f>
        <v>7.0000000000000007E-2</v>
      </c>
      <c r="AD46" s="714">
        <f>+'1.Informe Seguimiento POA 2022'!Q50</f>
        <v>0.13</v>
      </c>
      <c r="AE46" s="714">
        <f>+'1.Informe Seguimiento POA 2022'!R50</f>
        <v>0.13</v>
      </c>
      <c r="AF46" s="714">
        <f>+'1.Informe Seguimiento POA 2022'!S50</f>
        <v>0.13</v>
      </c>
      <c r="AG46" s="783">
        <f>+'1.Informe Seguimiento POA 2022'!T50</f>
        <v>0.13</v>
      </c>
      <c r="AH46" s="714">
        <f>+'1.Informe Seguimiento POA 2022'!U50</f>
        <v>7.0000000000000007E-2</v>
      </c>
      <c r="AI46" s="783">
        <f>+'1.Informe Seguimiento POA 2022'!V50</f>
        <v>0</v>
      </c>
      <c r="AJ46" s="714">
        <f>+'1.Informe Seguimiento POA 2022'!W50</f>
        <v>0.4</v>
      </c>
      <c r="AK46" s="715">
        <f>+'1.Informe Seguimiento POA 2022'!X50</f>
        <v>0.33</v>
      </c>
      <c r="AL46" s="714">
        <f>+'1.Informe Seguimiento POA 2022'!Y50</f>
        <v>0.82499999999999996</v>
      </c>
      <c r="AM46" s="1308"/>
      <c r="AN46" s="714"/>
      <c r="AO46" s="714"/>
      <c r="AP46" s="714"/>
      <c r="AQ46" s="714"/>
      <c r="AR46" s="714"/>
      <c r="AS46" s="714"/>
      <c r="AT46" s="714"/>
      <c r="AU46" s="714"/>
      <c r="AV46" s="714">
        <f t="shared" si="14"/>
        <v>0.25</v>
      </c>
      <c r="AW46" s="714"/>
      <c r="AX46" s="714"/>
      <c r="AY46" s="714"/>
      <c r="AZ46" s="714"/>
      <c r="BA46" s="714"/>
      <c r="BB46" s="714"/>
      <c r="BC46" s="714"/>
      <c r="BD46" s="714"/>
      <c r="BE46" s="714"/>
      <c r="BF46" s="714"/>
      <c r="BG46" s="714">
        <f t="shared" si="15"/>
        <v>0.05</v>
      </c>
      <c r="BH46" s="714"/>
      <c r="BI46" s="714"/>
      <c r="BJ46" s="779">
        <f t="shared" si="11"/>
        <v>0.5</v>
      </c>
      <c r="BK46" s="779">
        <f t="shared" si="12"/>
        <v>0.5</v>
      </c>
      <c r="BL46" s="802">
        <f t="shared" si="10"/>
        <v>1</v>
      </c>
      <c r="BM46" s="707">
        <f t="shared" si="6"/>
        <v>0.5</v>
      </c>
      <c r="BN46" s="1116">
        <f t="shared" si="13"/>
        <v>7.0000000000000007E-2</v>
      </c>
      <c r="BO46" s="1393"/>
      <c r="BP46" s="1249"/>
      <c r="BQ46" s="821"/>
      <c r="BR46" s="821"/>
    </row>
    <row r="47" spans="2:70" ht="82.5" customHeight="1">
      <c r="B47" s="1251"/>
      <c r="C47" s="1329"/>
      <c r="D47" s="1336"/>
      <c r="E47" s="1347"/>
      <c r="F47" s="1329"/>
      <c r="G47" s="1329"/>
      <c r="H47" s="701" t="str">
        <f>+'1.Informe Seguimiento POA 2022'!D51</f>
        <v>4.1.4 Implementar en un 100% los lineamientos que adopte la Entidad para mejorar la gestión de datos que facilite la toma de decisiones</v>
      </c>
      <c r="I47" s="152">
        <f>+'1.Informe Seguimiento POA 2022'!E51</f>
        <v>0.14000000000000001</v>
      </c>
      <c r="J47" s="779">
        <f>+'1.Informe Seguimiento POA 2022'!F51</f>
        <v>1</v>
      </c>
      <c r="K47" s="703" t="str">
        <f>+'1.Informe Seguimiento POA 2022'!I51</f>
        <v>Direccionamiento TIC</v>
      </c>
      <c r="L47" s="704" t="str">
        <f>+'1.Informe Seguimiento POA 2022'!J51</f>
        <v>Dirección de Tecnologías de la  Información y las Comunicaciones</v>
      </c>
      <c r="M47" s="168">
        <f>+'1.Informe Seguimiento POA 2022'!K51</f>
        <v>0.3</v>
      </c>
      <c r="N47" s="168">
        <f>+'1.Informe Seguimiento POA 2022'!L51</f>
        <v>0.4</v>
      </c>
      <c r="O47" s="168">
        <f>+'1.Informe Seguimiento POA 2022'!M51</f>
        <v>0.25</v>
      </c>
      <c r="P47" s="168">
        <f>+'1.Informe Seguimiento POA 2022'!N51</f>
        <v>0.05</v>
      </c>
      <c r="Q47" s="714">
        <v>0.05</v>
      </c>
      <c r="R47" s="714">
        <v>0.05</v>
      </c>
      <c r="S47" s="714">
        <v>0.09</v>
      </c>
      <c r="T47" s="714">
        <v>0.09</v>
      </c>
      <c r="U47" s="714">
        <v>0.09</v>
      </c>
      <c r="V47" s="783">
        <v>0.09</v>
      </c>
      <c r="W47" s="714">
        <v>7.0000000000000007E-2</v>
      </c>
      <c r="X47" s="783">
        <v>7.0000000000000007E-2</v>
      </c>
      <c r="Y47" s="714">
        <v>0.30000000000000004</v>
      </c>
      <c r="Z47" s="715">
        <v>0.30000000000000004</v>
      </c>
      <c r="AA47" s="714">
        <v>1</v>
      </c>
      <c r="AB47" s="714">
        <f>+'1.Informe Seguimiento POA 2022'!O51</f>
        <v>7.0000000000000007E-2</v>
      </c>
      <c r="AC47" s="714">
        <f>+'1.Informe Seguimiento POA 2022'!P51</f>
        <v>7.0000000000000007E-2</v>
      </c>
      <c r="AD47" s="714">
        <f>+'1.Informe Seguimiento POA 2022'!Q51</f>
        <v>0.13</v>
      </c>
      <c r="AE47" s="714">
        <f>+'1.Informe Seguimiento POA 2022'!R51</f>
        <v>0.13</v>
      </c>
      <c r="AF47" s="714">
        <f>+'1.Informe Seguimiento POA 2022'!S51</f>
        <v>0.13</v>
      </c>
      <c r="AG47" s="783">
        <f>+'1.Informe Seguimiento POA 2022'!T51</f>
        <v>0.13</v>
      </c>
      <c r="AH47" s="714">
        <f>+'1.Informe Seguimiento POA 2022'!U51</f>
        <v>7.0000000000000007E-2</v>
      </c>
      <c r="AI47" s="783">
        <f>+'1.Informe Seguimiento POA 2022'!V51</f>
        <v>0</v>
      </c>
      <c r="AJ47" s="714">
        <f>+'1.Informe Seguimiento POA 2022'!W51</f>
        <v>0.4</v>
      </c>
      <c r="AK47" s="715">
        <f>+'1.Informe Seguimiento POA 2022'!X51</f>
        <v>0.33</v>
      </c>
      <c r="AL47" s="714">
        <f>+'1.Informe Seguimiento POA 2022'!Y51</f>
        <v>0.82499999999999996</v>
      </c>
      <c r="AM47" s="1308"/>
      <c r="AN47" s="714"/>
      <c r="AO47" s="714"/>
      <c r="AP47" s="714"/>
      <c r="AQ47" s="714"/>
      <c r="AR47" s="714"/>
      <c r="AS47" s="714"/>
      <c r="AT47" s="714"/>
      <c r="AU47" s="714"/>
      <c r="AV47" s="714">
        <f t="shared" si="14"/>
        <v>0.25</v>
      </c>
      <c r="AW47" s="714"/>
      <c r="AX47" s="714"/>
      <c r="AY47" s="714"/>
      <c r="AZ47" s="714"/>
      <c r="BA47" s="714"/>
      <c r="BB47" s="714"/>
      <c r="BC47" s="714"/>
      <c r="BD47" s="714"/>
      <c r="BE47" s="714"/>
      <c r="BF47" s="714"/>
      <c r="BG47" s="714">
        <f t="shared" si="15"/>
        <v>0.05</v>
      </c>
      <c r="BH47" s="714"/>
      <c r="BI47" s="714"/>
      <c r="BJ47" s="779">
        <f t="shared" si="11"/>
        <v>0.5</v>
      </c>
      <c r="BK47" s="779">
        <f t="shared" si="12"/>
        <v>0.5</v>
      </c>
      <c r="BL47" s="802">
        <f t="shared" si="10"/>
        <v>1</v>
      </c>
      <c r="BM47" s="707">
        <f t="shared" si="6"/>
        <v>0.5</v>
      </c>
      <c r="BN47" s="1116">
        <f t="shared" si="13"/>
        <v>7.0000000000000007E-2</v>
      </c>
      <c r="BO47" s="1393"/>
      <c r="BP47" s="1249"/>
      <c r="BQ47" s="821"/>
      <c r="BR47" s="821"/>
    </row>
    <row r="48" spans="2:70" ht="94.5" customHeight="1">
      <c r="B48" s="1251"/>
      <c r="C48" s="1329"/>
      <c r="D48" s="1336"/>
      <c r="E48" s="1347"/>
      <c r="F48" s="1329"/>
      <c r="G48" s="1329"/>
      <c r="H48" s="701" t="str">
        <f>+'1.Informe Seguimiento POA 2022'!D52</f>
        <v>4.1.5 Desarrollar el 100% de los requerimientos prioritarios a Sistemas de Información y de apoyo que garanticen el óptimo desempeño de la gestión de los procesos en la Entidad</v>
      </c>
      <c r="I48" s="152">
        <f>+'1.Informe Seguimiento POA 2022'!E52</f>
        <v>0.14000000000000001</v>
      </c>
      <c r="J48" s="779">
        <f>+'1.Informe Seguimiento POA 2022'!F52</f>
        <v>1</v>
      </c>
      <c r="K48" s="703" t="str">
        <f>+'1.Informe Seguimiento POA 2022'!I52</f>
        <v>Direccionamiento TIC</v>
      </c>
      <c r="L48" s="704" t="str">
        <f>+'1.Informe Seguimiento POA 2022'!J52</f>
        <v>Dirección de Tecnologías de la  Información y las Comunicaciones</v>
      </c>
      <c r="M48" s="168">
        <f>+'1.Informe Seguimiento POA 2022'!K52</f>
        <v>0.3</v>
      </c>
      <c r="N48" s="168">
        <f>+'1.Informe Seguimiento POA 2022'!L52</f>
        <v>0.4</v>
      </c>
      <c r="O48" s="168">
        <f>+'1.Informe Seguimiento POA 2022'!M52</f>
        <v>0.25</v>
      </c>
      <c r="P48" s="168">
        <f>+'1.Informe Seguimiento POA 2022'!N52</f>
        <v>0.05</v>
      </c>
      <c r="Q48" s="714">
        <v>0.05</v>
      </c>
      <c r="R48" s="714">
        <v>0.05</v>
      </c>
      <c r="S48" s="714">
        <v>0.09</v>
      </c>
      <c r="T48" s="714">
        <v>0.09</v>
      </c>
      <c r="U48" s="714">
        <v>0.09</v>
      </c>
      <c r="V48" s="783">
        <v>0.09</v>
      </c>
      <c r="W48" s="714">
        <v>6.9999999999999993E-2</v>
      </c>
      <c r="X48" s="783">
        <v>6.9999999999999993E-2</v>
      </c>
      <c r="Y48" s="714">
        <v>0.3</v>
      </c>
      <c r="Z48" s="715">
        <v>0.3</v>
      </c>
      <c r="AA48" s="714">
        <v>1</v>
      </c>
      <c r="AB48" s="714">
        <f>+'1.Informe Seguimiento POA 2022'!O52</f>
        <v>7.0000000000000007E-2</v>
      </c>
      <c r="AC48" s="714">
        <f>+'1.Informe Seguimiento POA 2022'!P52</f>
        <v>7.0000000000000007E-2</v>
      </c>
      <c r="AD48" s="714">
        <f>+'1.Informe Seguimiento POA 2022'!Q52</f>
        <v>0.13</v>
      </c>
      <c r="AE48" s="714">
        <f>+'1.Informe Seguimiento POA 2022'!R52</f>
        <v>0.13</v>
      </c>
      <c r="AF48" s="714">
        <f>+'1.Informe Seguimiento POA 2022'!S52</f>
        <v>0.13</v>
      </c>
      <c r="AG48" s="783">
        <f>+'1.Informe Seguimiento POA 2022'!T52</f>
        <v>0.13</v>
      </c>
      <c r="AH48" s="714">
        <f>+'1.Informe Seguimiento POA 2022'!U52</f>
        <v>7.0000000000000007E-2</v>
      </c>
      <c r="AI48" s="783">
        <f>+'1.Informe Seguimiento POA 2022'!V52</f>
        <v>0</v>
      </c>
      <c r="AJ48" s="714">
        <f>+'1.Informe Seguimiento POA 2022'!W52</f>
        <v>0.4</v>
      </c>
      <c r="AK48" s="715">
        <f>+'1.Informe Seguimiento POA 2022'!X52</f>
        <v>0.33</v>
      </c>
      <c r="AL48" s="714">
        <f>+'1.Informe Seguimiento POA 2022'!Y52</f>
        <v>0.82499999999999996</v>
      </c>
      <c r="AM48" s="1308"/>
      <c r="AN48" s="714"/>
      <c r="AO48" s="714"/>
      <c r="AP48" s="714"/>
      <c r="AQ48" s="714"/>
      <c r="AR48" s="714"/>
      <c r="AS48" s="714"/>
      <c r="AT48" s="714"/>
      <c r="AU48" s="714"/>
      <c r="AV48" s="714">
        <f t="shared" si="14"/>
        <v>0.25</v>
      </c>
      <c r="AW48" s="714"/>
      <c r="AX48" s="714"/>
      <c r="AY48" s="714"/>
      <c r="AZ48" s="714"/>
      <c r="BA48" s="714"/>
      <c r="BB48" s="714"/>
      <c r="BC48" s="714"/>
      <c r="BD48" s="714"/>
      <c r="BE48" s="714"/>
      <c r="BF48" s="714"/>
      <c r="BG48" s="714">
        <f t="shared" si="15"/>
        <v>0.05</v>
      </c>
      <c r="BH48" s="714"/>
      <c r="BI48" s="714"/>
      <c r="BJ48" s="779">
        <f t="shared" si="11"/>
        <v>0.5</v>
      </c>
      <c r="BK48" s="779">
        <f t="shared" si="12"/>
        <v>0.5</v>
      </c>
      <c r="BL48" s="802">
        <f t="shared" si="10"/>
        <v>1</v>
      </c>
      <c r="BM48" s="707">
        <f t="shared" si="6"/>
        <v>0.5</v>
      </c>
      <c r="BN48" s="1116">
        <f t="shared" si="13"/>
        <v>7.0000000000000007E-2</v>
      </c>
      <c r="BO48" s="1393"/>
      <c r="BP48" s="1249"/>
      <c r="BQ48" s="821"/>
      <c r="BR48" s="821"/>
    </row>
    <row r="49" spans="2:70" ht="71.25" customHeight="1">
      <c r="B49" s="1251"/>
      <c r="C49" s="1329"/>
      <c r="D49" s="1336"/>
      <c r="E49" s="1347"/>
      <c r="F49" s="1329"/>
      <c r="G49" s="1329"/>
      <c r="H49" s="701" t="str">
        <f>+'1.Informe Seguimiento POA 2022'!D53</f>
        <v>4.1.6 Implementar en un 100% las actividades programadas en el plan de uso y apropiación de las TIC, para una óptima gestión institucional</v>
      </c>
      <c r="I49" s="152">
        <f>+'1.Informe Seguimiento POA 2022'!E53</f>
        <v>0.15</v>
      </c>
      <c r="J49" s="779">
        <f>+'1.Informe Seguimiento POA 2022'!F53</f>
        <v>1</v>
      </c>
      <c r="K49" s="703" t="str">
        <f>+'1.Informe Seguimiento POA 2022'!I53</f>
        <v>Direccionamiento TIC</v>
      </c>
      <c r="L49" s="704" t="str">
        <f>+'1.Informe Seguimiento POA 2022'!J53</f>
        <v>Dirección de Tecnologías de la  Información y las Comunicaciones</v>
      </c>
      <c r="M49" s="168">
        <f>+'1.Informe Seguimiento POA 2022'!K53</f>
        <v>0.3</v>
      </c>
      <c r="N49" s="168">
        <f>+'1.Informe Seguimiento POA 2022'!L53</f>
        <v>0.4</v>
      </c>
      <c r="O49" s="168">
        <f>+'1.Informe Seguimiento POA 2022'!M53</f>
        <v>0.25</v>
      </c>
      <c r="P49" s="168">
        <f>+'1.Informe Seguimiento POA 2022'!N53</f>
        <v>0.05</v>
      </c>
      <c r="Q49" s="714">
        <v>0.05</v>
      </c>
      <c r="R49" s="714">
        <v>0.05</v>
      </c>
      <c r="S49" s="714">
        <v>0.09</v>
      </c>
      <c r="T49" s="714">
        <v>0.09</v>
      </c>
      <c r="U49" s="714">
        <v>0.09</v>
      </c>
      <c r="V49" s="783">
        <v>0.09</v>
      </c>
      <c r="W49" s="714">
        <v>7.0000000000000007E-2</v>
      </c>
      <c r="X49" s="783">
        <v>7.0000000000000007E-2</v>
      </c>
      <c r="Y49" s="714">
        <v>0.30000000000000004</v>
      </c>
      <c r="Z49" s="715">
        <v>0.30000000000000004</v>
      </c>
      <c r="AA49" s="714">
        <v>1</v>
      </c>
      <c r="AB49" s="714">
        <f>+'1.Informe Seguimiento POA 2022'!O53</f>
        <v>7.0000000000000007E-2</v>
      </c>
      <c r="AC49" s="714">
        <f>+'1.Informe Seguimiento POA 2022'!P53</f>
        <v>7.0000000000000007E-2</v>
      </c>
      <c r="AD49" s="714">
        <f>+'1.Informe Seguimiento POA 2022'!Q53</f>
        <v>0.13</v>
      </c>
      <c r="AE49" s="714">
        <f>+'1.Informe Seguimiento POA 2022'!R53</f>
        <v>0.13</v>
      </c>
      <c r="AF49" s="714">
        <f>+'1.Informe Seguimiento POA 2022'!S53</f>
        <v>0.13</v>
      </c>
      <c r="AG49" s="783">
        <f>+'1.Informe Seguimiento POA 2022'!T53</f>
        <v>0.13</v>
      </c>
      <c r="AH49" s="714">
        <f>+'1.Informe Seguimiento POA 2022'!U53</f>
        <v>7.0000000000000007E-2</v>
      </c>
      <c r="AI49" s="783">
        <f>+'1.Informe Seguimiento POA 2022'!V53</f>
        <v>0</v>
      </c>
      <c r="AJ49" s="714">
        <f>+'1.Informe Seguimiento POA 2022'!W53</f>
        <v>0.4</v>
      </c>
      <c r="AK49" s="715">
        <f>+'1.Informe Seguimiento POA 2022'!X53</f>
        <v>0.33</v>
      </c>
      <c r="AL49" s="714">
        <f>+'1.Informe Seguimiento POA 2022'!Y53</f>
        <v>0.82499999999999996</v>
      </c>
      <c r="AM49" s="1308"/>
      <c r="AN49" s="714"/>
      <c r="AO49" s="714"/>
      <c r="AP49" s="714"/>
      <c r="AQ49" s="714"/>
      <c r="AR49" s="714"/>
      <c r="AS49" s="714"/>
      <c r="AT49" s="714"/>
      <c r="AU49" s="714"/>
      <c r="AV49" s="714">
        <f t="shared" si="14"/>
        <v>0.25</v>
      </c>
      <c r="AW49" s="714"/>
      <c r="AX49" s="714"/>
      <c r="AY49" s="714"/>
      <c r="AZ49" s="714"/>
      <c r="BA49" s="714"/>
      <c r="BB49" s="714"/>
      <c r="BC49" s="714"/>
      <c r="BD49" s="714"/>
      <c r="BE49" s="714"/>
      <c r="BF49" s="714"/>
      <c r="BG49" s="714">
        <f t="shared" si="15"/>
        <v>0.05</v>
      </c>
      <c r="BH49" s="714"/>
      <c r="BI49" s="714"/>
      <c r="BJ49" s="779">
        <f t="shared" si="11"/>
        <v>0.5</v>
      </c>
      <c r="BK49" s="779">
        <f t="shared" si="12"/>
        <v>0.5</v>
      </c>
      <c r="BL49" s="802">
        <f t="shared" si="10"/>
        <v>1</v>
      </c>
      <c r="BM49" s="707">
        <f t="shared" si="6"/>
        <v>0.5</v>
      </c>
      <c r="BN49" s="1116">
        <f t="shared" si="13"/>
        <v>7.4999999999999997E-2</v>
      </c>
      <c r="BO49" s="1393"/>
      <c r="BP49" s="1249"/>
      <c r="BQ49" s="821"/>
      <c r="BR49" s="821"/>
    </row>
    <row r="50" spans="2:70" ht="87.75" customHeight="1">
      <c r="B50" s="1251"/>
      <c r="C50" s="1330"/>
      <c r="D50" s="1337"/>
      <c r="E50" s="1348"/>
      <c r="F50" s="1330"/>
      <c r="G50" s="1330"/>
      <c r="H50" s="701" t="str">
        <f>+'1.Informe Seguimiento POA 2022'!D54</f>
        <v>4.1.7 Optimizar la infraestructura tecnológica cumpliendo el 100% de las actividades de la hoja de ruta proyectada para garantizar la prestación continua de los servicios en la Entidad</v>
      </c>
      <c r="I50" s="152">
        <f>+'1.Informe Seguimiento POA 2022'!E54</f>
        <v>0.15</v>
      </c>
      <c r="J50" s="779">
        <f>+'1.Informe Seguimiento POA 2022'!F54</f>
        <v>1</v>
      </c>
      <c r="K50" s="703" t="str">
        <f>+'1.Informe Seguimiento POA 2022'!I54</f>
        <v>Direccionamiento TIC</v>
      </c>
      <c r="L50" s="704" t="str">
        <f>+'1.Informe Seguimiento POA 2022'!J54</f>
        <v>Dirección de Tecnologías de la  Información y las Comunicaciones</v>
      </c>
      <c r="M50" s="168">
        <f>+'1.Informe Seguimiento POA 2022'!K54</f>
        <v>0.3</v>
      </c>
      <c r="N50" s="168">
        <f>+'1.Informe Seguimiento POA 2022'!L54</f>
        <v>0.4</v>
      </c>
      <c r="O50" s="168">
        <f>+'1.Informe Seguimiento POA 2022'!M54</f>
        <v>0.25</v>
      </c>
      <c r="P50" s="168">
        <f>+'1.Informe Seguimiento POA 2022'!N54</f>
        <v>0.05</v>
      </c>
      <c r="Q50" s="714">
        <v>0.06</v>
      </c>
      <c r="R50" s="714">
        <v>0.06</v>
      </c>
      <c r="S50" s="714">
        <v>0.09</v>
      </c>
      <c r="T50" s="714">
        <v>0.09</v>
      </c>
      <c r="U50" s="714">
        <v>0.09</v>
      </c>
      <c r="V50" s="783">
        <v>0.09</v>
      </c>
      <c r="W50" s="714">
        <v>0.06</v>
      </c>
      <c r="X50" s="783">
        <v>0.06</v>
      </c>
      <c r="Y50" s="714">
        <v>0.3</v>
      </c>
      <c r="Z50" s="715">
        <v>0.3</v>
      </c>
      <c r="AA50" s="714">
        <v>1</v>
      </c>
      <c r="AB50" s="714">
        <f>+'1.Informe Seguimiento POA 2022'!O54</f>
        <v>7.0000000000000007E-2</v>
      </c>
      <c r="AC50" s="714">
        <f>+'1.Informe Seguimiento POA 2022'!P54</f>
        <v>7.0000000000000007E-2</v>
      </c>
      <c r="AD50" s="714">
        <f>+'1.Informe Seguimiento POA 2022'!Q54</f>
        <v>0.13</v>
      </c>
      <c r="AE50" s="714">
        <f>+'1.Informe Seguimiento POA 2022'!R54</f>
        <v>0.13</v>
      </c>
      <c r="AF50" s="714">
        <f>+'1.Informe Seguimiento POA 2022'!S54</f>
        <v>0.13</v>
      </c>
      <c r="AG50" s="783">
        <f>+'1.Informe Seguimiento POA 2022'!T54</f>
        <v>0.13</v>
      </c>
      <c r="AH50" s="714">
        <f>+'1.Informe Seguimiento POA 2022'!U54</f>
        <v>7.0000000000000007E-2</v>
      </c>
      <c r="AI50" s="783">
        <f>+'1.Informe Seguimiento POA 2022'!V54</f>
        <v>0</v>
      </c>
      <c r="AJ50" s="714">
        <f>+'1.Informe Seguimiento POA 2022'!W54</f>
        <v>0.4</v>
      </c>
      <c r="AK50" s="715">
        <f>+'1.Informe Seguimiento POA 2022'!X54</f>
        <v>0.33</v>
      </c>
      <c r="AL50" s="714">
        <f>+'1.Informe Seguimiento POA 2022'!Y54</f>
        <v>0.82499999999999996</v>
      </c>
      <c r="AM50" s="1307"/>
      <c r="AN50" s="714"/>
      <c r="AO50" s="714"/>
      <c r="AP50" s="714"/>
      <c r="AQ50" s="714"/>
      <c r="AR50" s="714"/>
      <c r="AS50" s="714"/>
      <c r="AT50" s="714"/>
      <c r="AU50" s="714"/>
      <c r="AV50" s="714">
        <f t="shared" si="14"/>
        <v>0.25</v>
      </c>
      <c r="AW50" s="714"/>
      <c r="AX50" s="714"/>
      <c r="AY50" s="714"/>
      <c r="AZ50" s="714"/>
      <c r="BA50" s="714"/>
      <c r="BB50" s="714"/>
      <c r="BC50" s="714"/>
      <c r="BD50" s="714"/>
      <c r="BE50" s="714"/>
      <c r="BF50" s="714"/>
      <c r="BG50" s="714">
        <f t="shared" si="15"/>
        <v>0.05</v>
      </c>
      <c r="BH50" s="714"/>
      <c r="BI50" s="714"/>
      <c r="BJ50" s="779">
        <f t="shared" si="11"/>
        <v>0.5</v>
      </c>
      <c r="BK50" s="779">
        <f t="shared" si="12"/>
        <v>0.5</v>
      </c>
      <c r="BL50" s="802">
        <f t="shared" si="10"/>
        <v>1</v>
      </c>
      <c r="BM50" s="707">
        <f t="shared" si="6"/>
        <v>0.5</v>
      </c>
      <c r="BN50" s="1116">
        <f t="shared" si="13"/>
        <v>7.4999999999999997E-2</v>
      </c>
      <c r="BO50" s="1394"/>
      <c r="BP50" s="1249"/>
      <c r="BQ50" s="821"/>
      <c r="BR50" s="821"/>
    </row>
    <row r="51" spans="2:70" ht="105" customHeight="1">
      <c r="B51" s="1251"/>
      <c r="C51" s="1285" t="str">
        <f>+'Matriz PEI 2021-2024'!C21</f>
        <v>4.2. Consolidar el 90% del Modelo Integrado de Planeación y Gestión –MIPG- y sus sistemas de gestión articulados, como compromiso con la Calidad, la Excelencia, la Responsabilidad Ambiental y la Mejora en la prestación del Servicio.</v>
      </c>
      <c r="D51" s="1294">
        <f>+'Matriz PEI 2021-2024'!E21</f>
        <v>0.9</v>
      </c>
      <c r="E51" s="1294">
        <f>+'Matriz PEI 2021-2024'!D21</f>
        <v>0.15</v>
      </c>
      <c r="F51" s="874" t="s">
        <v>153</v>
      </c>
      <c r="G51" s="874" t="s">
        <v>991</v>
      </c>
      <c r="H51" s="51" t="str">
        <f>+'1.Informe Seguimiento POA 2022'!D55</f>
        <v>4.2.1 Formular e implementar el 100% de las acciones para la Sostenibilidad y mejora del Sistema de Gestión de la Calidad 
-SGC- (Meta Transversal)</v>
      </c>
      <c r="I51" s="777">
        <f>+'1.Informe Seguimiento POA 2022'!E55</f>
        <v>0.2</v>
      </c>
      <c r="J51" s="773">
        <f>+'1.Informe Seguimiento POA 2022'!F55</f>
        <v>1</v>
      </c>
      <c r="K51" s="778" t="str">
        <f>+'1.Informe Seguimiento POA 2022'!I55</f>
        <v>Direccionamiento Estratégico</v>
      </c>
      <c r="L51" s="778" t="str">
        <f>+'1.Informe Seguimiento POA 2022'!J55</f>
        <v>Dirección de Planeación
Aportan: Dependencias lideradas por  Responsables de procesos y operativos de todos los procesos institucionales</v>
      </c>
      <c r="M51" s="770">
        <f>+'1.Informe Seguimiento POA 2022'!K55</f>
        <v>1</v>
      </c>
      <c r="N51" s="770">
        <f>+'1.Informe Seguimiento POA 2022'!L55</f>
        <v>1</v>
      </c>
      <c r="O51" s="770">
        <f>+'1.Informe Seguimiento POA 2022'!M55</f>
        <v>1</v>
      </c>
      <c r="P51" s="770">
        <f>+'1.Informe Seguimiento POA 2022'!N55</f>
        <v>1</v>
      </c>
      <c r="Q51" s="1073">
        <v>0.2</v>
      </c>
      <c r="R51" s="1073">
        <v>0.2</v>
      </c>
      <c r="S51" s="1073">
        <v>0.22000000000000003</v>
      </c>
      <c r="T51" s="1073">
        <v>0.18482662638903868</v>
      </c>
      <c r="U51" s="1073">
        <v>0.29000000000000004</v>
      </c>
      <c r="V51" s="1073">
        <v>0.31566361788617886</v>
      </c>
      <c r="W51" s="1073">
        <v>0.29000000000000004</v>
      </c>
      <c r="X51" s="1073">
        <v>0.29200000000000004</v>
      </c>
      <c r="Y51" s="699">
        <v>1</v>
      </c>
      <c r="Z51" s="699">
        <v>0.99249024427521759</v>
      </c>
      <c r="AA51" s="699">
        <v>0.99249024427521759</v>
      </c>
      <c r="AB51" s="784">
        <f>+'1.Informe Seguimiento POA 2022'!O55</f>
        <v>0.24000000000000002</v>
      </c>
      <c r="AC51" s="784">
        <f>+'1.Informe Seguimiento POA 2022'!P55</f>
        <v>0.24000000000000002</v>
      </c>
      <c r="AD51" s="784">
        <f>+'1.Informe Seguimiento POA 2022'!Q55</f>
        <v>0.27</v>
      </c>
      <c r="AE51" s="784">
        <f>+'1.Informe Seguimiento POA 2022'!R55</f>
        <v>0.27799999999999997</v>
      </c>
      <c r="AF51" s="784">
        <f>+'1.Informe Seguimiento POA 2022'!S55</f>
        <v>0.27</v>
      </c>
      <c r="AG51" s="784">
        <f>+'1.Informe Seguimiento POA 2022'!T55</f>
        <v>0.27800000000000002</v>
      </c>
      <c r="AH51" s="784">
        <f>+'1.Informe Seguimiento POA 2022'!U55</f>
        <v>0.22</v>
      </c>
      <c r="AI51" s="784">
        <f>+'1.Informe Seguimiento POA 2022'!V55</f>
        <v>0</v>
      </c>
      <c r="AJ51" s="699">
        <f>+'1.Informe Seguimiento POA 2022'!W55</f>
        <v>1</v>
      </c>
      <c r="AK51" s="699">
        <f>+'1.Informe Seguimiento POA 2022'!X55</f>
        <v>0.79600000000000004</v>
      </c>
      <c r="AL51" s="699">
        <f>+'1.Informe Seguimiento POA 2022'!Y55</f>
        <v>0.79600000000000004</v>
      </c>
      <c r="AM51" s="1395">
        <f>'1.Informe Seguimiento POA 2022'!AB55</f>
        <v>0.36379047619047622</v>
      </c>
      <c r="AN51" s="788"/>
      <c r="AO51" s="788"/>
      <c r="AP51" s="788"/>
      <c r="AQ51" s="788"/>
      <c r="AR51" s="788"/>
      <c r="AS51" s="788"/>
      <c r="AT51" s="788"/>
      <c r="AU51" s="788"/>
      <c r="AV51" s="773">
        <f t="shared" si="14"/>
        <v>1</v>
      </c>
      <c r="AW51" s="773"/>
      <c r="AX51" s="788"/>
      <c r="AY51" s="788"/>
      <c r="AZ51" s="788"/>
      <c r="BA51" s="788"/>
      <c r="BB51" s="788"/>
      <c r="BC51" s="788"/>
      <c r="BD51" s="788"/>
      <c r="BE51" s="788"/>
      <c r="BF51" s="788"/>
      <c r="BG51" s="773">
        <f t="shared" si="15"/>
        <v>1</v>
      </c>
      <c r="BH51" s="773"/>
      <c r="BI51" s="788"/>
      <c r="BJ51" s="698">
        <f>+J51</f>
        <v>1</v>
      </c>
      <c r="BK51" s="698">
        <f>AVERAGE((R51+T51+V51+X51),(AC51+AE51+AG51+AI51))</f>
        <v>0.89424512213760887</v>
      </c>
      <c r="BL51" s="697">
        <f t="shared" si="10"/>
        <v>0.89424512213760887</v>
      </c>
      <c r="BM51" s="697">
        <f>(IF(AND(BK51&gt;0,$J51&gt;0),BK51/$J51,0)/4)</f>
        <v>0.22356128053440222</v>
      </c>
      <c r="BN51" s="1114">
        <f t="shared" si="13"/>
        <v>4.4712256106880448E-2</v>
      </c>
      <c r="BO51" s="1317">
        <f>SUM(BN51:BN56)</f>
        <v>0.45127654182116611</v>
      </c>
      <c r="BP51" s="1249"/>
      <c r="BQ51" s="820"/>
      <c r="BR51" s="820"/>
    </row>
    <row r="52" spans="2:70" ht="96" customHeight="1">
      <c r="B52" s="1251"/>
      <c r="C52" s="1291"/>
      <c r="D52" s="1295"/>
      <c r="E52" s="1295"/>
      <c r="F52" s="874" t="s">
        <v>154</v>
      </c>
      <c r="G52" s="874" t="s">
        <v>674</v>
      </c>
      <c r="H52" s="51" t="str">
        <f>+'1.Informe Seguimiento POA 2022'!D56</f>
        <v>4.2.2 Implementar el 40% de las actividades requeridas para la sostenibilidad y mejora del MIPG, de acuerdo con la metodología establecida por la Función Pública. (Meta Transversal)</v>
      </c>
      <c r="I52" s="777">
        <f>+'1.Informe Seguimiento POA 2022'!E56</f>
        <v>0.2</v>
      </c>
      <c r="J52" s="773">
        <f>+'1.Informe Seguimiento POA 2022'!F56</f>
        <v>0.4</v>
      </c>
      <c r="K52" s="778" t="str">
        <f>+'1.Informe Seguimiento POA 2022'!I56</f>
        <v>Direccionamiento Estratégico</v>
      </c>
      <c r="L52" s="778" t="str">
        <f>+'1.Informe Seguimiento POA 2022'!J56</f>
        <v>Dirección de Planeación
Aportan: Dependencias lideradas por  Responsables de procesos y operativos de todos los procesos institucionales</v>
      </c>
      <c r="M52" s="770">
        <f>+'1.Informe Seguimiento POA 2022'!K56</f>
        <v>0.22</v>
      </c>
      <c r="N52" s="770">
        <f>+'1.Informe Seguimiento POA 2022'!L56</f>
        <v>0.14000000000000001</v>
      </c>
      <c r="O52" s="770">
        <f>+'1.Informe Seguimiento POA 2022'!M56</f>
        <v>0.02</v>
      </c>
      <c r="P52" s="770">
        <f>+'1.Informe Seguimiento POA 2022'!N56</f>
        <v>0.02</v>
      </c>
      <c r="Q52" s="1073">
        <v>0.03</v>
      </c>
      <c r="R52" s="1073">
        <v>0.03</v>
      </c>
      <c r="S52" s="1073">
        <v>0.04</v>
      </c>
      <c r="T52" s="1073">
        <v>0.01</v>
      </c>
      <c r="U52" s="1073">
        <v>7.0000000000000007E-2</v>
      </c>
      <c r="V52" s="1073">
        <v>7.0000000000000007E-2</v>
      </c>
      <c r="W52" s="1073">
        <v>0.08</v>
      </c>
      <c r="X52" s="1073">
        <v>0.09</v>
      </c>
      <c r="Y52" s="699">
        <v>0.22000000000000003</v>
      </c>
      <c r="Z52" s="699">
        <v>0.2</v>
      </c>
      <c r="AA52" s="699">
        <v>0.90909090909090906</v>
      </c>
      <c r="AB52" s="784">
        <f>+'1.Informe Seguimiento POA 2022'!O56</f>
        <v>5.1000000000000004E-2</v>
      </c>
      <c r="AC52" s="784">
        <f>+'1.Informe Seguimiento POA 2022'!P56</f>
        <v>5.1000000000000004E-2</v>
      </c>
      <c r="AD52" s="784">
        <f>+'1.Informe Seguimiento POA 2022'!Q56</f>
        <v>3.5999999999999997E-2</v>
      </c>
      <c r="AE52" s="784">
        <f>+'1.Informe Seguimiento POA 2022'!R56</f>
        <v>3.5400000000000001E-2</v>
      </c>
      <c r="AF52" s="784">
        <f>+'1.Informe Seguimiento POA 2022'!S56</f>
        <v>2.7E-2</v>
      </c>
      <c r="AG52" s="784">
        <f>+'1.Informe Seguimiento POA 2022'!T56</f>
        <v>2.7E-2</v>
      </c>
      <c r="AH52" s="784">
        <f>+'1.Informe Seguimiento POA 2022'!U56</f>
        <v>2.6000000000000002E-2</v>
      </c>
      <c r="AI52" s="784">
        <f>+'1.Informe Seguimiento POA 2022'!V56</f>
        <v>0</v>
      </c>
      <c r="AJ52" s="699">
        <f>+'1.Informe Seguimiento POA 2022'!W56</f>
        <v>0.13999999999999999</v>
      </c>
      <c r="AK52" s="699">
        <f>+'1.Informe Seguimiento POA 2022'!X56</f>
        <v>0.1134</v>
      </c>
      <c r="AL52" s="699">
        <f>+'1.Informe Seguimiento POA 2022'!Y56</f>
        <v>0.81</v>
      </c>
      <c r="AM52" s="1396"/>
      <c r="AN52" s="788"/>
      <c r="AO52" s="788"/>
      <c r="AP52" s="788"/>
      <c r="AQ52" s="788"/>
      <c r="AR52" s="788"/>
      <c r="AS52" s="788"/>
      <c r="AT52" s="788"/>
      <c r="AU52" s="788"/>
      <c r="AV52" s="773">
        <f t="shared" si="14"/>
        <v>0.02</v>
      </c>
      <c r="AW52" s="773"/>
      <c r="AX52" s="788"/>
      <c r="AY52" s="788"/>
      <c r="AZ52" s="788"/>
      <c r="BA52" s="788"/>
      <c r="BB52" s="788"/>
      <c r="BC52" s="788"/>
      <c r="BD52" s="788"/>
      <c r="BE52" s="788"/>
      <c r="BF52" s="788"/>
      <c r="BG52" s="773">
        <f t="shared" si="15"/>
        <v>0.02</v>
      </c>
      <c r="BH52" s="773"/>
      <c r="BI52" s="788"/>
      <c r="BJ52" s="697">
        <f t="shared" ref="BJ52:BK54" si="16">Q52+S52+U52+W52+AB52+AD52</f>
        <v>0.307</v>
      </c>
      <c r="BK52" s="697">
        <f t="shared" si="16"/>
        <v>0.28639999999999999</v>
      </c>
      <c r="BL52" s="697">
        <f t="shared" si="10"/>
        <v>0.93289902280130288</v>
      </c>
      <c r="BM52" s="697">
        <f t="shared" si="6"/>
        <v>0.71599999999999997</v>
      </c>
      <c r="BN52" s="1114">
        <f t="shared" si="13"/>
        <v>0.14319999999999999</v>
      </c>
      <c r="BO52" s="1318"/>
      <c r="BP52" s="1249"/>
      <c r="BQ52" s="822"/>
      <c r="BR52" s="822"/>
    </row>
    <row r="53" spans="2:70" ht="74.25" customHeight="1">
      <c r="B53" s="1251"/>
      <c r="C53" s="1291"/>
      <c r="D53" s="1295"/>
      <c r="E53" s="1295"/>
      <c r="F53" s="874" t="s">
        <v>155</v>
      </c>
      <c r="G53" s="874" t="s">
        <v>165</v>
      </c>
      <c r="H53" s="51" t="str">
        <f>+'1.Informe Seguimiento POA 2022'!D57</f>
        <v>4.2.3 Implementar el 100% de los requisitos del Sistema de Gestión Ambiental –SGA-, bajo los estándares de la norma ISO 14001</v>
      </c>
      <c r="I53" s="777">
        <f>+'1.Informe Seguimiento POA 2022'!E57</f>
        <v>0.15</v>
      </c>
      <c r="J53" s="773">
        <f>+'1.Informe Seguimiento POA 2022'!F57</f>
        <v>1</v>
      </c>
      <c r="K53" s="778" t="str">
        <f>+'1.Informe Seguimiento POA 2022'!I57</f>
        <v>Direccionamiento Estratégico</v>
      </c>
      <c r="L53" s="778" t="str">
        <f>+'1.Informe Seguimiento POA 2022'!J57</f>
        <v>Dirección de Planeación</v>
      </c>
      <c r="M53" s="770">
        <f>+'1.Informe Seguimiento POA 2022'!K57</f>
        <v>0.38</v>
      </c>
      <c r="N53" s="770">
        <f>+'1.Informe Seguimiento POA 2022'!L57</f>
        <v>0.33</v>
      </c>
      <c r="O53" s="770">
        <f>+'1.Informe Seguimiento POA 2022'!M57</f>
        <v>0.28999999999999998</v>
      </c>
      <c r="P53" s="770">
        <f>+'1.Informe Seguimiento POA 2022'!N57</f>
        <v>0</v>
      </c>
      <c r="Q53" s="1073">
        <v>0.09</v>
      </c>
      <c r="R53" s="1073">
        <v>0.09</v>
      </c>
      <c r="S53" s="1073">
        <v>0.09</v>
      </c>
      <c r="T53" s="1073">
        <v>0.09</v>
      </c>
      <c r="U53" s="1073">
        <v>0.11</v>
      </c>
      <c r="V53" s="1073">
        <v>0.11</v>
      </c>
      <c r="W53" s="1073">
        <v>0.09</v>
      </c>
      <c r="X53" s="1073">
        <v>0.09</v>
      </c>
      <c r="Y53" s="699">
        <v>0.38</v>
      </c>
      <c r="Z53" s="699">
        <v>0.38</v>
      </c>
      <c r="AA53" s="699">
        <v>1</v>
      </c>
      <c r="AB53" s="784">
        <f>+'1.Informe Seguimiento POA 2022'!O57</f>
        <v>8.7999999999999995E-2</v>
      </c>
      <c r="AC53" s="784">
        <f>+'1.Informe Seguimiento POA 2022'!P57</f>
        <v>8.7999999999999995E-2</v>
      </c>
      <c r="AD53" s="784">
        <f>+'1.Informe Seguimiento POA 2022'!Q57</f>
        <v>8.7999999999999995E-2</v>
      </c>
      <c r="AE53" s="784">
        <f>+'1.Informe Seguimiento POA 2022'!R57</f>
        <v>8.7999999999999995E-2</v>
      </c>
      <c r="AF53" s="784">
        <f>+'1.Informe Seguimiento POA 2022'!S57</f>
        <v>8.7999999999999995E-2</v>
      </c>
      <c r="AG53" s="784">
        <f>+'1.Informe Seguimiento POA 2022'!T57</f>
        <v>8.7999999999999995E-2</v>
      </c>
      <c r="AH53" s="784">
        <f>+'1.Informe Seguimiento POA 2022'!U57</f>
        <v>6.6000000000000003E-2</v>
      </c>
      <c r="AI53" s="784">
        <f>+'1.Informe Seguimiento POA 2022'!V57</f>
        <v>0</v>
      </c>
      <c r="AJ53" s="699">
        <f>+'1.Informe Seguimiento POA 2022'!W57</f>
        <v>0.33</v>
      </c>
      <c r="AK53" s="699">
        <f>+'1.Informe Seguimiento POA 2022'!X57</f>
        <v>0.26400000000000001</v>
      </c>
      <c r="AL53" s="699">
        <f>+'1.Informe Seguimiento POA 2022'!Y57</f>
        <v>0.8</v>
      </c>
      <c r="AM53" s="1396"/>
      <c r="AN53" s="788"/>
      <c r="AO53" s="788"/>
      <c r="AP53" s="788"/>
      <c r="AQ53" s="788"/>
      <c r="AR53" s="788"/>
      <c r="AS53" s="788"/>
      <c r="AT53" s="788"/>
      <c r="AU53" s="788"/>
      <c r="AV53" s="773">
        <f t="shared" si="14"/>
        <v>0.28999999999999998</v>
      </c>
      <c r="AW53" s="773"/>
      <c r="AX53" s="788"/>
      <c r="AY53" s="788"/>
      <c r="AZ53" s="788"/>
      <c r="BA53" s="788"/>
      <c r="BB53" s="788"/>
      <c r="BC53" s="788"/>
      <c r="BD53" s="788"/>
      <c r="BE53" s="788"/>
      <c r="BF53" s="788"/>
      <c r="BG53" s="773">
        <f t="shared" si="15"/>
        <v>0</v>
      </c>
      <c r="BH53" s="773"/>
      <c r="BI53" s="788"/>
      <c r="BJ53" s="697">
        <f t="shared" si="16"/>
        <v>0.55599999999999994</v>
      </c>
      <c r="BK53" s="697">
        <f t="shared" si="16"/>
        <v>0.55599999999999994</v>
      </c>
      <c r="BL53" s="697">
        <f t="shared" si="10"/>
        <v>1</v>
      </c>
      <c r="BM53" s="697">
        <f t="shared" si="6"/>
        <v>0.55599999999999994</v>
      </c>
      <c r="BN53" s="1114">
        <f t="shared" si="13"/>
        <v>8.3399999999999988E-2</v>
      </c>
      <c r="BO53" s="1318"/>
      <c r="BP53" s="1249"/>
      <c r="BQ53" s="822"/>
      <c r="BR53" s="822"/>
    </row>
    <row r="54" spans="2:70" s="772" customFormat="1" ht="63" customHeight="1">
      <c r="B54" s="1251"/>
      <c r="C54" s="1291"/>
      <c r="D54" s="1295"/>
      <c r="E54" s="1295"/>
      <c r="F54" s="874" t="s">
        <v>166</v>
      </c>
      <c r="G54" s="874" t="s">
        <v>675</v>
      </c>
      <c r="H54" s="51" t="str">
        <f>+'1.Informe Seguimiento POA 2022'!D58</f>
        <v>4.2.4 Realizar 12 acciones de monitoreo y revisión  al Plan Anticorrupción y de Atención al Ciudadano -PAAC- de la vigencia.</v>
      </c>
      <c r="I54" s="777">
        <f>+'1.Informe Seguimiento POA 2022'!E58</f>
        <v>0.1</v>
      </c>
      <c r="J54" s="694">
        <f>+'1.Informe Seguimiento POA 2022'!F58</f>
        <v>12</v>
      </c>
      <c r="K54" s="778" t="str">
        <f>+'1.Informe Seguimiento POA 2022'!I58</f>
        <v>Direccionamiento Estratégico</v>
      </c>
      <c r="L54" s="778" t="str">
        <f>+'1.Informe Seguimiento POA 2022'!J58</f>
        <v>Dirección de Planeación</v>
      </c>
      <c r="M54" s="695">
        <f>+'1.Informe Seguimiento POA 2022'!K58</f>
        <v>3</v>
      </c>
      <c r="N54" s="695">
        <f>+'1.Informe Seguimiento POA 2022'!L58</f>
        <v>3</v>
      </c>
      <c r="O54" s="695">
        <f>+'1.Informe Seguimiento POA 2022'!M58</f>
        <v>3</v>
      </c>
      <c r="P54" s="695">
        <f>+'1.Informe Seguimiento POA 2022'!N58</f>
        <v>3</v>
      </c>
      <c r="Q54" s="880">
        <v>1</v>
      </c>
      <c r="R54" s="880">
        <v>1</v>
      </c>
      <c r="S54" s="880">
        <v>0</v>
      </c>
      <c r="T54" s="880">
        <v>0</v>
      </c>
      <c r="U54" s="880">
        <v>1</v>
      </c>
      <c r="V54" s="880">
        <v>1</v>
      </c>
      <c r="W54" s="880">
        <v>1</v>
      </c>
      <c r="X54" s="880">
        <v>1</v>
      </c>
      <c r="Y54" s="880">
        <v>3</v>
      </c>
      <c r="Z54" s="880">
        <v>3</v>
      </c>
      <c r="AA54" s="699">
        <v>1</v>
      </c>
      <c r="AB54" s="695">
        <f>+'1.Informe Seguimiento POA 2022'!O58</f>
        <v>1</v>
      </c>
      <c r="AC54" s="695">
        <f>+'1.Informe Seguimiento POA 2022'!P58</f>
        <v>1</v>
      </c>
      <c r="AD54" s="695">
        <f>+'1.Informe Seguimiento POA 2022'!Q58</f>
        <v>1</v>
      </c>
      <c r="AE54" s="695">
        <f>+'1.Informe Seguimiento POA 2022'!R58</f>
        <v>1</v>
      </c>
      <c r="AF54" s="695">
        <f>+'1.Informe Seguimiento POA 2022'!S58</f>
        <v>1</v>
      </c>
      <c r="AG54" s="695">
        <f>+'1.Informe Seguimiento POA 2022'!T58</f>
        <v>1</v>
      </c>
      <c r="AH54" s="695">
        <f>+'1.Informe Seguimiento POA 2022'!U58</f>
        <v>0</v>
      </c>
      <c r="AI54" s="695">
        <f>+'1.Informe Seguimiento POA 2022'!V58</f>
        <v>0</v>
      </c>
      <c r="AJ54" s="695">
        <f>+'1.Informe Seguimiento POA 2022'!W58</f>
        <v>3</v>
      </c>
      <c r="AK54" s="695">
        <f>+'1.Informe Seguimiento POA 2022'!X58</f>
        <v>3</v>
      </c>
      <c r="AL54" s="699">
        <f>+'1.Informe Seguimiento POA 2022'!Y58</f>
        <v>1</v>
      </c>
      <c r="AM54" s="1396"/>
      <c r="AN54" s="697"/>
      <c r="AO54" s="697"/>
      <c r="AP54" s="697"/>
      <c r="AQ54" s="697"/>
      <c r="AR54" s="697"/>
      <c r="AS54" s="697"/>
      <c r="AT54" s="697"/>
      <c r="AU54" s="697"/>
      <c r="AV54" s="696">
        <f t="shared" si="14"/>
        <v>3</v>
      </c>
      <c r="AW54" s="696"/>
      <c r="AX54" s="697"/>
      <c r="AY54" s="697"/>
      <c r="AZ54" s="697"/>
      <c r="BA54" s="697"/>
      <c r="BB54" s="697"/>
      <c r="BC54" s="697"/>
      <c r="BD54" s="697"/>
      <c r="BE54" s="697"/>
      <c r="BF54" s="697"/>
      <c r="BG54" s="696">
        <f t="shared" si="15"/>
        <v>3</v>
      </c>
      <c r="BH54" s="696"/>
      <c r="BI54" s="697"/>
      <c r="BJ54" s="791">
        <f t="shared" si="16"/>
        <v>5</v>
      </c>
      <c r="BK54" s="791">
        <f t="shared" si="16"/>
        <v>5</v>
      </c>
      <c r="BL54" s="697">
        <f t="shared" si="10"/>
        <v>1</v>
      </c>
      <c r="BM54" s="697">
        <f t="shared" si="6"/>
        <v>0.41666666666666669</v>
      </c>
      <c r="BN54" s="1117">
        <f t="shared" si="13"/>
        <v>4.1666666666666671E-2</v>
      </c>
      <c r="BO54" s="1318"/>
      <c r="BP54" s="1249"/>
      <c r="BQ54" s="822"/>
      <c r="BR54" s="822"/>
    </row>
    <row r="55" spans="2:70" ht="83.45" customHeight="1">
      <c r="B55" s="1251"/>
      <c r="C55" s="1291"/>
      <c r="D55" s="1295"/>
      <c r="E55" s="1295"/>
      <c r="F55" s="874" t="s">
        <v>368</v>
      </c>
      <c r="G55" s="874" t="s">
        <v>1041</v>
      </c>
      <c r="H55" s="51" t="str">
        <f>+'1.Informe Seguimiento POA 2022'!D59</f>
        <v>4.2.5 Incrementar al 90% la percepción de los usuarios que califican como excelente y bueno el servicio en la Personería de Bogotá</v>
      </c>
      <c r="I55" s="777">
        <f>+'1.Informe Seguimiento POA 2022'!E59</f>
        <v>0.2</v>
      </c>
      <c r="J55" s="773">
        <f>+'1.Informe Seguimiento POA 2022'!F59</f>
        <v>0.9</v>
      </c>
      <c r="K55" s="778" t="str">
        <f>+'1.Informe Seguimiento POA 2022'!I59</f>
        <v>Servicio al Usuario</v>
      </c>
      <c r="L55" s="778" t="str">
        <f>+'1.Informe Seguimiento POA 2022'!J59</f>
        <v>Secretaría General</v>
      </c>
      <c r="M55" s="784">
        <f>+'1.Informe Seguimiento POA 2022'!K59</f>
        <v>0.9</v>
      </c>
      <c r="N55" s="784">
        <f>+'1.Informe Seguimiento POA 2022'!L59</f>
        <v>0.9</v>
      </c>
      <c r="O55" s="784">
        <f>+'1.Informe Seguimiento POA 2022'!M59</f>
        <v>0.9</v>
      </c>
      <c r="P55" s="784">
        <f>+'1.Informe Seguimiento POA 2022'!N59</f>
        <v>0.9</v>
      </c>
      <c r="Q55" s="1073">
        <v>0.9</v>
      </c>
      <c r="R55" s="1073">
        <v>0.79800000000000004</v>
      </c>
      <c r="S55" s="1073">
        <v>0</v>
      </c>
      <c r="T55" s="1073">
        <v>0</v>
      </c>
      <c r="U55" s="1073">
        <v>0.9</v>
      </c>
      <c r="V55" s="1073">
        <v>0.93400000000000005</v>
      </c>
      <c r="W55" s="1073">
        <v>0</v>
      </c>
      <c r="X55" s="1073">
        <v>0</v>
      </c>
      <c r="Y55" s="699">
        <v>0.9</v>
      </c>
      <c r="Z55" s="699">
        <v>0.93400000000000005</v>
      </c>
      <c r="AA55" s="699">
        <v>1.0377777777777779</v>
      </c>
      <c r="AB55" s="784">
        <f>+'1.Informe Seguimiento POA 2022'!O59</f>
        <v>0.9</v>
      </c>
      <c r="AC55" s="784">
        <f>+'1.Informe Seguimiento POA 2022'!P59</f>
        <v>0.95899999999999996</v>
      </c>
      <c r="AD55" s="784">
        <f>+'1.Informe Seguimiento POA 2022'!Q59</f>
        <v>0</v>
      </c>
      <c r="AE55" s="784">
        <f>+'1.Informe Seguimiento POA 2022'!R59</f>
        <v>0</v>
      </c>
      <c r="AF55" s="784">
        <f>+'1.Informe Seguimiento POA 2022'!S59</f>
        <v>0.9</v>
      </c>
      <c r="AG55" s="784">
        <f>+'1.Informe Seguimiento POA 2022'!T59</f>
        <v>0.96</v>
      </c>
      <c r="AH55" s="784">
        <f>+'1.Informe Seguimiento POA 2022'!U59</f>
        <v>0</v>
      </c>
      <c r="AI55" s="784">
        <f>+'1.Informe Seguimiento POA 2022'!V59</f>
        <v>0</v>
      </c>
      <c r="AJ55" s="699">
        <f>+'1.Informe Seguimiento POA 2022'!W59</f>
        <v>0.9</v>
      </c>
      <c r="AK55" s="699">
        <f>+'1.Informe Seguimiento POA 2022'!X59</f>
        <v>0.95899999999999996</v>
      </c>
      <c r="AL55" s="699">
        <f>+'1.Informe Seguimiento POA 2022'!Y59</f>
        <v>1.0655555555555556</v>
      </c>
      <c r="AM55" s="1396"/>
      <c r="AN55" s="788"/>
      <c r="AO55" s="788"/>
      <c r="AP55" s="788"/>
      <c r="AQ55" s="788"/>
      <c r="AR55" s="788"/>
      <c r="AS55" s="788"/>
      <c r="AT55" s="788"/>
      <c r="AU55" s="788"/>
      <c r="AV55" s="773">
        <f t="shared" si="14"/>
        <v>0.9</v>
      </c>
      <c r="AW55" s="773"/>
      <c r="AX55" s="788"/>
      <c r="AY55" s="788"/>
      <c r="AZ55" s="788"/>
      <c r="BA55" s="788"/>
      <c r="BB55" s="788"/>
      <c r="BC55" s="788"/>
      <c r="BD55" s="788"/>
      <c r="BE55" s="788"/>
      <c r="BF55" s="788"/>
      <c r="BG55" s="773">
        <f t="shared" si="15"/>
        <v>0.9</v>
      </c>
      <c r="BH55" s="773"/>
      <c r="BI55" s="788"/>
      <c r="BJ55" s="698">
        <f>IFERROR(AVERAGE(AB55,Y55),0)</f>
        <v>0.9</v>
      </c>
      <c r="BK55" s="698">
        <f>IFERROR(AVERAGE(AC55,Z55),0)</f>
        <v>0.94650000000000001</v>
      </c>
      <c r="BL55" s="697">
        <f t="shared" si="10"/>
        <v>1.0516666666666667</v>
      </c>
      <c r="BM55" s="697">
        <f>(IF(AND(BK55&gt;0,$J55&gt;0),BK55/$J55,0)/4)</f>
        <v>0.26291666666666669</v>
      </c>
      <c r="BN55" s="1114">
        <f t="shared" si="13"/>
        <v>5.2583333333333343E-2</v>
      </c>
      <c r="BO55" s="1318"/>
      <c r="BP55" s="1249"/>
      <c r="BQ55" s="822"/>
      <c r="BR55" s="822"/>
    </row>
    <row r="56" spans="2:70" ht="70.5" customHeight="1">
      <c r="B56" s="1251"/>
      <c r="C56" s="1286"/>
      <c r="D56" s="1296"/>
      <c r="E56" s="1296"/>
      <c r="F56" s="874" t="s">
        <v>378</v>
      </c>
      <c r="G56" s="874" t="s">
        <v>380</v>
      </c>
      <c r="H56" s="51" t="str">
        <f>+'1.Informe Seguimiento POA 2022'!D60</f>
        <v xml:space="preserve">4.2.6 Implementar 7 lineamientos en compromiso con la calidad para satisfacer las necesidades y expectativas de los (as) usuarios(as) y partes interesadas </v>
      </c>
      <c r="I56" s="777">
        <f>+'1.Informe Seguimiento POA 2022'!E60</f>
        <v>0.15</v>
      </c>
      <c r="J56" s="694">
        <f>+'1.Informe Seguimiento POA 2022'!F60</f>
        <v>7</v>
      </c>
      <c r="K56" s="778" t="str">
        <f>+'1.Informe Seguimiento POA 2022'!I60</f>
        <v>Servicio al Usuario</v>
      </c>
      <c r="L56" s="778" t="str">
        <f>+'1.Informe Seguimiento POA 2022'!J60</f>
        <v>Secretaría General</v>
      </c>
      <c r="M56" s="718">
        <f>+'1.Informe Seguimiento POA 2022'!K60</f>
        <v>2</v>
      </c>
      <c r="N56" s="718">
        <f>+'1.Informe Seguimiento POA 2022'!L60</f>
        <v>3</v>
      </c>
      <c r="O56" s="718">
        <f>+'1.Informe Seguimiento POA 2022'!M60</f>
        <v>1</v>
      </c>
      <c r="P56" s="718">
        <f>+'1.Informe Seguimiento POA 2022'!N60</f>
        <v>1</v>
      </c>
      <c r="Q56" s="880">
        <v>1</v>
      </c>
      <c r="R56" s="880">
        <v>1</v>
      </c>
      <c r="S56" s="880">
        <v>1</v>
      </c>
      <c r="T56" s="880">
        <v>1</v>
      </c>
      <c r="U56" s="880">
        <v>0</v>
      </c>
      <c r="V56" s="880">
        <v>0</v>
      </c>
      <c r="W56" s="880">
        <v>0</v>
      </c>
      <c r="X56" s="880">
        <v>0</v>
      </c>
      <c r="Y56" s="880">
        <v>2</v>
      </c>
      <c r="Z56" s="880">
        <v>2</v>
      </c>
      <c r="AA56" s="699">
        <v>1</v>
      </c>
      <c r="AB56" s="695">
        <f>+'1.Informe Seguimiento POA 2022'!O60</f>
        <v>1</v>
      </c>
      <c r="AC56" s="695">
        <f>+'1.Informe Seguimiento POA 2022'!P60</f>
        <v>1</v>
      </c>
      <c r="AD56" s="695">
        <f>+'1.Informe Seguimiento POA 2022'!Q60</f>
        <v>1</v>
      </c>
      <c r="AE56" s="695">
        <f>+'1.Informe Seguimiento POA 2022'!R60</f>
        <v>1</v>
      </c>
      <c r="AF56" s="695">
        <f>+'1.Informe Seguimiento POA 2022'!S60</f>
        <v>0</v>
      </c>
      <c r="AG56" s="695">
        <f>+'1.Informe Seguimiento POA 2022'!T60</f>
        <v>0</v>
      </c>
      <c r="AH56" s="695">
        <f>+'1.Informe Seguimiento POA 2022'!U60</f>
        <v>1</v>
      </c>
      <c r="AI56" s="695">
        <f>+'1.Informe Seguimiento POA 2022'!V60</f>
        <v>0</v>
      </c>
      <c r="AJ56" s="695">
        <f>+'1.Informe Seguimiento POA 2022'!W60</f>
        <v>3</v>
      </c>
      <c r="AK56" s="695">
        <f>+'1.Informe Seguimiento POA 2022'!X60</f>
        <v>2</v>
      </c>
      <c r="AL56" s="699">
        <f>+'1.Informe Seguimiento POA 2022'!Y60</f>
        <v>0.66666666666666663</v>
      </c>
      <c r="AM56" s="1397"/>
      <c r="AN56" s="697"/>
      <c r="AO56" s="697"/>
      <c r="AP56" s="697"/>
      <c r="AQ56" s="697"/>
      <c r="AR56" s="697"/>
      <c r="AS56" s="697"/>
      <c r="AT56" s="697"/>
      <c r="AU56" s="697"/>
      <c r="AV56" s="696">
        <f t="shared" si="14"/>
        <v>1</v>
      </c>
      <c r="AW56" s="696"/>
      <c r="AX56" s="697"/>
      <c r="AY56" s="697"/>
      <c r="AZ56" s="697"/>
      <c r="BA56" s="697"/>
      <c r="BB56" s="697"/>
      <c r="BC56" s="697"/>
      <c r="BD56" s="697"/>
      <c r="BE56" s="697"/>
      <c r="BF56" s="697"/>
      <c r="BG56" s="696">
        <f t="shared" si="15"/>
        <v>1</v>
      </c>
      <c r="BH56" s="696"/>
      <c r="BI56" s="697"/>
      <c r="BJ56" s="791">
        <f>Q56+S56+U56+W56+AB56+AD56</f>
        <v>4</v>
      </c>
      <c r="BK56" s="791">
        <f>R56+T56+V56+X56+AC56+AE56</f>
        <v>4</v>
      </c>
      <c r="BL56" s="697">
        <f t="shared" si="10"/>
        <v>1</v>
      </c>
      <c r="BM56" s="697">
        <f t="shared" si="6"/>
        <v>0.5714285714285714</v>
      </c>
      <c r="BN56" s="1118">
        <f t="shared" si="13"/>
        <v>8.5714285714285701E-2</v>
      </c>
      <c r="BO56" s="1319"/>
      <c r="BP56" s="1249"/>
      <c r="BQ56" s="822"/>
      <c r="BR56" s="822"/>
    </row>
    <row r="57" spans="2:70" ht="63.6" customHeight="1">
      <c r="B57" s="1251"/>
      <c r="C57" s="1328" t="str">
        <f>+'Matriz PEI 2021-2024'!C22</f>
        <v xml:space="preserve">4.3. Realizar el 100% de las actividades relacionadas con la Gestión del Talento Humano, que permita su fortalecimiento y el desarrollo de sus conocimientos, su competencia y bienestar. </v>
      </c>
      <c r="D57" s="1335">
        <f>+'Matriz PEI 2021-2024'!E22</f>
        <v>1</v>
      </c>
      <c r="E57" s="1335">
        <f>+'Matriz PEI 2021-2024'!D22</f>
        <v>0.14000000000000001</v>
      </c>
      <c r="F57" s="729" t="str">
        <f>+'1.Informe Seguimiento POA 2022'!H61</f>
        <v>Porcentaje de novedades y situaciones administrativas gestionadas</v>
      </c>
      <c r="G57" s="729" t="str">
        <f>+'08-G. DEL TALENTO HUMANO'!J16</f>
        <v>N° de novedades y situaciones administrativas gestionadas /  N° requerimientos de novedades y situaciones administrativas presentados * 100</v>
      </c>
      <c r="H57" s="701" t="str">
        <f>+'1.Informe Seguimiento POA 2022'!D61</f>
        <v xml:space="preserve">4.3.1 Gestionar el 100% de las novedades y situaciones administrativas de los servidores públicos de la Entidad.
</v>
      </c>
      <c r="I57" s="152">
        <f>+'1.Informe Seguimiento POA 2022'!E61</f>
        <v>0.1</v>
      </c>
      <c r="J57" s="779">
        <f>+'1.Informe Seguimiento POA 2022'!F61</f>
        <v>1</v>
      </c>
      <c r="K57" s="703" t="str">
        <f>+'1.Informe Seguimiento POA 2022'!I61</f>
        <v>Gestión del Talento Humano</v>
      </c>
      <c r="L57" s="704" t="str">
        <f>+'1.Informe Seguimiento POA 2022'!J61</f>
        <v xml:space="preserve">
Dirección de Talento Humano
</v>
      </c>
      <c r="M57" s="719">
        <f>+'1.Informe Seguimiento POA 2022'!K61</f>
        <v>1</v>
      </c>
      <c r="N57" s="719">
        <f>+'1.Informe Seguimiento POA 2022'!L61</f>
        <v>1</v>
      </c>
      <c r="O57" s="719">
        <f>+'1.Informe Seguimiento POA 2022'!M61</f>
        <v>1</v>
      </c>
      <c r="P57" s="719">
        <f>+'1.Informe Seguimiento POA 2022'!N61</f>
        <v>1</v>
      </c>
      <c r="Q57" s="720">
        <v>1</v>
      </c>
      <c r="R57" s="720">
        <v>1</v>
      </c>
      <c r="S57" s="721">
        <v>1</v>
      </c>
      <c r="T57" s="721">
        <v>1</v>
      </c>
      <c r="U57" s="721">
        <v>1</v>
      </c>
      <c r="V57" s="721">
        <v>1</v>
      </c>
      <c r="W57" s="721">
        <v>1</v>
      </c>
      <c r="X57" s="721">
        <v>1</v>
      </c>
      <c r="Y57" s="714">
        <v>1</v>
      </c>
      <c r="Z57" s="715">
        <v>1</v>
      </c>
      <c r="AA57" s="714">
        <v>1</v>
      </c>
      <c r="AB57" s="720">
        <f>+'1.Informe Seguimiento POA 2022'!O61</f>
        <v>1</v>
      </c>
      <c r="AC57" s="720">
        <f>+'1.Informe Seguimiento POA 2022'!P61</f>
        <v>1</v>
      </c>
      <c r="AD57" s="721">
        <f>+'1.Informe Seguimiento POA 2022'!Q61</f>
        <v>1</v>
      </c>
      <c r="AE57" s="721">
        <f>+'1.Informe Seguimiento POA 2022'!R61</f>
        <v>1</v>
      </c>
      <c r="AF57" s="721">
        <f>+'1.Informe Seguimiento POA 2022'!S61</f>
        <v>1</v>
      </c>
      <c r="AG57" s="721">
        <f>+'1.Informe Seguimiento POA 2022'!T61</f>
        <v>1</v>
      </c>
      <c r="AH57" s="721">
        <f>+'1.Informe Seguimiento POA 2022'!U61</f>
        <v>1</v>
      </c>
      <c r="AI57" s="721">
        <f>+'1.Informe Seguimiento POA 2022'!V61</f>
        <v>0</v>
      </c>
      <c r="AJ57" s="714">
        <f>+'1.Informe Seguimiento POA 2022'!W61</f>
        <v>1</v>
      </c>
      <c r="AK57" s="715">
        <f>+'1.Informe Seguimiento POA 2022'!X61</f>
        <v>1</v>
      </c>
      <c r="AL57" s="714">
        <f>+'1.Informe Seguimiento POA 2022'!Y61</f>
        <v>0.75</v>
      </c>
      <c r="AM57" s="1306">
        <f>'1.Informe Seguimiento POA 2022'!AB61</f>
        <v>0.16430101190476187</v>
      </c>
      <c r="AN57" s="714"/>
      <c r="AO57" s="714"/>
      <c r="AP57" s="714"/>
      <c r="AQ57" s="714"/>
      <c r="AR57" s="714"/>
      <c r="AS57" s="714"/>
      <c r="AT57" s="714"/>
      <c r="AU57" s="714"/>
      <c r="AV57" s="714">
        <f t="shared" si="14"/>
        <v>1</v>
      </c>
      <c r="AW57" s="714"/>
      <c r="AX57" s="714"/>
      <c r="AY57" s="714"/>
      <c r="AZ57" s="714"/>
      <c r="BA57" s="714"/>
      <c r="BB57" s="714"/>
      <c r="BC57" s="714"/>
      <c r="BD57" s="714"/>
      <c r="BE57" s="714"/>
      <c r="BF57" s="714"/>
      <c r="BG57" s="714">
        <f t="shared" si="15"/>
        <v>1</v>
      </c>
      <c r="BH57" s="714"/>
      <c r="BI57" s="714"/>
      <c r="BJ57" s="722">
        <f>IFERROR(AVERAGE(Q57,S57,U57,W57,AB57,AD57),0)</f>
        <v>1</v>
      </c>
      <c r="BK57" s="722">
        <f>IFERROR(AVERAGE(R57,T57,V57,X57,AC57,AE57),0)</f>
        <v>1</v>
      </c>
      <c r="BL57" s="802">
        <f t="shared" si="10"/>
        <v>1</v>
      </c>
      <c r="BM57" s="722">
        <f>(IF(AND(BK57&gt;0,$J57&gt;0),BK57/$J57,0)/4)*0.5</f>
        <v>0.125</v>
      </c>
      <c r="BN57" s="723">
        <f t="shared" si="13"/>
        <v>1.2500000000000001E-2</v>
      </c>
      <c r="BO57" s="1338">
        <f>SUM(BN57:BN64)</f>
        <v>0.19944372773436234</v>
      </c>
      <c r="BP57" s="1249"/>
      <c r="BQ57" s="813"/>
      <c r="BR57" s="813"/>
    </row>
    <row r="58" spans="2:70" ht="88.5" customHeight="1">
      <c r="B58" s="1251"/>
      <c r="C58" s="1329"/>
      <c r="D58" s="1336"/>
      <c r="E58" s="1336"/>
      <c r="F58" s="729" t="str">
        <f>+'1.Informe Seguimiento POA 2022'!H62</f>
        <v xml:space="preserve">Novedades incluidas en la nómina  oportunamente  </v>
      </c>
      <c r="G58" s="729" t="str">
        <f>+'08-G. DEL TALENTO HUMANO'!J17</f>
        <v xml:space="preserve"> N° de Novedades incluidas en la Nomina oportunamente / N° de novedades radicadas en los plazos establecidos</v>
      </c>
      <c r="H58" s="701" t="str">
        <f>+'1.Informe Seguimiento POA 2022'!D62</f>
        <v xml:space="preserve">4.3.2 Incluir el 97,8% de las Novedades en la nómina oportunamente, para liquidación y pago </v>
      </c>
      <c r="I58" s="152">
        <f>+'1.Informe Seguimiento POA 2022'!E62</f>
        <v>0.1</v>
      </c>
      <c r="J58" s="779">
        <f>+'1.Informe Seguimiento POA 2022'!F62</f>
        <v>0.97799999999999998</v>
      </c>
      <c r="K58" s="703" t="str">
        <f>+'1.Informe Seguimiento POA 2022'!I62</f>
        <v>Gestión del Talento Humano</v>
      </c>
      <c r="L58" s="704" t="str">
        <f>+'1.Informe Seguimiento POA 2022'!J62</f>
        <v>Dependencia Líder: 
Dirección de Talento Humano
Dependencia Operativa:
Subdirección de Gestión del Talento Humano</v>
      </c>
      <c r="M58" s="719">
        <f>+'1.Informe Seguimiento POA 2022'!K62</f>
        <v>0.97</v>
      </c>
      <c r="N58" s="719">
        <f>+'1.Informe Seguimiento POA 2022'!L62</f>
        <v>0.98</v>
      </c>
      <c r="O58" s="719">
        <f>+'1.Informe Seguimiento POA 2022'!M62</f>
        <v>0.98</v>
      </c>
      <c r="P58" s="719">
        <f>+'1.Informe Seguimiento POA 2022'!N62</f>
        <v>0.98</v>
      </c>
      <c r="Q58" s="720">
        <v>0.97000000000000008</v>
      </c>
      <c r="R58" s="720">
        <v>0.99400000000000011</v>
      </c>
      <c r="S58" s="720">
        <v>0.97000000000000008</v>
      </c>
      <c r="T58" s="720">
        <v>0.97033333333333316</v>
      </c>
      <c r="U58" s="720">
        <v>0.97000000000000008</v>
      </c>
      <c r="V58" s="720">
        <v>0.96833333333333327</v>
      </c>
      <c r="W58" s="720">
        <v>0.97000000000000008</v>
      </c>
      <c r="X58" s="720">
        <v>0.97766666666666657</v>
      </c>
      <c r="Y58" s="714">
        <v>0.97000000000000008</v>
      </c>
      <c r="Z58" s="715">
        <v>0.97699999999999998</v>
      </c>
      <c r="AA58" s="714">
        <v>1.0072164948453608</v>
      </c>
      <c r="AB58" s="720">
        <f>+'1.Informe Seguimiento POA 2022'!O62</f>
        <v>0.98</v>
      </c>
      <c r="AC58" s="720">
        <f>+'1.Informe Seguimiento POA 2022'!P62</f>
        <v>0.98766666666666669</v>
      </c>
      <c r="AD58" s="720">
        <f>+'1.Informe Seguimiento POA 2022'!Q62</f>
        <v>0.98</v>
      </c>
      <c r="AE58" s="720">
        <f>+'1.Informe Seguimiento POA 2022'!R62</f>
        <v>0.95699999999999996</v>
      </c>
      <c r="AF58" s="720">
        <f>+'1.Informe Seguimiento POA 2022'!S62</f>
        <v>0.98</v>
      </c>
      <c r="AG58" s="720">
        <f>+'1.Informe Seguimiento POA 2022'!T62</f>
        <v>0.9903333333333334</v>
      </c>
      <c r="AH58" s="720">
        <f>+'1.Informe Seguimiento POA 2022'!U62</f>
        <v>0.98</v>
      </c>
      <c r="AI58" s="720">
        <f>+'1.Informe Seguimiento POA 2022'!V62</f>
        <v>0</v>
      </c>
      <c r="AJ58" s="714">
        <f>+'1.Informe Seguimiento POA 2022'!W62</f>
        <v>0.98000000000000032</v>
      </c>
      <c r="AK58" s="715">
        <f>+'1.Informe Seguimiento POA 2022'!X62</f>
        <v>0.97799999999999998</v>
      </c>
      <c r="AL58" s="714">
        <f>+'1.Informe Seguimiento POA 2022'!Y62</f>
        <v>0.74846938775510174</v>
      </c>
      <c r="AM58" s="1308"/>
      <c r="AN58" s="714"/>
      <c r="AO58" s="714"/>
      <c r="AP58" s="714"/>
      <c r="AQ58" s="714"/>
      <c r="AR58" s="714"/>
      <c r="AS58" s="714"/>
      <c r="AT58" s="714"/>
      <c r="AU58" s="714"/>
      <c r="AV58" s="714">
        <f t="shared" si="14"/>
        <v>0.98</v>
      </c>
      <c r="AW58" s="714"/>
      <c r="AX58" s="714"/>
      <c r="AY58" s="714"/>
      <c r="AZ58" s="714"/>
      <c r="BA58" s="714"/>
      <c r="BB58" s="714"/>
      <c r="BC58" s="714"/>
      <c r="BD58" s="714"/>
      <c r="BE58" s="714"/>
      <c r="BF58" s="714"/>
      <c r="BG58" s="714">
        <f t="shared" si="15"/>
        <v>0.98</v>
      </c>
      <c r="BH58" s="714"/>
      <c r="BI58" s="714"/>
      <c r="BJ58" s="722">
        <f>IFERROR(AVERAGE(Q58,S58,U58,W58,AB58,AD58),0)</f>
        <v>0.97333333333333327</v>
      </c>
      <c r="BK58" s="722">
        <f>IFERROR(AVERAGE(R58,T58,V58,X58,AC58,AE58),0)</f>
        <v>0.97583333333333322</v>
      </c>
      <c r="BL58" s="802">
        <f t="shared" si="10"/>
        <v>1.0025684931506849</v>
      </c>
      <c r="BM58" s="722">
        <f>(IF(AND(BK58&gt;0,$J58&gt;0),BK58/$J58,0)/4)*0.5</f>
        <v>0.12472307430129514</v>
      </c>
      <c r="BN58" s="723">
        <f t="shared" si="13"/>
        <v>1.2472307430129516E-2</v>
      </c>
      <c r="BO58" s="1339"/>
      <c r="BP58" s="1249"/>
      <c r="BQ58" s="814"/>
      <c r="BR58" s="814"/>
    </row>
    <row r="59" spans="2:70" ht="157.15" customHeight="1">
      <c r="B59" s="1251"/>
      <c r="C59" s="1329"/>
      <c r="D59" s="1336"/>
      <c r="E59" s="1336"/>
      <c r="F59" s="729" t="str">
        <f>+'1.Informe Seguimiento POA 2022'!H63</f>
        <v>Porcentaje de Usuarios internos satisfechos con las solicitudes de los servicios atendidas de la SGTH (Certificaciones laborales, bonos pensionales y autorizaciones de retiro de cesantías)</v>
      </c>
      <c r="G59" s="729" t="str">
        <f>+'08-G. DEL TALENTO HUMANO'!J18</f>
        <v>N° de usuarios satisfechos con las solicitudes de servicios atendidas por la SGTH (Certificaciones laborales, bonos pensionales y autorizaciones de retiro de cesantías. / N° de usuarios encuestados *100</v>
      </c>
      <c r="H59" s="701" t="str">
        <f>+'1.Informe Seguimiento POA 2022'!D63</f>
        <v xml:space="preserve">4.3.3 Lograr el 94,5 % de usuarios internos  satisfechos con las solicitudes de servicios atendidas de la SGTH (Certificaciones laborales, bonos pensionales y autorizaciones de retiro de cesantías). </v>
      </c>
      <c r="I59" s="152">
        <f>+'1.Informe Seguimiento POA 2022'!E63</f>
        <v>0.1</v>
      </c>
      <c r="J59" s="779">
        <f>+'1.Informe Seguimiento POA 2022'!F63</f>
        <v>0.94499999999999995</v>
      </c>
      <c r="K59" s="703" t="str">
        <f>+'1.Informe Seguimiento POA 2022'!I63</f>
        <v>Gestión del Talento Humano</v>
      </c>
      <c r="L59" s="704" t="str">
        <f>+'1.Informe Seguimiento POA 2022'!J63</f>
        <v>Dependencia Líder: 
Dirección de Talento Humano
Dependencia Operativa:
Subdirección de Gestión del Talento Humano</v>
      </c>
      <c r="M59" s="719">
        <f>+'1.Informe Seguimiento POA 2022'!K63</f>
        <v>0.9</v>
      </c>
      <c r="N59" s="719">
        <f>+'1.Informe Seguimiento POA 2022'!L63</f>
        <v>0.96</v>
      </c>
      <c r="O59" s="719">
        <f>+'1.Informe Seguimiento POA 2022'!M63</f>
        <v>0.96</v>
      </c>
      <c r="P59" s="719">
        <f>+'1.Informe Seguimiento POA 2022'!N63</f>
        <v>0.96</v>
      </c>
      <c r="Q59" s="720">
        <v>0</v>
      </c>
      <c r="R59" s="720">
        <v>0</v>
      </c>
      <c r="S59" s="721">
        <v>0.9</v>
      </c>
      <c r="T59" s="721">
        <v>0.94799999999999995</v>
      </c>
      <c r="U59" s="721">
        <v>0.9</v>
      </c>
      <c r="V59" s="721">
        <v>0.97</v>
      </c>
      <c r="W59" s="721">
        <v>0.9</v>
      </c>
      <c r="X59" s="721">
        <v>0.94699999999999995</v>
      </c>
      <c r="Y59" s="714">
        <v>0.90000000000000013</v>
      </c>
      <c r="Z59" s="715">
        <v>0.95499999999999996</v>
      </c>
      <c r="AA59" s="714">
        <v>1.0611111111111109</v>
      </c>
      <c r="AB59" s="720">
        <f>+'1.Informe Seguimiento POA 2022'!O63</f>
        <v>0.96</v>
      </c>
      <c r="AC59" s="720">
        <f>+'1.Informe Seguimiento POA 2022'!P63</f>
        <v>0.92900000000000005</v>
      </c>
      <c r="AD59" s="721">
        <f>+'1.Informe Seguimiento POA 2022'!Q63</f>
        <v>0.96</v>
      </c>
      <c r="AE59" s="721">
        <f>+'1.Informe Seguimiento POA 2022'!R63</f>
        <v>0.99199999999999999</v>
      </c>
      <c r="AF59" s="721">
        <f>+'1.Informe Seguimiento POA 2022'!S63</f>
        <v>0.96</v>
      </c>
      <c r="AG59" s="721">
        <f>+'1.Informe Seguimiento POA 2022'!T63</f>
        <v>0.97</v>
      </c>
      <c r="AH59" s="721">
        <f>+'1.Informe Seguimiento POA 2022'!U63</f>
        <v>0.96</v>
      </c>
      <c r="AI59" s="721">
        <f>+'1.Informe Seguimiento POA 2022'!V63</f>
        <v>0</v>
      </c>
      <c r="AJ59" s="714">
        <f>+'1.Informe Seguimiento POA 2022'!W63</f>
        <v>0.96000000000000008</v>
      </c>
      <c r="AK59" s="715">
        <f>+'1.Informe Seguimiento POA 2022'!X63</f>
        <v>0.96299999999999997</v>
      </c>
      <c r="AL59" s="714">
        <f>+'1.Informe Seguimiento POA 2022'!Y63</f>
        <v>0.75234374999999987</v>
      </c>
      <c r="AM59" s="1308"/>
      <c r="AN59" s="714"/>
      <c r="AO59" s="714"/>
      <c r="AP59" s="714"/>
      <c r="AQ59" s="714"/>
      <c r="AR59" s="714"/>
      <c r="AS59" s="714"/>
      <c r="AT59" s="714"/>
      <c r="AU59" s="714"/>
      <c r="AV59" s="714">
        <f t="shared" si="14"/>
        <v>0.96</v>
      </c>
      <c r="AW59" s="714"/>
      <c r="AX59" s="714"/>
      <c r="AY59" s="714"/>
      <c r="AZ59" s="714"/>
      <c r="BA59" s="714"/>
      <c r="BB59" s="714"/>
      <c r="BC59" s="714"/>
      <c r="BD59" s="714"/>
      <c r="BE59" s="714"/>
      <c r="BF59" s="714"/>
      <c r="BG59" s="714">
        <f t="shared" si="15"/>
        <v>0.96</v>
      </c>
      <c r="BH59" s="714"/>
      <c r="BI59" s="714"/>
      <c r="BJ59" s="722">
        <f>IFERROR(AVERAGE(S59,U59,W59,AB59,AD59),0)</f>
        <v>0.92400000000000004</v>
      </c>
      <c r="BK59" s="722">
        <f>IFERROR(AVERAGE(T59,V59,X59,AC59,AE59),0)</f>
        <v>0.95719999999999994</v>
      </c>
      <c r="BL59" s="802">
        <f t="shared" si="10"/>
        <v>1.0359307359307359</v>
      </c>
      <c r="BM59" s="722">
        <f>(IF(AND(BK59&gt;0,$J59&gt;0),BK59/$J59,0)/4)*0.5</f>
        <v>0.12661375661375662</v>
      </c>
      <c r="BN59" s="723">
        <f t="shared" si="13"/>
        <v>1.2661375661375663E-2</v>
      </c>
      <c r="BO59" s="1339"/>
      <c r="BP59" s="1249"/>
      <c r="BQ59" s="814"/>
      <c r="BR59" s="814"/>
    </row>
    <row r="60" spans="2:70" ht="88.15" customHeight="1">
      <c r="B60" s="1251"/>
      <c r="C60" s="1329"/>
      <c r="D60" s="1336"/>
      <c r="E60" s="1336"/>
      <c r="F60" s="1328" t="s">
        <v>1024</v>
      </c>
      <c r="G60" s="1328" t="s">
        <v>1025</v>
      </c>
      <c r="H60" s="701" t="str">
        <f>+'1.Informe Seguimiento POA 2022'!D64</f>
        <v xml:space="preserve">4.3.4 Formular e implementar el 100% del Plan Institucional de Capacitación de la vigencia.
</v>
      </c>
      <c r="I60" s="152">
        <f>+'1.Informe Seguimiento POA 2022'!E64</f>
        <v>0.15</v>
      </c>
      <c r="J60" s="779">
        <f>+'1.Informe Seguimiento POA 2022'!F64</f>
        <v>1</v>
      </c>
      <c r="K60" s="703" t="str">
        <f>+'1.Informe Seguimiento POA 2022'!I64</f>
        <v>Gestión del Talento Humano</v>
      </c>
      <c r="L60" s="704" t="str">
        <f>+'1.Informe Seguimiento POA 2022'!J64</f>
        <v>Dependencia Líder: 
Dirección de Talento Humano
Dependencia Operativa:
Subdirección de Desarrollo del Talento Humano</v>
      </c>
      <c r="M60" s="719">
        <f>+'1.Informe Seguimiento POA 2022'!K64</f>
        <v>1</v>
      </c>
      <c r="N60" s="719">
        <f>+'1.Informe Seguimiento POA 2022'!L64</f>
        <v>1</v>
      </c>
      <c r="O60" s="719">
        <f>+'1.Informe Seguimiento POA 2022'!M64</f>
        <v>1</v>
      </c>
      <c r="P60" s="719">
        <f>+'1.Informe Seguimiento POA 2022'!N64</f>
        <v>1</v>
      </c>
      <c r="Q60" s="785">
        <v>0.24100000000000002</v>
      </c>
      <c r="R60" s="785">
        <v>0.24100000000000002</v>
      </c>
      <c r="S60" s="785">
        <v>0.27500000000000002</v>
      </c>
      <c r="T60" s="785">
        <v>0.2611</v>
      </c>
      <c r="U60" s="785">
        <v>0.16500000000000001</v>
      </c>
      <c r="V60" s="785">
        <v>0.16469999999999999</v>
      </c>
      <c r="W60" s="785">
        <v>0.31900000000000001</v>
      </c>
      <c r="X60" s="785">
        <v>0.41600000000000004</v>
      </c>
      <c r="Y60" s="714">
        <v>1</v>
      </c>
      <c r="Z60" s="715">
        <v>1.0828</v>
      </c>
      <c r="AA60" s="714">
        <v>1.0828</v>
      </c>
      <c r="AB60" s="785">
        <f>+'1.Informe Seguimiento POA 2022'!O64</f>
        <v>0.3</v>
      </c>
      <c r="AC60" s="785">
        <f>+'1.Informe Seguimiento POA 2022'!P64</f>
        <v>0.3</v>
      </c>
      <c r="AD60" s="785">
        <f>+'1.Informe Seguimiento POA 2022'!Q64</f>
        <v>0.15000000000000002</v>
      </c>
      <c r="AE60" s="785">
        <f>+'1.Informe Seguimiento POA 2022'!R64</f>
        <v>0.15000000000000002</v>
      </c>
      <c r="AF60" s="785">
        <f>+'1.Informe Seguimiento POA 2022'!S64</f>
        <v>0.2</v>
      </c>
      <c r="AG60" s="785">
        <f>+'1.Informe Seguimiento POA 2022'!T64</f>
        <v>0.1</v>
      </c>
      <c r="AH60" s="785">
        <f>+'1.Informe Seguimiento POA 2022'!U64</f>
        <v>0.35000000000000003</v>
      </c>
      <c r="AI60" s="785">
        <f>+'1.Informe Seguimiento POA 2022'!V64</f>
        <v>0</v>
      </c>
      <c r="AJ60" s="714">
        <f>+'1.Informe Seguimiento POA 2022'!W64</f>
        <v>1</v>
      </c>
      <c r="AK60" s="715">
        <f>+'1.Informe Seguimiento POA 2022'!X64</f>
        <v>0.55000000000000004</v>
      </c>
      <c r="AL60" s="714">
        <f>+'1.Informe Seguimiento POA 2022'!Y64</f>
        <v>0.55000000000000004</v>
      </c>
      <c r="AM60" s="1308"/>
      <c r="AN60" s="714"/>
      <c r="AO60" s="714"/>
      <c r="AP60" s="714"/>
      <c r="AQ60" s="714"/>
      <c r="AR60" s="714"/>
      <c r="AS60" s="714"/>
      <c r="AT60" s="714"/>
      <c r="AU60" s="714"/>
      <c r="AV60" s="714">
        <f t="shared" si="14"/>
        <v>1</v>
      </c>
      <c r="AW60" s="714"/>
      <c r="AX60" s="714"/>
      <c r="AY60" s="714"/>
      <c r="AZ60" s="714"/>
      <c r="BA60" s="714"/>
      <c r="BB60" s="714"/>
      <c r="BC60" s="714"/>
      <c r="BD60" s="714"/>
      <c r="BE60" s="714"/>
      <c r="BF60" s="714"/>
      <c r="BG60" s="714">
        <f t="shared" si="15"/>
        <v>1</v>
      </c>
      <c r="BH60" s="714"/>
      <c r="BI60" s="714"/>
      <c r="BJ60" s="722">
        <f>+J60</f>
        <v>1</v>
      </c>
      <c r="BK60" s="722">
        <f>AVERAGE((R60+T60+V60+X60),(AC60+AE60+AG60+AI60))</f>
        <v>0.81640000000000001</v>
      </c>
      <c r="BL60" s="802">
        <f t="shared" si="10"/>
        <v>0.81640000000000001</v>
      </c>
      <c r="BM60" s="722">
        <f>(IF(AND(AK60&gt;0,$J60&gt;0),AK60/$J60,0)/4)</f>
        <v>0.13750000000000001</v>
      </c>
      <c r="BN60" s="723">
        <f t="shared" si="13"/>
        <v>2.0625000000000001E-2</v>
      </c>
      <c r="BO60" s="1339"/>
      <c r="BP60" s="1249"/>
      <c r="BQ60" s="814"/>
      <c r="BR60" s="814"/>
    </row>
    <row r="61" spans="2:70" ht="88.15" customHeight="1">
      <c r="B61" s="1251"/>
      <c r="C61" s="1329"/>
      <c r="D61" s="1336"/>
      <c r="E61" s="1336"/>
      <c r="F61" s="1329"/>
      <c r="G61" s="1329"/>
      <c r="H61" s="701" t="str">
        <f>+'1.Informe Seguimiento POA 2022'!D65</f>
        <v>4.3.5 Formular e implementar el 100% del Plan Institucional de Bienestar de la vigencia .</v>
      </c>
      <c r="I61" s="152">
        <f>+'1.Informe Seguimiento POA 2022'!E65</f>
        <v>0.15</v>
      </c>
      <c r="J61" s="779">
        <f>+'1.Informe Seguimiento POA 2022'!F65</f>
        <v>1</v>
      </c>
      <c r="K61" s="703" t="str">
        <f>+'1.Informe Seguimiento POA 2022'!I65</f>
        <v>Gestión del Talento Humano</v>
      </c>
      <c r="L61" s="704" t="str">
        <f>+'1.Informe Seguimiento POA 2022'!J65</f>
        <v>Dependencia Líder: 
Dirección de Talento Humano
Dependencia Operativa:
Subdirección de Desarrollo del Talento Humano</v>
      </c>
      <c r="M61" s="719">
        <f>+'1.Informe Seguimiento POA 2022'!K65</f>
        <v>1</v>
      </c>
      <c r="N61" s="719">
        <f>+'1.Informe Seguimiento POA 2022'!L65</f>
        <v>1</v>
      </c>
      <c r="O61" s="719">
        <f>+'1.Informe Seguimiento POA 2022'!M65</f>
        <v>1</v>
      </c>
      <c r="P61" s="719">
        <f>+'1.Informe Seguimiento POA 2022'!N65</f>
        <v>1</v>
      </c>
      <c r="Q61" s="720">
        <v>0.308</v>
      </c>
      <c r="R61" s="720">
        <v>0.308</v>
      </c>
      <c r="S61" s="720">
        <v>0.187</v>
      </c>
      <c r="T61" s="720">
        <v>0.2016</v>
      </c>
      <c r="U61" s="720">
        <v>0.19700000000000001</v>
      </c>
      <c r="V61" s="720">
        <v>0.30000000000000004</v>
      </c>
      <c r="W61" s="720">
        <v>0.308</v>
      </c>
      <c r="X61" s="720">
        <v>0.32900000000000001</v>
      </c>
      <c r="Y61" s="714">
        <v>1</v>
      </c>
      <c r="Z61" s="715">
        <v>1.1386000000000001</v>
      </c>
      <c r="AA61" s="714">
        <v>1.1386000000000001</v>
      </c>
      <c r="AB61" s="720">
        <f>+'1.Informe Seguimiento POA 2022'!O65</f>
        <v>0.25830000000000003</v>
      </c>
      <c r="AC61" s="720">
        <f>+'1.Informe Seguimiento POA 2022'!P65</f>
        <v>0.25830000000000003</v>
      </c>
      <c r="AD61" s="720">
        <f>+'1.Informe Seguimiento POA 2022'!Q65</f>
        <v>0.17499999999999999</v>
      </c>
      <c r="AE61" s="720">
        <f>+'1.Informe Seguimiento POA 2022'!R65</f>
        <v>0.1361</v>
      </c>
      <c r="AF61" s="720">
        <f>+'1.Informe Seguimiento POA 2022'!S65</f>
        <v>0.22369999999999995</v>
      </c>
      <c r="AG61" s="720">
        <f>+'1.Informe Seguimiento POA 2022'!T65</f>
        <v>0.24309999999999998</v>
      </c>
      <c r="AH61" s="720">
        <f>+'1.Informe Seguimiento POA 2022'!U65</f>
        <v>0.34299999999999997</v>
      </c>
      <c r="AI61" s="720">
        <f>+'1.Informe Seguimiento POA 2022'!V65</f>
        <v>0</v>
      </c>
      <c r="AJ61" s="714">
        <f>+'1.Informe Seguimiento POA 2022'!W65</f>
        <v>1</v>
      </c>
      <c r="AK61" s="715">
        <f>+'1.Informe Seguimiento POA 2022'!X65</f>
        <v>0.63749999999999996</v>
      </c>
      <c r="AL61" s="714">
        <f>+'1.Informe Seguimiento POA 2022'!Y65</f>
        <v>0.63749999999999996</v>
      </c>
      <c r="AM61" s="1308"/>
      <c r="AN61" s="714"/>
      <c r="AO61" s="714"/>
      <c r="AP61" s="714"/>
      <c r="AQ61" s="714"/>
      <c r="AR61" s="714"/>
      <c r="AS61" s="714"/>
      <c r="AT61" s="714"/>
      <c r="AU61" s="714"/>
      <c r="AV61" s="714">
        <f t="shared" si="14"/>
        <v>1</v>
      </c>
      <c r="AW61" s="714"/>
      <c r="AX61" s="714"/>
      <c r="AY61" s="714"/>
      <c r="AZ61" s="714"/>
      <c r="BA61" s="714"/>
      <c r="BB61" s="714"/>
      <c r="BC61" s="714"/>
      <c r="BD61" s="714"/>
      <c r="BE61" s="714"/>
      <c r="BF61" s="714"/>
      <c r="BG61" s="714">
        <f t="shared" si="15"/>
        <v>1</v>
      </c>
      <c r="BH61" s="714"/>
      <c r="BI61" s="714"/>
      <c r="BJ61" s="722">
        <f>+J61</f>
        <v>1</v>
      </c>
      <c r="BK61" s="722">
        <f>AVERAGE((R61+T61+V61+X61),(AC61+AE61+AG61+AI61))</f>
        <v>0.88805000000000001</v>
      </c>
      <c r="BL61" s="802">
        <f t="shared" si="10"/>
        <v>0.88805000000000001</v>
      </c>
      <c r="BM61" s="722">
        <f>(IF(AND(AK61&gt;0,$J61&gt;0),AK61/$J61,0)/4)</f>
        <v>0.15937499999999999</v>
      </c>
      <c r="BN61" s="723">
        <f t="shared" si="13"/>
        <v>2.3906249999999997E-2</v>
      </c>
      <c r="BO61" s="1339"/>
      <c r="BP61" s="1249"/>
      <c r="BQ61" s="814"/>
      <c r="BR61" s="814"/>
    </row>
    <row r="62" spans="2:70" ht="88.15" customHeight="1">
      <c r="B62" s="1251"/>
      <c r="C62" s="1329"/>
      <c r="D62" s="1336"/>
      <c r="E62" s="1336"/>
      <c r="F62" s="1329"/>
      <c r="G62" s="1329"/>
      <c r="H62" s="701" t="str">
        <f>+'1.Informe Seguimiento POA 2022'!D66</f>
        <v>4.3.6 Formular e implementar el 100% del Plan Institucional de Incentivos de la vigencia.</v>
      </c>
      <c r="I62" s="152">
        <f>+'1.Informe Seguimiento POA 2022'!E66</f>
        <v>0.15</v>
      </c>
      <c r="J62" s="779">
        <f>+'1.Informe Seguimiento POA 2022'!F66</f>
        <v>1</v>
      </c>
      <c r="K62" s="703" t="str">
        <f>+'1.Informe Seguimiento POA 2022'!I66</f>
        <v>Gestión del Talento Humano</v>
      </c>
      <c r="L62" s="704" t="str">
        <f>+'1.Informe Seguimiento POA 2022'!J66</f>
        <v>Dependencia Líder: 
Dirección de Talento Humano
Dependencia Operativa:
Subdirección de Desarrollo del Talento Humano</v>
      </c>
      <c r="M62" s="719">
        <f>+'1.Informe Seguimiento POA 2022'!K66</f>
        <v>1</v>
      </c>
      <c r="N62" s="719">
        <f>+'1.Informe Seguimiento POA 2022'!L66</f>
        <v>1</v>
      </c>
      <c r="O62" s="719">
        <f>+'1.Informe Seguimiento POA 2022'!M66</f>
        <v>1</v>
      </c>
      <c r="P62" s="719">
        <f>+'1.Informe Seguimiento POA 2022'!N66</f>
        <v>1</v>
      </c>
      <c r="Q62" s="720">
        <v>0.26424999999999998</v>
      </c>
      <c r="R62" s="720">
        <v>0.248</v>
      </c>
      <c r="S62" s="720">
        <v>0.17525000000000002</v>
      </c>
      <c r="T62" s="720">
        <v>4.7800000000000002E-2</v>
      </c>
      <c r="U62" s="720">
        <v>0.1275</v>
      </c>
      <c r="V62" s="720">
        <v>0.22270000000000001</v>
      </c>
      <c r="W62" s="720">
        <v>0.433</v>
      </c>
      <c r="X62" s="720">
        <v>0.51300000000000001</v>
      </c>
      <c r="Y62" s="714">
        <v>1</v>
      </c>
      <c r="Z62" s="715">
        <v>1.0314999999999999</v>
      </c>
      <c r="AA62" s="714">
        <v>1.0314999999999999</v>
      </c>
      <c r="AB62" s="720">
        <f>+'1.Informe Seguimiento POA 2022'!O66</f>
        <v>0.25</v>
      </c>
      <c r="AC62" s="720">
        <f>+'1.Informe Seguimiento POA 2022'!P66</f>
        <v>0.25</v>
      </c>
      <c r="AD62" s="720">
        <f>+'1.Informe Seguimiento POA 2022'!Q66</f>
        <v>0.1</v>
      </c>
      <c r="AE62" s="720">
        <f>+'1.Informe Seguimiento POA 2022'!R66</f>
        <v>0.1</v>
      </c>
      <c r="AF62" s="720">
        <f>+'1.Informe Seguimiento POA 2022'!S66</f>
        <v>0.1</v>
      </c>
      <c r="AG62" s="720">
        <f>+'1.Informe Seguimiento POA 2022'!T66</f>
        <v>0.1</v>
      </c>
      <c r="AH62" s="720">
        <f>+'1.Informe Seguimiento POA 2022'!U66</f>
        <v>0.54999999999999993</v>
      </c>
      <c r="AI62" s="720">
        <f>+'1.Informe Seguimiento POA 2022'!V66</f>
        <v>0</v>
      </c>
      <c r="AJ62" s="714">
        <f>+'1.Informe Seguimiento POA 2022'!W66</f>
        <v>0.99999999999999989</v>
      </c>
      <c r="AK62" s="715">
        <f>+'1.Informe Seguimiento POA 2022'!X66</f>
        <v>0.44999999999999996</v>
      </c>
      <c r="AL62" s="714">
        <f>+'1.Informe Seguimiento POA 2022'!Y66</f>
        <v>0.45</v>
      </c>
      <c r="AM62" s="1308"/>
      <c r="AN62" s="714"/>
      <c r="AO62" s="714"/>
      <c r="AP62" s="714"/>
      <c r="AQ62" s="714"/>
      <c r="AR62" s="714"/>
      <c r="AS62" s="714"/>
      <c r="AT62" s="714"/>
      <c r="AU62" s="714"/>
      <c r="AV62" s="714">
        <f t="shared" si="14"/>
        <v>1</v>
      </c>
      <c r="AW62" s="714"/>
      <c r="AX62" s="714"/>
      <c r="AY62" s="714"/>
      <c r="AZ62" s="714"/>
      <c r="BA62" s="714"/>
      <c r="BB62" s="714"/>
      <c r="BC62" s="714"/>
      <c r="BD62" s="714"/>
      <c r="BE62" s="714"/>
      <c r="BF62" s="714"/>
      <c r="BG62" s="714">
        <f t="shared" si="15"/>
        <v>1</v>
      </c>
      <c r="BH62" s="714"/>
      <c r="BI62" s="714"/>
      <c r="BJ62" s="722">
        <f>+J62</f>
        <v>1</v>
      </c>
      <c r="BK62" s="722">
        <f>AVERAGE((R62+T62+V62+X62),(AC62+AE62+AG62+AI62))</f>
        <v>0.74074999999999991</v>
      </c>
      <c r="BL62" s="802">
        <f t="shared" si="10"/>
        <v>0.74074999999999991</v>
      </c>
      <c r="BM62" s="722">
        <f>(IF(AND(BK62&gt;0,$J62&gt;0),BK62/$J62,0)/4)</f>
        <v>0.18518749999999998</v>
      </c>
      <c r="BN62" s="723">
        <f t="shared" si="13"/>
        <v>2.7778124999999997E-2</v>
      </c>
      <c r="BO62" s="1339"/>
      <c r="BP62" s="1249"/>
      <c r="BQ62" s="814"/>
      <c r="BR62" s="814"/>
    </row>
    <row r="63" spans="2:70" ht="88.15" customHeight="1">
      <c r="B63" s="1251"/>
      <c r="C63" s="1329"/>
      <c r="D63" s="1336"/>
      <c r="E63" s="1336"/>
      <c r="F63" s="1357"/>
      <c r="G63" s="1357"/>
      <c r="H63" s="701" t="str">
        <f>+'1.Informe Seguimiento POA 2022'!D67</f>
        <v>4.3.7 Diseñar e implementar el 100 % del Plan Anual de Trabajo del Sistema de Gestión de Seguridad y Salud en el Trabajo SG-SST de la vigencia.</v>
      </c>
      <c r="I63" s="152">
        <f>+'1.Informe Seguimiento POA 2022'!E67</f>
        <v>0.15</v>
      </c>
      <c r="J63" s="779">
        <f>+'1.Informe Seguimiento POA 2022'!F67</f>
        <v>1</v>
      </c>
      <c r="K63" s="703" t="str">
        <f>+'1.Informe Seguimiento POA 2022'!I67</f>
        <v>Gestión del Talento Humano</v>
      </c>
      <c r="L63" s="704" t="str">
        <f>+'1.Informe Seguimiento POA 2022'!J67</f>
        <v>Dependencia Líder: 
Dirección de Talento Humano
Dependencia Operativa:
Subdirección de Desarrollo del Talento Humano</v>
      </c>
      <c r="M63" s="719">
        <f>+'1.Informe Seguimiento POA 2022'!K67</f>
        <v>1</v>
      </c>
      <c r="N63" s="719">
        <f>+'1.Informe Seguimiento POA 2022'!L67</f>
        <v>1</v>
      </c>
      <c r="O63" s="719">
        <f>+'1.Informe Seguimiento POA 2022'!M67</f>
        <v>1</v>
      </c>
      <c r="P63" s="719">
        <f>+'1.Informe Seguimiento POA 2022'!N67</f>
        <v>1</v>
      </c>
      <c r="Q63" s="720">
        <v>0.38924999999999998</v>
      </c>
      <c r="R63" s="720">
        <v>0.38400000000000001</v>
      </c>
      <c r="S63" s="720">
        <v>0.14124999999999999</v>
      </c>
      <c r="T63" s="720">
        <v>0.14529999999999998</v>
      </c>
      <c r="U63" s="720">
        <v>0.14424999999999999</v>
      </c>
      <c r="V63" s="720">
        <v>0.1368</v>
      </c>
      <c r="W63" s="720">
        <v>0.32525000000000004</v>
      </c>
      <c r="X63" s="720">
        <v>0.33325000000000005</v>
      </c>
      <c r="Y63" s="714">
        <v>1</v>
      </c>
      <c r="Z63" s="715">
        <v>0.99935000000000007</v>
      </c>
      <c r="AA63" s="714">
        <v>0.99935000000000007</v>
      </c>
      <c r="AB63" s="720">
        <f>+'1.Informe Seguimiento POA 2022'!O67</f>
        <v>0.40160000000000001</v>
      </c>
      <c r="AC63" s="720">
        <f>+'1.Informe Seguimiento POA 2022'!P67</f>
        <v>0.40160000000000001</v>
      </c>
      <c r="AD63" s="720">
        <f>+'1.Informe Seguimiento POA 2022'!Q67</f>
        <v>0.19600000000000001</v>
      </c>
      <c r="AE63" s="720">
        <f>+'1.Informe Seguimiento POA 2022'!R67</f>
        <v>0.19600000000000001</v>
      </c>
      <c r="AF63" s="720">
        <f>+'1.Informe Seguimiento POA 2022'!S67</f>
        <v>0.1232</v>
      </c>
      <c r="AG63" s="720">
        <f>+'1.Informe Seguimiento POA 2022'!T67</f>
        <v>0.1288</v>
      </c>
      <c r="AH63" s="720">
        <f>+'1.Informe Seguimiento POA 2022'!U67</f>
        <v>0.2792</v>
      </c>
      <c r="AI63" s="720">
        <f>+'1.Informe Seguimiento POA 2022'!V67</f>
        <v>0</v>
      </c>
      <c r="AJ63" s="714">
        <f>+'1.Informe Seguimiento POA 2022'!W67</f>
        <v>1</v>
      </c>
      <c r="AK63" s="715">
        <f>+'1.Informe Seguimiento POA 2022'!X67</f>
        <v>0.72640000000000005</v>
      </c>
      <c r="AL63" s="714">
        <f>+'1.Informe Seguimiento POA 2022'!Y67</f>
        <v>0.72640000000000005</v>
      </c>
      <c r="AM63" s="1308"/>
      <c r="AN63" s="714"/>
      <c r="AO63" s="714"/>
      <c r="AP63" s="714"/>
      <c r="AQ63" s="714"/>
      <c r="AR63" s="714"/>
      <c r="AS63" s="714"/>
      <c r="AT63" s="714"/>
      <c r="AU63" s="714"/>
      <c r="AV63" s="714">
        <f t="shared" si="14"/>
        <v>1</v>
      </c>
      <c r="AW63" s="714"/>
      <c r="AX63" s="714"/>
      <c r="AY63" s="714"/>
      <c r="AZ63" s="714"/>
      <c r="BA63" s="714"/>
      <c r="BB63" s="714"/>
      <c r="BC63" s="714"/>
      <c r="BD63" s="714"/>
      <c r="BE63" s="714"/>
      <c r="BF63" s="714"/>
      <c r="BG63" s="714">
        <f t="shared" si="15"/>
        <v>1</v>
      </c>
      <c r="BH63" s="714"/>
      <c r="BI63" s="714"/>
      <c r="BJ63" s="722">
        <f>+J63</f>
        <v>1</v>
      </c>
      <c r="BK63" s="722">
        <f>AVERAGE((R63+T63+V63+X63),(AC63+AE63+AG63+AI63))</f>
        <v>0.86287500000000006</v>
      </c>
      <c r="BL63" s="802">
        <f t="shared" si="10"/>
        <v>0.86287500000000006</v>
      </c>
      <c r="BM63" s="722">
        <f t="shared" ref="BM63" si="17">(IF(AND(BK63&gt;0,$J63&gt;0),BK63/$J63,0)/4)</f>
        <v>0.21571875000000001</v>
      </c>
      <c r="BN63" s="723">
        <f t="shared" si="13"/>
        <v>3.2357812499999999E-2</v>
      </c>
      <c r="BO63" s="1339"/>
      <c r="BP63" s="1249"/>
      <c r="BQ63" s="814"/>
      <c r="BR63" s="814"/>
    </row>
    <row r="64" spans="2:70" ht="107.45" customHeight="1">
      <c r="B64" s="1251"/>
      <c r="C64" s="1330"/>
      <c r="D64" s="1337"/>
      <c r="E64" s="1337"/>
      <c r="F64" s="869" t="str">
        <f>+'1.Informe Seguimiento POA 2022'!H68</f>
        <v>Capacitaciones realizadas sobre los Sistemas de Gestión y Evaluación del Desempeño Laboral de la Personería de Bogotá, D.C.</v>
      </c>
      <c r="G64" s="869" t="str">
        <f>+'08-G. DEL TALENTO HUMANO'!J23</f>
        <v>Número de capacitacionese realizadas sobre los Sistemas de Gestión y Evaluación del Desempeño Laboral de la Personería de Bogotá, D.C.</v>
      </c>
      <c r="H64" s="701" t="str">
        <f>+'1.Informe Seguimiento POA 2022'!D68</f>
        <v>4.3.8 Realizar 21 capacitaciones sobre los Sistemas de Gestión y Evaluación del Desempeño Laboral de la Entidad.</v>
      </c>
      <c r="I64" s="152">
        <f>+'1.Informe Seguimiento POA 2022'!E68</f>
        <v>0.1</v>
      </c>
      <c r="J64" s="702">
        <f>+'1.Informe Seguimiento POA 2022'!F68</f>
        <v>21</v>
      </c>
      <c r="K64" s="703" t="str">
        <f>+'1.Informe Seguimiento POA 2022'!I68</f>
        <v>Gestión del Talento Humano</v>
      </c>
      <c r="L64" s="704" t="str">
        <f>+'1.Informe Seguimiento POA 2022'!J68</f>
        <v>Dirección de Talento Humano</v>
      </c>
      <c r="M64" s="724">
        <f>+'1.Informe Seguimiento POA 2022'!K68</f>
        <v>9</v>
      </c>
      <c r="N64" s="724">
        <f>+'1.Informe Seguimiento POA 2022'!L68</f>
        <v>4</v>
      </c>
      <c r="O64" s="724">
        <f>+'1.Informe Seguimiento POA 2022'!M68</f>
        <v>4</v>
      </c>
      <c r="P64" s="724">
        <f>+'1.Informe Seguimiento POA 2022'!N68</f>
        <v>4</v>
      </c>
      <c r="Q64" s="1075">
        <v>3</v>
      </c>
      <c r="R64" s="1075">
        <v>3</v>
      </c>
      <c r="S64" s="1075">
        <v>0</v>
      </c>
      <c r="T64" s="1075">
        <v>0</v>
      </c>
      <c r="U64" s="1075">
        <v>3</v>
      </c>
      <c r="V64" s="1075">
        <v>3</v>
      </c>
      <c r="W64" s="1075">
        <v>3</v>
      </c>
      <c r="X64" s="1075">
        <v>3</v>
      </c>
      <c r="Y64" s="706">
        <v>9</v>
      </c>
      <c r="Z64" s="706">
        <v>9</v>
      </c>
      <c r="AA64" s="707">
        <v>1</v>
      </c>
      <c r="AB64" s="724">
        <f>+'1.Informe Seguimiento POA 2022'!O68</f>
        <v>2</v>
      </c>
      <c r="AC64" s="724">
        <f>+'1.Informe Seguimiento POA 2022'!P68</f>
        <v>2</v>
      </c>
      <c r="AD64" s="724">
        <f>+'1.Informe Seguimiento POA 2022'!Q68</f>
        <v>1</v>
      </c>
      <c r="AE64" s="724">
        <f>+'1.Informe Seguimiento POA 2022'!R68</f>
        <v>1</v>
      </c>
      <c r="AF64" s="724">
        <f>+'1.Informe Seguimiento POA 2022'!S68</f>
        <v>1</v>
      </c>
      <c r="AG64" s="724">
        <f>+'1.Informe Seguimiento POA 2022'!T68</f>
        <v>1</v>
      </c>
      <c r="AH64" s="724">
        <f>+'1.Informe Seguimiento POA 2022'!U68</f>
        <v>0</v>
      </c>
      <c r="AI64" s="724">
        <f>+'1.Informe Seguimiento POA 2022'!V68</f>
        <v>0</v>
      </c>
      <c r="AJ64" s="706">
        <f>+'1.Informe Seguimiento POA 2022'!W68</f>
        <v>4</v>
      </c>
      <c r="AK64" s="706">
        <f>+'1.Informe Seguimiento POA 2022'!X68</f>
        <v>4</v>
      </c>
      <c r="AL64" s="707">
        <f>+'1.Informe Seguimiento POA 2022'!Y68</f>
        <v>1</v>
      </c>
      <c r="AM64" s="1307"/>
      <c r="AN64" s="707"/>
      <c r="AO64" s="707"/>
      <c r="AP64" s="707"/>
      <c r="AQ64" s="707"/>
      <c r="AR64" s="707"/>
      <c r="AS64" s="707"/>
      <c r="AT64" s="707"/>
      <c r="AU64" s="707"/>
      <c r="AV64" s="706">
        <f t="shared" si="14"/>
        <v>4</v>
      </c>
      <c r="AW64" s="706"/>
      <c r="AX64" s="707"/>
      <c r="AY64" s="707"/>
      <c r="AZ64" s="707"/>
      <c r="BA64" s="707"/>
      <c r="BB64" s="707"/>
      <c r="BC64" s="707"/>
      <c r="BD64" s="707"/>
      <c r="BE64" s="707"/>
      <c r="BF64" s="707"/>
      <c r="BG64" s="706">
        <f t="shared" si="15"/>
        <v>4</v>
      </c>
      <c r="BH64" s="706"/>
      <c r="BI64" s="707"/>
      <c r="BJ64" s="706">
        <f>Q64+S64+U64+W64+AB64+AD64</f>
        <v>12</v>
      </c>
      <c r="BK64" s="706">
        <f>R64+T64+V64+X64+AC64+AE64</f>
        <v>12</v>
      </c>
      <c r="BL64" s="802">
        <f t="shared" si="10"/>
        <v>1</v>
      </c>
      <c r="BM64" s="722">
        <f>IF(AND(BK64&gt;0,$J64&gt;0),BK64/$J64,0)</f>
        <v>0.5714285714285714</v>
      </c>
      <c r="BN64" s="723">
        <f t="shared" si="13"/>
        <v>5.7142857142857141E-2</v>
      </c>
      <c r="BO64" s="1340"/>
      <c r="BP64" s="1249"/>
      <c r="BQ64" s="814"/>
      <c r="BR64" s="814"/>
    </row>
    <row r="65" spans="2:70" ht="76.5" customHeight="1">
      <c r="B65" s="1251"/>
      <c r="C65" s="1285" t="str">
        <f>+'Matriz PEI 2021-2024'!C23</f>
        <v>4.4. Implementar el 100% de las acciones necesarias para la modernización de la gestión institucional a través de los procesos de apoyo, que permita una mejor prestación del servicio.</v>
      </c>
      <c r="D65" s="1294">
        <f>+'Matriz PEI 2021-2024'!E23</f>
        <v>1</v>
      </c>
      <c r="E65" s="1294">
        <f>+'Matriz PEI 2021-2024'!D23</f>
        <v>0.14000000000000001</v>
      </c>
      <c r="F65" s="1293" t="s">
        <v>1026</v>
      </c>
      <c r="G65" s="1293" t="s">
        <v>1027</v>
      </c>
      <c r="H65" s="876" t="str">
        <f>+'1.Informe Seguimiento POA 2022'!D69</f>
        <v>4.4.1 Atender el 100% de los servicios de mantenimiento, almacén, transporte. Aseo y cafetería</v>
      </c>
      <c r="I65" s="777">
        <f>+'1.Informe Seguimiento POA 2022'!E69</f>
        <v>0.1</v>
      </c>
      <c r="J65" s="773">
        <f>+'1.Informe Seguimiento POA 2022'!F69</f>
        <v>1</v>
      </c>
      <c r="K65" s="778" t="str">
        <f>+'1.Informe Seguimiento POA 2022'!I69</f>
        <v>Gestión Administrativa</v>
      </c>
      <c r="L65" s="778" t="str">
        <f>+'1.Informe Seguimiento POA 2022'!J69</f>
        <v>Subdirección de Gestión Documental y Recursos Físicos
Dirección Administrativa y Financiera</v>
      </c>
      <c r="M65" s="716">
        <f>+'1.Informe Seguimiento POA 2022'!K69</f>
        <v>1</v>
      </c>
      <c r="N65" s="716">
        <f>+'1.Informe Seguimiento POA 2022'!L69</f>
        <v>1</v>
      </c>
      <c r="O65" s="716">
        <f>+'1.Informe Seguimiento POA 2022'!M69</f>
        <v>1</v>
      </c>
      <c r="P65" s="716">
        <f>+'1.Informe Seguimiento POA 2022'!N69</f>
        <v>1</v>
      </c>
      <c r="Q65" s="1074">
        <v>1</v>
      </c>
      <c r="R65" s="1074">
        <v>0.99633333333333329</v>
      </c>
      <c r="S65" s="1074">
        <v>1</v>
      </c>
      <c r="T65" s="1074">
        <v>1</v>
      </c>
      <c r="U65" s="1074">
        <v>1</v>
      </c>
      <c r="V65" s="1074">
        <v>1</v>
      </c>
      <c r="W65" s="1074">
        <v>1</v>
      </c>
      <c r="X65" s="1074">
        <v>1</v>
      </c>
      <c r="Y65" s="699">
        <v>1</v>
      </c>
      <c r="Z65" s="699">
        <v>0.999</v>
      </c>
      <c r="AA65" s="699">
        <v>0.999</v>
      </c>
      <c r="AB65" s="780">
        <f>+'1.Informe Seguimiento POA 2022'!O69</f>
        <v>1</v>
      </c>
      <c r="AC65" s="780">
        <f>+'1.Informe Seguimiento POA 2022'!P69</f>
        <v>1</v>
      </c>
      <c r="AD65" s="780">
        <f>+'1.Informe Seguimiento POA 2022'!Q69</f>
        <v>1</v>
      </c>
      <c r="AE65" s="780">
        <f>+'1.Informe Seguimiento POA 2022'!R69</f>
        <v>1</v>
      </c>
      <c r="AF65" s="780">
        <f>+'1.Informe Seguimiento POA 2022'!S69</f>
        <v>1</v>
      </c>
      <c r="AG65" s="780">
        <f>+'1.Informe Seguimiento POA 2022'!T69</f>
        <v>1</v>
      </c>
      <c r="AH65" s="780">
        <f>+'1.Informe Seguimiento POA 2022'!U69</f>
        <v>1</v>
      </c>
      <c r="AI65" s="780">
        <f>+'1.Informe Seguimiento POA 2022'!V69</f>
        <v>0</v>
      </c>
      <c r="AJ65" s="699">
        <f>+'1.Informe Seguimiento POA 2022'!W69</f>
        <v>1</v>
      </c>
      <c r="AK65" s="699">
        <f>+'1.Informe Seguimiento POA 2022'!X69</f>
        <v>1</v>
      </c>
      <c r="AL65" s="699">
        <f>+'1.Informe Seguimiento POA 2022'!Y69</f>
        <v>0.75</v>
      </c>
      <c r="AM65" s="1395">
        <f>'1.Informe Seguimiento POA 2022'!AB69</f>
        <v>0.19008767541033639</v>
      </c>
      <c r="AN65" s="788"/>
      <c r="AO65" s="788"/>
      <c r="AP65" s="788"/>
      <c r="AQ65" s="788"/>
      <c r="AR65" s="788"/>
      <c r="AS65" s="788"/>
      <c r="AT65" s="788"/>
      <c r="AU65" s="788"/>
      <c r="AV65" s="773">
        <f t="shared" si="14"/>
        <v>1</v>
      </c>
      <c r="AW65" s="773"/>
      <c r="AX65" s="788"/>
      <c r="AY65" s="788"/>
      <c r="AZ65" s="788"/>
      <c r="BA65" s="788"/>
      <c r="BB65" s="788"/>
      <c r="BC65" s="788"/>
      <c r="BD65" s="788"/>
      <c r="BE65" s="788"/>
      <c r="BF65" s="788"/>
      <c r="BG65" s="773">
        <f t="shared" si="15"/>
        <v>1</v>
      </c>
      <c r="BH65" s="773"/>
      <c r="BI65" s="788"/>
      <c r="BJ65" s="698">
        <f>IFERROR(AVERAGE(Q65,S65,U65,W65,AB65,AD65),0)</f>
        <v>1</v>
      </c>
      <c r="BK65" s="698">
        <f>IFERROR(AVERAGE(R65,T65,V65,X65,AC65,AE65),0)</f>
        <v>0.99938888888888888</v>
      </c>
      <c r="BL65" s="697">
        <f t="shared" si="10"/>
        <v>0.99938888888888888</v>
      </c>
      <c r="BM65" s="697">
        <f>(IF(AND(BK65&gt;0,$J65&gt;0),BK65/$J65,0)/4)*0.5</f>
        <v>0.12492361111111111</v>
      </c>
      <c r="BN65" s="732">
        <f t="shared" si="13"/>
        <v>1.2492361111111112E-2</v>
      </c>
      <c r="BO65" s="1411">
        <f>SUM(BN65:BN82)</f>
        <v>0.17576026757290703</v>
      </c>
      <c r="BP65" s="1249"/>
      <c r="BQ65" s="819"/>
      <c r="BR65" s="819"/>
    </row>
    <row r="66" spans="2:70" ht="62.25" customHeight="1">
      <c r="B66" s="1251"/>
      <c r="C66" s="1291"/>
      <c r="D66" s="1295"/>
      <c r="E66" s="1295"/>
      <c r="F66" s="1293"/>
      <c r="G66" s="1293"/>
      <c r="H66" s="876" t="str">
        <f>+'1.Informe Seguimiento POA 2022'!D70</f>
        <v>4.4.2 Ejecutar el 97% de las actividades del Plan Estratégico de Seguridad Vial (PESV)</v>
      </c>
      <c r="I66" s="777">
        <f>+'1.Informe Seguimiento POA 2022'!E70</f>
        <v>0.1</v>
      </c>
      <c r="J66" s="773">
        <f>+'1.Informe Seguimiento POA 2022'!F70</f>
        <v>0.97</v>
      </c>
      <c r="K66" s="778" t="str">
        <f>+'1.Informe Seguimiento POA 2022'!I70</f>
        <v>Gestión Administrativa</v>
      </c>
      <c r="L66" s="778" t="str">
        <f>+'1.Informe Seguimiento POA 2022'!J70</f>
        <v>Subdirección de Gestión Documental y Recursos Físicos
Dirección Administrativa y Financiera</v>
      </c>
      <c r="M66" s="716">
        <f>+'1.Informe Seguimiento POA 2022'!K70</f>
        <v>0.97</v>
      </c>
      <c r="N66" s="716">
        <f>+'1.Informe Seguimiento POA 2022'!L70</f>
        <v>0.97</v>
      </c>
      <c r="O66" s="716">
        <f>+'1.Informe Seguimiento POA 2022'!M70</f>
        <v>0.97</v>
      </c>
      <c r="P66" s="716">
        <f>+'1.Informe Seguimiento POA 2022'!N70</f>
        <v>0.97</v>
      </c>
      <c r="Q66" s="1074">
        <v>0.97000000000000008</v>
      </c>
      <c r="R66" s="1074">
        <v>1</v>
      </c>
      <c r="S66" s="1074">
        <v>0.97000000000000008</v>
      </c>
      <c r="T66" s="1074">
        <v>1.037037037037037</v>
      </c>
      <c r="U66" s="1074">
        <v>0.97000000000000008</v>
      </c>
      <c r="V66" s="1074">
        <v>1.1609999999999998</v>
      </c>
      <c r="W66" s="1074">
        <v>0.97000000000000008</v>
      </c>
      <c r="X66" s="1074">
        <v>1</v>
      </c>
      <c r="Y66" s="699">
        <v>0.97000000000000008</v>
      </c>
      <c r="Z66" s="699">
        <v>1.0489999999999999</v>
      </c>
      <c r="AA66" s="699">
        <v>1.0814432989690721</v>
      </c>
      <c r="AB66" s="780">
        <f>+'1.Informe Seguimiento POA 2022'!O70</f>
        <v>0.97000000000000008</v>
      </c>
      <c r="AC66" s="780">
        <f>+'1.Informe Seguimiento POA 2022'!P70</f>
        <v>1.0923333333333334</v>
      </c>
      <c r="AD66" s="780">
        <f>+'1.Informe Seguimiento POA 2022'!Q70</f>
        <v>0.97000000000000008</v>
      </c>
      <c r="AE66" s="780">
        <f>+'1.Informe Seguimiento POA 2022'!R70</f>
        <v>1.0946666666666667</v>
      </c>
      <c r="AF66" s="780">
        <f>+'1.Informe Seguimiento POA 2022'!S70</f>
        <v>0.97000000000000008</v>
      </c>
      <c r="AG66" s="780">
        <f>+'1.Informe Seguimiento POA 2022'!T70</f>
        <v>1.272</v>
      </c>
      <c r="AH66" s="780">
        <f>+'1.Informe Seguimiento POA 2022'!U70</f>
        <v>0.97000000000000008</v>
      </c>
      <c r="AI66" s="780">
        <f>+'1.Informe Seguimiento POA 2022'!V70</f>
        <v>0</v>
      </c>
      <c r="AJ66" s="699">
        <f>+'1.Informe Seguimiento POA 2022'!W70</f>
        <v>0.97000000000000008</v>
      </c>
      <c r="AK66" s="699">
        <f>+'1.Informe Seguimiento POA 2022'!X70</f>
        <v>1.153</v>
      </c>
      <c r="AL66" s="699">
        <f>+'1.Informe Seguimiento POA 2022'!Y70</f>
        <v>0.89149484536082468</v>
      </c>
      <c r="AM66" s="1396"/>
      <c r="AN66" s="788"/>
      <c r="AO66" s="788"/>
      <c r="AP66" s="788"/>
      <c r="AQ66" s="788"/>
      <c r="AR66" s="788"/>
      <c r="AS66" s="788"/>
      <c r="AT66" s="788"/>
      <c r="AU66" s="788"/>
      <c r="AV66" s="773">
        <f t="shared" si="14"/>
        <v>0.97</v>
      </c>
      <c r="AW66" s="773"/>
      <c r="AX66" s="788"/>
      <c r="AY66" s="788"/>
      <c r="AZ66" s="788"/>
      <c r="BA66" s="788"/>
      <c r="BB66" s="788"/>
      <c r="BC66" s="788"/>
      <c r="BD66" s="788"/>
      <c r="BE66" s="788"/>
      <c r="BF66" s="788"/>
      <c r="BG66" s="773">
        <f t="shared" si="15"/>
        <v>0.97</v>
      </c>
      <c r="BH66" s="773"/>
      <c r="BI66" s="788"/>
      <c r="BJ66" s="698">
        <f>IFERROR(AVERAGE(Q66,S66,U66,W66,AB66,AD66),0)</f>
        <v>0.97000000000000008</v>
      </c>
      <c r="BK66" s="698">
        <f>IFERROR(AVERAGE(R66,T66,V66,X66,AC66,AE66),0)</f>
        <v>1.0641728395061729</v>
      </c>
      <c r="BL66" s="697">
        <f t="shared" si="10"/>
        <v>1.0970854015527556</v>
      </c>
      <c r="BM66" s="697">
        <f>(IF(AND(BK66&gt;0,$J66&gt;0),BK66/$J66,0)/4)*0.5</f>
        <v>0.13713567519409445</v>
      </c>
      <c r="BN66" s="732">
        <f t="shared" si="13"/>
        <v>1.3713567519409445E-2</v>
      </c>
      <c r="BO66" s="1412"/>
      <c r="BP66" s="1249"/>
      <c r="BQ66" s="819"/>
      <c r="BR66" s="819"/>
    </row>
    <row r="67" spans="2:70" ht="64.5" customHeight="1">
      <c r="B67" s="1251"/>
      <c r="C67" s="1291"/>
      <c r="D67" s="1295"/>
      <c r="E67" s="1295"/>
      <c r="F67" s="1293" t="s">
        <v>1028</v>
      </c>
      <c r="G67" s="1285" t="s">
        <v>1029</v>
      </c>
      <c r="H67" s="876" t="str">
        <f>+'1.Informe Seguimiento POA 2022'!D71</f>
        <v>4.4.3 Ejecutar el 95% del presupuesto aprobado para la Entidad</v>
      </c>
      <c r="I67" s="777">
        <f>+'1.Informe Seguimiento POA 2022'!E71</f>
        <v>7.0000000000000007E-2</v>
      </c>
      <c r="J67" s="773">
        <f>+'1.Informe Seguimiento POA 2022'!F71</f>
        <v>0.95</v>
      </c>
      <c r="K67" s="778" t="str">
        <f>+'1.Informe Seguimiento POA 2022'!I71</f>
        <v>Gestión Financiera</v>
      </c>
      <c r="L67" s="778" t="str">
        <f>+'1.Informe Seguimiento POA 2022'!J71</f>
        <v>Subdirección de Gestión Financiera
Dirección Administrativa y Financiera</v>
      </c>
      <c r="M67" s="716">
        <f>+'1.Informe Seguimiento POA 2022'!K71</f>
        <v>0.95</v>
      </c>
      <c r="N67" s="716">
        <f>+'1.Informe Seguimiento POA 2022'!L71</f>
        <v>0.95</v>
      </c>
      <c r="O67" s="716">
        <f>+'1.Informe Seguimiento POA 2022'!M71</f>
        <v>0.95</v>
      </c>
      <c r="P67" s="716">
        <f>+'1.Informe Seguimiento POA 2022'!N71</f>
        <v>0.95</v>
      </c>
      <c r="Q67" s="1074">
        <v>0.22000000000000003</v>
      </c>
      <c r="R67" s="1074">
        <v>0.20400000000000001</v>
      </c>
      <c r="S67" s="1074">
        <v>0.25</v>
      </c>
      <c r="T67" s="1074">
        <v>0.25800000000000001</v>
      </c>
      <c r="U67" s="1074">
        <v>0.25</v>
      </c>
      <c r="V67" s="1074">
        <v>0.19900000000000001</v>
      </c>
      <c r="W67" s="1074">
        <v>0.23</v>
      </c>
      <c r="X67" s="1074">
        <v>0.32799999999999996</v>
      </c>
      <c r="Y67" s="699">
        <v>0.95</v>
      </c>
      <c r="Z67" s="699">
        <v>0.98899999999999999</v>
      </c>
      <c r="AA67" s="699">
        <v>1.0410526315789475</v>
      </c>
      <c r="AB67" s="780">
        <f>+'1.Informe Seguimiento POA 2022'!O71</f>
        <v>0.22000000000000003</v>
      </c>
      <c r="AC67" s="780">
        <f>+'1.Informe Seguimiento POA 2022'!P71</f>
        <v>0.27100000000000002</v>
      </c>
      <c r="AD67" s="780">
        <f>+'1.Informe Seguimiento POA 2022'!Q71</f>
        <v>0.25</v>
      </c>
      <c r="AE67" s="780">
        <f>+'1.Informe Seguimiento POA 2022'!R71</f>
        <v>0.23899999999999999</v>
      </c>
      <c r="AF67" s="780">
        <f>+'1.Informe Seguimiento POA 2022'!S71</f>
        <v>0.25</v>
      </c>
      <c r="AG67" s="780">
        <f>+'1.Informe Seguimiento POA 2022'!T71</f>
        <v>0.21600000000000003</v>
      </c>
      <c r="AH67" s="780">
        <f>+'1.Informe Seguimiento POA 2022'!U71</f>
        <v>0.23</v>
      </c>
      <c r="AI67" s="780">
        <f>+'1.Informe Seguimiento POA 2022'!V71</f>
        <v>0</v>
      </c>
      <c r="AJ67" s="699">
        <f>+'1.Informe Seguimiento POA 2022'!W71</f>
        <v>0.95</v>
      </c>
      <c r="AK67" s="699">
        <f>+'1.Informe Seguimiento POA 2022'!X71</f>
        <v>0.72599999999999998</v>
      </c>
      <c r="AL67" s="699">
        <f>+'1.Informe Seguimiento POA 2022'!Y71</f>
        <v>0.76421052631578945</v>
      </c>
      <c r="AM67" s="1396"/>
      <c r="AN67" s="788"/>
      <c r="AO67" s="788"/>
      <c r="AP67" s="788"/>
      <c r="AQ67" s="788"/>
      <c r="AR67" s="788"/>
      <c r="AS67" s="788"/>
      <c r="AT67" s="788"/>
      <c r="AU67" s="788"/>
      <c r="AV67" s="773">
        <f t="shared" si="14"/>
        <v>0.95</v>
      </c>
      <c r="AW67" s="773"/>
      <c r="AX67" s="788"/>
      <c r="AY67" s="788"/>
      <c r="AZ67" s="788"/>
      <c r="BA67" s="788"/>
      <c r="BB67" s="788"/>
      <c r="BC67" s="788"/>
      <c r="BD67" s="788"/>
      <c r="BE67" s="788"/>
      <c r="BF67" s="788"/>
      <c r="BG67" s="773">
        <f t="shared" si="15"/>
        <v>0.95</v>
      </c>
      <c r="BH67" s="773"/>
      <c r="BI67" s="788"/>
      <c r="BJ67" s="904">
        <f>+J67</f>
        <v>0.95</v>
      </c>
      <c r="BK67" s="1107">
        <f>AVERAGE((R67+T67+V67+X67),(AC67+AE67+AG67+AI67))</f>
        <v>0.85749999999999993</v>
      </c>
      <c r="BL67" s="697">
        <f t="shared" si="10"/>
        <v>0.90263157894736834</v>
      </c>
      <c r="BM67" s="697">
        <f>(IF(AND(BK67&gt;0,$J67&gt;0),BK67/$J67,0)/4)</f>
        <v>0.22565789473684209</v>
      </c>
      <c r="BN67" s="725">
        <f t="shared" si="13"/>
        <v>1.5796052631578947E-2</v>
      </c>
      <c r="BO67" s="1412"/>
      <c r="BP67" s="1249"/>
      <c r="BQ67" s="819"/>
      <c r="BR67" s="819"/>
    </row>
    <row r="68" spans="2:70" ht="64.5" customHeight="1">
      <c r="B68" s="1251"/>
      <c r="C68" s="1291"/>
      <c r="D68" s="1295"/>
      <c r="E68" s="1295"/>
      <c r="F68" s="1293"/>
      <c r="G68" s="1291"/>
      <c r="H68" s="876" t="str">
        <f>+'1.Informe Seguimiento POA 2022'!D72</f>
        <v>4.4.4 Programar y ejecutar el 95% de los compromisos de pago adquiridos por la Entidad</v>
      </c>
      <c r="I68" s="777">
        <f>+'1.Informe Seguimiento POA 2022'!E72</f>
        <v>7.0000000000000007E-2</v>
      </c>
      <c r="J68" s="773">
        <f>+'1.Informe Seguimiento POA 2022'!F72</f>
        <v>0.95</v>
      </c>
      <c r="K68" s="778" t="str">
        <f>+'1.Informe Seguimiento POA 2022'!I72</f>
        <v>Gestión Financiera</v>
      </c>
      <c r="L68" s="778" t="str">
        <f>+'1.Informe Seguimiento POA 2022'!J72</f>
        <v>Subdirección de Gestión Financiera
Dirección Administrativa y Financiera</v>
      </c>
      <c r="M68" s="716">
        <f>+'1.Informe Seguimiento POA 2022'!K72</f>
        <v>0.95</v>
      </c>
      <c r="N68" s="716">
        <f>+'1.Informe Seguimiento POA 2022'!L72</f>
        <v>0.95</v>
      </c>
      <c r="O68" s="716">
        <f>+'1.Informe Seguimiento POA 2022'!M72</f>
        <v>0.95</v>
      </c>
      <c r="P68" s="716">
        <f>+'1.Informe Seguimiento POA 2022'!N72</f>
        <v>0.95</v>
      </c>
      <c r="Q68" s="1074">
        <v>0.14000000000000001</v>
      </c>
      <c r="R68" s="1074">
        <v>9.7397917127575201E-2</v>
      </c>
      <c r="S68" s="1074">
        <v>0.25</v>
      </c>
      <c r="T68" s="1074">
        <v>0.23532220306748558</v>
      </c>
      <c r="U68" s="1074">
        <v>0.23000000000000004</v>
      </c>
      <c r="V68" s="1074">
        <v>0.22679170604630311</v>
      </c>
      <c r="W68" s="1074">
        <v>0.32999999999999996</v>
      </c>
      <c r="X68" s="1074">
        <v>0.38835271131297322</v>
      </c>
      <c r="Y68" s="699">
        <v>0.95000000000000007</v>
      </c>
      <c r="Z68" s="699">
        <v>0.94786453755433708</v>
      </c>
      <c r="AA68" s="699">
        <v>0.99775214479403895</v>
      </c>
      <c r="AB68" s="780">
        <f>+'1.Informe Seguimiento POA 2022'!O72</f>
        <v>0.14000000000000001</v>
      </c>
      <c r="AC68" s="780">
        <f>+'1.Informe Seguimiento POA 2022'!P72</f>
        <v>0.13159999999999999</v>
      </c>
      <c r="AD68" s="780">
        <f>+'1.Informe Seguimiento POA 2022'!Q72</f>
        <v>0.25</v>
      </c>
      <c r="AE68" s="780">
        <f>+'1.Informe Seguimiento POA 2022'!R72</f>
        <v>0.25280000000000002</v>
      </c>
      <c r="AF68" s="780">
        <f>+'1.Informe Seguimiento POA 2022'!S72</f>
        <v>0.23000000000000004</v>
      </c>
      <c r="AG68" s="780">
        <f>+'1.Informe Seguimiento POA 2022'!T72</f>
        <v>0.23039999999999999</v>
      </c>
      <c r="AH68" s="780">
        <f>+'1.Informe Seguimiento POA 2022'!U72</f>
        <v>0.32999999999999996</v>
      </c>
      <c r="AI68" s="780">
        <f>+'1.Informe Seguimiento POA 2022'!V72</f>
        <v>0</v>
      </c>
      <c r="AJ68" s="699">
        <f>+'1.Informe Seguimiento POA 2022'!W72</f>
        <v>0.95000000000000007</v>
      </c>
      <c r="AK68" s="699">
        <f>+'1.Informe Seguimiento POA 2022'!X72</f>
        <v>0.61480000000000001</v>
      </c>
      <c r="AL68" s="699">
        <f>+'1.Informe Seguimiento POA 2022'!Y72</f>
        <v>0.64715789473684204</v>
      </c>
      <c r="AM68" s="1396"/>
      <c r="AN68" s="788"/>
      <c r="AO68" s="788"/>
      <c r="AP68" s="788"/>
      <c r="AQ68" s="788"/>
      <c r="AR68" s="788"/>
      <c r="AS68" s="788"/>
      <c r="AT68" s="788"/>
      <c r="AU68" s="788"/>
      <c r="AV68" s="773">
        <f t="shared" si="14"/>
        <v>0.95</v>
      </c>
      <c r="AW68" s="773"/>
      <c r="AX68" s="788"/>
      <c r="AY68" s="788"/>
      <c r="AZ68" s="788"/>
      <c r="BA68" s="788"/>
      <c r="BB68" s="788"/>
      <c r="BC68" s="788"/>
      <c r="BD68" s="788"/>
      <c r="BE68" s="788"/>
      <c r="BF68" s="788"/>
      <c r="BG68" s="773">
        <f t="shared" si="15"/>
        <v>0.95</v>
      </c>
      <c r="BH68" s="773"/>
      <c r="BI68" s="788"/>
      <c r="BJ68" s="904">
        <f>+J68</f>
        <v>0.95</v>
      </c>
      <c r="BK68" s="1107">
        <f>AVERAGE((R68+T68+V68+X68),(AC68+AE68+AG68+AI68))</f>
        <v>0.78133226877716855</v>
      </c>
      <c r="BL68" s="697">
        <f t="shared" si="10"/>
        <v>0.82245501976544066</v>
      </c>
      <c r="BM68" s="697">
        <f t="shared" ref="BM68:BM69" si="18">(IF(AND(BK68&gt;0,$J68&gt;0),BK68/$J68,0)/4)</f>
        <v>0.20561375494136017</v>
      </c>
      <c r="BN68" s="725">
        <f t="shared" si="13"/>
        <v>1.4392962845895214E-2</v>
      </c>
      <c r="BO68" s="1412"/>
      <c r="BP68" s="1249"/>
      <c r="BQ68" s="819"/>
      <c r="BR68" s="819"/>
    </row>
    <row r="69" spans="2:70" ht="64.5" customHeight="1">
      <c r="B69" s="1251"/>
      <c r="C69" s="1291"/>
      <c r="D69" s="1295"/>
      <c r="E69" s="1295"/>
      <c r="F69" s="1293"/>
      <c r="G69" s="1292"/>
      <c r="H69" s="876" t="str">
        <f>+'1.Informe Seguimiento POA 2022'!D73</f>
        <v>4.4.5 Elaborar y presentar el 100% de los estados financieros de la Entidad</v>
      </c>
      <c r="I69" s="777">
        <f>+'1.Informe Seguimiento POA 2022'!E73</f>
        <v>0.06</v>
      </c>
      <c r="J69" s="773">
        <f>+'1.Informe Seguimiento POA 2022'!F73</f>
        <v>1</v>
      </c>
      <c r="K69" s="778" t="str">
        <f>+'1.Informe Seguimiento POA 2022'!I73</f>
        <v>Gestión Financiera</v>
      </c>
      <c r="L69" s="778" t="str">
        <f>+'1.Informe Seguimiento POA 2022'!J73</f>
        <v>Subdirección de Gestión Financiera
Dirección Administrativa y Financiera</v>
      </c>
      <c r="M69" s="716">
        <f>+'1.Informe Seguimiento POA 2022'!K73</f>
        <v>1</v>
      </c>
      <c r="N69" s="716">
        <f>+'1.Informe Seguimiento POA 2022'!L73</f>
        <v>1</v>
      </c>
      <c r="O69" s="716">
        <f>+'1.Informe Seguimiento POA 2022'!M73</f>
        <v>1</v>
      </c>
      <c r="P69" s="716">
        <f>+'1.Informe Seguimiento POA 2022'!N73</f>
        <v>1</v>
      </c>
      <c r="Q69" s="1074">
        <v>0.25</v>
      </c>
      <c r="R69" s="1074">
        <v>0.25</v>
      </c>
      <c r="S69" s="1074">
        <v>0.25</v>
      </c>
      <c r="T69" s="1074">
        <v>0.25</v>
      </c>
      <c r="U69" s="1074">
        <v>0.25</v>
      </c>
      <c r="V69" s="1074">
        <v>0.25</v>
      </c>
      <c r="W69" s="1074">
        <v>0.25</v>
      </c>
      <c r="X69" s="1074">
        <v>0.25</v>
      </c>
      <c r="Y69" s="699">
        <v>1</v>
      </c>
      <c r="Z69" s="699">
        <v>1</v>
      </c>
      <c r="AA69" s="699">
        <v>1</v>
      </c>
      <c r="AB69" s="780">
        <f>+'1.Informe Seguimiento POA 2022'!O73</f>
        <v>0.25</v>
      </c>
      <c r="AC69" s="780">
        <f>+'1.Informe Seguimiento POA 2022'!P73</f>
        <v>0.25</v>
      </c>
      <c r="AD69" s="780">
        <f>+'1.Informe Seguimiento POA 2022'!Q73</f>
        <v>0.25</v>
      </c>
      <c r="AE69" s="780">
        <f>+'1.Informe Seguimiento POA 2022'!R73</f>
        <v>0.25</v>
      </c>
      <c r="AF69" s="780">
        <f>+'1.Informe Seguimiento POA 2022'!S73</f>
        <v>0.25</v>
      </c>
      <c r="AG69" s="780">
        <f>+'1.Informe Seguimiento POA 2022'!T73</f>
        <v>0.25</v>
      </c>
      <c r="AH69" s="780">
        <f>+'1.Informe Seguimiento POA 2022'!U73</f>
        <v>0.25</v>
      </c>
      <c r="AI69" s="780">
        <f>+'1.Informe Seguimiento POA 2022'!V73</f>
        <v>0</v>
      </c>
      <c r="AJ69" s="699">
        <f>+'1.Informe Seguimiento POA 2022'!W73</f>
        <v>1</v>
      </c>
      <c r="AK69" s="699">
        <f>+'1.Informe Seguimiento POA 2022'!X73</f>
        <v>0.75</v>
      </c>
      <c r="AL69" s="699">
        <f>+'1.Informe Seguimiento POA 2022'!Y73</f>
        <v>0.75</v>
      </c>
      <c r="AM69" s="1396"/>
      <c r="AN69" s="788"/>
      <c r="AO69" s="788"/>
      <c r="AP69" s="788"/>
      <c r="AQ69" s="788"/>
      <c r="AR69" s="788"/>
      <c r="AS69" s="788"/>
      <c r="AT69" s="788"/>
      <c r="AU69" s="788"/>
      <c r="AV69" s="773">
        <f t="shared" si="14"/>
        <v>1</v>
      </c>
      <c r="AW69" s="773"/>
      <c r="AX69" s="788"/>
      <c r="AY69" s="788"/>
      <c r="AZ69" s="788"/>
      <c r="BA69" s="788"/>
      <c r="BB69" s="788"/>
      <c r="BC69" s="788"/>
      <c r="BD69" s="788"/>
      <c r="BE69" s="788"/>
      <c r="BF69" s="788"/>
      <c r="BG69" s="773">
        <f t="shared" si="15"/>
        <v>1</v>
      </c>
      <c r="BH69" s="773"/>
      <c r="BI69" s="788"/>
      <c r="BJ69" s="904">
        <f>+J69</f>
        <v>1</v>
      </c>
      <c r="BK69" s="1107">
        <f>AVERAGE((R69+T69+V69+X69),(AC69+AE69+AG69+AI69))</f>
        <v>0.875</v>
      </c>
      <c r="BL69" s="697">
        <f t="shared" si="10"/>
        <v>0.875</v>
      </c>
      <c r="BM69" s="697">
        <f t="shared" si="18"/>
        <v>0.21875</v>
      </c>
      <c r="BN69" s="725">
        <f t="shared" si="13"/>
        <v>1.3125E-2</v>
      </c>
      <c r="BO69" s="1412"/>
      <c r="BP69" s="1249"/>
      <c r="BQ69" s="819"/>
      <c r="BR69" s="819"/>
    </row>
    <row r="70" spans="2:70" ht="78" customHeight="1">
      <c r="B70" s="1251"/>
      <c r="C70" s="1291"/>
      <c r="D70" s="1295"/>
      <c r="E70" s="1295"/>
      <c r="F70" s="874" t="str">
        <f>+'1.Informe Seguimiento POA 2022'!H74</f>
        <v xml:space="preserve">Porcentaje del Plan Anual de Adquisiciones ejecutado </v>
      </c>
      <c r="G70" s="874" t="str">
        <f>+'11-GESTIÓN CONTRACTUAL'!J16</f>
        <v>No. de adquisiciones realizadas /Total de adquisiciones planeadas *100</v>
      </c>
      <c r="H70" s="876" t="str">
        <f>+'1.Informe Seguimiento POA 2022'!D74</f>
        <v>4.4.6 Ejecutar el 95% del Plan Anual de Adquisiciones respecto de gastos generales</v>
      </c>
      <c r="I70" s="777">
        <f>+'1.Informe Seguimiento POA 2022'!E74</f>
        <v>0.1</v>
      </c>
      <c r="J70" s="773">
        <f>+'1.Informe Seguimiento POA 2022'!F74</f>
        <v>0.95</v>
      </c>
      <c r="K70" s="778" t="str">
        <f>+'1.Informe Seguimiento POA 2022'!I74</f>
        <v>Gestión Contractual</v>
      </c>
      <c r="L70" s="778" t="str">
        <f>+'1.Informe Seguimiento POA 2022'!J74</f>
        <v>Subdirección de Gestión Contractual
Dirección Administrativa y Financiera</v>
      </c>
      <c r="M70" s="716">
        <f>+'1.Informe Seguimiento POA 2022'!K74</f>
        <v>0.95</v>
      </c>
      <c r="N70" s="716">
        <f>+'1.Informe Seguimiento POA 2022'!L74</f>
        <v>0.95</v>
      </c>
      <c r="O70" s="716">
        <f>+'1.Informe Seguimiento POA 2022'!M74</f>
        <v>0.95</v>
      </c>
      <c r="P70" s="716">
        <f>+'1.Informe Seguimiento POA 2022'!N74</f>
        <v>0.95</v>
      </c>
      <c r="Q70" s="1074">
        <v>0.56999999999999995</v>
      </c>
      <c r="R70" s="1074">
        <v>0.33</v>
      </c>
      <c r="S70" s="1074">
        <v>0.24</v>
      </c>
      <c r="T70" s="1074">
        <v>0.16999999999999998</v>
      </c>
      <c r="U70" s="1074">
        <v>0.08</v>
      </c>
      <c r="V70" s="1074">
        <v>0.21000000000000002</v>
      </c>
      <c r="W70" s="1074">
        <v>0.06</v>
      </c>
      <c r="X70" s="1074">
        <v>0.15</v>
      </c>
      <c r="Y70" s="699">
        <v>0.95</v>
      </c>
      <c r="Z70" s="699">
        <v>0.86</v>
      </c>
      <c r="AA70" s="699">
        <v>0.90526315789473688</v>
      </c>
      <c r="AB70" s="780">
        <f>+'1.Informe Seguimiento POA 2022'!O74</f>
        <v>0.36000000000000004</v>
      </c>
      <c r="AC70" s="780">
        <f>+'1.Informe Seguimiento POA 2022'!P74</f>
        <v>0.38</v>
      </c>
      <c r="AD70" s="780">
        <f>+'1.Informe Seguimiento POA 2022'!Q74</f>
        <v>0.22000000000000003</v>
      </c>
      <c r="AE70" s="780">
        <f>+'1.Informe Seguimiento POA 2022'!R74</f>
        <v>0.16</v>
      </c>
      <c r="AF70" s="780">
        <f>+'1.Informe Seguimiento POA 2022'!S74</f>
        <v>0.21999999999999997</v>
      </c>
      <c r="AG70" s="780">
        <f>+'1.Informe Seguimiento POA 2022'!T74</f>
        <v>0.19</v>
      </c>
      <c r="AH70" s="780">
        <f>+'1.Informe Seguimiento POA 2022'!U74</f>
        <v>0.15000000000000002</v>
      </c>
      <c r="AI70" s="780">
        <f>+'1.Informe Seguimiento POA 2022'!V74</f>
        <v>0</v>
      </c>
      <c r="AJ70" s="699">
        <f>+'1.Informe Seguimiento POA 2022'!W74</f>
        <v>0.95000000000000007</v>
      </c>
      <c r="AK70" s="699">
        <f>+'1.Informe Seguimiento POA 2022'!X74</f>
        <v>0.73</v>
      </c>
      <c r="AL70" s="699">
        <f>+'1.Informe Seguimiento POA 2022'!Y74</f>
        <v>0.76842105263157889</v>
      </c>
      <c r="AM70" s="1396"/>
      <c r="AN70" s="788"/>
      <c r="AO70" s="788"/>
      <c r="AP70" s="788"/>
      <c r="AQ70" s="788"/>
      <c r="AR70" s="788"/>
      <c r="AS70" s="788"/>
      <c r="AT70" s="788"/>
      <c r="AU70" s="788"/>
      <c r="AV70" s="773">
        <f t="shared" si="14"/>
        <v>0.95</v>
      </c>
      <c r="AW70" s="773"/>
      <c r="AX70" s="788"/>
      <c r="AY70" s="788"/>
      <c r="AZ70" s="788"/>
      <c r="BA70" s="788"/>
      <c r="BB70" s="788"/>
      <c r="BC70" s="788"/>
      <c r="BD70" s="788"/>
      <c r="BE70" s="788"/>
      <c r="BF70" s="788"/>
      <c r="BG70" s="773">
        <f t="shared" si="15"/>
        <v>0.95</v>
      </c>
      <c r="BH70" s="773"/>
      <c r="BI70" s="788"/>
      <c r="BJ70" s="904">
        <f>+J70</f>
        <v>0.95</v>
      </c>
      <c r="BK70" s="1107">
        <f>AVERAGE((R70+T70+V70+X70),(AC70+AE70+AG70+AI70))</f>
        <v>0.79499999999999993</v>
      </c>
      <c r="BL70" s="697">
        <f t="shared" si="10"/>
        <v>0.83684210526315783</v>
      </c>
      <c r="BM70" s="697">
        <f>(IF(AND(BK70&gt;0,$J70&gt;0),BK70/$J70,0)/4)</f>
        <v>0.20921052631578946</v>
      </c>
      <c r="BN70" s="725">
        <f t="shared" si="13"/>
        <v>2.0921052631578948E-2</v>
      </c>
      <c r="BO70" s="1412"/>
      <c r="BP70" s="1249"/>
      <c r="BQ70" s="819"/>
      <c r="BR70" s="819"/>
    </row>
    <row r="71" spans="2:70" ht="96.75" customHeight="1">
      <c r="B71" s="1251"/>
      <c r="C71" s="1291"/>
      <c r="D71" s="1295"/>
      <c r="E71" s="1295"/>
      <c r="F71" s="874" t="str">
        <f>+'1.Informe Seguimiento POA 2022'!H75</f>
        <v>Porcentaje de Comunicaciones oficiales con reparto realizado dentro de los 3 días hábiles desde su radicación</v>
      </c>
      <c r="G71" s="874" t="str">
        <f>+'09-G.  ADMINISTRATIVA'!J16</f>
        <v>No. Servicios realizados /Total de servicios solicitados *100</v>
      </c>
      <c r="H71" s="876" t="str">
        <f>+'1.Informe Seguimiento POA 2022'!D75</f>
        <v>4.4.7 Realizar el 95% del reparto, dentro de un término no superior a tres (3) días hábiles, de las comunicaciones oficiales institucionales recibidas por el Grupo de Correspondencia.</v>
      </c>
      <c r="I71" s="777">
        <f>+'1.Informe Seguimiento POA 2022'!E75</f>
        <v>0.05</v>
      </c>
      <c r="J71" s="773">
        <f>+'1.Informe Seguimiento POA 2022'!F75</f>
        <v>0.95</v>
      </c>
      <c r="K71" s="778" t="str">
        <f>+'1.Informe Seguimiento POA 2022'!I75</f>
        <v>Gestión Documental</v>
      </c>
      <c r="L71" s="778" t="str">
        <f>+'1.Informe Seguimiento POA 2022'!J75</f>
        <v>Subdirección de Gestión Documental y Recursos Físicos - Grupo de Correspondencia</v>
      </c>
      <c r="M71" s="716">
        <f>+'1.Informe Seguimiento POA 2022'!K75</f>
        <v>0.95</v>
      </c>
      <c r="N71" s="716">
        <f>+'1.Informe Seguimiento POA 2022'!L75</f>
        <v>0.95</v>
      </c>
      <c r="O71" s="716">
        <f>+'1.Informe Seguimiento POA 2022'!M75</f>
        <v>0.95</v>
      </c>
      <c r="P71" s="716">
        <f>+'1.Informe Seguimiento POA 2022'!N75</f>
        <v>0.95</v>
      </c>
      <c r="Q71" s="1074">
        <v>0.94999999999999984</v>
      </c>
      <c r="R71" s="1074">
        <v>0.96200000000000008</v>
      </c>
      <c r="S71" s="1074">
        <v>0.94999999999999984</v>
      </c>
      <c r="T71" s="1074">
        <v>0.97633333333333328</v>
      </c>
      <c r="U71" s="1074">
        <v>0.94999999999999984</v>
      </c>
      <c r="V71" s="1074">
        <v>0.98399999999999999</v>
      </c>
      <c r="W71" s="1074">
        <v>0.94999999999999984</v>
      </c>
      <c r="X71" s="1074">
        <v>0.97166666666666668</v>
      </c>
      <c r="Y71" s="699">
        <v>0.94999999999999984</v>
      </c>
      <c r="Z71" s="699">
        <v>0.97299999999999998</v>
      </c>
      <c r="AA71" s="699">
        <v>1.0242105263157897</v>
      </c>
      <c r="AB71" s="780">
        <f>+'1.Informe Seguimiento POA 2022'!O75</f>
        <v>0.94999999999999984</v>
      </c>
      <c r="AC71" s="780">
        <f>+'1.Informe Seguimiento POA 2022'!P75</f>
        <v>0.98523333333333341</v>
      </c>
      <c r="AD71" s="780">
        <f>+'1.Informe Seguimiento POA 2022'!Q75</f>
        <v>0.94999999999999984</v>
      </c>
      <c r="AE71" s="780">
        <f>+'1.Informe Seguimiento POA 2022'!R75</f>
        <v>0.99406666666666654</v>
      </c>
      <c r="AF71" s="780">
        <f>+'1.Informe Seguimiento POA 2022'!S75</f>
        <v>0.94999999999999984</v>
      </c>
      <c r="AG71" s="780">
        <f>+'1.Informe Seguimiento POA 2022'!T75</f>
        <v>0.97889999999999999</v>
      </c>
      <c r="AH71" s="780">
        <f>+'1.Informe Seguimiento POA 2022'!U75</f>
        <v>0.94999999999999984</v>
      </c>
      <c r="AI71" s="780">
        <f>+'1.Informe Seguimiento POA 2022'!V75</f>
        <v>0</v>
      </c>
      <c r="AJ71" s="699">
        <f>+'1.Informe Seguimiento POA 2022'!W75</f>
        <v>0.94999999999999984</v>
      </c>
      <c r="AK71" s="699">
        <f>+'1.Informe Seguimiento POA 2022'!X75</f>
        <v>0.98599999999999999</v>
      </c>
      <c r="AL71" s="699">
        <f>+'1.Informe Seguimiento POA 2022'!Y75</f>
        <v>0.77842105263157912</v>
      </c>
      <c r="AM71" s="1396"/>
      <c r="AN71" s="788"/>
      <c r="AO71" s="788"/>
      <c r="AP71" s="788"/>
      <c r="AQ71" s="788"/>
      <c r="AR71" s="788"/>
      <c r="AS71" s="788"/>
      <c r="AT71" s="788"/>
      <c r="AU71" s="788"/>
      <c r="AV71" s="773">
        <f t="shared" si="14"/>
        <v>0.95</v>
      </c>
      <c r="AW71" s="773"/>
      <c r="AX71" s="788"/>
      <c r="AY71" s="788"/>
      <c r="AZ71" s="788"/>
      <c r="BA71" s="788"/>
      <c r="BB71" s="788"/>
      <c r="BC71" s="788"/>
      <c r="BD71" s="788"/>
      <c r="BE71" s="788"/>
      <c r="BF71" s="788"/>
      <c r="BG71" s="773">
        <f t="shared" si="15"/>
        <v>0.95</v>
      </c>
      <c r="BH71" s="773"/>
      <c r="BI71" s="788"/>
      <c r="BJ71" s="698">
        <f>IFERROR(AVERAGE(Q71,S71,U71,W71,AB71,AD71),0)</f>
        <v>0.94999999999999984</v>
      </c>
      <c r="BK71" s="698">
        <f>IFERROR(AVERAGE(R71,T71,V71,X71,AC71,AE71),0)</f>
        <v>0.97888333333333344</v>
      </c>
      <c r="BL71" s="697">
        <f t="shared" si="10"/>
        <v>1.0304035087719301</v>
      </c>
      <c r="BM71" s="697">
        <f>(IF(AND(BK71&gt;0,$J71&gt;0),BK71/$J71,0)/4)*0.5</f>
        <v>0.12880043859649123</v>
      </c>
      <c r="BN71" s="732">
        <f t="shared" si="13"/>
        <v>6.4400219298245617E-3</v>
      </c>
      <c r="BO71" s="1412"/>
      <c r="BP71" s="1249"/>
      <c r="BQ71" s="819"/>
      <c r="BR71" s="819"/>
    </row>
    <row r="72" spans="2:70" ht="76.5" customHeight="1">
      <c r="B72" s="1251"/>
      <c r="C72" s="1291"/>
      <c r="D72" s="1295"/>
      <c r="E72" s="1295"/>
      <c r="F72" s="874" t="str">
        <f>+'1.Informe Seguimiento POA 2022'!H76</f>
        <v>Porcentaje de documentación incorporada en el archivo central durante la vigencia.</v>
      </c>
      <c r="G72" s="874" t="str">
        <f>+'09-G.  ADMINISTRATIVA'!J17</f>
        <v>N° de actividades ejecutadas en el periodo/N° de actividades programadas en el PESV para la vigencia*100</v>
      </c>
      <c r="H72" s="876" t="str">
        <f>+'1.Informe Seguimiento POA 2022'!D76</f>
        <v>4.4.8 Incorporar el 80% al archivo central de las transferencias documentales provenientes de las dependencias, en razón a que cumplen los requisitos exigidos para ello.</v>
      </c>
      <c r="I72" s="777">
        <f>+'1.Informe Seguimiento POA 2022'!E76</f>
        <v>0.05</v>
      </c>
      <c r="J72" s="773">
        <f>+'1.Informe Seguimiento POA 2022'!F76</f>
        <v>0.8</v>
      </c>
      <c r="K72" s="778" t="str">
        <f>+'1.Informe Seguimiento POA 2022'!I76</f>
        <v>Gestión Documental</v>
      </c>
      <c r="L72" s="778" t="str">
        <f>+'1.Informe Seguimiento POA 2022'!J76</f>
        <v>Subdirección de Gestión Documental y Recursos Físicos - Archivo central</v>
      </c>
      <c r="M72" s="716">
        <f>+'1.Informe Seguimiento POA 2022'!K76</f>
        <v>0.8</v>
      </c>
      <c r="N72" s="716">
        <f>+'1.Informe Seguimiento POA 2022'!L76</f>
        <v>0.8</v>
      </c>
      <c r="O72" s="716">
        <f>+'1.Informe Seguimiento POA 2022'!M76</f>
        <v>0.8</v>
      </c>
      <c r="P72" s="716">
        <f>+'1.Informe Seguimiento POA 2022'!N76</f>
        <v>0.8</v>
      </c>
      <c r="Q72" s="1074">
        <v>0.80000000000000016</v>
      </c>
      <c r="R72" s="1074">
        <v>0.80000000000000016</v>
      </c>
      <c r="S72" s="1074">
        <v>0.80000000000000016</v>
      </c>
      <c r="T72" s="1074">
        <v>0.80000000000000016</v>
      </c>
      <c r="U72" s="1074">
        <v>0.80000000000000016</v>
      </c>
      <c r="V72" s="1074">
        <v>0.81733333333333336</v>
      </c>
      <c r="W72" s="1074">
        <v>0.80000000000000016</v>
      </c>
      <c r="X72" s="1074">
        <v>0.79499999999999993</v>
      </c>
      <c r="Y72" s="699">
        <v>0.79999999999999993</v>
      </c>
      <c r="Z72" s="699">
        <v>0.80300000000000005</v>
      </c>
      <c r="AA72" s="699">
        <v>1.0037500000000001</v>
      </c>
      <c r="AB72" s="780">
        <f>+'1.Informe Seguimiento POA 2022'!O76</f>
        <v>0.80000000000000016</v>
      </c>
      <c r="AC72" s="780">
        <f>+'1.Informe Seguimiento POA 2022'!P76</f>
        <v>0.8753333333333333</v>
      </c>
      <c r="AD72" s="780">
        <f>+'1.Informe Seguimiento POA 2022'!Q76</f>
        <v>0.80000000000000016</v>
      </c>
      <c r="AE72" s="780">
        <f>+'1.Informe Seguimiento POA 2022'!R76</f>
        <v>0.88233333333333341</v>
      </c>
      <c r="AF72" s="780">
        <f>+'1.Informe Seguimiento POA 2022'!S76</f>
        <v>0.80000000000000016</v>
      </c>
      <c r="AG72" s="780">
        <f>+'1.Informe Seguimiento POA 2022'!T76</f>
        <v>0.80166666666666675</v>
      </c>
      <c r="AH72" s="780">
        <f>+'1.Informe Seguimiento POA 2022'!U76</f>
        <v>0.80000000000000016</v>
      </c>
      <c r="AI72" s="780">
        <f>+'1.Informe Seguimiento POA 2022'!V76</f>
        <v>0</v>
      </c>
      <c r="AJ72" s="699">
        <f>+'1.Informe Seguimiento POA 2022'!W76</f>
        <v>0.79999999999999993</v>
      </c>
      <c r="AK72" s="699">
        <f>+'1.Informe Seguimiento POA 2022'!X76</f>
        <v>0.85299999999999998</v>
      </c>
      <c r="AL72" s="699">
        <f>+'1.Informe Seguimiento POA 2022'!Y76</f>
        <v>0.79968750000000011</v>
      </c>
      <c r="AM72" s="1396"/>
      <c r="AN72" s="788"/>
      <c r="AO72" s="788"/>
      <c r="AP72" s="788"/>
      <c r="AQ72" s="788"/>
      <c r="AR72" s="788"/>
      <c r="AS72" s="788"/>
      <c r="AT72" s="788"/>
      <c r="AU72" s="788"/>
      <c r="AV72" s="773">
        <f t="shared" si="14"/>
        <v>0.8</v>
      </c>
      <c r="AW72" s="773"/>
      <c r="AX72" s="788"/>
      <c r="AY72" s="788"/>
      <c r="AZ72" s="788"/>
      <c r="BA72" s="788"/>
      <c r="BB72" s="788"/>
      <c r="BC72" s="788"/>
      <c r="BD72" s="788"/>
      <c r="BE72" s="788"/>
      <c r="BF72" s="788"/>
      <c r="BG72" s="773">
        <f t="shared" si="15"/>
        <v>0.8</v>
      </c>
      <c r="BH72" s="773"/>
      <c r="BI72" s="788"/>
      <c r="BJ72" s="698">
        <f>IFERROR(AVERAGE(Q72,S72,U72,W72,AB72,AD72),0)</f>
        <v>0.80000000000000016</v>
      </c>
      <c r="BK72" s="698">
        <f>IFERROR(AVERAGE(R72,T72,V72,X72,AC72,AE72),0)</f>
        <v>0.82833333333333348</v>
      </c>
      <c r="BL72" s="697">
        <f t="shared" si="10"/>
        <v>1.0354166666666667</v>
      </c>
      <c r="BM72" s="697">
        <f>(IF(AND(BK72&gt;0,$J72&gt;0),BK72/$J72,0)/4)*0.5</f>
        <v>0.12942708333333336</v>
      </c>
      <c r="BN72" s="732">
        <f t="shared" si="13"/>
        <v>6.4713541666666687E-3</v>
      </c>
      <c r="BO72" s="1412"/>
      <c r="BP72" s="1249"/>
      <c r="BQ72" s="819"/>
      <c r="BR72" s="819"/>
    </row>
    <row r="73" spans="2:70" ht="120" customHeight="1">
      <c r="B73" s="1251"/>
      <c r="C73" s="1291"/>
      <c r="D73" s="1295"/>
      <c r="E73" s="1295"/>
      <c r="F73" s="1293" t="s">
        <v>1042</v>
      </c>
      <c r="G73" s="1285" t="s">
        <v>1030</v>
      </c>
      <c r="H73" s="876" t="str">
        <f>+'1.Informe Seguimiento POA 2022'!D77</f>
        <v>4.4.9 Realizar 100 actividades de diseño, actualización o ajuste de los instrumentos archivísticos establecidos por norma.</v>
      </c>
      <c r="I73" s="777">
        <f>+'1.Informe Seguimiento POA 2022'!E77</f>
        <v>0.05</v>
      </c>
      <c r="J73" s="694">
        <f>+'1.Informe Seguimiento POA 2022'!F77</f>
        <v>100</v>
      </c>
      <c r="K73" s="778" t="str">
        <f>+'1.Informe Seguimiento POA 2022'!I77</f>
        <v>Gestión Documental</v>
      </c>
      <c r="L73" s="778" t="str">
        <f>+'1.Informe Seguimiento POA 2022'!J77</f>
        <v xml:space="preserve">Subdirección de Gestión Documental y Recursos Físicos </v>
      </c>
      <c r="M73" s="717">
        <f>+'1.Informe Seguimiento POA 2022'!K77</f>
        <v>25</v>
      </c>
      <c r="N73" s="717">
        <f>+'1.Informe Seguimiento POA 2022'!L77</f>
        <v>25</v>
      </c>
      <c r="O73" s="717">
        <f>+'1.Informe Seguimiento POA 2022'!M77</f>
        <v>25</v>
      </c>
      <c r="P73" s="717">
        <f>+'1.Informe Seguimiento POA 2022'!N77</f>
        <v>25</v>
      </c>
      <c r="Q73" s="880">
        <v>5</v>
      </c>
      <c r="R73" s="880">
        <v>7</v>
      </c>
      <c r="S73" s="880">
        <v>7</v>
      </c>
      <c r="T73" s="880">
        <v>6</v>
      </c>
      <c r="U73" s="880">
        <v>7</v>
      </c>
      <c r="V73" s="880">
        <v>10</v>
      </c>
      <c r="W73" s="880">
        <v>6</v>
      </c>
      <c r="X73" s="880">
        <v>5</v>
      </c>
      <c r="Y73" s="1076">
        <v>25</v>
      </c>
      <c r="Z73" s="1076">
        <v>28</v>
      </c>
      <c r="AA73" s="726">
        <v>1.1200000000000001</v>
      </c>
      <c r="AB73" s="695">
        <f>+'1.Informe Seguimiento POA 2022'!O77</f>
        <v>5</v>
      </c>
      <c r="AC73" s="695">
        <f>+'1.Informe Seguimiento POA 2022'!P77</f>
        <v>6</v>
      </c>
      <c r="AD73" s="695">
        <f>+'1.Informe Seguimiento POA 2022'!Q77</f>
        <v>7</v>
      </c>
      <c r="AE73" s="695">
        <f>+'1.Informe Seguimiento POA 2022'!R77</f>
        <v>7.75</v>
      </c>
      <c r="AF73" s="695">
        <f>+'1.Informe Seguimiento POA 2022'!S77</f>
        <v>7</v>
      </c>
      <c r="AG73" s="695">
        <f>+'1.Informe Seguimiento POA 2022'!T77</f>
        <v>5.6</v>
      </c>
      <c r="AH73" s="695">
        <f>+'1.Informe Seguimiento POA 2022'!U77</f>
        <v>6</v>
      </c>
      <c r="AI73" s="695">
        <f>+'1.Informe Seguimiento POA 2022'!V77</f>
        <v>0</v>
      </c>
      <c r="AJ73" s="717">
        <f>+'1.Informe Seguimiento POA 2022'!W77</f>
        <v>25</v>
      </c>
      <c r="AK73" s="717">
        <f>+'1.Informe Seguimiento POA 2022'!X77</f>
        <v>19.350000000000001</v>
      </c>
      <c r="AL73" s="726">
        <f>+'1.Informe Seguimiento POA 2022'!Y77</f>
        <v>0.77400000000000002</v>
      </c>
      <c r="AM73" s="1396"/>
      <c r="AN73" s="788"/>
      <c r="AO73" s="788"/>
      <c r="AP73" s="788"/>
      <c r="AQ73" s="788"/>
      <c r="AR73" s="788"/>
      <c r="AS73" s="788"/>
      <c r="AT73" s="788"/>
      <c r="AU73" s="788"/>
      <c r="AV73" s="717">
        <f t="shared" ref="AV73:AV95" si="19">+O73</f>
        <v>25</v>
      </c>
      <c r="AW73" s="717"/>
      <c r="AX73" s="788"/>
      <c r="AY73" s="788"/>
      <c r="AZ73" s="788"/>
      <c r="BA73" s="788"/>
      <c r="BB73" s="788"/>
      <c r="BC73" s="788"/>
      <c r="BD73" s="788"/>
      <c r="BE73" s="788"/>
      <c r="BF73" s="788"/>
      <c r="BG73" s="717">
        <f t="shared" ref="BG73:BG95" si="20">+P73</f>
        <v>25</v>
      </c>
      <c r="BH73" s="717"/>
      <c r="BI73" s="788"/>
      <c r="BJ73" s="791">
        <f>Q73+S73+U73+W73+AB73+AD73</f>
        <v>37</v>
      </c>
      <c r="BK73" s="791">
        <f>R73+T73+V73+X73+AC73+AE73</f>
        <v>41.75</v>
      </c>
      <c r="BL73" s="697">
        <f t="shared" si="10"/>
        <v>1.1283783783783783</v>
      </c>
      <c r="BM73" s="697">
        <f>(IF(AND(BK73&gt;0,$J73&gt;0),BK73/$J73,0))</f>
        <v>0.41749999999999998</v>
      </c>
      <c r="BN73" s="1114">
        <f t="shared" si="13"/>
        <v>2.0875000000000001E-2</v>
      </c>
      <c r="BO73" s="1412"/>
      <c r="BP73" s="1249"/>
      <c r="BQ73" s="819"/>
      <c r="BR73" s="819"/>
    </row>
    <row r="74" spans="2:70" ht="87" customHeight="1">
      <c r="B74" s="1251"/>
      <c r="C74" s="1291"/>
      <c r="D74" s="1295"/>
      <c r="E74" s="1295"/>
      <c r="F74" s="1293"/>
      <c r="G74" s="1292"/>
      <c r="H74" s="876" t="str">
        <f>+'1.Informe Seguimiento POA 2022'!D78</f>
        <v>4.4.10 Realizar 100 actividades de implementación de los instrumentos archivísticos establecidos por norma, y de las herramientas de apoyo a la gestión documental.</v>
      </c>
      <c r="I74" s="777">
        <f>+'1.Informe Seguimiento POA 2022'!E78</f>
        <v>0.05</v>
      </c>
      <c r="J74" s="694">
        <f>+'1.Informe Seguimiento POA 2022'!F78</f>
        <v>100</v>
      </c>
      <c r="K74" s="778" t="str">
        <f>+'1.Informe Seguimiento POA 2022'!I78</f>
        <v>Gestión Documental
Direccionamiento TIC</v>
      </c>
      <c r="L74" s="778" t="str">
        <f>+'1.Informe Seguimiento POA 2022'!J78</f>
        <v>Subdirección de Gestión Documental y Recursos Físicos
Dirección de Tecnologías de la Información y Comunicaciones</v>
      </c>
      <c r="M74" s="717">
        <f>+'1.Informe Seguimiento POA 2022'!K78</f>
        <v>25</v>
      </c>
      <c r="N74" s="717">
        <f>+'1.Informe Seguimiento POA 2022'!L78</f>
        <v>25</v>
      </c>
      <c r="O74" s="717">
        <f>+'1.Informe Seguimiento POA 2022'!M78</f>
        <v>25</v>
      </c>
      <c r="P74" s="717">
        <f>+'1.Informe Seguimiento POA 2022'!N78</f>
        <v>25</v>
      </c>
      <c r="Q74" s="880">
        <v>5</v>
      </c>
      <c r="R74" s="880">
        <v>6</v>
      </c>
      <c r="S74" s="880">
        <v>7</v>
      </c>
      <c r="T74" s="880">
        <v>5</v>
      </c>
      <c r="U74" s="880">
        <v>7</v>
      </c>
      <c r="V74" s="880">
        <v>6</v>
      </c>
      <c r="W74" s="880">
        <v>6</v>
      </c>
      <c r="X74" s="880">
        <v>5</v>
      </c>
      <c r="Y74" s="1076">
        <v>25</v>
      </c>
      <c r="Z74" s="1076">
        <v>22</v>
      </c>
      <c r="AA74" s="726">
        <v>0.88</v>
      </c>
      <c r="AB74" s="695">
        <f>+'1.Informe Seguimiento POA 2022'!O78</f>
        <v>5</v>
      </c>
      <c r="AC74" s="695">
        <f>+'1.Informe Seguimiento POA 2022'!P78</f>
        <v>5</v>
      </c>
      <c r="AD74" s="695">
        <f>+'1.Informe Seguimiento POA 2022'!Q78</f>
        <v>7</v>
      </c>
      <c r="AE74" s="695">
        <f>+'1.Informe Seguimiento POA 2022'!R78</f>
        <v>7</v>
      </c>
      <c r="AF74" s="695">
        <f>+'1.Informe Seguimiento POA 2022'!S78</f>
        <v>7</v>
      </c>
      <c r="AG74" s="695">
        <f>+'1.Informe Seguimiento POA 2022'!T78</f>
        <v>7.4</v>
      </c>
      <c r="AH74" s="695">
        <f>+'1.Informe Seguimiento POA 2022'!U78</f>
        <v>6</v>
      </c>
      <c r="AI74" s="695">
        <f>+'1.Informe Seguimiento POA 2022'!V78</f>
        <v>0</v>
      </c>
      <c r="AJ74" s="717">
        <f>+'1.Informe Seguimiento POA 2022'!W78</f>
        <v>25</v>
      </c>
      <c r="AK74" s="717">
        <f>+'1.Informe Seguimiento POA 2022'!X78</f>
        <v>19.399999999999999</v>
      </c>
      <c r="AL74" s="726">
        <f>+'1.Informe Seguimiento POA 2022'!Y78</f>
        <v>0.77599999999999991</v>
      </c>
      <c r="AM74" s="1396"/>
      <c r="AN74" s="788"/>
      <c r="AO74" s="788"/>
      <c r="AP74" s="788"/>
      <c r="AQ74" s="788"/>
      <c r="AR74" s="788"/>
      <c r="AS74" s="788"/>
      <c r="AT74" s="788"/>
      <c r="AU74" s="788"/>
      <c r="AV74" s="717">
        <f t="shared" si="19"/>
        <v>25</v>
      </c>
      <c r="AW74" s="717"/>
      <c r="AX74" s="788"/>
      <c r="AY74" s="788"/>
      <c r="AZ74" s="788"/>
      <c r="BA74" s="788"/>
      <c r="BB74" s="788"/>
      <c r="BC74" s="788"/>
      <c r="BD74" s="788"/>
      <c r="BE74" s="788"/>
      <c r="BF74" s="788"/>
      <c r="BG74" s="717">
        <f t="shared" si="20"/>
        <v>25</v>
      </c>
      <c r="BH74" s="717"/>
      <c r="BI74" s="788"/>
      <c r="BJ74" s="791">
        <f>Q74+S74+U74+W74+AB74+AD74</f>
        <v>37</v>
      </c>
      <c r="BK74" s="791">
        <f>R74+T74+V74+X74+AC74+AE74</f>
        <v>34</v>
      </c>
      <c r="BL74" s="697">
        <f t="shared" si="10"/>
        <v>0.91891891891891897</v>
      </c>
      <c r="BM74" s="697">
        <f>(IF(AND(BK74&gt;0,$J74&gt;0),BK74/$J74,0))</f>
        <v>0.34</v>
      </c>
      <c r="BN74" s="1114">
        <f t="shared" si="13"/>
        <v>1.7000000000000001E-2</v>
      </c>
      <c r="BO74" s="1412"/>
      <c r="BP74" s="1249"/>
      <c r="BQ74" s="819"/>
      <c r="BR74" s="819"/>
    </row>
    <row r="75" spans="2:70" ht="63" customHeight="1">
      <c r="B75" s="1251"/>
      <c r="C75" s="1291"/>
      <c r="D75" s="1295"/>
      <c r="E75" s="1295"/>
      <c r="F75" s="1285" t="s">
        <v>1031</v>
      </c>
      <c r="G75" s="1285" t="s">
        <v>1027</v>
      </c>
      <c r="H75" s="876" t="str">
        <f>+'1.Informe Seguimiento POA 2022'!D79</f>
        <v>4.4.11  Representar a la Entidad en el 100% de los procesos judiciales en los cuales la sea vinculada o demandada.</v>
      </c>
      <c r="I75" s="777">
        <f>+'1.Informe Seguimiento POA 2022'!E79</f>
        <v>0.05</v>
      </c>
      <c r="J75" s="773">
        <f>+'1.Informe Seguimiento POA 2022'!F79</f>
        <v>1</v>
      </c>
      <c r="K75" s="778" t="str">
        <f>+'1.Informe Seguimiento POA 2022'!I79</f>
        <v xml:space="preserve"> Gestión Jurídica</v>
      </c>
      <c r="L75" s="778" t="str">
        <f>+'1.Informe Seguimiento POA 2022'!J79</f>
        <v>Oficina Asesora Jurídica</v>
      </c>
      <c r="M75" s="716">
        <f>+'1.Informe Seguimiento POA 2022'!K79</f>
        <v>1</v>
      </c>
      <c r="N75" s="716">
        <f>+'1.Informe Seguimiento POA 2022'!L79</f>
        <v>1</v>
      </c>
      <c r="O75" s="716">
        <f>+'1.Informe Seguimiento POA 2022'!M79</f>
        <v>1</v>
      </c>
      <c r="P75" s="716">
        <f>+'1.Informe Seguimiento POA 2022'!N79</f>
        <v>1</v>
      </c>
      <c r="Q75" s="1074">
        <v>1</v>
      </c>
      <c r="R75" s="1074">
        <v>1</v>
      </c>
      <c r="S75" s="1074">
        <v>1</v>
      </c>
      <c r="T75" s="1074">
        <v>1</v>
      </c>
      <c r="U75" s="1074">
        <v>1</v>
      </c>
      <c r="V75" s="1074">
        <v>1</v>
      </c>
      <c r="W75" s="1074">
        <v>1</v>
      </c>
      <c r="X75" s="1074">
        <v>1</v>
      </c>
      <c r="Y75" s="699">
        <v>1</v>
      </c>
      <c r="Z75" s="699">
        <v>1</v>
      </c>
      <c r="AA75" s="699">
        <v>1</v>
      </c>
      <c r="AB75" s="780">
        <f>+'1.Informe Seguimiento POA 2022'!O79</f>
        <v>1</v>
      </c>
      <c r="AC75" s="780">
        <f>+'1.Informe Seguimiento POA 2022'!P79</f>
        <v>1</v>
      </c>
      <c r="AD75" s="780">
        <f>+'1.Informe Seguimiento POA 2022'!Q79</f>
        <v>1</v>
      </c>
      <c r="AE75" s="780">
        <f>+'1.Informe Seguimiento POA 2022'!R79</f>
        <v>1</v>
      </c>
      <c r="AF75" s="780">
        <f>+'1.Informe Seguimiento POA 2022'!S79</f>
        <v>1</v>
      </c>
      <c r="AG75" s="780">
        <f>+'1.Informe Seguimiento POA 2022'!T79</f>
        <v>1</v>
      </c>
      <c r="AH75" s="780">
        <f>+'1.Informe Seguimiento POA 2022'!U79</f>
        <v>1</v>
      </c>
      <c r="AI75" s="780">
        <f>+'1.Informe Seguimiento POA 2022'!V79</f>
        <v>0</v>
      </c>
      <c r="AJ75" s="699">
        <f>+'1.Informe Seguimiento POA 2022'!W79</f>
        <v>1</v>
      </c>
      <c r="AK75" s="699">
        <f>+'1.Informe Seguimiento POA 2022'!X79</f>
        <v>1</v>
      </c>
      <c r="AL75" s="699">
        <f>+'1.Informe Seguimiento POA 2022'!Y79</f>
        <v>0.75</v>
      </c>
      <c r="AM75" s="1396"/>
      <c r="AN75" s="788"/>
      <c r="AO75" s="788"/>
      <c r="AP75" s="788"/>
      <c r="AQ75" s="788"/>
      <c r="AR75" s="788"/>
      <c r="AS75" s="788"/>
      <c r="AT75" s="788"/>
      <c r="AU75" s="788"/>
      <c r="AV75" s="773">
        <f t="shared" si="19"/>
        <v>1</v>
      </c>
      <c r="AW75" s="773"/>
      <c r="AX75" s="788"/>
      <c r="AY75" s="788"/>
      <c r="AZ75" s="788"/>
      <c r="BA75" s="788"/>
      <c r="BB75" s="788"/>
      <c r="BC75" s="788"/>
      <c r="BD75" s="788"/>
      <c r="BE75" s="788"/>
      <c r="BF75" s="788"/>
      <c r="BG75" s="773">
        <f t="shared" si="20"/>
        <v>1</v>
      </c>
      <c r="BH75" s="773"/>
      <c r="BI75" s="788"/>
      <c r="BJ75" s="698">
        <f t="shared" ref="BJ75:BK79" si="21">IFERROR(AVERAGE(Q75,S75,U75,W75,AB75,AD75),0)</f>
        <v>1</v>
      </c>
      <c r="BK75" s="698">
        <f t="shared" si="21"/>
        <v>1</v>
      </c>
      <c r="BL75" s="697">
        <f t="shared" si="10"/>
        <v>1</v>
      </c>
      <c r="BM75" s="697">
        <f t="shared" ref="BM75:BM82" si="22">(IF(AND(BK75&gt;0,$J75&gt;0),BK75/$J75,0)/4)*0.5</f>
        <v>0.125</v>
      </c>
      <c r="BN75" s="1114">
        <f t="shared" si="13"/>
        <v>6.2500000000000003E-3</v>
      </c>
      <c r="BO75" s="1412"/>
      <c r="BP75" s="1249"/>
      <c r="BQ75" s="819"/>
      <c r="BR75" s="819"/>
    </row>
    <row r="76" spans="2:70" ht="54.75" customHeight="1">
      <c r="B76" s="1251"/>
      <c r="C76" s="1291"/>
      <c r="D76" s="1295"/>
      <c r="E76" s="1295"/>
      <c r="F76" s="1291"/>
      <c r="G76" s="1291"/>
      <c r="H76" s="876" t="str">
        <f>+'1.Informe Seguimiento POA 2022'!D80</f>
        <v xml:space="preserve">4.4.12 Defender judicialmente a la Entidad en el 100% de las acciones de tutela en las cuales sea vinculada o accionada </v>
      </c>
      <c r="I76" s="777">
        <f>+'1.Informe Seguimiento POA 2022'!E80</f>
        <v>0.05</v>
      </c>
      <c r="J76" s="773">
        <f>+'1.Informe Seguimiento POA 2022'!F80</f>
        <v>1</v>
      </c>
      <c r="K76" s="778" t="str">
        <f>+'1.Informe Seguimiento POA 2022'!I80</f>
        <v xml:space="preserve"> Gestión Jurídica</v>
      </c>
      <c r="L76" s="778" t="str">
        <f>+'1.Informe Seguimiento POA 2022'!J80</f>
        <v>Oficina Asesora Jurídica</v>
      </c>
      <c r="M76" s="716">
        <f>+'1.Informe Seguimiento POA 2022'!K80</f>
        <v>1</v>
      </c>
      <c r="N76" s="716">
        <f>+'1.Informe Seguimiento POA 2022'!L80</f>
        <v>1</v>
      </c>
      <c r="O76" s="716">
        <f>+'1.Informe Seguimiento POA 2022'!M80</f>
        <v>1</v>
      </c>
      <c r="P76" s="716">
        <f>+'1.Informe Seguimiento POA 2022'!N80</f>
        <v>1</v>
      </c>
      <c r="Q76" s="1074">
        <v>1</v>
      </c>
      <c r="R76" s="1074">
        <v>1</v>
      </c>
      <c r="S76" s="1074">
        <v>1</v>
      </c>
      <c r="T76" s="1074">
        <v>1</v>
      </c>
      <c r="U76" s="1074">
        <v>1</v>
      </c>
      <c r="V76" s="1074">
        <v>1</v>
      </c>
      <c r="W76" s="1074">
        <v>1</v>
      </c>
      <c r="X76" s="1074">
        <v>1</v>
      </c>
      <c r="Y76" s="699">
        <v>1</v>
      </c>
      <c r="Z76" s="699">
        <v>1</v>
      </c>
      <c r="AA76" s="699">
        <v>1</v>
      </c>
      <c r="AB76" s="780">
        <f>+'1.Informe Seguimiento POA 2022'!O80</f>
        <v>1</v>
      </c>
      <c r="AC76" s="780">
        <f>+'1.Informe Seguimiento POA 2022'!P80</f>
        <v>1</v>
      </c>
      <c r="AD76" s="780">
        <f>+'1.Informe Seguimiento POA 2022'!Q80</f>
        <v>1</v>
      </c>
      <c r="AE76" s="780">
        <f>+'1.Informe Seguimiento POA 2022'!R80</f>
        <v>1</v>
      </c>
      <c r="AF76" s="780">
        <f>+'1.Informe Seguimiento POA 2022'!S80</f>
        <v>1</v>
      </c>
      <c r="AG76" s="780">
        <f>+'1.Informe Seguimiento POA 2022'!T80</f>
        <v>1</v>
      </c>
      <c r="AH76" s="780">
        <f>+'1.Informe Seguimiento POA 2022'!U80</f>
        <v>1</v>
      </c>
      <c r="AI76" s="780">
        <f>+'1.Informe Seguimiento POA 2022'!V80</f>
        <v>0</v>
      </c>
      <c r="AJ76" s="699">
        <f>+'1.Informe Seguimiento POA 2022'!W80</f>
        <v>1</v>
      </c>
      <c r="AK76" s="699">
        <f>+'1.Informe Seguimiento POA 2022'!X80</f>
        <v>1</v>
      </c>
      <c r="AL76" s="699">
        <f>+'1.Informe Seguimiento POA 2022'!Y80</f>
        <v>0.75</v>
      </c>
      <c r="AM76" s="1396"/>
      <c r="AN76" s="788"/>
      <c r="AO76" s="788"/>
      <c r="AP76" s="788"/>
      <c r="AQ76" s="788"/>
      <c r="AR76" s="788"/>
      <c r="AS76" s="788"/>
      <c r="AT76" s="788"/>
      <c r="AU76" s="788"/>
      <c r="AV76" s="773">
        <f t="shared" si="19"/>
        <v>1</v>
      </c>
      <c r="AW76" s="773"/>
      <c r="AX76" s="788"/>
      <c r="AY76" s="788"/>
      <c r="AZ76" s="788"/>
      <c r="BA76" s="788"/>
      <c r="BB76" s="788"/>
      <c r="BC76" s="788"/>
      <c r="BD76" s="788"/>
      <c r="BE76" s="788"/>
      <c r="BF76" s="788"/>
      <c r="BG76" s="773">
        <f t="shared" si="20"/>
        <v>1</v>
      </c>
      <c r="BH76" s="773"/>
      <c r="BI76" s="788"/>
      <c r="BJ76" s="698">
        <f t="shared" si="21"/>
        <v>1</v>
      </c>
      <c r="BK76" s="698">
        <f t="shared" si="21"/>
        <v>1</v>
      </c>
      <c r="BL76" s="697">
        <f t="shared" si="10"/>
        <v>1</v>
      </c>
      <c r="BM76" s="697">
        <f t="shared" si="22"/>
        <v>0.125</v>
      </c>
      <c r="BN76" s="1114">
        <f t="shared" si="13"/>
        <v>6.2500000000000003E-3</v>
      </c>
      <c r="BO76" s="1412"/>
      <c r="BP76" s="1249"/>
      <c r="BQ76" s="819"/>
      <c r="BR76" s="819"/>
    </row>
    <row r="77" spans="2:70" ht="78.75" customHeight="1">
      <c r="B77" s="1251"/>
      <c r="C77" s="1291"/>
      <c r="D77" s="1295"/>
      <c r="E77" s="1295"/>
      <c r="F77" s="1291"/>
      <c r="G77" s="1291"/>
      <c r="H77" s="876" t="str">
        <f>+'1.Informe Seguimiento POA 2022'!D81</f>
        <v>4.4.13 Emitir oportunamente el 100% de los conceptos jurídicos solicitados por el Despacho del Personero de Bogotá o sus delegados.</v>
      </c>
      <c r="I77" s="777">
        <f>+'1.Informe Seguimiento POA 2022'!E81</f>
        <v>0.05</v>
      </c>
      <c r="J77" s="773">
        <f>+'1.Informe Seguimiento POA 2022'!F81</f>
        <v>1</v>
      </c>
      <c r="K77" s="778" t="str">
        <f>+'1.Informe Seguimiento POA 2022'!I81</f>
        <v xml:space="preserve"> Gestión Jurídica</v>
      </c>
      <c r="L77" s="778" t="str">
        <f>+'1.Informe Seguimiento POA 2022'!J81</f>
        <v>Oficina Asesora Jurídica</v>
      </c>
      <c r="M77" s="716">
        <f>+'1.Informe Seguimiento POA 2022'!K81</f>
        <v>1</v>
      </c>
      <c r="N77" s="716">
        <f>+'1.Informe Seguimiento POA 2022'!L81</f>
        <v>1</v>
      </c>
      <c r="O77" s="716">
        <f>+'1.Informe Seguimiento POA 2022'!M81</f>
        <v>1</v>
      </c>
      <c r="P77" s="716">
        <f>+'1.Informe Seguimiento POA 2022'!N81</f>
        <v>1</v>
      </c>
      <c r="Q77" s="1074">
        <v>1</v>
      </c>
      <c r="R77" s="1074">
        <v>1</v>
      </c>
      <c r="S77" s="1074">
        <v>1</v>
      </c>
      <c r="T77" s="1074">
        <v>1</v>
      </c>
      <c r="U77" s="1074">
        <v>1</v>
      </c>
      <c r="V77" s="1074">
        <v>1</v>
      </c>
      <c r="W77" s="1074">
        <v>1</v>
      </c>
      <c r="X77" s="1074">
        <v>1</v>
      </c>
      <c r="Y77" s="699">
        <v>1</v>
      </c>
      <c r="Z77" s="699">
        <v>1</v>
      </c>
      <c r="AA77" s="699">
        <v>1</v>
      </c>
      <c r="AB77" s="780">
        <f>+'1.Informe Seguimiento POA 2022'!O81</f>
        <v>1</v>
      </c>
      <c r="AC77" s="780">
        <f>+'1.Informe Seguimiento POA 2022'!P81</f>
        <v>1</v>
      </c>
      <c r="AD77" s="780">
        <f>+'1.Informe Seguimiento POA 2022'!Q81</f>
        <v>1</v>
      </c>
      <c r="AE77" s="780">
        <f>+'1.Informe Seguimiento POA 2022'!R81</f>
        <v>1</v>
      </c>
      <c r="AF77" s="780">
        <f>+'1.Informe Seguimiento POA 2022'!S81</f>
        <v>1</v>
      </c>
      <c r="AG77" s="780">
        <f>+'1.Informe Seguimiento POA 2022'!T81</f>
        <v>1</v>
      </c>
      <c r="AH77" s="780">
        <f>+'1.Informe Seguimiento POA 2022'!U81</f>
        <v>1</v>
      </c>
      <c r="AI77" s="780">
        <f>+'1.Informe Seguimiento POA 2022'!V81</f>
        <v>0</v>
      </c>
      <c r="AJ77" s="699">
        <f>+'1.Informe Seguimiento POA 2022'!W81</f>
        <v>1</v>
      </c>
      <c r="AK77" s="699">
        <f>+'1.Informe Seguimiento POA 2022'!X81</f>
        <v>1</v>
      </c>
      <c r="AL77" s="699">
        <f>+'1.Informe Seguimiento POA 2022'!Y81</f>
        <v>0.75</v>
      </c>
      <c r="AM77" s="1396"/>
      <c r="AN77" s="788"/>
      <c r="AO77" s="788"/>
      <c r="AP77" s="788"/>
      <c r="AQ77" s="788"/>
      <c r="AR77" s="788"/>
      <c r="AS77" s="788"/>
      <c r="AT77" s="788"/>
      <c r="AU77" s="788"/>
      <c r="AV77" s="773">
        <f t="shared" si="19"/>
        <v>1</v>
      </c>
      <c r="AW77" s="773"/>
      <c r="AX77" s="788"/>
      <c r="AY77" s="788"/>
      <c r="AZ77" s="788"/>
      <c r="BA77" s="788"/>
      <c r="BB77" s="788"/>
      <c r="BC77" s="788"/>
      <c r="BD77" s="788"/>
      <c r="BE77" s="788"/>
      <c r="BF77" s="788"/>
      <c r="BG77" s="773">
        <f t="shared" si="20"/>
        <v>1</v>
      </c>
      <c r="BH77" s="773"/>
      <c r="BI77" s="788"/>
      <c r="BJ77" s="698">
        <f t="shared" si="21"/>
        <v>1</v>
      </c>
      <c r="BK77" s="698">
        <f t="shared" si="21"/>
        <v>1</v>
      </c>
      <c r="BL77" s="697">
        <f t="shared" si="10"/>
        <v>1</v>
      </c>
      <c r="BM77" s="697">
        <f t="shared" si="22"/>
        <v>0.125</v>
      </c>
      <c r="BN77" s="1114">
        <f t="shared" si="13"/>
        <v>6.2500000000000003E-3</v>
      </c>
      <c r="BO77" s="1412"/>
      <c r="BP77" s="1249"/>
      <c r="BQ77" s="819"/>
      <c r="BR77" s="819"/>
    </row>
    <row r="78" spans="2:70" ht="76.5" customHeight="1">
      <c r="B78" s="1251"/>
      <c r="C78" s="1291"/>
      <c r="D78" s="1295"/>
      <c r="E78" s="1295"/>
      <c r="F78" s="1291"/>
      <c r="G78" s="1291"/>
      <c r="H78" s="1341" t="str">
        <f>+'1.Informe Seguimiento POA 2022'!D82</f>
        <v>4.4.14 Registrar el 100% de los reportes de las sanciones disciplinarias de los servidores públicos distritales.</v>
      </c>
      <c r="I78" s="1343">
        <f>+'1.Informe Seguimiento POA 2022'!E82</f>
        <v>0.05</v>
      </c>
      <c r="J78" s="773">
        <f>+'1.Informe Seguimiento POA 2022'!F82</f>
        <v>1</v>
      </c>
      <c r="K78" s="778" t="str">
        <f>+'1.Informe Seguimiento POA 2022'!I82</f>
        <v xml:space="preserve"> Gestión Jurídica</v>
      </c>
      <c r="L78" s="778" t="str">
        <f>+'1.Informe Seguimiento POA 2022'!J82</f>
        <v>Oficina Asesora Jurídica</v>
      </c>
      <c r="M78" s="716">
        <f>+'1.Informe Seguimiento POA 2022'!K82</f>
        <v>1</v>
      </c>
      <c r="N78" s="716">
        <f>+'1.Informe Seguimiento POA 2022'!L82</f>
        <v>1</v>
      </c>
      <c r="O78" s="716">
        <f>+'1.Informe Seguimiento POA 2022'!M82</f>
        <v>1</v>
      </c>
      <c r="P78" s="716">
        <f>+'1.Informe Seguimiento POA 2022'!N82</f>
        <v>1</v>
      </c>
      <c r="Q78" s="1074">
        <v>1</v>
      </c>
      <c r="R78" s="1074">
        <v>1</v>
      </c>
      <c r="S78" s="1074">
        <v>1</v>
      </c>
      <c r="T78" s="1074">
        <v>1</v>
      </c>
      <c r="U78" s="1074">
        <v>1</v>
      </c>
      <c r="V78" s="1074">
        <v>1</v>
      </c>
      <c r="W78" s="1074">
        <v>1</v>
      </c>
      <c r="X78" s="1074">
        <v>1</v>
      </c>
      <c r="Y78" s="699">
        <v>1</v>
      </c>
      <c r="Z78" s="699">
        <v>1</v>
      </c>
      <c r="AA78" s="699">
        <v>1</v>
      </c>
      <c r="AB78" s="780">
        <f>+'1.Informe Seguimiento POA 2022'!O82</f>
        <v>1</v>
      </c>
      <c r="AC78" s="780">
        <f>+'1.Informe Seguimiento POA 2022'!P82</f>
        <v>1</v>
      </c>
      <c r="AD78" s="780">
        <f>+'1.Informe Seguimiento POA 2022'!Q82</f>
        <v>1</v>
      </c>
      <c r="AE78" s="780">
        <f>+'1.Informe Seguimiento POA 2022'!R82</f>
        <v>1</v>
      </c>
      <c r="AF78" s="780">
        <f>+'1.Informe Seguimiento POA 2022'!S82</f>
        <v>1</v>
      </c>
      <c r="AG78" s="780">
        <f>+'1.Informe Seguimiento POA 2022'!T82</f>
        <v>1</v>
      </c>
      <c r="AH78" s="780">
        <f>+'1.Informe Seguimiento POA 2022'!U82</f>
        <v>1</v>
      </c>
      <c r="AI78" s="780">
        <f>+'1.Informe Seguimiento POA 2022'!V82</f>
        <v>0</v>
      </c>
      <c r="AJ78" s="699">
        <f>+'1.Informe Seguimiento POA 2022'!W82</f>
        <v>1</v>
      </c>
      <c r="AK78" s="699">
        <f>+'1.Informe Seguimiento POA 2022'!X82</f>
        <v>1</v>
      </c>
      <c r="AL78" s="699">
        <f>+'1.Informe Seguimiento POA 2022'!Y82</f>
        <v>0.75</v>
      </c>
      <c r="AM78" s="1396"/>
      <c r="AN78" s="788"/>
      <c r="AO78" s="788"/>
      <c r="AP78" s="788"/>
      <c r="AQ78" s="788"/>
      <c r="AR78" s="788"/>
      <c r="AS78" s="788"/>
      <c r="AT78" s="788"/>
      <c r="AU78" s="788"/>
      <c r="AV78" s="773">
        <f t="shared" si="19"/>
        <v>1</v>
      </c>
      <c r="AW78" s="773"/>
      <c r="AX78" s="788"/>
      <c r="AY78" s="788"/>
      <c r="AZ78" s="788"/>
      <c r="BA78" s="788"/>
      <c r="BB78" s="788"/>
      <c r="BC78" s="788"/>
      <c r="BD78" s="788"/>
      <c r="BE78" s="788"/>
      <c r="BF78" s="788"/>
      <c r="BG78" s="773">
        <f t="shared" si="20"/>
        <v>1</v>
      </c>
      <c r="BH78" s="773"/>
      <c r="BI78" s="788"/>
      <c r="BJ78" s="698">
        <f t="shared" si="21"/>
        <v>1</v>
      </c>
      <c r="BK78" s="698">
        <f t="shared" si="21"/>
        <v>1</v>
      </c>
      <c r="BL78" s="697">
        <f t="shared" si="10"/>
        <v>1</v>
      </c>
      <c r="BM78" s="697">
        <f t="shared" si="22"/>
        <v>0.125</v>
      </c>
      <c r="BN78" s="1345">
        <f>AVERAGE((IF(AND(BM78&gt;0,I78&gt;0),BM78*I78,0)),(IF(AND(BM79&gt;0,I78&gt;0),BM79*I78,0)))</f>
        <v>6.2500000000000003E-3</v>
      </c>
      <c r="BO78" s="1412"/>
      <c r="BP78" s="1249"/>
      <c r="BQ78" s="819"/>
      <c r="BR78" s="819"/>
    </row>
    <row r="79" spans="2:70" ht="76.5" customHeight="1">
      <c r="B79" s="1251"/>
      <c r="C79" s="1291"/>
      <c r="D79" s="1295"/>
      <c r="E79" s="1295"/>
      <c r="F79" s="1292"/>
      <c r="G79" s="1291"/>
      <c r="H79" s="1342"/>
      <c r="I79" s="1344"/>
      <c r="J79" s="773">
        <f>+'1.Informe Seguimiento POA 2022'!F83</f>
        <v>1</v>
      </c>
      <c r="K79" s="778" t="str">
        <f>+'1.Informe Seguimiento POA 2022'!I83</f>
        <v xml:space="preserve"> Gestión Jurídica</v>
      </c>
      <c r="L79" s="778" t="str">
        <f>+'1.Informe Seguimiento POA 2022'!J83</f>
        <v>Oficina Asesora Jurídica</v>
      </c>
      <c r="M79" s="716">
        <f>+'1.Informe Seguimiento POA 2022'!K83</f>
        <v>1</v>
      </c>
      <c r="N79" s="716">
        <f>+'1.Informe Seguimiento POA 2022'!L83</f>
        <v>1</v>
      </c>
      <c r="O79" s="716">
        <f>+'1.Informe Seguimiento POA 2022'!M83</f>
        <v>1</v>
      </c>
      <c r="P79" s="716">
        <f>+'1.Informe Seguimiento POA 2022'!N83</f>
        <v>1</v>
      </c>
      <c r="Q79" s="1074">
        <v>1</v>
      </c>
      <c r="R79" s="1074">
        <v>1</v>
      </c>
      <c r="S79" s="1074">
        <v>1</v>
      </c>
      <c r="T79" s="1074">
        <v>1</v>
      </c>
      <c r="U79" s="1074">
        <v>1</v>
      </c>
      <c r="V79" s="1074">
        <v>1</v>
      </c>
      <c r="W79" s="1074">
        <v>1</v>
      </c>
      <c r="X79" s="1074">
        <v>1</v>
      </c>
      <c r="Y79" s="699">
        <v>1</v>
      </c>
      <c r="Z79" s="699">
        <v>1</v>
      </c>
      <c r="AA79" s="699">
        <v>1</v>
      </c>
      <c r="AB79" s="780">
        <f>+'1.Informe Seguimiento POA 2022'!O83</f>
        <v>1</v>
      </c>
      <c r="AC79" s="780">
        <f>+'1.Informe Seguimiento POA 2022'!P83</f>
        <v>1</v>
      </c>
      <c r="AD79" s="780">
        <f>+'1.Informe Seguimiento POA 2022'!Q83</f>
        <v>1</v>
      </c>
      <c r="AE79" s="780">
        <f>+'1.Informe Seguimiento POA 2022'!R83</f>
        <v>1</v>
      </c>
      <c r="AF79" s="780">
        <f>+'1.Informe Seguimiento POA 2022'!S83</f>
        <v>1</v>
      </c>
      <c r="AG79" s="780">
        <f>+'1.Informe Seguimiento POA 2022'!T83</f>
        <v>1</v>
      </c>
      <c r="AH79" s="780">
        <f>+'1.Informe Seguimiento POA 2022'!U83</f>
        <v>1</v>
      </c>
      <c r="AI79" s="780">
        <f>+'1.Informe Seguimiento POA 2022'!V83</f>
        <v>0</v>
      </c>
      <c r="AJ79" s="699">
        <f>+'1.Informe Seguimiento POA 2022'!W83</f>
        <v>1</v>
      </c>
      <c r="AK79" s="699">
        <f>+'1.Informe Seguimiento POA 2022'!X83</f>
        <v>1</v>
      </c>
      <c r="AL79" s="699">
        <f>+'1.Informe Seguimiento POA 2022'!Y83</f>
        <v>0.75</v>
      </c>
      <c r="AM79" s="1396"/>
      <c r="AN79" s="788"/>
      <c r="AO79" s="788"/>
      <c r="AP79" s="788"/>
      <c r="AQ79" s="788"/>
      <c r="AR79" s="788"/>
      <c r="AS79" s="788"/>
      <c r="AT79" s="788"/>
      <c r="AU79" s="788"/>
      <c r="AV79" s="773">
        <f t="shared" si="19"/>
        <v>1</v>
      </c>
      <c r="AW79" s="773"/>
      <c r="AX79" s="788"/>
      <c r="AY79" s="788"/>
      <c r="AZ79" s="788"/>
      <c r="BA79" s="788"/>
      <c r="BB79" s="788"/>
      <c r="BC79" s="788"/>
      <c r="BD79" s="788"/>
      <c r="BE79" s="788"/>
      <c r="BF79" s="788"/>
      <c r="BG79" s="773">
        <f t="shared" si="20"/>
        <v>1</v>
      </c>
      <c r="BH79" s="773"/>
      <c r="BI79" s="788"/>
      <c r="BJ79" s="698">
        <f t="shared" si="21"/>
        <v>1</v>
      </c>
      <c r="BK79" s="698">
        <f t="shared" si="21"/>
        <v>1</v>
      </c>
      <c r="BL79" s="697">
        <f t="shared" si="10"/>
        <v>1</v>
      </c>
      <c r="BM79" s="697">
        <f t="shared" si="22"/>
        <v>0.125</v>
      </c>
      <c r="BN79" s="1346"/>
      <c r="BO79" s="1412"/>
      <c r="BP79" s="1249"/>
      <c r="BQ79" s="819"/>
      <c r="BR79" s="819"/>
    </row>
    <row r="80" spans="2:70" ht="76.5" customHeight="1">
      <c r="B80" s="1251"/>
      <c r="C80" s="1291"/>
      <c r="D80" s="1295"/>
      <c r="E80" s="1295"/>
      <c r="F80" s="1285" t="s">
        <v>1043</v>
      </c>
      <c r="G80" s="1293" t="s">
        <v>1034</v>
      </c>
      <c r="H80" s="1350" t="str">
        <f>+'1.Informe Seguimiento POA 2022'!D84</f>
        <v>4.4.15 Elaborar el 95% de los contratos en cada una de las modalidades de selección en los tiempos óptimos</v>
      </c>
      <c r="I80" s="1343">
        <f>+'1.Informe Seguimiento POA 2022'!E84</f>
        <v>0.1</v>
      </c>
      <c r="J80" s="773">
        <f>+'1.Informe Seguimiento POA 2022'!F84</f>
        <v>0.95</v>
      </c>
      <c r="K80" s="778" t="str">
        <f>+'1.Informe Seguimiento POA 2022'!I84</f>
        <v>Gestión Contractual</v>
      </c>
      <c r="L80" s="778" t="str">
        <f>+'1.Informe Seguimiento POA 2022'!J84</f>
        <v>Subdirección de Gestión Contractual
Dirección Administrativa y Financiera</v>
      </c>
      <c r="M80" s="716">
        <f>+'1.Informe Seguimiento POA 2022'!K84</f>
        <v>0.6</v>
      </c>
      <c r="N80" s="716">
        <f>+'1.Informe Seguimiento POA 2022'!L84</f>
        <v>0.8</v>
      </c>
      <c r="O80" s="716">
        <f>+'1.Informe Seguimiento POA 2022'!M84</f>
        <v>0.9</v>
      </c>
      <c r="P80" s="716">
        <f>+'1.Informe Seguimiento POA 2022'!N84</f>
        <v>0.95</v>
      </c>
      <c r="Q80" s="1074">
        <v>0</v>
      </c>
      <c r="R80" s="1074">
        <v>0</v>
      </c>
      <c r="S80" s="1074">
        <v>0</v>
      </c>
      <c r="T80" s="1074">
        <v>0</v>
      </c>
      <c r="U80" s="1074">
        <v>0.6</v>
      </c>
      <c r="V80" s="1074">
        <v>0.505</v>
      </c>
      <c r="W80" s="1074">
        <v>0.6</v>
      </c>
      <c r="X80" s="1074">
        <v>0.84199999999999997</v>
      </c>
      <c r="Y80" s="699">
        <v>0.6</v>
      </c>
      <c r="Z80" s="699">
        <v>0.67300000000000004</v>
      </c>
      <c r="AA80" s="699">
        <v>1.1216666666666668</v>
      </c>
      <c r="AB80" s="780">
        <f>+'1.Informe Seguimiento POA 2022'!O84</f>
        <v>0.8</v>
      </c>
      <c r="AC80" s="780">
        <f>+'1.Informe Seguimiento POA 2022'!P84</f>
        <v>1</v>
      </c>
      <c r="AD80" s="780">
        <f>+'1.Informe Seguimiento POA 2022'!Q84</f>
        <v>0</v>
      </c>
      <c r="AE80" s="780">
        <f>+'1.Informe Seguimiento POA 2022'!R84</f>
        <v>1</v>
      </c>
      <c r="AF80" s="780">
        <f>+'1.Informe Seguimiento POA 2022'!S84</f>
        <v>0.80000000000000016</v>
      </c>
      <c r="AG80" s="780">
        <f>+'1.Informe Seguimiento POA 2022'!T84</f>
        <v>0.94899999999999995</v>
      </c>
      <c r="AH80" s="780">
        <f>+'1.Informe Seguimiento POA 2022'!U84</f>
        <v>0.80000000000000016</v>
      </c>
      <c r="AI80" s="780">
        <f>+'1.Informe Seguimiento POA 2022'!V84</f>
        <v>0</v>
      </c>
      <c r="AJ80" s="699">
        <f>+'1.Informe Seguimiento POA 2022'!W84</f>
        <v>0.8</v>
      </c>
      <c r="AK80" s="699">
        <f>+'1.Informe Seguimiento POA 2022'!X84</f>
        <v>0.96199999999999997</v>
      </c>
      <c r="AL80" s="699">
        <f>+'1.Informe Seguimiento POA 2022'!Y84</f>
        <v>0.90187499999999998</v>
      </c>
      <c r="AM80" s="1396"/>
      <c r="AN80" s="788"/>
      <c r="AO80" s="788"/>
      <c r="AP80" s="788"/>
      <c r="AQ80" s="788"/>
      <c r="AR80" s="788"/>
      <c r="AS80" s="788"/>
      <c r="AT80" s="788"/>
      <c r="AU80" s="788"/>
      <c r="AV80" s="773">
        <f t="shared" si="19"/>
        <v>0.9</v>
      </c>
      <c r="AW80" s="773"/>
      <c r="AX80" s="788"/>
      <c r="AY80" s="788"/>
      <c r="AZ80" s="788"/>
      <c r="BA80" s="788"/>
      <c r="BB80" s="788"/>
      <c r="BC80" s="788"/>
      <c r="BD80" s="788"/>
      <c r="BE80" s="788"/>
      <c r="BF80" s="788"/>
      <c r="BG80" s="773">
        <f t="shared" si="20"/>
        <v>0.95</v>
      </c>
      <c r="BH80" s="773"/>
      <c r="BI80" s="788"/>
      <c r="BJ80" s="698">
        <f>IFERROR(AVERAGE(U80,W80,AB80),0)</f>
        <v>0.66666666666666663</v>
      </c>
      <c r="BK80" s="698">
        <f>IFERROR(AVERAGE(V80,X80,AC80),0)</f>
        <v>0.78233333333333333</v>
      </c>
      <c r="BL80" s="697">
        <f t="shared" si="10"/>
        <v>1.1735</v>
      </c>
      <c r="BM80" s="697">
        <f t="shared" si="22"/>
        <v>0.10293859649122808</v>
      </c>
      <c r="BN80" s="1345">
        <f>AVERAGE((IF(AND(BM80&gt;0,I80&gt;0),BM80*I80,0)),(IF(AND(BM81&gt;0,I80&gt;0),BM81*I80,0)),(IF(AND(BM82&gt;0,I80&gt;0),BM82*I80,0)))</f>
        <v>9.5328947368421065E-3</v>
      </c>
      <c r="BO80" s="1412"/>
      <c r="BP80" s="1249"/>
      <c r="BQ80" s="819"/>
      <c r="BR80" s="819"/>
    </row>
    <row r="81" spans="2:70" ht="76.5" customHeight="1">
      <c r="B81" s="1251"/>
      <c r="C81" s="1291"/>
      <c r="D81" s="1295"/>
      <c r="E81" s="1295"/>
      <c r="F81" s="1291"/>
      <c r="G81" s="1293"/>
      <c r="H81" s="1351"/>
      <c r="I81" s="1353"/>
      <c r="J81" s="773">
        <f>+'1.Informe Seguimiento POA 2022'!F85</f>
        <v>0.95</v>
      </c>
      <c r="K81" s="778" t="str">
        <f>+'1.Informe Seguimiento POA 2022'!I85</f>
        <v>Gestión Contractual</v>
      </c>
      <c r="L81" s="778" t="str">
        <f>+'1.Informe Seguimiento POA 2022'!J85</f>
        <v>Subdirección de Gestión Contractual
Dirección Administrativa y Financiera</v>
      </c>
      <c r="M81" s="716">
        <f>+'1.Informe Seguimiento POA 2022'!K85</f>
        <v>0.6</v>
      </c>
      <c r="N81" s="716">
        <f>+'1.Informe Seguimiento POA 2022'!L85</f>
        <v>0.8</v>
      </c>
      <c r="O81" s="716">
        <f>+'1.Informe Seguimiento POA 2022'!M85</f>
        <v>0.9</v>
      </c>
      <c r="P81" s="716">
        <f>+'1.Informe Seguimiento POA 2022'!N85</f>
        <v>0.95</v>
      </c>
      <c r="Q81" s="1074">
        <v>0</v>
      </c>
      <c r="R81" s="1074">
        <v>0</v>
      </c>
      <c r="S81" s="1074">
        <v>0</v>
      </c>
      <c r="T81" s="1074">
        <v>0</v>
      </c>
      <c r="U81" s="1074">
        <v>0.6</v>
      </c>
      <c r="V81" s="1074">
        <v>0.58299999999999996</v>
      </c>
      <c r="W81" s="1074">
        <v>0.6</v>
      </c>
      <c r="X81" s="1074">
        <v>0.86599999999999999</v>
      </c>
      <c r="Y81" s="699">
        <v>0.6</v>
      </c>
      <c r="Z81" s="699">
        <v>0.72499999999999998</v>
      </c>
      <c r="AA81" s="699">
        <v>1.2083333333333333</v>
      </c>
      <c r="AB81" s="780">
        <f>+'1.Informe Seguimiento POA 2022'!O85</f>
        <v>0</v>
      </c>
      <c r="AC81" s="780">
        <f>+'1.Informe Seguimiento POA 2022'!P85</f>
        <v>1</v>
      </c>
      <c r="AD81" s="780">
        <f>+'1.Informe Seguimiento POA 2022'!Q85</f>
        <v>0.8</v>
      </c>
      <c r="AE81" s="780">
        <f>+'1.Informe Seguimiento POA 2022'!R85</f>
        <v>0.8</v>
      </c>
      <c r="AF81" s="780">
        <f>+'1.Informe Seguimiento POA 2022'!S85</f>
        <v>0.80000000000000016</v>
      </c>
      <c r="AG81" s="780">
        <f>+'1.Informe Seguimiento POA 2022'!T85</f>
        <v>0.86599999999999999</v>
      </c>
      <c r="AH81" s="780">
        <f>+'1.Informe Seguimiento POA 2022'!U85</f>
        <v>0.53333333333333333</v>
      </c>
      <c r="AI81" s="780">
        <f>+'1.Informe Seguimiento POA 2022'!V85</f>
        <v>0</v>
      </c>
      <c r="AJ81" s="699">
        <f>+'1.Informe Seguimiento POA 2022'!W85</f>
        <v>0.8</v>
      </c>
      <c r="AK81" s="699">
        <f>+'1.Informe Seguimiento POA 2022'!X85</f>
        <v>0.86599999999999999</v>
      </c>
      <c r="AL81" s="699">
        <f>+'1.Informe Seguimiento POA 2022'!Y85</f>
        <v>0.81187500000000001</v>
      </c>
      <c r="AM81" s="1396"/>
      <c r="AN81" s="788"/>
      <c r="AO81" s="788"/>
      <c r="AP81" s="788"/>
      <c r="AQ81" s="788"/>
      <c r="AR81" s="788"/>
      <c r="AS81" s="788"/>
      <c r="AT81" s="788"/>
      <c r="AU81" s="788"/>
      <c r="AV81" s="773">
        <f t="shared" si="19"/>
        <v>0.9</v>
      </c>
      <c r="AW81" s="773"/>
      <c r="AX81" s="788"/>
      <c r="AY81" s="788"/>
      <c r="AZ81" s="788"/>
      <c r="BA81" s="788"/>
      <c r="BB81" s="788"/>
      <c r="BC81" s="788"/>
      <c r="BD81" s="788"/>
      <c r="BE81" s="788"/>
      <c r="BF81" s="788"/>
      <c r="BG81" s="773">
        <f t="shared" si="20"/>
        <v>0.95</v>
      </c>
      <c r="BH81" s="773"/>
      <c r="BI81" s="788"/>
      <c r="BJ81" s="698">
        <f>IFERROR(AVERAGE(U81,W81),0)</f>
        <v>0.6</v>
      </c>
      <c r="BK81" s="698">
        <f>IFERROR(AVERAGE(V81,X81),0)</f>
        <v>0.72449999999999992</v>
      </c>
      <c r="BL81" s="697">
        <f t="shared" si="10"/>
        <v>1.2075</v>
      </c>
      <c r="BM81" s="697">
        <f t="shared" si="22"/>
        <v>9.5328947368421041E-2</v>
      </c>
      <c r="BN81" s="1409"/>
      <c r="BO81" s="1412"/>
      <c r="BP81" s="1249"/>
      <c r="BQ81" s="819"/>
      <c r="BR81" s="819"/>
    </row>
    <row r="82" spans="2:70" ht="76.5" customHeight="1">
      <c r="B82" s="1251"/>
      <c r="C82" s="1292"/>
      <c r="D82" s="1349"/>
      <c r="E82" s="1349"/>
      <c r="F82" s="1292"/>
      <c r="G82" s="1293"/>
      <c r="H82" s="1352"/>
      <c r="I82" s="1354"/>
      <c r="J82" s="773">
        <f>+'1.Informe Seguimiento POA 2022'!F86</f>
        <v>0.95</v>
      </c>
      <c r="K82" s="778" t="str">
        <f>+'1.Informe Seguimiento POA 2022'!I86</f>
        <v>Gestión Contractual</v>
      </c>
      <c r="L82" s="778" t="str">
        <f>+'1.Informe Seguimiento POA 2022'!J86</f>
        <v>Subdirección de Gestión Contractual
Dirección Administrativa y Financiera</v>
      </c>
      <c r="M82" s="716">
        <f>+'1.Informe Seguimiento POA 2022'!K86</f>
        <v>0.6</v>
      </c>
      <c r="N82" s="716">
        <f>+'1.Informe Seguimiento POA 2022'!L86</f>
        <v>0.8</v>
      </c>
      <c r="O82" s="716">
        <f>+'1.Informe Seguimiento POA 2022'!M86</f>
        <v>0.9</v>
      </c>
      <c r="P82" s="716">
        <f>+'1.Informe Seguimiento POA 2022'!N86</f>
        <v>0.95</v>
      </c>
      <c r="Q82" s="1074">
        <v>0</v>
      </c>
      <c r="R82" s="1074">
        <v>0</v>
      </c>
      <c r="S82" s="1074">
        <v>0</v>
      </c>
      <c r="T82" s="1074">
        <v>0</v>
      </c>
      <c r="U82" s="1074">
        <v>0.6</v>
      </c>
      <c r="V82" s="1074">
        <v>0.6</v>
      </c>
      <c r="W82" s="1074">
        <v>0.6</v>
      </c>
      <c r="X82" s="1074">
        <v>0.6</v>
      </c>
      <c r="Y82" s="699">
        <v>0.6</v>
      </c>
      <c r="Z82" s="699">
        <v>0.6</v>
      </c>
      <c r="AA82" s="699">
        <v>1</v>
      </c>
      <c r="AB82" s="780">
        <f>+'1.Informe Seguimiento POA 2022'!O86</f>
        <v>0.8</v>
      </c>
      <c r="AC82" s="780">
        <f>+'1.Informe Seguimiento POA 2022'!P86</f>
        <v>0.8</v>
      </c>
      <c r="AD82" s="780">
        <f>+'1.Informe Seguimiento POA 2022'!Q86</f>
        <v>0.8</v>
      </c>
      <c r="AE82" s="780">
        <f>+'1.Informe Seguimiento POA 2022'!R86</f>
        <v>0.86599999999999999</v>
      </c>
      <c r="AF82" s="780">
        <f>+'1.Informe Seguimiento POA 2022'!S86</f>
        <v>0.80000000000000016</v>
      </c>
      <c r="AG82" s="780">
        <f>+'1.Informe Seguimiento POA 2022'!T86</f>
        <v>0.8</v>
      </c>
      <c r="AH82" s="780">
        <f>+'1.Informe Seguimiento POA 2022'!U86</f>
        <v>0.80000000000000016</v>
      </c>
      <c r="AI82" s="780">
        <f>+'1.Informe Seguimiento POA 2022'!V86</f>
        <v>0.8</v>
      </c>
      <c r="AJ82" s="699">
        <f>+'1.Informe Seguimiento POA 2022'!W86</f>
        <v>0.8</v>
      </c>
      <c r="AK82" s="699">
        <f>+'1.Informe Seguimiento POA 2022'!X86</f>
        <v>0.8</v>
      </c>
      <c r="AL82" s="699">
        <f>+'1.Informe Seguimiento POA 2022'!Y86</f>
        <v>0.75</v>
      </c>
      <c r="AM82" s="1397"/>
      <c r="AN82" s="788"/>
      <c r="AO82" s="788"/>
      <c r="AP82" s="788"/>
      <c r="AQ82" s="788"/>
      <c r="AR82" s="788"/>
      <c r="AS82" s="788"/>
      <c r="AT82" s="788"/>
      <c r="AU82" s="788"/>
      <c r="AV82" s="773">
        <f t="shared" si="19"/>
        <v>0.9</v>
      </c>
      <c r="AW82" s="773"/>
      <c r="AX82" s="788"/>
      <c r="AY82" s="788"/>
      <c r="AZ82" s="788"/>
      <c r="BA82" s="788"/>
      <c r="BB82" s="788"/>
      <c r="BC82" s="788"/>
      <c r="BD82" s="788"/>
      <c r="BE82" s="788"/>
      <c r="BF82" s="788"/>
      <c r="BG82" s="773">
        <f t="shared" si="20"/>
        <v>0.95</v>
      </c>
      <c r="BH82" s="773"/>
      <c r="BI82" s="788"/>
      <c r="BJ82" s="698">
        <f>IFERROR(AVERAGE(U82,W82,AB82),0)</f>
        <v>0.66666666666666663</v>
      </c>
      <c r="BK82" s="698">
        <f>IFERROR(AVERAGE(V82,X82,AC82),0)</f>
        <v>0.66666666666666663</v>
      </c>
      <c r="BL82" s="697">
        <f t="shared" si="10"/>
        <v>1</v>
      </c>
      <c r="BM82" s="697">
        <f t="shared" si="22"/>
        <v>8.771929824561403E-2</v>
      </c>
      <c r="BN82" s="1410"/>
      <c r="BO82" s="1413"/>
      <c r="BP82" s="1249"/>
      <c r="BQ82" s="819"/>
      <c r="BR82" s="819"/>
    </row>
    <row r="83" spans="2:70" ht="73.5" customHeight="1">
      <c r="B83" s="1251"/>
      <c r="C83" s="1328" t="str">
        <f>+'Matriz PEI 2021-2024'!C24</f>
        <v>4.5. Desarrollar el 100% de las acciones relacionadas con el fomento de la Cultura del Autocontrol, la Autorregulación y la Autogestión institucional.</v>
      </c>
      <c r="D83" s="1335">
        <f>+'Matriz PEI 2021-2024'!E24</f>
        <v>1</v>
      </c>
      <c r="E83" s="1335">
        <f>+'Matriz PEI 2021-2024'!D24</f>
        <v>0.14000000000000001</v>
      </c>
      <c r="F83" s="1328" t="s">
        <v>1044</v>
      </c>
      <c r="G83" s="1328" t="s">
        <v>1045</v>
      </c>
      <c r="H83" s="701" t="str">
        <f>+'1.Informe Seguimiento POA 2022'!D87</f>
        <v xml:space="preserve">4.5.1 Emitir 96 solicitudes de aplicación de medidas de preservación del orden interno, con el fin de prevenir la materialización de conductas con alcance disciplinario. </v>
      </c>
      <c r="I83" s="152">
        <f>+'1.Informe Seguimiento POA 2022'!E87</f>
        <v>0.05</v>
      </c>
      <c r="J83" s="702">
        <f>+'1.Informe Seguimiento POA 2022'!F87</f>
        <v>148</v>
      </c>
      <c r="K83" s="703" t="str">
        <f>+'1.Informe Seguimiento POA 2022'!I87</f>
        <v>Control Disciplinario Interno</v>
      </c>
      <c r="L83" s="704" t="str">
        <f>+'1.Informe Seguimiento POA 2022'!J87</f>
        <v>Oficina Control Interno Disciplinario</v>
      </c>
      <c r="M83" s="724">
        <f>+'1.Informe Seguimiento POA 2022'!K87</f>
        <v>24</v>
      </c>
      <c r="N83" s="724">
        <f>+'1.Informe Seguimiento POA 2022'!L87</f>
        <v>52</v>
      </c>
      <c r="O83" s="724">
        <f>+'1.Informe Seguimiento POA 2022'!M87</f>
        <v>36</v>
      </c>
      <c r="P83" s="724">
        <f>+'1.Informe Seguimiento POA 2022'!N87</f>
        <v>36</v>
      </c>
      <c r="Q83" s="1075">
        <v>6</v>
      </c>
      <c r="R83" s="1075">
        <v>10</v>
      </c>
      <c r="S83" s="1075">
        <v>6</v>
      </c>
      <c r="T83" s="1075">
        <v>9</v>
      </c>
      <c r="U83" s="1075">
        <v>6</v>
      </c>
      <c r="V83" s="1075">
        <v>9</v>
      </c>
      <c r="W83" s="1075">
        <v>6</v>
      </c>
      <c r="X83" s="1075">
        <v>7</v>
      </c>
      <c r="Y83" s="706">
        <v>24</v>
      </c>
      <c r="Z83" s="706">
        <v>35</v>
      </c>
      <c r="AA83" s="707">
        <v>1.4583333333333333</v>
      </c>
      <c r="AB83" s="724">
        <f>+'1.Informe Seguimiento POA 2022'!O87</f>
        <v>6</v>
      </c>
      <c r="AC83" s="724">
        <f>+'1.Informe Seguimiento POA 2022'!P87</f>
        <v>26</v>
      </c>
      <c r="AD83" s="724">
        <f>+'1.Informe Seguimiento POA 2022'!Q87</f>
        <v>6</v>
      </c>
      <c r="AE83" s="724">
        <f>+'1.Informe Seguimiento POA 2022'!R87</f>
        <v>14</v>
      </c>
      <c r="AF83" s="724">
        <f>+'1.Informe Seguimiento POA 2022'!S87</f>
        <v>21</v>
      </c>
      <c r="AG83" s="724">
        <f>+'1.Informe Seguimiento POA 2022'!T87</f>
        <v>16</v>
      </c>
      <c r="AH83" s="724">
        <f>+'1.Informe Seguimiento POA 2022'!U87</f>
        <v>19</v>
      </c>
      <c r="AI83" s="724">
        <f>+'1.Informe Seguimiento POA 2022'!V87</f>
        <v>0</v>
      </c>
      <c r="AJ83" s="706">
        <f>+'1.Informe Seguimiento POA 2022'!W87</f>
        <v>52</v>
      </c>
      <c r="AK83" s="706">
        <f>+'1.Informe Seguimiento POA 2022'!X87</f>
        <v>56</v>
      </c>
      <c r="AL83" s="707">
        <f>+'1.Informe Seguimiento POA 2022'!Y87</f>
        <v>1.0769230769230769</v>
      </c>
      <c r="AM83" s="1306">
        <f>'1.Informe Seguimiento POA 2022'!AB87</f>
        <v>0.23491891891891895</v>
      </c>
      <c r="AN83" s="707"/>
      <c r="AO83" s="707"/>
      <c r="AP83" s="707"/>
      <c r="AQ83" s="707"/>
      <c r="AR83" s="707"/>
      <c r="AS83" s="707"/>
      <c r="AT83" s="707"/>
      <c r="AU83" s="707"/>
      <c r="AV83" s="706">
        <f t="shared" si="19"/>
        <v>36</v>
      </c>
      <c r="AW83" s="706"/>
      <c r="AX83" s="707"/>
      <c r="AY83" s="707"/>
      <c r="AZ83" s="707"/>
      <c r="BA83" s="707"/>
      <c r="BB83" s="707"/>
      <c r="BC83" s="707"/>
      <c r="BD83" s="707"/>
      <c r="BE83" s="707"/>
      <c r="BF83" s="707"/>
      <c r="BG83" s="706">
        <f t="shared" si="20"/>
        <v>36</v>
      </c>
      <c r="BH83" s="706"/>
      <c r="BI83" s="707"/>
      <c r="BJ83" s="706">
        <f t="shared" ref="BJ83:BK88" si="23">Q83+S83+U83+W83+AB83+AD83</f>
        <v>36</v>
      </c>
      <c r="BK83" s="706">
        <f t="shared" si="23"/>
        <v>75</v>
      </c>
      <c r="BL83" s="802">
        <f t="shared" si="10"/>
        <v>2.0833333333333335</v>
      </c>
      <c r="BM83" s="1144">
        <f t="shared" ref="BM83:BM88" si="24">IF(AND(BK83&gt;0,$J83&gt;0),BK83/$J83,0)</f>
        <v>0.5067567567567568</v>
      </c>
      <c r="BN83" s="1119">
        <f t="shared" ref="BN83:BN95" si="25">IF(AND(BM83&gt;0,I83&gt;0),BM83*I83,0)</f>
        <v>2.5337837837837843E-2</v>
      </c>
      <c r="BO83" s="1389">
        <f>SUM(BN83:BN88)</f>
        <v>0.42183783783783785</v>
      </c>
      <c r="BP83" s="1249"/>
      <c r="BQ83" s="811"/>
      <c r="BR83" s="811"/>
    </row>
    <row r="84" spans="2:70" ht="86.25" customHeight="1">
      <c r="B84" s="1251"/>
      <c r="C84" s="1329"/>
      <c r="D84" s="1336"/>
      <c r="E84" s="1336"/>
      <c r="F84" s="1329"/>
      <c r="G84" s="1329"/>
      <c r="H84" s="701" t="str">
        <f>+'1.Informe Seguimiento POA 2022'!D88</f>
        <v>4.5.2 Realizar 20 jornadas de sensibilización a funcionarios de la Personería de Bogotá D.C. sobre la prevención de las faltas disciplinarias más recurrentes en la Entidad.</v>
      </c>
      <c r="I84" s="152">
        <f>+'1.Informe Seguimiento POA 2022'!E88</f>
        <v>0.05</v>
      </c>
      <c r="J84" s="702">
        <f>+'1.Informe Seguimiento POA 2022'!F88</f>
        <v>20</v>
      </c>
      <c r="K84" s="703" t="str">
        <f>+'1.Informe Seguimiento POA 2022'!I88</f>
        <v>Control Disciplinario Interno</v>
      </c>
      <c r="L84" s="704" t="str">
        <f>+'1.Informe Seguimiento POA 2022'!J88</f>
        <v>Oficina Control Interno Disciplinario</v>
      </c>
      <c r="M84" s="724">
        <f>+'1.Informe Seguimiento POA 2022'!K88</f>
        <v>2</v>
      </c>
      <c r="N84" s="724">
        <f>+'1.Informe Seguimiento POA 2022'!L88</f>
        <v>6</v>
      </c>
      <c r="O84" s="724">
        <f>+'1.Informe Seguimiento POA 2022'!M88</f>
        <v>6</v>
      </c>
      <c r="P84" s="724">
        <f>+'1.Informe Seguimiento POA 2022'!N88</f>
        <v>6</v>
      </c>
      <c r="Q84" s="1075">
        <v>0</v>
      </c>
      <c r="R84" s="1075">
        <v>0</v>
      </c>
      <c r="S84" s="1075">
        <v>1</v>
      </c>
      <c r="T84" s="1075">
        <v>1</v>
      </c>
      <c r="U84" s="1075">
        <v>1</v>
      </c>
      <c r="V84" s="1075">
        <v>1</v>
      </c>
      <c r="W84" s="1075">
        <v>0</v>
      </c>
      <c r="X84" s="1075">
        <v>0</v>
      </c>
      <c r="Y84" s="706">
        <v>2</v>
      </c>
      <c r="Z84" s="706">
        <v>2</v>
      </c>
      <c r="AA84" s="707">
        <v>1</v>
      </c>
      <c r="AB84" s="724">
        <f>+'1.Informe Seguimiento POA 2022'!O88</f>
        <v>0</v>
      </c>
      <c r="AC84" s="724">
        <f>+'1.Informe Seguimiento POA 2022'!P88</f>
        <v>1</v>
      </c>
      <c r="AD84" s="724">
        <f>+'1.Informe Seguimiento POA 2022'!Q88</f>
        <v>2</v>
      </c>
      <c r="AE84" s="724">
        <f>+'1.Informe Seguimiento POA 2022'!R88</f>
        <v>1</v>
      </c>
      <c r="AF84" s="724">
        <f>+'1.Informe Seguimiento POA 2022'!S88</f>
        <v>3</v>
      </c>
      <c r="AG84" s="724">
        <f>+'1.Informe Seguimiento POA 2022'!T88</f>
        <v>2</v>
      </c>
      <c r="AH84" s="724">
        <f>+'1.Informe Seguimiento POA 2022'!U88</f>
        <v>1</v>
      </c>
      <c r="AI84" s="724">
        <f>+'1.Informe Seguimiento POA 2022'!V88</f>
        <v>0</v>
      </c>
      <c r="AJ84" s="706">
        <f>+'1.Informe Seguimiento POA 2022'!W88</f>
        <v>6</v>
      </c>
      <c r="AK84" s="706">
        <f>+'1.Informe Seguimiento POA 2022'!X88</f>
        <v>4</v>
      </c>
      <c r="AL84" s="707">
        <f>+'1.Informe Seguimiento POA 2022'!Y88</f>
        <v>0.66666666666666663</v>
      </c>
      <c r="AM84" s="1308"/>
      <c r="AN84" s="707"/>
      <c r="AO84" s="707"/>
      <c r="AP84" s="707"/>
      <c r="AQ84" s="707"/>
      <c r="AR84" s="707"/>
      <c r="AS84" s="707"/>
      <c r="AT84" s="707"/>
      <c r="AU84" s="707"/>
      <c r="AV84" s="706">
        <f t="shared" si="19"/>
        <v>6</v>
      </c>
      <c r="AW84" s="706"/>
      <c r="AX84" s="707"/>
      <c r="AY84" s="707"/>
      <c r="AZ84" s="707"/>
      <c r="BA84" s="707"/>
      <c r="BB84" s="707"/>
      <c r="BC84" s="707"/>
      <c r="BD84" s="707"/>
      <c r="BE84" s="707"/>
      <c r="BF84" s="707"/>
      <c r="BG84" s="706">
        <f t="shared" si="20"/>
        <v>6</v>
      </c>
      <c r="BH84" s="706"/>
      <c r="BI84" s="707"/>
      <c r="BJ84" s="706">
        <f t="shared" si="23"/>
        <v>4</v>
      </c>
      <c r="BK84" s="706">
        <f t="shared" si="23"/>
        <v>4</v>
      </c>
      <c r="BL84" s="802">
        <f t="shared" si="10"/>
        <v>1</v>
      </c>
      <c r="BM84" s="722">
        <f t="shared" si="24"/>
        <v>0.2</v>
      </c>
      <c r="BN84" s="1119">
        <f t="shared" si="25"/>
        <v>1.0000000000000002E-2</v>
      </c>
      <c r="BO84" s="1390"/>
      <c r="BP84" s="1249"/>
      <c r="BQ84" s="812"/>
      <c r="BR84" s="812"/>
    </row>
    <row r="85" spans="2:70" ht="96.75" customHeight="1">
      <c r="B85" s="1251"/>
      <c r="C85" s="1329"/>
      <c r="D85" s="1336"/>
      <c r="E85" s="1336"/>
      <c r="F85" s="1329"/>
      <c r="G85" s="1329"/>
      <c r="H85" s="701" t="str">
        <f>+'1.Informe Seguimiento POA 2022'!D89</f>
        <v>4.5.3 Decidir de fondo 400 procesos disciplinarios que se encuentren en términos o con periodos vencidos, dando prelación a aquellos con mayor antigüedad o aquellos próximos a prescribir o caducar.</v>
      </c>
      <c r="I85" s="152">
        <f>+'1.Informe Seguimiento POA 2022'!E89</f>
        <v>0.2</v>
      </c>
      <c r="J85" s="702">
        <f>+'1.Informe Seguimiento POA 2022'!F89</f>
        <v>400</v>
      </c>
      <c r="K85" s="703" t="str">
        <f>+'1.Informe Seguimiento POA 2022'!I89</f>
        <v>Control Disciplinario Interno</v>
      </c>
      <c r="L85" s="704" t="str">
        <f>+'1.Informe Seguimiento POA 2022'!J89</f>
        <v>Oficina Control Interno Disciplinario</v>
      </c>
      <c r="M85" s="724">
        <f>+'1.Informe Seguimiento POA 2022'!K89</f>
        <v>100</v>
      </c>
      <c r="N85" s="724">
        <f>+'1.Informe Seguimiento POA 2022'!L89</f>
        <v>100</v>
      </c>
      <c r="O85" s="724">
        <f>+'1.Informe Seguimiento POA 2022'!M89</f>
        <v>100</v>
      </c>
      <c r="P85" s="724">
        <f>+'1.Informe Seguimiento POA 2022'!N89</f>
        <v>100</v>
      </c>
      <c r="Q85" s="1075">
        <v>23</v>
      </c>
      <c r="R85" s="1075">
        <v>38</v>
      </c>
      <c r="S85" s="1075">
        <v>30</v>
      </c>
      <c r="T85" s="1075">
        <v>30</v>
      </c>
      <c r="U85" s="1075">
        <v>30</v>
      </c>
      <c r="V85" s="1075">
        <v>48</v>
      </c>
      <c r="W85" s="1075">
        <v>17</v>
      </c>
      <c r="X85" s="1075">
        <v>56</v>
      </c>
      <c r="Y85" s="706">
        <v>100</v>
      </c>
      <c r="Z85" s="706">
        <v>172</v>
      </c>
      <c r="AA85" s="707">
        <v>1.72</v>
      </c>
      <c r="AB85" s="724">
        <f>+'1.Informe Seguimiento POA 2022'!O89</f>
        <v>23</v>
      </c>
      <c r="AC85" s="724">
        <f>+'1.Informe Seguimiento POA 2022'!P89</f>
        <v>30</v>
      </c>
      <c r="AD85" s="724">
        <f>+'1.Informe Seguimiento POA 2022'!Q89</f>
        <v>30</v>
      </c>
      <c r="AE85" s="724">
        <f>+'1.Informe Seguimiento POA 2022'!R89</f>
        <v>46</v>
      </c>
      <c r="AF85" s="724">
        <f>+'1.Informe Seguimiento POA 2022'!S89</f>
        <v>30</v>
      </c>
      <c r="AG85" s="724">
        <f>+'1.Informe Seguimiento POA 2022'!T89</f>
        <v>51</v>
      </c>
      <c r="AH85" s="724">
        <f>+'1.Informe Seguimiento POA 2022'!U89</f>
        <v>17</v>
      </c>
      <c r="AI85" s="724">
        <f>+'1.Informe Seguimiento POA 2022'!V89</f>
        <v>0</v>
      </c>
      <c r="AJ85" s="706">
        <f>+'1.Informe Seguimiento POA 2022'!W89</f>
        <v>100</v>
      </c>
      <c r="AK85" s="706">
        <f>+'1.Informe Seguimiento POA 2022'!X89</f>
        <v>127</v>
      </c>
      <c r="AL85" s="707">
        <f>+'1.Informe Seguimiento POA 2022'!Y89</f>
        <v>1.27</v>
      </c>
      <c r="AM85" s="1308"/>
      <c r="AN85" s="707"/>
      <c r="AO85" s="707"/>
      <c r="AP85" s="707"/>
      <c r="AQ85" s="707"/>
      <c r="AR85" s="707"/>
      <c r="AS85" s="707"/>
      <c r="AT85" s="707"/>
      <c r="AU85" s="707"/>
      <c r="AV85" s="706">
        <f t="shared" si="19"/>
        <v>100</v>
      </c>
      <c r="AW85" s="706"/>
      <c r="AX85" s="707"/>
      <c r="AY85" s="707"/>
      <c r="AZ85" s="707"/>
      <c r="BA85" s="707"/>
      <c r="BB85" s="707"/>
      <c r="BC85" s="707"/>
      <c r="BD85" s="707"/>
      <c r="BE85" s="707"/>
      <c r="BF85" s="707"/>
      <c r="BG85" s="706">
        <f t="shared" si="20"/>
        <v>100</v>
      </c>
      <c r="BH85" s="706"/>
      <c r="BI85" s="707"/>
      <c r="BJ85" s="706">
        <f t="shared" si="23"/>
        <v>153</v>
      </c>
      <c r="BK85" s="706">
        <f t="shared" si="23"/>
        <v>248</v>
      </c>
      <c r="BL85" s="802">
        <f t="shared" si="10"/>
        <v>1.6209150326797386</v>
      </c>
      <c r="BM85" s="722">
        <f t="shared" si="24"/>
        <v>0.62</v>
      </c>
      <c r="BN85" s="1119">
        <f t="shared" si="25"/>
        <v>0.124</v>
      </c>
      <c r="BO85" s="1390"/>
      <c r="BP85" s="1249"/>
      <c r="BQ85" s="812"/>
      <c r="BR85" s="812"/>
    </row>
    <row r="86" spans="2:70" ht="69.75" customHeight="1">
      <c r="B86" s="1251"/>
      <c r="C86" s="1329"/>
      <c r="D86" s="1336"/>
      <c r="E86" s="1336"/>
      <c r="F86" s="1329"/>
      <c r="G86" s="1329"/>
      <c r="H86" s="701" t="str">
        <f>+'1.Informe Seguimiento POA 2022'!D90</f>
        <v>4.5.4 Ejecutar  4 programas anuales de auditorias, aprobados por el Comité Institucional de Coordinación del Sistema de Control Interno.</v>
      </c>
      <c r="I86" s="152">
        <f>+'1.Informe Seguimiento POA 2022'!E90</f>
        <v>0.5</v>
      </c>
      <c r="J86" s="702">
        <f>+'1.Informe Seguimiento POA 2022'!F90</f>
        <v>4</v>
      </c>
      <c r="K86" s="703" t="str">
        <f>+'1.Informe Seguimiento POA 2022'!I90</f>
        <v>Evaluación y Seguimiento</v>
      </c>
      <c r="L86" s="704" t="str">
        <f>+'1.Informe Seguimiento POA 2022'!J90</f>
        <v>Oficina de Control Interno</v>
      </c>
      <c r="M86" s="724">
        <f>+'1.Informe Seguimiento POA 2022'!K90</f>
        <v>1</v>
      </c>
      <c r="N86" s="724">
        <f>+'1.Informe Seguimiento POA 2022'!L90</f>
        <v>1</v>
      </c>
      <c r="O86" s="724">
        <f>+'1.Informe Seguimiento POA 2022'!M90</f>
        <v>1</v>
      </c>
      <c r="P86" s="724">
        <f>+'1.Informe Seguimiento POA 2022'!N90</f>
        <v>1</v>
      </c>
      <c r="Q86" s="1077">
        <v>0.51</v>
      </c>
      <c r="R86" s="1077">
        <v>0.51</v>
      </c>
      <c r="S86" s="1077">
        <v>0.12</v>
      </c>
      <c r="T86" s="1077">
        <v>0.12</v>
      </c>
      <c r="U86" s="1077">
        <v>0.26</v>
      </c>
      <c r="V86" s="1077">
        <v>0.26</v>
      </c>
      <c r="W86" s="1077">
        <v>0.11</v>
      </c>
      <c r="X86" s="1077">
        <v>0.11</v>
      </c>
      <c r="Y86" s="706">
        <v>1</v>
      </c>
      <c r="Z86" s="787">
        <v>1</v>
      </c>
      <c r="AA86" s="707">
        <v>1</v>
      </c>
      <c r="AB86" s="786">
        <f>+'1.Informe Seguimiento POA 2022'!O90</f>
        <v>0.35</v>
      </c>
      <c r="AC86" s="786">
        <f>+'1.Informe Seguimiento POA 2022'!P90</f>
        <v>0.35</v>
      </c>
      <c r="AD86" s="786">
        <f>+'1.Informe Seguimiento POA 2022'!Q90</f>
        <v>0.15</v>
      </c>
      <c r="AE86" s="786">
        <f>+'1.Informe Seguimiento POA 2022'!R90</f>
        <v>0.15</v>
      </c>
      <c r="AF86" s="786">
        <f>+'1.Informe Seguimiento POA 2022'!S90</f>
        <v>0.44000000000000006</v>
      </c>
      <c r="AG86" s="786">
        <f>+'1.Informe Seguimiento POA 2022'!T90</f>
        <v>0.44000000000000006</v>
      </c>
      <c r="AH86" s="786">
        <f>+'1.Informe Seguimiento POA 2022'!U90</f>
        <v>0.06</v>
      </c>
      <c r="AI86" s="786">
        <f>+'1.Informe Seguimiento POA 2022'!V90</f>
        <v>0</v>
      </c>
      <c r="AJ86" s="706">
        <f>+'1.Informe Seguimiento POA 2022'!W90</f>
        <v>1</v>
      </c>
      <c r="AK86" s="787">
        <f>+'1.Informe Seguimiento POA 2022'!X90</f>
        <v>0.94000000000000006</v>
      </c>
      <c r="AL86" s="707">
        <f>+'1.Informe Seguimiento POA 2022'!Y90</f>
        <v>0.94000000000000006</v>
      </c>
      <c r="AM86" s="1308"/>
      <c r="AN86" s="790"/>
      <c r="AO86" s="790"/>
      <c r="AP86" s="790"/>
      <c r="AQ86" s="790"/>
      <c r="AR86" s="790"/>
      <c r="AS86" s="790"/>
      <c r="AT86" s="790"/>
      <c r="AU86" s="790"/>
      <c r="AV86" s="787">
        <f t="shared" si="19"/>
        <v>1</v>
      </c>
      <c r="AW86" s="787"/>
      <c r="AX86" s="790"/>
      <c r="AY86" s="790"/>
      <c r="AZ86" s="790"/>
      <c r="BA86" s="790"/>
      <c r="BB86" s="790"/>
      <c r="BC86" s="790"/>
      <c r="BD86" s="790"/>
      <c r="BE86" s="790"/>
      <c r="BF86" s="790"/>
      <c r="BG86" s="787">
        <f t="shared" si="20"/>
        <v>1</v>
      </c>
      <c r="BH86" s="787"/>
      <c r="BI86" s="790"/>
      <c r="BJ86" s="787">
        <f t="shared" si="23"/>
        <v>1.5</v>
      </c>
      <c r="BK86" s="787">
        <f t="shared" si="23"/>
        <v>1.5</v>
      </c>
      <c r="BL86" s="802">
        <f t="shared" si="10"/>
        <v>1</v>
      </c>
      <c r="BM86" s="722">
        <f t="shared" si="24"/>
        <v>0.375</v>
      </c>
      <c r="BN86" s="1119">
        <f t="shared" si="25"/>
        <v>0.1875</v>
      </c>
      <c r="BO86" s="1390"/>
      <c r="BP86" s="1249"/>
      <c r="BQ86" s="812"/>
      <c r="BR86" s="812"/>
    </row>
    <row r="87" spans="2:70" ht="56.25" customHeight="1">
      <c r="B87" s="1251"/>
      <c r="C87" s="1329"/>
      <c r="D87" s="1336"/>
      <c r="E87" s="1336"/>
      <c r="F87" s="1329"/>
      <c r="G87" s="1329"/>
      <c r="H87" s="701" t="str">
        <f>+'1.Informe Seguimiento POA 2022'!D91</f>
        <v>4.5.5 Desarrollar 4 estrategias de sensibilización acerca de la cultura del control.</v>
      </c>
      <c r="I87" s="152">
        <f>+'1.Informe Seguimiento POA 2022'!E91</f>
        <v>0.1</v>
      </c>
      <c r="J87" s="702">
        <f>+'1.Informe Seguimiento POA 2022'!F91</f>
        <v>4</v>
      </c>
      <c r="K87" s="703" t="str">
        <f>+'1.Informe Seguimiento POA 2022'!I91</f>
        <v>Evaluación y Seguimiento</v>
      </c>
      <c r="L87" s="704" t="str">
        <f>+'1.Informe Seguimiento POA 2022'!J91</f>
        <v>Oficina de Control Interno</v>
      </c>
      <c r="M87" s="724">
        <f>+'1.Informe Seguimiento POA 2022'!K91</f>
        <v>1</v>
      </c>
      <c r="N87" s="724">
        <f>+'1.Informe Seguimiento POA 2022'!L91</f>
        <v>1</v>
      </c>
      <c r="O87" s="724">
        <f>+'1.Informe Seguimiento POA 2022'!M91</f>
        <v>1</v>
      </c>
      <c r="P87" s="724">
        <f>+'1.Informe Seguimiento POA 2022'!N91</f>
        <v>1</v>
      </c>
      <c r="Q87" s="1075">
        <v>0</v>
      </c>
      <c r="R87" s="1075">
        <v>0</v>
      </c>
      <c r="S87" s="1075">
        <v>0</v>
      </c>
      <c r="T87" s="1075">
        <v>0</v>
      </c>
      <c r="U87" s="1075">
        <v>0</v>
      </c>
      <c r="V87" s="1075">
        <v>0</v>
      </c>
      <c r="W87" s="1075">
        <v>1</v>
      </c>
      <c r="X87" s="1075">
        <v>1</v>
      </c>
      <c r="Y87" s="706">
        <v>1</v>
      </c>
      <c r="Z87" s="706">
        <v>1</v>
      </c>
      <c r="AA87" s="707">
        <v>1</v>
      </c>
      <c r="AB87" s="724">
        <f>+'1.Informe Seguimiento POA 2022'!O91</f>
        <v>0</v>
      </c>
      <c r="AC87" s="724">
        <f>+'1.Informe Seguimiento POA 2022'!P91</f>
        <v>0</v>
      </c>
      <c r="AD87" s="724">
        <f>+'1.Informe Seguimiento POA 2022'!Q91</f>
        <v>0</v>
      </c>
      <c r="AE87" s="724">
        <f>+'1.Informe Seguimiento POA 2022'!R91</f>
        <v>0</v>
      </c>
      <c r="AF87" s="724">
        <f>+'1.Informe Seguimiento POA 2022'!S91</f>
        <v>0</v>
      </c>
      <c r="AG87" s="724">
        <f>+'1.Informe Seguimiento POA 2022'!T91</f>
        <v>0</v>
      </c>
      <c r="AH87" s="724">
        <f>+'1.Informe Seguimiento POA 2022'!U91</f>
        <v>1</v>
      </c>
      <c r="AI87" s="724">
        <f>+'1.Informe Seguimiento POA 2022'!V91</f>
        <v>0</v>
      </c>
      <c r="AJ87" s="706">
        <f>+'1.Informe Seguimiento POA 2022'!W91</f>
        <v>1</v>
      </c>
      <c r="AK87" s="706">
        <f>+'1.Informe Seguimiento POA 2022'!X91</f>
        <v>0</v>
      </c>
      <c r="AL87" s="707">
        <f>+'1.Informe Seguimiento POA 2022'!Y91</f>
        <v>0</v>
      </c>
      <c r="AM87" s="1308"/>
      <c r="AN87" s="707"/>
      <c r="AO87" s="707"/>
      <c r="AP87" s="707"/>
      <c r="AQ87" s="707"/>
      <c r="AR87" s="707"/>
      <c r="AS87" s="707"/>
      <c r="AT87" s="707"/>
      <c r="AU87" s="707"/>
      <c r="AV87" s="706">
        <f t="shared" si="19"/>
        <v>1</v>
      </c>
      <c r="AW87" s="706"/>
      <c r="AX87" s="707"/>
      <c r="AY87" s="707"/>
      <c r="AZ87" s="707"/>
      <c r="BA87" s="707"/>
      <c r="BB87" s="707"/>
      <c r="BC87" s="707"/>
      <c r="BD87" s="707"/>
      <c r="BE87" s="707"/>
      <c r="BF87" s="707"/>
      <c r="BG87" s="706">
        <f t="shared" si="20"/>
        <v>1</v>
      </c>
      <c r="BH87" s="706"/>
      <c r="BI87" s="707"/>
      <c r="BJ87" s="787">
        <f t="shared" si="23"/>
        <v>1</v>
      </c>
      <c r="BK87" s="787">
        <f t="shared" si="23"/>
        <v>1</v>
      </c>
      <c r="BL87" s="802">
        <f t="shared" si="10"/>
        <v>1</v>
      </c>
      <c r="BM87" s="722">
        <f t="shared" si="24"/>
        <v>0.25</v>
      </c>
      <c r="BN87" s="1119">
        <f t="shared" si="25"/>
        <v>2.5000000000000001E-2</v>
      </c>
      <c r="BO87" s="1390"/>
      <c r="BP87" s="1249"/>
      <c r="BQ87" s="812"/>
      <c r="BR87" s="812"/>
    </row>
    <row r="88" spans="2:70" ht="61.5" customHeight="1">
      <c r="B88" s="1251"/>
      <c r="C88" s="1330"/>
      <c r="D88" s="1337"/>
      <c r="E88" s="1337"/>
      <c r="F88" s="1357"/>
      <c r="G88" s="1357"/>
      <c r="H88" s="701" t="str">
        <f>+'1.Informe Seguimiento POA 2022'!D92</f>
        <v>4.5.6 Realizar 4 jornadas de sensibilización a Directivos y Referentes de proceso sobre la Séptima Dimensión.</v>
      </c>
      <c r="I88" s="152">
        <f>+'1.Informe Seguimiento POA 2022'!E92</f>
        <v>0.1</v>
      </c>
      <c r="J88" s="702">
        <f>+'1.Informe Seguimiento POA 2022'!F92</f>
        <v>4</v>
      </c>
      <c r="K88" s="703" t="str">
        <f>+'1.Informe Seguimiento POA 2022'!I92</f>
        <v>Evaluación y Seguimiento</v>
      </c>
      <c r="L88" s="704" t="str">
        <f>+'1.Informe Seguimiento POA 2022'!J92</f>
        <v>Oficina de Control Interno</v>
      </c>
      <c r="M88" s="724">
        <f>+'1.Informe Seguimiento POA 2022'!K92</f>
        <v>1</v>
      </c>
      <c r="N88" s="724">
        <f>+'1.Informe Seguimiento POA 2022'!L92</f>
        <v>1</v>
      </c>
      <c r="O88" s="724">
        <f>+'1.Informe Seguimiento POA 2022'!M92</f>
        <v>1</v>
      </c>
      <c r="P88" s="724">
        <f>+'1.Informe Seguimiento POA 2022'!N92</f>
        <v>1</v>
      </c>
      <c r="Q88" s="1075">
        <v>0</v>
      </c>
      <c r="R88" s="1075">
        <v>0</v>
      </c>
      <c r="S88" s="1075">
        <v>0</v>
      </c>
      <c r="T88" s="1075">
        <v>0</v>
      </c>
      <c r="U88" s="1075">
        <v>0</v>
      </c>
      <c r="V88" s="1075">
        <v>0</v>
      </c>
      <c r="W88" s="1075">
        <v>1</v>
      </c>
      <c r="X88" s="1075">
        <v>1</v>
      </c>
      <c r="Y88" s="706">
        <v>1</v>
      </c>
      <c r="Z88" s="706">
        <v>1</v>
      </c>
      <c r="AA88" s="707">
        <v>1</v>
      </c>
      <c r="AB88" s="724">
        <f>+'1.Informe Seguimiento POA 2022'!O92</f>
        <v>0</v>
      </c>
      <c r="AC88" s="724">
        <f>+'1.Informe Seguimiento POA 2022'!P92</f>
        <v>0</v>
      </c>
      <c r="AD88" s="724">
        <f>+'1.Informe Seguimiento POA 2022'!Q92</f>
        <v>1</v>
      </c>
      <c r="AE88" s="724">
        <f>+'1.Informe Seguimiento POA 2022'!R92</f>
        <v>1</v>
      </c>
      <c r="AF88" s="724">
        <f>+'1.Informe Seguimiento POA 2022'!S92</f>
        <v>0</v>
      </c>
      <c r="AG88" s="724">
        <f>+'1.Informe Seguimiento POA 2022'!T92</f>
        <v>0</v>
      </c>
      <c r="AH88" s="724">
        <f>+'1.Informe Seguimiento POA 2022'!U92</f>
        <v>0</v>
      </c>
      <c r="AI88" s="724">
        <f>+'1.Informe Seguimiento POA 2022'!V92</f>
        <v>0</v>
      </c>
      <c r="AJ88" s="706">
        <f>+'1.Informe Seguimiento POA 2022'!W92</f>
        <v>1</v>
      </c>
      <c r="AK88" s="706">
        <f>+'1.Informe Seguimiento POA 2022'!X92</f>
        <v>1</v>
      </c>
      <c r="AL88" s="707">
        <f>+'1.Informe Seguimiento POA 2022'!Y92</f>
        <v>1</v>
      </c>
      <c r="AM88" s="1307"/>
      <c r="AN88" s="707"/>
      <c r="AO88" s="707"/>
      <c r="AP88" s="707"/>
      <c r="AQ88" s="707"/>
      <c r="AR88" s="707"/>
      <c r="AS88" s="707"/>
      <c r="AT88" s="707"/>
      <c r="AU88" s="707"/>
      <c r="AV88" s="706">
        <f t="shared" si="19"/>
        <v>1</v>
      </c>
      <c r="AW88" s="706"/>
      <c r="AX88" s="707"/>
      <c r="AY88" s="707"/>
      <c r="AZ88" s="707"/>
      <c r="BA88" s="707"/>
      <c r="BB88" s="707"/>
      <c r="BC88" s="707"/>
      <c r="BD88" s="707"/>
      <c r="BE88" s="707"/>
      <c r="BF88" s="707"/>
      <c r="BG88" s="706">
        <f t="shared" si="20"/>
        <v>1</v>
      </c>
      <c r="BH88" s="706"/>
      <c r="BI88" s="707"/>
      <c r="BJ88" s="787">
        <f t="shared" si="23"/>
        <v>2</v>
      </c>
      <c r="BK88" s="787">
        <f t="shared" si="23"/>
        <v>2</v>
      </c>
      <c r="BL88" s="802">
        <f t="shared" si="10"/>
        <v>1</v>
      </c>
      <c r="BM88" s="722">
        <f t="shared" si="24"/>
        <v>0.5</v>
      </c>
      <c r="BN88" s="1119">
        <f t="shared" si="25"/>
        <v>0.05</v>
      </c>
      <c r="BO88" s="1391"/>
      <c r="BP88" s="1249"/>
      <c r="BQ88" s="812"/>
      <c r="BR88" s="812"/>
    </row>
    <row r="89" spans="2:70" ht="60" customHeight="1">
      <c r="B89" s="1251"/>
      <c r="C89" s="1285" t="str">
        <f>+'Matriz PEI 2021-2024'!C25</f>
        <v>4.6. Desarrollar el 100% de las estrategias de comunicación organizacional y de medios que contribuyan al logro de los objetivos institucionales y al posicionamiento de la Entidad.</v>
      </c>
      <c r="D89" s="1287">
        <f>+'Matriz PEI 2021-2024'!E25</f>
        <v>1</v>
      </c>
      <c r="E89" s="1287">
        <f>+'Matriz PEI 2021-2024'!D25</f>
        <v>0.14000000000000001</v>
      </c>
      <c r="F89" s="1285" t="s">
        <v>959</v>
      </c>
      <c r="G89" s="1285" t="s">
        <v>960</v>
      </c>
      <c r="H89" s="728" t="str">
        <f>+'1.Informe Seguimiento POA 2022'!D93</f>
        <v>4.6.1  Desarrollar el 100% de los productos para comunicación y divulgación externa que promuevan y difundan la gestión institucional</v>
      </c>
      <c r="I89" s="700">
        <f>+'1.Informe Seguimiento POA 2022'!E93</f>
        <v>0.5</v>
      </c>
      <c r="J89" s="773">
        <f>+'1.Informe Seguimiento POA 2022'!F93</f>
        <v>1</v>
      </c>
      <c r="K89" s="778" t="str">
        <f>+'1.Informe Seguimiento POA 2022'!I93</f>
        <v>Comunicación Estratégica</v>
      </c>
      <c r="L89" s="778" t="str">
        <f>+'1.Informe Seguimiento POA 2022'!J93</f>
        <v>Oficina Asesora de Comunicaciones</v>
      </c>
      <c r="M89" s="716">
        <f>+'1.Informe Seguimiento POA 2022'!K93</f>
        <v>1</v>
      </c>
      <c r="N89" s="716">
        <f>+'1.Informe Seguimiento POA 2022'!L93</f>
        <v>1</v>
      </c>
      <c r="O89" s="716">
        <f>+'1.Informe Seguimiento POA 2022'!M93</f>
        <v>1</v>
      </c>
      <c r="P89" s="716">
        <f>+'1.Informe Seguimiento POA 2022'!N93</f>
        <v>1</v>
      </c>
      <c r="Q89" s="1074">
        <v>1</v>
      </c>
      <c r="R89" s="1074">
        <v>1</v>
      </c>
      <c r="S89" s="1074">
        <v>1</v>
      </c>
      <c r="T89" s="1074">
        <v>1</v>
      </c>
      <c r="U89" s="1074">
        <v>1</v>
      </c>
      <c r="V89" s="1074">
        <v>1</v>
      </c>
      <c r="W89" s="1074">
        <v>1</v>
      </c>
      <c r="X89" s="1074">
        <v>1</v>
      </c>
      <c r="Y89" s="699">
        <v>1</v>
      </c>
      <c r="Z89" s="699">
        <v>1</v>
      </c>
      <c r="AA89" s="699">
        <v>1</v>
      </c>
      <c r="AB89" s="780">
        <f>+'1.Informe Seguimiento POA 2022'!O93</f>
        <v>1</v>
      </c>
      <c r="AC89" s="780">
        <f>+'1.Informe Seguimiento POA 2022'!P93</f>
        <v>1</v>
      </c>
      <c r="AD89" s="780">
        <f>+'1.Informe Seguimiento POA 2022'!Q93</f>
        <v>1</v>
      </c>
      <c r="AE89" s="780">
        <f>+'1.Informe Seguimiento POA 2022'!R93</f>
        <v>1</v>
      </c>
      <c r="AF89" s="780">
        <f>+'1.Informe Seguimiento POA 2022'!S93</f>
        <v>1</v>
      </c>
      <c r="AG89" s="780">
        <f>+'1.Informe Seguimiento POA 2022'!T93</f>
        <v>1</v>
      </c>
      <c r="AH89" s="780">
        <f>+'1.Informe Seguimiento POA 2022'!U93</f>
        <v>1</v>
      </c>
      <c r="AI89" s="780">
        <f>+'1.Informe Seguimiento POA 2022'!V93</f>
        <v>0</v>
      </c>
      <c r="AJ89" s="699">
        <f>+'1.Informe Seguimiento POA 2022'!W93</f>
        <v>1</v>
      </c>
      <c r="AK89" s="699">
        <f>+'1.Informe Seguimiento POA 2022'!X93</f>
        <v>1</v>
      </c>
      <c r="AL89" s="699">
        <f>+'1.Informe Seguimiento POA 2022'!Y93</f>
        <v>0.75</v>
      </c>
      <c r="AM89" s="1395">
        <f>'1.Informe Seguimiento POA 2022'!AB93</f>
        <v>0.1875</v>
      </c>
      <c r="AN89" s="788"/>
      <c r="AO89" s="788"/>
      <c r="AP89" s="788"/>
      <c r="AQ89" s="788"/>
      <c r="AR89" s="788"/>
      <c r="AS89" s="788"/>
      <c r="AT89" s="788"/>
      <c r="AU89" s="788"/>
      <c r="AV89" s="773">
        <f t="shared" si="19"/>
        <v>1</v>
      </c>
      <c r="AW89" s="773"/>
      <c r="AX89" s="788"/>
      <c r="AY89" s="788"/>
      <c r="AZ89" s="788"/>
      <c r="BA89" s="788"/>
      <c r="BB89" s="788"/>
      <c r="BC89" s="788"/>
      <c r="BD89" s="788"/>
      <c r="BE89" s="788"/>
      <c r="BF89" s="788"/>
      <c r="BG89" s="773">
        <f t="shared" si="20"/>
        <v>1</v>
      </c>
      <c r="BH89" s="773"/>
      <c r="BI89" s="788"/>
      <c r="BJ89" s="698">
        <f>IFERROR(AVERAGE(Q89,S89,U89,W89,AB89,AD89),0)</f>
        <v>1</v>
      </c>
      <c r="BK89" s="698">
        <f>IFERROR(AVERAGE(R89,T89,V89,X89,AC89,AE89),0)</f>
        <v>1</v>
      </c>
      <c r="BL89" s="697">
        <f t="shared" si="10"/>
        <v>1</v>
      </c>
      <c r="BM89" s="697">
        <f t="shared" ref="BM89:BM90" si="26">(IF(AND(BK89&gt;0,$J89&gt;0),BK89/$J89,0)/4)*0.5</f>
        <v>0.125</v>
      </c>
      <c r="BN89" s="1114">
        <f t="shared" si="25"/>
        <v>6.25E-2</v>
      </c>
      <c r="BO89" s="1289">
        <f>SUM(BN89:BN90)</f>
        <v>0.125</v>
      </c>
      <c r="BP89" s="1249"/>
      <c r="BQ89" s="813"/>
      <c r="BR89" s="813"/>
    </row>
    <row r="90" spans="2:70" ht="69.75" customHeight="1">
      <c r="B90" s="1251"/>
      <c r="C90" s="1286"/>
      <c r="D90" s="1288"/>
      <c r="E90" s="1288"/>
      <c r="F90" s="1292"/>
      <c r="G90" s="1292"/>
      <c r="H90" s="728" t="str">
        <f>+'1.Informe Seguimiento POA 2022'!D94</f>
        <v>4.6.2 Desarrollar el 100% de los productos para comunicación y divulgación interna que contribuyan a la consecución de objetivos institucionales</v>
      </c>
      <c r="I90" s="727">
        <f>+'1.Informe Seguimiento POA 2022'!E94</f>
        <v>0.5</v>
      </c>
      <c r="J90" s="773">
        <f>+'1.Informe Seguimiento POA 2022'!F94</f>
        <v>1</v>
      </c>
      <c r="K90" s="778" t="str">
        <f>+'1.Informe Seguimiento POA 2022'!I94</f>
        <v>Comunicación Estratégica</v>
      </c>
      <c r="L90" s="778" t="str">
        <f>+'1.Informe Seguimiento POA 2022'!J94</f>
        <v>Oficina Asesora de Comunicaciones</v>
      </c>
      <c r="M90" s="716">
        <f>+'1.Informe Seguimiento POA 2022'!K94</f>
        <v>1</v>
      </c>
      <c r="N90" s="716">
        <f>+'1.Informe Seguimiento POA 2022'!L94</f>
        <v>1</v>
      </c>
      <c r="O90" s="716">
        <f>+'1.Informe Seguimiento POA 2022'!M94</f>
        <v>1</v>
      </c>
      <c r="P90" s="716">
        <f>+'1.Informe Seguimiento POA 2022'!N94</f>
        <v>1</v>
      </c>
      <c r="Q90" s="1074">
        <v>1</v>
      </c>
      <c r="R90" s="1074">
        <v>1</v>
      </c>
      <c r="S90" s="1074">
        <v>1</v>
      </c>
      <c r="T90" s="1074">
        <v>1</v>
      </c>
      <c r="U90" s="1074">
        <v>1</v>
      </c>
      <c r="V90" s="1074">
        <v>1</v>
      </c>
      <c r="W90" s="1074">
        <v>1</v>
      </c>
      <c r="X90" s="1074">
        <v>1</v>
      </c>
      <c r="Y90" s="699">
        <v>1</v>
      </c>
      <c r="Z90" s="699">
        <v>1</v>
      </c>
      <c r="AA90" s="699">
        <v>1</v>
      </c>
      <c r="AB90" s="780">
        <f>+'1.Informe Seguimiento POA 2022'!O94</f>
        <v>1</v>
      </c>
      <c r="AC90" s="780">
        <f>+'1.Informe Seguimiento POA 2022'!P94</f>
        <v>1</v>
      </c>
      <c r="AD90" s="780">
        <f>+'1.Informe Seguimiento POA 2022'!Q94</f>
        <v>1</v>
      </c>
      <c r="AE90" s="780">
        <f>+'1.Informe Seguimiento POA 2022'!R94</f>
        <v>1</v>
      </c>
      <c r="AF90" s="780">
        <f>+'1.Informe Seguimiento POA 2022'!S94</f>
        <v>1</v>
      </c>
      <c r="AG90" s="780">
        <f>+'1.Informe Seguimiento POA 2022'!T94</f>
        <v>1</v>
      </c>
      <c r="AH90" s="780">
        <f>+'1.Informe Seguimiento POA 2022'!U94</f>
        <v>1</v>
      </c>
      <c r="AI90" s="780">
        <f>+'1.Informe Seguimiento POA 2022'!V94</f>
        <v>0</v>
      </c>
      <c r="AJ90" s="699">
        <f>+'1.Informe Seguimiento POA 2022'!W94</f>
        <v>1</v>
      </c>
      <c r="AK90" s="699">
        <f>+'1.Informe Seguimiento POA 2022'!X94</f>
        <v>1</v>
      </c>
      <c r="AL90" s="699">
        <f>+'1.Informe Seguimiento POA 2022'!Y94</f>
        <v>0.75</v>
      </c>
      <c r="AM90" s="1397"/>
      <c r="AN90" s="788"/>
      <c r="AO90" s="788"/>
      <c r="AP90" s="788"/>
      <c r="AQ90" s="788"/>
      <c r="AR90" s="788"/>
      <c r="AS90" s="788"/>
      <c r="AT90" s="788"/>
      <c r="AU90" s="788"/>
      <c r="AV90" s="773">
        <f t="shared" si="19"/>
        <v>1</v>
      </c>
      <c r="AW90" s="773"/>
      <c r="AX90" s="788"/>
      <c r="AY90" s="788"/>
      <c r="AZ90" s="788"/>
      <c r="BA90" s="788"/>
      <c r="BB90" s="788"/>
      <c r="BC90" s="788"/>
      <c r="BD90" s="788"/>
      <c r="BE90" s="788"/>
      <c r="BF90" s="788"/>
      <c r="BG90" s="773">
        <f t="shared" si="20"/>
        <v>1</v>
      </c>
      <c r="BH90" s="773"/>
      <c r="BI90" s="788"/>
      <c r="BJ90" s="698">
        <f>IFERROR(AVERAGE(Q90,S90,U90,W90,AB90,AD90),0)</f>
        <v>1</v>
      </c>
      <c r="BK90" s="698">
        <f>IFERROR(AVERAGE(R90,T90,V90,X90,AC90,AE90),0)</f>
        <v>1</v>
      </c>
      <c r="BL90" s="697">
        <f t="shared" si="10"/>
        <v>1</v>
      </c>
      <c r="BM90" s="697">
        <f t="shared" si="26"/>
        <v>0.125</v>
      </c>
      <c r="BN90" s="1114">
        <f t="shared" si="25"/>
        <v>6.25E-2</v>
      </c>
      <c r="BO90" s="1290"/>
      <c r="BP90" s="1249"/>
      <c r="BQ90" s="814"/>
      <c r="BR90" s="814"/>
    </row>
    <row r="91" spans="2:70" ht="114" customHeight="1">
      <c r="B91" s="1252"/>
      <c r="C91" s="729" t="str">
        <f>+'Matriz PEI 2021-2024'!C26</f>
        <v>4.7. Articular el 100% de las acciones de trabajo interinstitucional y cooperación nacional e internacional que permita aunar esfuerzos para el cumplimiento de la misión institucional.</v>
      </c>
      <c r="D91" s="730">
        <f>+'Matriz PEI 2021-2024'!E26</f>
        <v>1</v>
      </c>
      <c r="E91" s="730">
        <f>+'Matriz PEI 2021-2024'!D26</f>
        <v>0.14000000000000001</v>
      </c>
      <c r="F91" s="729" t="s">
        <v>961</v>
      </c>
      <c r="G91" s="729" t="s">
        <v>962</v>
      </c>
      <c r="H91" s="701" t="str">
        <f>+'1.Informe Seguimiento POA 2022'!D95</f>
        <v>4.7.1 Gestionar 3 acuerdos interinstitucionales o de cooperación nacional y/o internacional para garantizar el enfoque social, en el marco de un estado pluralista, para el fortalecimiento de la prestación del servicio al usuario</v>
      </c>
      <c r="I91" s="152">
        <f>+'1.Informe Seguimiento POA 2022'!E95</f>
        <v>1</v>
      </c>
      <c r="J91" s="702">
        <f>+'1.Informe Seguimiento POA 2022'!F95</f>
        <v>3</v>
      </c>
      <c r="K91" s="703" t="str">
        <f>+'1.Informe Seguimiento POA 2022'!I95</f>
        <v>Servicio al Usuario</v>
      </c>
      <c r="L91" s="704" t="str">
        <f>+'1.Informe Seguimiento POA 2022'!J95</f>
        <v>Secretaría General</v>
      </c>
      <c r="M91" s="724">
        <f>+'1.Informe Seguimiento POA 2022'!K95</f>
        <v>1</v>
      </c>
      <c r="N91" s="724">
        <f>+'1.Informe Seguimiento POA 2022'!L95</f>
        <v>1</v>
      </c>
      <c r="O91" s="724">
        <f>+'1.Informe Seguimiento POA 2022'!M95</f>
        <v>1</v>
      </c>
      <c r="P91" s="724">
        <f>+'1.Informe Seguimiento POA 2022'!N95</f>
        <v>0</v>
      </c>
      <c r="Q91" s="1075">
        <v>0</v>
      </c>
      <c r="R91" s="1075">
        <v>0</v>
      </c>
      <c r="S91" s="1075">
        <v>0</v>
      </c>
      <c r="T91" s="1075">
        <v>0</v>
      </c>
      <c r="U91" s="1075">
        <v>0</v>
      </c>
      <c r="V91" s="1075">
        <v>0</v>
      </c>
      <c r="W91" s="1075">
        <v>1</v>
      </c>
      <c r="X91" s="1075">
        <v>2</v>
      </c>
      <c r="Y91" s="706">
        <v>1</v>
      </c>
      <c r="Z91" s="706">
        <v>2</v>
      </c>
      <c r="AA91" s="707">
        <v>2</v>
      </c>
      <c r="AB91" s="724">
        <f>+'1.Informe Seguimiento POA 2022'!O95</f>
        <v>0</v>
      </c>
      <c r="AC91" s="724">
        <f>+'1.Informe Seguimiento POA 2022'!P95</f>
        <v>0</v>
      </c>
      <c r="AD91" s="724">
        <f>+'1.Informe Seguimiento POA 2022'!Q95</f>
        <v>0</v>
      </c>
      <c r="AE91" s="724">
        <f>+'1.Informe Seguimiento POA 2022'!R95</f>
        <v>0</v>
      </c>
      <c r="AF91" s="724">
        <f>+'1.Informe Seguimiento POA 2022'!S95</f>
        <v>0</v>
      </c>
      <c r="AG91" s="724">
        <f>+'1.Informe Seguimiento POA 2022'!T95</f>
        <v>0</v>
      </c>
      <c r="AH91" s="724">
        <f>+'1.Informe Seguimiento POA 2022'!U95</f>
        <v>1</v>
      </c>
      <c r="AI91" s="724">
        <f>+'1.Informe Seguimiento POA 2022'!V95</f>
        <v>0</v>
      </c>
      <c r="AJ91" s="706">
        <f>+'1.Informe Seguimiento POA 2022'!W95</f>
        <v>1</v>
      </c>
      <c r="AK91" s="706">
        <f>+'1.Informe Seguimiento POA 2022'!X95</f>
        <v>0</v>
      </c>
      <c r="AL91" s="707">
        <f>+'1.Informe Seguimiento POA 2022'!Y95</f>
        <v>0</v>
      </c>
      <c r="AM91" s="707">
        <f>'1.Informe Seguimiento POA 2022'!AB95</f>
        <v>0</v>
      </c>
      <c r="AN91" s="707"/>
      <c r="AO91" s="707"/>
      <c r="AP91" s="707"/>
      <c r="AQ91" s="707"/>
      <c r="AR91" s="707"/>
      <c r="AS91" s="707"/>
      <c r="AT91" s="707"/>
      <c r="AU91" s="707"/>
      <c r="AV91" s="706">
        <f t="shared" si="19"/>
        <v>1</v>
      </c>
      <c r="AW91" s="706"/>
      <c r="AX91" s="707"/>
      <c r="AY91" s="707"/>
      <c r="AZ91" s="707"/>
      <c r="BA91" s="707"/>
      <c r="BB91" s="707"/>
      <c r="BC91" s="707"/>
      <c r="BD91" s="707"/>
      <c r="BE91" s="707"/>
      <c r="BF91" s="707"/>
      <c r="BG91" s="706">
        <f t="shared" si="20"/>
        <v>0</v>
      </c>
      <c r="BH91" s="706"/>
      <c r="BI91" s="707"/>
      <c r="BJ91" s="787">
        <f t="shared" ref="BJ91:BK95" si="27">Q91+S91+U91+W91+AB91+AD91</f>
        <v>1</v>
      </c>
      <c r="BK91" s="787">
        <f t="shared" si="27"/>
        <v>2</v>
      </c>
      <c r="BL91" s="802">
        <f t="shared" si="10"/>
        <v>2</v>
      </c>
      <c r="BM91" s="707">
        <f>IF(AND(BK91&gt;0,$J91&gt;0),BK91/$J91,0)</f>
        <v>0.66666666666666663</v>
      </c>
      <c r="BN91" s="1119">
        <f t="shared" si="25"/>
        <v>0.66666666666666663</v>
      </c>
      <c r="BO91" s="806">
        <f>+BN91</f>
        <v>0.66666666666666663</v>
      </c>
      <c r="BP91" s="1250"/>
      <c r="BQ91" s="813"/>
      <c r="BR91" s="813"/>
    </row>
    <row r="92" spans="2:70" ht="93.75" customHeight="1">
      <c r="B92" s="1225" t="str">
        <f>+'Matriz PEI 2021-2024'!B27</f>
        <v xml:space="preserve">5. Incorporar una cultura del conocimiento y la innovación a través de actividades que permitan el desarrollo de ideas, lecciones aprendidas e investigaciones para mejorar los resultados de la gestión institucional. </v>
      </c>
      <c r="C92" s="1301" t="str">
        <f>+'Matriz PEI 2021-2024'!C27</f>
        <v>5.1 Generar el 100% de productos de nuevo conocimiento o transformar los existentes, alineados con proyectos resultados de la investigación, desarrollo e innovación (I+D+I) en la Entidad.</v>
      </c>
      <c r="D92" s="1297">
        <f>+'Matriz PEI 2021-2024'!E27</f>
        <v>1</v>
      </c>
      <c r="E92" s="1297">
        <f>+'Matriz PEI 2021-2024'!D27</f>
        <v>0.4</v>
      </c>
      <c r="F92" s="1299" t="s">
        <v>989</v>
      </c>
      <c r="G92" s="1301" t="s">
        <v>963</v>
      </c>
      <c r="H92" s="728" t="str">
        <f>+'1.Informe Seguimiento POA 2022'!D96</f>
        <v xml:space="preserve">5.1.1 Elaborar cuatro (4) proyectos de investigación, desarrollo e innovación I+D+I para la Entidad </v>
      </c>
      <c r="I92" s="727">
        <f>+'1.Informe Seguimiento POA 2022'!E96</f>
        <v>0.5</v>
      </c>
      <c r="J92" s="694">
        <f>+'1.Informe Seguimiento POA 2022'!F96</f>
        <v>4</v>
      </c>
      <c r="K92" s="778" t="str">
        <f>+'1.Informe Seguimiento POA 2022'!I96</f>
        <v xml:space="preserve">Gestión del Conocimiento e Innovación </v>
      </c>
      <c r="L92" s="778" t="str">
        <f>+'1.Informe Seguimiento POA 2022'!J96</f>
        <v xml:space="preserve">Dirección de Gestión del Conocimiento e Innovación </v>
      </c>
      <c r="M92" s="717">
        <f>+'1.Informe Seguimiento POA 2022'!K96</f>
        <v>1</v>
      </c>
      <c r="N92" s="717">
        <f>+'1.Informe Seguimiento POA 2022'!L96</f>
        <v>1</v>
      </c>
      <c r="O92" s="717">
        <f>+'1.Informe Seguimiento POA 2022'!M96</f>
        <v>1</v>
      </c>
      <c r="P92" s="717">
        <f>+'1.Informe Seguimiento POA 2022'!N96</f>
        <v>1</v>
      </c>
      <c r="Q92" s="880">
        <v>0</v>
      </c>
      <c r="R92" s="880">
        <v>0</v>
      </c>
      <c r="S92" s="880">
        <v>0</v>
      </c>
      <c r="T92" s="880">
        <v>0</v>
      </c>
      <c r="U92" s="880">
        <v>0</v>
      </c>
      <c r="V92" s="880">
        <v>0</v>
      </c>
      <c r="W92" s="880">
        <v>1</v>
      </c>
      <c r="X92" s="880">
        <v>1</v>
      </c>
      <c r="Y92" s="1076">
        <v>1</v>
      </c>
      <c r="Z92" s="1076">
        <v>1</v>
      </c>
      <c r="AA92" s="726">
        <v>1</v>
      </c>
      <c r="AB92" s="695">
        <f>+'1.Informe Seguimiento POA 2022'!O96</f>
        <v>0</v>
      </c>
      <c r="AC92" s="695">
        <f>+'1.Informe Seguimiento POA 2022'!P96</f>
        <v>0</v>
      </c>
      <c r="AD92" s="695">
        <f>+'1.Informe Seguimiento POA 2022'!Q96</f>
        <v>0</v>
      </c>
      <c r="AE92" s="695">
        <f>+'1.Informe Seguimiento POA 2022'!R96</f>
        <v>0</v>
      </c>
      <c r="AF92" s="695">
        <f>+'1.Informe Seguimiento POA 2022'!S96</f>
        <v>0</v>
      </c>
      <c r="AG92" s="695">
        <f>+'1.Informe Seguimiento POA 2022'!T96</f>
        <v>0</v>
      </c>
      <c r="AH92" s="695">
        <f>+'1.Informe Seguimiento POA 2022'!U96</f>
        <v>1</v>
      </c>
      <c r="AI92" s="695">
        <f>+'1.Informe Seguimiento POA 2022'!V96</f>
        <v>0</v>
      </c>
      <c r="AJ92" s="717">
        <f>+'1.Informe Seguimiento POA 2022'!W96</f>
        <v>1</v>
      </c>
      <c r="AK92" s="717">
        <f>+'1.Informe Seguimiento POA 2022'!X96</f>
        <v>0</v>
      </c>
      <c r="AL92" s="726">
        <f>+'1.Informe Seguimiento POA 2022'!Y96</f>
        <v>0</v>
      </c>
      <c r="AM92" s="1143">
        <f>'1.Informe Seguimiento POA 2022'!AB96</f>
        <v>0</v>
      </c>
      <c r="AN92" s="788"/>
      <c r="AO92" s="788"/>
      <c r="AP92" s="788"/>
      <c r="AQ92" s="788"/>
      <c r="AR92" s="788"/>
      <c r="AS92" s="788"/>
      <c r="AT92" s="788"/>
      <c r="AU92" s="788"/>
      <c r="AV92" s="717">
        <f t="shared" si="19"/>
        <v>1</v>
      </c>
      <c r="AW92" s="717"/>
      <c r="AX92" s="788"/>
      <c r="AY92" s="788"/>
      <c r="AZ92" s="788"/>
      <c r="BA92" s="788"/>
      <c r="BB92" s="788"/>
      <c r="BC92" s="788"/>
      <c r="BD92" s="788"/>
      <c r="BE92" s="788"/>
      <c r="BF92" s="788"/>
      <c r="BG92" s="717">
        <f t="shared" si="20"/>
        <v>1</v>
      </c>
      <c r="BH92" s="717"/>
      <c r="BI92" s="788"/>
      <c r="BJ92" s="791">
        <f t="shared" si="27"/>
        <v>1</v>
      </c>
      <c r="BK92" s="791">
        <f t="shared" si="27"/>
        <v>1</v>
      </c>
      <c r="BL92" s="697">
        <f t="shared" si="10"/>
        <v>1</v>
      </c>
      <c r="BM92" s="697">
        <f>(IF(AND(BK92&gt;0,$J92&gt;0),BK92/$J92,0))</f>
        <v>0.25</v>
      </c>
      <c r="BN92" s="732">
        <f t="shared" si="25"/>
        <v>0.125</v>
      </c>
      <c r="BO92" s="1234">
        <f>+BN92+BN93</f>
        <v>0.125</v>
      </c>
      <c r="BP92" s="1234">
        <f>(IF(AND(BO92&gt;0,E92&gt;0),BO92*E92))+(IF(AND(BO94&gt;0,E94&gt;0),BO94*E94))+(IF(AND(BO95&gt;0,E95&gt;0),BO95*E95))</f>
        <v>0.25249999999999995</v>
      </c>
      <c r="BQ92" s="815"/>
      <c r="BR92" s="815"/>
    </row>
    <row r="93" spans="2:70" ht="93.75" customHeight="1">
      <c r="B93" s="1226"/>
      <c r="C93" s="1302"/>
      <c r="D93" s="1298"/>
      <c r="E93" s="1298"/>
      <c r="F93" s="1300"/>
      <c r="G93" s="1302"/>
      <c r="H93" s="1141" t="str">
        <f>+'1.Informe Seguimiento POA 2022'!D97</f>
        <v>5.1.2. Entregar dos (2) productos resultado de los proyectos de investigación, desarrollo e innovación (I+D+I) realizados en la Entidad para la comunidad</v>
      </c>
      <c r="I93" s="1140">
        <f>+'1.Informe Seguimiento POA 2022'!E97</f>
        <v>0.5</v>
      </c>
      <c r="J93" s="694">
        <f>+'1.Informe Seguimiento POA 2022'!F97</f>
        <v>2</v>
      </c>
      <c r="K93" s="778" t="str">
        <f>+'1.Informe Seguimiento POA 2022'!I97</f>
        <v xml:space="preserve">Gestión del Conocimiento e Innovación </v>
      </c>
      <c r="L93" s="778" t="str">
        <f>+'1.Informe Seguimiento POA 2022'!J97</f>
        <v xml:space="preserve">Dirección de Gestión del Conocimiento e Innovación </v>
      </c>
      <c r="M93" s="717">
        <f>+'1.Informe Seguimiento POA 2022'!K97</f>
        <v>0</v>
      </c>
      <c r="N93" s="717">
        <f>+'1.Informe Seguimiento POA 2022'!L97</f>
        <v>1</v>
      </c>
      <c r="O93" s="717">
        <f>+'1.Informe Seguimiento POA 2022'!M97</f>
        <v>1</v>
      </c>
      <c r="P93" s="717">
        <f>+'1.Informe Seguimiento POA 2022'!N97</f>
        <v>0</v>
      </c>
      <c r="Q93" s="880">
        <v>0</v>
      </c>
      <c r="R93" s="880">
        <v>0</v>
      </c>
      <c r="S93" s="880">
        <v>0</v>
      </c>
      <c r="T93" s="880">
        <v>0</v>
      </c>
      <c r="U93" s="880">
        <v>0</v>
      </c>
      <c r="V93" s="880">
        <v>0</v>
      </c>
      <c r="W93" s="880">
        <v>0</v>
      </c>
      <c r="X93" s="880">
        <v>0</v>
      </c>
      <c r="Y93" s="1076">
        <v>0</v>
      </c>
      <c r="Z93" s="1076">
        <v>0</v>
      </c>
      <c r="AA93" s="726">
        <v>0</v>
      </c>
      <c r="AB93" s="695">
        <f>+'1.Informe Seguimiento POA 2022'!O97</f>
        <v>0</v>
      </c>
      <c r="AC93" s="695">
        <f>+'1.Informe Seguimiento POA 2022'!P97</f>
        <v>0</v>
      </c>
      <c r="AD93" s="695">
        <f>+'1.Informe Seguimiento POA 2022'!Q97</f>
        <v>0</v>
      </c>
      <c r="AE93" s="695">
        <f>+'1.Informe Seguimiento POA 2022'!R97</f>
        <v>0</v>
      </c>
      <c r="AF93" s="695">
        <f>+'1.Informe Seguimiento POA 2022'!S97</f>
        <v>0</v>
      </c>
      <c r="AG93" s="695">
        <f>+'1.Informe Seguimiento POA 2022'!T97</f>
        <v>0</v>
      </c>
      <c r="AH93" s="695">
        <f>+'1.Informe Seguimiento POA 2022'!U97</f>
        <v>1</v>
      </c>
      <c r="AI93" s="695">
        <f>+'1.Informe Seguimiento POA 2022'!V97</f>
        <v>0</v>
      </c>
      <c r="AJ93" s="717">
        <f>+'1.Informe Seguimiento POA 2022'!W97</f>
        <v>1</v>
      </c>
      <c r="AK93" s="717">
        <f>+'1.Informe Seguimiento POA 2022'!X97</f>
        <v>0</v>
      </c>
      <c r="AL93" s="726">
        <f>+'1.Informe Seguimiento POA 2022'!Y97</f>
        <v>0</v>
      </c>
      <c r="AM93" s="1143">
        <f>'1.Informe Seguimiento POA 2022'!AB97</f>
        <v>0</v>
      </c>
      <c r="AN93" s="788"/>
      <c r="AO93" s="788"/>
      <c r="AP93" s="788"/>
      <c r="AQ93" s="788"/>
      <c r="AR93" s="788"/>
      <c r="AS93" s="788"/>
      <c r="AT93" s="788"/>
      <c r="AU93" s="788"/>
      <c r="AV93" s="717">
        <f t="shared" si="19"/>
        <v>1</v>
      </c>
      <c r="AW93" s="717"/>
      <c r="AX93" s="788"/>
      <c r="AY93" s="788"/>
      <c r="AZ93" s="788"/>
      <c r="BA93" s="788"/>
      <c r="BB93" s="788"/>
      <c r="BC93" s="788"/>
      <c r="BD93" s="788"/>
      <c r="BE93" s="788"/>
      <c r="BF93" s="788"/>
      <c r="BG93" s="717">
        <f t="shared" si="20"/>
        <v>0</v>
      </c>
      <c r="BH93" s="717"/>
      <c r="BI93" s="788"/>
      <c r="BJ93" s="791">
        <f t="shared" si="27"/>
        <v>0</v>
      </c>
      <c r="BK93" s="791">
        <f t="shared" si="27"/>
        <v>0</v>
      </c>
      <c r="BL93" s="697" t="str">
        <f t="shared" si="10"/>
        <v>No programado</v>
      </c>
      <c r="BM93" s="697">
        <f>(IF(AND(BK93&gt;0,$J93&gt;0),BK93/$J93,0))</f>
        <v>0</v>
      </c>
      <c r="BN93" s="732">
        <f t="shared" si="25"/>
        <v>0</v>
      </c>
      <c r="BO93" s="1275"/>
      <c r="BP93" s="1235"/>
      <c r="BQ93" s="815"/>
      <c r="BR93" s="815"/>
    </row>
    <row r="94" spans="2:70" ht="102" customHeight="1">
      <c r="B94" s="1226"/>
      <c r="C94" s="733" t="str">
        <f>+'Matriz PEI 2021-2024'!C28</f>
        <v>5.2 Formular el 100% de herramientas y acciones que permitan categorizar, preservar y utilizar el conocimiento para la toma de decisiones y compartir fácilmente los datos y la información de la Entidad.</v>
      </c>
      <c r="D94" s="731">
        <f>+'Matriz PEI 2021-2024'!E28</f>
        <v>1</v>
      </c>
      <c r="E94" s="731">
        <f>+'Matriz PEI 2021-2024'!D28</f>
        <v>0.3</v>
      </c>
      <c r="F94" s="774" t="s">
        <v>964</v>
      </c>
      <c r="G94" s="733" t="s">
        <v>965</v>
      </c>
      <c r="H94" s="728" t="str">
        <f>+'1.Informe Seguimiento POA 2022'!D98</f>
        <v xml:space="preserve">5.2.1 Construir ocho (8) informes de investigación e innovación que reflejen la analítica institucional </v>
      </c>
      <c r="I94" s="727">
        <f>+'1.Informe Seguimiento POA 2022'!E98</f>
        <v>1</v>
      </c>
      <c r="J94" s="694">
        <f>+'1.Informe Seguimiento POA 2022'!F98</f>
        <v>8</v>
      </c>
      <c r="K94" s="778" t="str">
        <f>+'1.Informe Seguimiento POA 2022'!I98</f>
        <v xml:space="preserve">Gestión del Conocimiento e Innovación </v>
      </c>
      <c r="L94" s="778" t="str">
        <f>+'1.Informe Seguimiento POA 2022'!J98</f>
        <v xml:space="preserve">Dirección de Gestión del Conocimiento e Innovación </v>
      </c>
      <c r="M94" s="717">
        <f>+'1.Informe Seguimiento POA 2022'!K98</f>
        <v>2</v>
      </c>
      <c r="N94" s="717">
        <f>+'1.Informe Seguimiento POA 2022'!L98</f>
        <v>2</v>
      </c>
      <c r="O94" s="717">
        <f>+'1.Informe Seguimiento POA 2022'!M98</f>
        <v>3</v>
      </c>
      <c r="P94" s="717">
        <f>+'1.Informe Seguimiento POA 2022'!N98</f>
        <v>1</v>
      </c>
      <c r="Q94" s="880">
        <v>0</v>
      </c>
      <c r="R94" s="880">
        <v>0</v>
      </c>
      <c r="S94" s="880">
        <v>1</v>
      </c>
      <c r="T94" s="880">
        <v>1</v>
      </c>
      <c r="U94" s="880">
        <v>0</v>
      </c>
      <c r="V94" s="880">
        <v>0</v>
      </c>
      <c r="W94" s="880">
        <v>1</v>
      </c>
      <c r="X94" s="880">
        <v>1</v>
      </c>
      <c r="Y94" s="1076">
        <v>2</v>
      </c>
      <c r="Z94" s="1076">
        <v>2</v>
      </c>
      <c r="AA94" s="726">
        <v>1</v>
      </c>
      <c r="AB94" s="695">
        <f>+'1.Informe Seguimiento POA 2022'!O98</f>
        <v>0</v>
      </c>
      <c r="AC94" s="695">
        <f>+'1.Informe Seguimiento POA 2022'!P98</f>
        <v>0</v>
      </c>
      <c r="AD94" s="695">
        <f>+'1.Informe Seguimiento POA 2022'!Q98</f>
        <v>1</v>
      </c>
      <c r="AE94" s="695">
        <f>+'1.Informe Seguimiento POA 2022'!R98</f>
        <v>1</v>
      </c>
      <c r="AF94" s="695">
        <f>+'1.Informe Seguimiento POA 2022'!S98</f>
        <v>0</v>
      </c>
      <c r="AG94" s="695">
        <f>+'1.Informe Seguimiento POA 2022'!T98</f>
        <v>0</v>
      </c>
      <c r="AH94" s="695">
        <f>+'1.Informe Seguimiento POA 2022'!U98</f>
        <v>1</v>
      </c>
      <c r="AI94" s="695">
        <f>+'1.Informe Seguimiento POA 2022'!V98</f>
        <v>0</v>
      </c>
      <c r="AJ94" s="717">
        <f>+'1.Informe Seguimiento POA 2022'!W98</f>
        <v>2</v>
      </c>
      <c r="AK94" s="717">
        <f>+'1.Informe Seguimiento POA 2022'!X98</f>
        <v>1</v>
      </c>
      <c r="AL94" s="726">
        <f>+'1.Informe Seguimiento POA 2022'!Y98</f>
        <v>0.5</v>
      </c>
      <c r="AM94" s="1143">
        <f>'1.Informe Seguimiento POA 2022'!AB98</f>
        <v>0.125</v>
      </c>
      <c r="AN94" s="788"/>
      <c r="AO94" s="788"/>
      <c r="AP94" s="788"/>
      <c r="AQ94" s="788"/>
      <c r="AR94" s="788"/>
      <c r="AS94" s="788"/>
      <c r="AT94" s="788"/>
      <c r="AU94" s="788"/>
      <c r="AV94" s="717">
        <f t="shared" si="19"/>
        <v>3</v>
      </c>
      <c r="AW94" s="717"/>
      <c r="AX94" s="788"/>
      <c r="AY94" s="788"/>
      <c r="AZ94" s="788"/>
      <c r="BA94" s="788"/>
      <c r="BB94" s="788"/>
      <c r="BC94" s="788"/>
      <c r="BD94" s="788"/>
      <c r="BE94" s="788"/>
      <c r="BF94" s="788"/>
      <c r="BG94" s="717">
        <f t="shared" si="20"/>
        <v>1</v>
      </c>
      <c r="BH94" s="717"/>
      <c r="BI94" s="788"/>
      <c r="BJ94" s="791">
        <f t="shared" si="27"/>
        <v>3</v>
      </c>
      <c r="BK94" s="791">
        <f t="shared" si="27"/>
        <v>3</v>
      </c>
      <c r="BL94" s="697">
        <f t="shared" ref="BL94:BL95" si="28">IF(AND(BJ94&gt;0),BK94/BJ94,"No programado")</f>
        <v>1</v>
      </c>
      <c r="BM94" s="697">
        <f>(IF(AND(BK94&gt;0,$J94&gt;0),BK94/$J94,0))</f>
        <v>0.375</v>
      </c>
      <c r="BN94" s="732">
        <f t="shared" si="25"/>
        <v>0.375</v>
      </c>
      <c r="BO94" s="807">
        <f>+BN94</f>
        <v>0.375</v>
      </c>
      <c r="BP94" s="1235"/>
      <c r="BQ94" s="815"/>
      <c r="BR94" s="815"/>
    </row>
    <row r="95" spans="2:70" ht="124.5" customHeight="1" thickBot="1">
      <c r="B95" s="1233"/>
      <c r="C95" s="734"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95" s="731">
        <f>+'Matriz PEI 2021-2024'!E29</f>
        <v>1</v>
      </c>
      <c r="E95" s="731">
        <f>+'Matriz PEI 2021-2024'!D29</f>
        <v>0.3</v>
      </c>
      <c r="F95" s="774" t="s">
        <v>966</v>
      </c>
      <c r="G95" s="734" t="s">
        <v>967</v>
      </c>
      <c r="H95" s="728" t="str">
        <f>+'1.Informe Seguimiento POA 2022'!D99</f>
        <v>5.3.1 Desarrollar ochenta (80) actividades de apropiación social del conocimiento para la creación de la cultura de la investigación e innovación.</v>
      </c>
      <c r="I95" s="727">
        <f>+'1.Informe Seguimiento POA 2022'!E99</f>
        <v>1</v>
      </c>
      <c r="J95" s="694">
        <f>+'1.Informe Seguimiento POA 2022'!F99</f>
        <v>80</v>
      </c>
      <c r="K95" s="778" t="str">
        <f>+'1.Informe Seguimiento POA 2022'!I99</f>
        <v xml:space="preserve">Gestión del Conocimiento e Innovación </v>
      </c>
      <c r="L95" s="778" t="str">
        <f>+'1.Informe Seguimiento POA 2022'!J99</f>
        <v xml:space="preserve">Dirección de Gestión del Conocimiento e Innovación </v>
      </c>
      <c r="M95" s="717">
        <f>+'1.Informe Seguimiento POA 2022'!K99</f>
        <v>3</v>
      </c>
      <c r="N95" s="717">
        <f>+'1.Informe Seguimiento POA 2022'!L99</f>
        <v>38</v>
      </c>
      <c r="O95" s="717">
        <f>+'1.Informe Seguimiento POA 2022'!M99</f>
        <v>39</v>
      </c>
      <c r="P95" s="717">
        <f>+'1.Informe Seguimiento POA 2022'!N99</f>
        <v>0</v>
      </c>
      <c r="Q95" s="880">
        <v>0</v>
      </c>
      <c r="R95" s="880">
        <v>1</v>
      </c>
      <c r="S95" s="880">
        <v>1</v>
      </c>
      <c r="T95" s="880">
        <v>2</v>
      </c>
      <c r="U95" s="880">
        <v>1</v>
      </c>
      <c r="V95" s="880">
        <v>0</v>
      </c>
      <c r="W95" s="880">
        <v>1</v>
      </c>
      <c r="X95" s="880">
        <v>0</v>
      </c>
      <c r="Y95" s="1076">
        <v>3</v>
      </c>
      <c r="Z95" s="1076">
        <v>3</v>
      </c>
      <c r="AA95" s="726">
        <v>1</v>
      </c>
      <c r="AB95" s="695">
        <f>+'1.Informe Seguimiento POA 2022'!O99</f>
        <v>6</v>
      </c>
      <c r="AC95" s="695">
        <f>+'1.Informe Seguimiento POA 2022'!P99</f>
        <v>9</v>
      </c>
      <c r="AD95" s="695">
        <f>+'1.Informe Seguimiento POA 2022'!Q99</f>
        <v>12</v>
      </c>
      <c r="AE95" s="695">
        <f>+'1.Informe Seguimiento POA 2022'!R99</f>
        <v>12</v>
      </c>
      <c r="AF95" s="695">
        <f>+'1.Informe Seguimiento POA 2022'!S99</f>
        <v>12</v>
      </c>
      <c r="AG95" s="695">
        <f>+'1.Informe Seguimiento POA 2022'!T99</f>
        <v>10</v>
      </c>
      <c r="AH95" s="695">
        <f>+'1.Informe Seguimiento POA 2022'!U99</f>
        <v>8</v>
      </c>
      <c r="AI95" s="695">
        <f>+'1.Informe Seguimiento POA 2022'!V99</f>
        <v>0</v>
      </c>
      <c r="AJ95" s="717">
        <f>+'1.Informe Seguimiento POA 2022'!W99</f>
        <v>38</v>
      </c>
      <c r="AK95" s="717">
        <f>+'1.Informe Seguimiento POA 2022'!X99</f>
        <v>31</v>
      </c>
      <c r="AL95" s="726">
        <f>+'1.Informe Seguimiento POA 2022'!Y99</f>
        <v>0.81578947368421051</v>
      </c>
      <c r="AM95" s="1143">
        <f>'1.Informe Seguimiento POA 2022'!AB99</f>
        <v>0.38750000000000001</v>
      </c>
      <c r="AN95" s="788"/>
      <c r="AO95" s="788"/>
      <c r="AP95" s="788"/>
      <c r="AQ95" s="788"/>
      <c r="AR95" s="788"/>
      <c r="AS95" s="788"/>
      <c r="AT95" s="788"/>
      <c r="AU95" s="788"/>
      <c r="AV95" s="717">
        <f t="shared" si="19"/>
        <v>39</v>
      </c>
      <c r="AW95" s="717"/>
      <c r="AX95" s="788"/>
      <c r="AY95" s="788"/>
      <c r="AZ95" s="788"/>
      <c r="BA95" s="788"/>
      <c r="BB95" s="788"/>
      <c r="BC95" s="788"/>
      <c r="BD95" s="788"/>
      <c r="BE95" s="788"/>
      <c r="BF95" s="788"/>
      <c r="BG95" s="717">
        <f t="shared" si="20"/>
        <v>0</v>
      </c>
      <c r="BH95" s="717"/>
      <c r="BI95" s="788"/>
      <c r="BJ95" s="791">
        <f t="shared" si="27"/>
        <v>21</v>
      </c>
      <c r="BK95" s="791">
        <f t="shared" si="27"/>
        <v>24</v>
      </c>
      <c r="BL95" s="697">
        <f t="shared" si="28"/>
        <v>1.1428571428571428</v>
      </c>
      <c r="BM95" s="697">
        <f>(IF(AND(BK95&gt;0,$J95&gt;0),BK95/$J95,0))</f>
        <v>0.3</v>
      </c>
      <c r="BN95" s="732">
        <f t="shared" si="25"/>
        <v>0.3</v>
      </c>
      <c r="BO95" s="807">
        <f>+BN95</f>
        <v>0.3</v>
      </c>
      <c r="BP95" s="1275"/>
      <c r="BQ95" s="815"/>
      <c r="BR95" s="815"/>
    </row>
    <row r="96" spans="2:70" ht="18.75" thickBot="1">
      <c r="B96" s="735"/>
      <c r="C96" s="736"/>
      <c r="D96" s="736"/>
      <c r="E96" s="737"/>
      <c r="F96" s="737"/>
      <c r="G96" s="737"/>
      <c r="H96" s="736"/>
      <c r="I96" s="736"/>
      <c r="J96" s="736"/>
      <c r="K96" s="736"/>
      <c r="L96" s="736"/>
      <c r="M96" s="736"/>
      <c r="N96" s="736"/>
      <c r="O96" s="736"/>
      <c r="P96" s="736"/>
      <c r="Q96" s="736"/>
      <c r="R96" s="736"/>
      <c r="S96" s="736"/>
      <c r="T96" s="736"/>
      <c r="U96" s="736"/>
      <c r="V96" s="736"/>
      <c r="W96" s="736"/>
      <c r="X96" s="736"/>
      <c r="Y96" s="736"/>
      <c r="Z96" s="736"/>
      <c r="AA96" s="736"/>
      <c r="AB96" s="738"/>
      <c r="AC96" s="738"/>
      <c r="AD96" s="738"/>
      <c r="AE96" s="738"/>
      <c r="AF96" s="738"/>
      <c r="AG96" s="738"/>
      <c r="AH96" s="738"/>
      <c r="AI96" s="738"/>
      <c r="AJ96" s="738"/>
      <c r="AK96" s="738"/>
      <c r="AL96" s="738"/>
      <c r="AM96" s="824">
        <f>AVERAGE(AM9:AM95)</f>
        <v>0.19744283527922685</v>
      </c>
      <c r="AN96" s="738"/>
      <c r="AO96" s="738"/>
      <c r="AP96" s="738"/>
      <c r="AQ96" s="738"/>
      <c r="AR96" s="738"/>
      <c r="AS96" s="738"/>
      <c r="AT96" s="738"/>
      <c r="AU96" s="738"/>
      <c r="AV96" s="738"/>
      <c r="AW96" s="738"/>
      <c r="AX96" s="738"/>
      <c r="AY96" s="738"/>
      <c r="AZ96" s="738"/>
      <c r="BA96" s="738"/>
      <c r="BB96" s="738"/>
      <c r="BC96" s="738"/>
      <c r="BD96" s="738"/>
      <c r="BE96" s="738"/>
      <c r="BF96" s="738"/>
      <c r="BG96" s="738"/>
      <c r="BH96" s="738"/>
      <c r="BI96" s="738"/>
      <c r="BJ96" s="738"/>
      <c r="BK96" s="738"/>
      <c r="BL96" s="738"/>
      <c r="BM96" s="823">
        <f>AVERAGE(BM9:BM95)</f>
        <v>0.33553154151421294</v>
      </c>
      <c r="BN96" s="736"/>
      <c r="BO96" s="824">
        <f>AVERAGE(BO9:BO95)</f>
        <v>0.35887601073123665</v>
      </c>
      <c r="BP96" s="823">
        <f>AVERAGE(BP9:BP95)</f>
        <v>0.36937594802032592</v>
      </c>
      <c r="BQ96" s="816"/>
      <c r="BR96" s="816"/>
    </row>
    <row r="97" spans="2:25" ht="13.5" customHeight="1">
      <c r="B97" s="43"/>
      <c r="C97" s="43"/>
      <c r="D97" s="43"/>
      <c r="E97" s="44"/>
      <c r="F97" s="44"/>
      <c r="G97" s="44"/>
      <c r="H97" s="43"/>
      <c r="I97" s="44"/>
      <c r="J97" s="44"/>
      <c r="K97" s="43"/>
      <c r="L97" s="43"/>
      <c r="M97" s="43"/>
      <c r="N97" s="43"/>
      <c r="O97" s="43"/>
      <c r="P97" s="43"/>
      <c r="Q97" s="43"/>
      <c r="R97" s="43"/>
      <c r="S97" s="43"/>
      <c r="T97" s="43"/>
      <c r="U97" s="43"/>
      <c r="V97" s="43"/>
      <c r="W97" s="43"/>
      <c r="X97" s="43"/>
      <c r="Y97" s="43"/>
    </row>
    <row r="98" spans="2:25" ht="15" customHeight="1">
      <c r="B98" s="43"/>
      <c r="C98" s="43"/>
      <c r="D98" s="43"/>
      <c r="E98" s="44"/>
      <c r="F98" s="44"/>
      <c r="G98" s="44"/>
      <c r="H98" s="43"/>
      <c r="I98" s="44"/>
      <c r="J98" s="44"/>
      <c r="K98" s="43"/>
      <c r="L98" s="43"/>
      <c r="M98" s="43"/>
      <c r="N98" s="43"/>
      <c r="O98" s="43"/>
      <c r="P98" s="43"/>
      <c r="Q98" s="43"/>
      <c r="R98" s="43"/>
      <c r="S98" s="43"/>
      <c r="T98" s="43"/>
      <c r="U98" s="43"/>
      <c r="V98" s="43"/>
      <c r="W98" s="43"/>
      <c r="X98" s="43"/>
      <c r="Y98" s="43"/>
    </row>
    <row r="99" spans="2:25" ht="15" customHeight="1">
      <c r="B99" s="43"/>
      <c r="C99" s="43"/>
      <c r="D99" s="43"/>
      <c r="E99" s="44"/>
      <c r="F99" s="44"/>
      <c r="G99" s="44"/>
      <c r="H99" s="43"/>
      <c r="I99" s="44"/>
      <c r="J99" s="44"/>
      <c r="K99" s="669"/>
      <c r="L99" s="669"/>
      <c r="M99" s="669"/>
      <c r="N99" s="669"/>
      <c r="O99" s="669"/>
      <c r="P99" s="669"/>
      <c r="Q99" s="669"/>
      <c r="R99" s="669"/>
      <c r="S99" s="669"/>
      <c r="T99" s="669"/>
      <c r="U99" s="669"/>
      <c r="V99" s="669"/>
      <c r="W99" s="669"/>
      <c r="X99" s="669"/>
      <c r="Y99" s="669"/>
    </row>
    <row r="100" spans="2:25" ht="15" customHeight="1">
      <c r="B100" s="43"/>
      <c r="C100" s="43" t="s">
        <v>1032</v>
      </c>
      <c r="D100" s="43"/>
      <c r="E100" s="44"/>
      <c r="F100" s="44"/>
      <c r="G100" s="44"/>
      <c r="H100" s="43"/>
      <c r="I100" s="44"/>
      <c r="J100" s="44"/>
      <c r="K100" s="43"/>
      <c r="L100" s="43"/>
      <c r="M100" s="43"/>
      <c r="N100" s="43"/>
      <c r="O100" s="43"/>
      <c r="P100" s="43"/>
      <c r="Q100" s="43"/>
      <c r="R100" s="43"/>
      <c r="S100" s="43"/>
      <c r="T100" s="43"/>
      <c r="U100" s="43"/>
      <c r="V100" s="43"/>
      <c r="W100" s="43"/>
      <c r="X100" s="43"/>
      <c r="Y100" s="43"/>
    </row>
    <row r="101" spans="2:25" ht="15" customHeight="1">
      <c r="B101" s="43"/>
      <c r="C101" s="43"/>
      <c r="D101" s="43"/>
      <c r="E101" s="44"/>
      <c r="F101" s="44"/>
      <c r="G101" s="44"/>
      <c r="H101" s="43"/>
      <c r="I101" s="44"/>
      <c r="J101" s="44"/>
      <c r="K101" s="669"/>
      <c r="L101" s="669"/>
      <c r="M101" s="669"/>
      <c r="N101" s="669"/>
      <c r="O101" s="669"/>
      <c r="P101" s="669"/>
      <c r="Q101" s="669"/>
      <c r="R101" s="669"/>
      <c r="S101" s="669"/>
      <c r="T101" s="669"/>
      <c r="U101" s="669"/>
      <c r="V101" s="669"/>
      <c r="W101" s="669"/>
      <c r="X101" s="669"/>
      <c r="Y101" s="669"/>
    </row>
  </sheetData>
  <mergeCells count="180">
    <mergeCell ref="BP92:BP95"/>
    <mergeCell ref="BP7:BP8"/>
    <mergeCell ref="BJ6:BP6"/>
    <mergeCell ref="BP9:BP28"/>
    <mergeCell ref="BO29:BO30"/>
    <mergeCell ref="BO31:BO32"/>
    <mergeCell ref="BO33:BO35"/>
    <mergeCell ref="BP29:BP35"/>
    <mergeCell ref="BP36:BP43"/>
    <mergeCell ref="BP44:BP91"/>
    <mergeCell ref="BN7:BN8"/>
    <mergeCell ref="BO7:BO8"/>
    <mergeCell ref="BJ7:BK7"/>
    <mergeCell ref="BO20:BO25"/>
    <mergeCell ref="BN80:BN82"/>
    <mergeCell ref="BO65:BO82"/>
    <mergeCell ref="BO36:BO37"/>
    <mergeCell ref="BO38:BO39"/>
    <mergeCell ref="BO41:BO43"/>
    <mergeCell ref="BM7:BM8"/>
    <mergeCell ref="J6:J8"/>
    <mergeCell ref="AN6:AX6"/>
    <mergeCell ref="F89:F90"/>
    <mergeCell ref="G89:G90"/>
    <mergeCell ref="BO83:BO88"/>
    <mergeCell ref="G44:G50"/>
    <mergeCell ref="BO44:BO50"/>
    <mergeCell ref="F60:F63"/>
    <mergeCell ref="G60:G63"/>
    <mergeCell ref="F65:F66"/>
    <mergeCell ref="G65:G66"/>
    <mergeCell ref="F67:F69"/>
    <mergeCell ref="G67:G69"/>
    <mergeCell ref="G73:G74"/>
    <mergeCell ref="AM44:AM50"/>
    <mergeCell ref="AM51:AM56"/>
    <mergeCell ref="AM57:AM64"/>
    <mergeCell ref="AM65:AM82"/>
    <mergeCell ref="AM83:AM88"/>
    <mergeCell ref="AM89:AM90"/>
    <mergeCell ref="AB6:AM6"/>
    <mergeCell ref="M6:P6"/>
    <mergeCell ref="Q6:AA6"/>
    <mergeCell ref="AB7:AC7"/>
    <mergeCell ref="AF7:AG7"/>
    <mergeCell ref="AH7:AI7"/>
    <mergeCell ref="AL7:AL8"/>
    <mergeCell ref="S7:T7"/>
    <mergeCell ref="U7:V7"/>
    <mergeCell ref="W7:X7"/>
    <mergeCell ref="Y7:Y8"/>
    <mergeCell ref="Z7:Z8"/>
    <mergeCell ref="AA7:AA8"/>
    <mergeCell ref="AD7:AE7"/>
    <mergeCell ref="AT7:AU7"/>
    <mergeCell ref="AV7:AV8"/>
    <mergeCell ref="AW7:AW8"/>
    <mergeCell ref="AX7:AX8"/>
    <mergeCell ref="AY7:AZ7"/>
    <mergeCell ref="BA7:BB7"/>
    <mergeCell ref="AJ7:AJ8"/>
    <mergeCell ref="AK7:AK8"/>
    <mergeCell ref="AY6:BI6"/>
    <mergeCell ref="AP7:AQ7"/>
    <mergeCell ref="AR7:AS7"/>
    <mergeCell ref="AM7:AM8"/>
    <mergeCell ref="AN7:AO7"/>
    <mergeCell ref="BC7:BD7"/>
    <mergeCell ref="BE7:BF7"/>
    <mergeCell ref="BG7:BG8"/>
    <mergeCell ref="BH7:BH8"/>
    <mergeCell ref="BI7:BI8"/>
    <mergeCell ref="Q7:R7"/>
    <mergeCell ref="B29:B35"/>
    <mergeCell ref="C29:C30"/>
    <mergeCell ref="E29:E30"/>
    <mergeCell ref="D29:D30"/>
    <mergeCell ref="D31:D32"/>
    <mergeCell ref="D33:D35"/>
    <mergeCell ref="C33:C35"/>
    <mergeCell ref="E33:E35"/>
    <mergeCell ref="C31:C32"/>
    <mergeCell ref="E31:E32"/>
    <mergeCell ref="B9:B28"/>
    <mergeCell ref="G9:G18"/>
    <mergeCell ref="C20:C25"/>
    <mergeCell ref="K6:K8"/>
    <mergeCell ref="L6:L8"/>
    <mergeCell ref="B6:B8"/>
    <mergeCell ref="C6:C8"/>
    <mergeCell ref="D6:D8"/>
    <mergeCell ref="E6:E8"/>
    <mergeCell ref="F6:F8"/>
    <mergeCell ref="G6:G8"/>
    <mergeCell ref="H6:H8"/>
    <mergeCell ref="I6:I8"/>
    <mergeCell ref="B36:B43"/>
    <mergeCell ref="C36:C37"/>
    <mergeCell ref="D36:D37"/>
    <mergeCell ref="E36:E37"/>
    <mergeCell ref="C38:C39"/>
    <mergeCell ref="D38:D39"/>
    <mergeCell ref="E65:E82"/>
    <mergeCell ref="F83:F88"/>
    <mergeCell ref="G83:G88"/>
    <mergeCell ref="B92:B95"/>
    <mergeCell ref="D83:D88"/>
    <mergeCell ref="E83:E88"/>
    <mergeCell ref="E89:E90"/>
    <mergeCell ref="C57:C64"/>
    <mergeCell ref="BO57:BO64"/>
    <mergeCell ref="H78:H79"/>
    <mergeCell ref="I78:I79"/>
    <mergeCell ref="BN78:BN79"/>
    <mergeCell ref="E57:E64"/>
    <mergeCell ref="B44:B91"/>
    <mergeCell ref="C44:C50"/>
    <mergeCell ref="D44:D50"/>
    <mergeCell ref="E44:E50"/>
    <mergeCell ref="F44:F50"/>
    <mergeCell ref="C65:C82"/>
    <mergeCell ref="D65:D82"/>
    <mergeCell ref="H80:H82"/>
    <mergeCell ref="D51:D56"/>
    <mergeCell ref="D57:D64"/>
    <mergeCell ref="C83:C88"/>
    <mergeCell ref="I80:I82"/>
    <mergeCell ref="F73:F74"/>
    <mergeCell ref="C92:C93"/>
    <mergeCell ref="C2:L2"/>
    <mergeCell ref="C51:C56"/>
    <mergeCell ref="BO51:BO56"/>
    <mergeCell ref="E51:E56"/>
    <mergeCell ref="E38:E39"/>
    <mergeCell ref="C41:C43"/>
    <mergeCell ref="D41:D43"/>
    <mergeCell ref="E41:E43"/>
    <mergeCell ref="F41:F43"/>
    <mergeCell ref="C26:C28"/>
    <mergeCell ref="E26:E28"/>
    <mergeCell ref="F26:F28"/>
    <mergeCell ref="G26:G28"/>
    <mergeCell ref="BO26:BO28"/>
    <mergeCell ref="D20:D25"/>
    <mergeCell ref="G33:G35"/>
    <mergeCell ref="F29:F30"/>
    <mergeCell ref="G29:G30"/>
    <mergeCell ref="D26:D28"/>
    <mergeCell ref="F33:F35"/>
    <mergeCell ref="F31:F32"/>
    <mergeCell ref="G31:G32"/>
    <mergeCell ref="C9:C19"/>
    <mergeCell ref="D9:D19"/>
    <mergeCell ref="D92:D93"/>
    <mergeCell ref="E92:E93"/>
    <mergeCell ref="F92:F93"/>
    <mergeCell ref="G92:G93"/>
    <mergeCell ref="BO92:BO93"/>
    <mergeCell ref="AM9:AM19"/>
    <mergeCell ref="AM20:AM25"/>
    <mergeCell ref="AM26:AM28"/>
    <mergeCell ref="AM29:AM30"/>
    <mergeCell ref="AM31:AM32"/>
    <mergeCell ref="AM33:AM35"/>
    <mergeCell ref="AM36:AM37"/>
    <mergeCell ref="AM38:AM39"/>
    <mergeCell ref="AM41:AM43"/>
    <mergeCell ref="BO9:BO19"/>
    <mergeCell ref="E20:E25"/>
    <mergeCell ref="F20:F25"/>
    <mergeCell ref="G20:G25"/>
    <mergeCell ref="C89:C90"/>
    <mergeCell ref="D89:D90"/>
    <mergeCell ref="BO89:BO90"/>
    <mergeCell ref="F75:F79"/>
    <mergeCell ref="G75:G79"/>
    <mergeCell ref="F80:F82"/>
    <mergeCell ref="G80:G82"/>
    <mergeCell ref="E9:E19"/>
    <mergeCell ref="F9:F18"/>
  </mergeCells>
  <conditionalFormatting sqref="BL9:BL28">
    <cfRule type="expression" dxfId="903" priority="31">
      <formula>#REF!="Pesos ($)"</formula>
    </cfRule>
    <cfRule type="expression" dxfId="902" priority="32">
      <formula>OR(LEFT(#REF!,9)="Número de",#REF!="Otra")</formula>
    </cfRule>
    <cfRule type="expression" dxfId="901" priority="33">
      <formula>#REF!="Porcentaje"</formula>
    </cfRule>
  </conditionalFormatting>
  <conditionalFormatting sqref="BL92:BL95">
    <cfRule type="expression" dxfId="900" priority="1">
      <formula>#REF!="Pesos ($)"</formula>
    </cfRule>
    <cfRule type="expression" dxfId="899" priority="2">
      <formula>OR(LEFT(#REF!,9)="Número de",#REF!="Otra")</formula>
    </cfRule>
    <cfRule type="expression" dxfId="898" priority="3">
      <formula>#REF!="Porcentaje"</formula>
    </cfRule>
  </conditionalFormatting>
  <conditionalFormatting sqref="BL36">
    <cfRule type="expression" dxfId="897" priority="28">
      <formula>#REF!="Pesos ($)"</formula>
    </cfRule>
    <cfRule type="expression" dxfId="896" priority="29">
      <formula>OR(LEFT(#REF!,9)="Número de",#REF!="Otra")</formula>
    </cfRule>
    <cfRule type="expression" dxfId="895" priority="30">
      <formula>#REF!="Porcentaje"</formula>
    </cfRule>
  </conditionalFormatting>
  <conditionalFormatting sqref="BL37">
    <cfRule type="expression" dxfId="894" priority="25">
      <formula>#REF!="Pesos ($)"</formula>
    </cfRule>
    <cfRule type="expression" dxfId="893" priority="26">
      <formula>OR(LEFT(#REF!,9)="Número de",#REF!="Otra")</formula>
    </cfRule>
    <cfRule type="expression" dxfId="892" priority="27">
      <formula>#REF!="Porcentaje"</formula>
    </cfRule>
  </conditionalFormatting>
  <conditionalFormatting sqref="BL38:BL43">
    <cfRule type="expression" dxfId="891" priority="22">
      <formula>#REF!="Pesos ($)"</formula>
    </cfRule>
    <cfRule type="expression" dxfId="890" priority="23">
      <formula>OR(LEFT(#REF!,9)="Número de",#REF!="Otra")</formula>
    </cfRule>
    <cfRule type="expression" dxfId="889" priority="24">
      <formula>#REF!="Porcentaje"</formula>
    </cfRule>
  </conditionalFormatting>
  <conditionalFormatting sqref="BL51:BL56">
    <cfRule type="expression" dxfId="888" priority="19">
      <formula>#REF!="Pesos ($)"</formula>
    </cfRule>
    <cfRule type="expression" dxfId="887" priority="20">
      <formula>OR(LEFT(#REF!,9)="Número de",#REF!="Otra")</formula>
    </cfRule>
    <cfRule type="expression" dxfId="886" priority="21">
      <formula>#REF!="Porcentaje"</formula>
    </cfRule>
  </conditionalFormatting>
  <conditionalFormatting sqref="BL65:BL72">
    <cfRule type="expression" dxfId="885" priority="16">
      <formula>#REF!="Pesos ($)"</formula>
    </cfRule>
    <cfRule type="expression" dxfId="884" priority="17">
      <formula>OR(LEFT(#REF!,9)="Número de",#REF!="Otra")</formula>
    </cfRule>
    <cfRule type="expression" dxfId="883" priority="18">
      <formula>#REF!="Porcentaje"</formula>
    </cfRule>
  </conditionalFormatting>
  <conditionalFormatting sqref="BL73:BL74">
    <cfRule type="expression" dxfId="882" priority="13">
      <formula>#REF!="Pesos ($)"</formula>
    </cfRule>
    <cfRule type="expression" dxfId="881" priority="14">
      <formula>OR(LEFT(#REF!,9)="Número de",#REF!="Otra")</formula>
    </cfRule>
    <cfRule type="expression" dxfId="880" priority="15">
      <formula>#REF!="Porcentaje"</formula>
    </cfRule>
  </conditionalFormatting>
  <conditionalFormatting sqref="BL75:BL78">
    <cfRule type="expression" dxfId="879" priority="10">
      <formula>#REF!="Pesos ($)"</formula>
    </cfRule>
    <cfRule type="expression" dxfId="878" priority="11">
      <formula>OR(LEFT(#REF!,9)="Número de",#REF!="Otra")</formula>
    </cfRule>
    <cfRule type="expression" dxfId="877" priority="12">
      <formula>#REF!="Porcentaje"</formula>
    </cfRule>
  </conditionalFormatting>
  <conditionalFormatting sqref="BL79:BL82">
    <cfRule type="expression" dxfId="876" priority="7">
      <formula>#REF!="Pesos ($)"</formula>
    </cfRule>
    <cfRule type="expression" dxfId="875" priority="8">
      <formula>OR(LEFT(#REF!,9)="Número de",#REF!="Otra")</formula>
    </cfRule>
    <cfRule type="expression" dxfId="874" priority="9">
      <formula>#REF!="Porcentaje"</formula>
    </cfRule>
  </conditionalFormatting>
  <conditionalFormatting sqref="BL89:BL90">
    <cfRule type="expression" dxfId="873" priority="4">
      <formula>#REF!="Pesos ($)"</formula>
    </cfRule>
    <cfRule type="expression" dxfId="872" priority="5">
      <formula>OR(LEFT(#REF!,9)="Número de",#REF!="Otra")</formula>
    </cfRule>
    <cfRule type="expression" dxfId="871" priority="6">
      <formula>#REF!="Porcentaje"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9764-1B2B-49AA-B427-DA9EAA569A99}">
  <sheetPr>
    <tabColor rgb="FF0099FF"/>
  </sheetPr>
  <dimension ref="B2:N38"/>
  <sheetViews>
    <sheetView zoomScale="55" zoomScaleNormal="55" workbookViewId="0">
      <selection activeCell="Q86" sqref="Q86"/>
    </sheetView>
  </sheetViews>
  <sheetFormatPr baseColWidth="10" defaultColWidth="11.42578125" defaultRowHeight="15"/>
  <cols>
    <col min="1" max="1" width="4.7109375" style="741" customWidth="1"/>
    <col min="2" max="2" width="38.5703125" style="741" customWidth="1"/>
    <col min="3" max="3" width="47.85546875" style="741" customWidth="1"/>
    <col min="4" max="4" width="21.5703125" style="741" customWidth="1"/>
    <col min="5" max="5" width="19.42578125" style="741" customWidth="1"/>
    <col min="6" max="6" width="12.42578125" style="741" customWidth="1"/>
    <col min="7" max="7" width="36.85546875" style="741" customWidth="1"/>
    <col min="8" max="8" width="19" style="741" customWidth="1"/>
    <col min="9" max="9" width="18.7109375" style="741" customWidth="1"/>
    <col min="10" max="10" width="18" style="741" customWidth="1"/>
    <col min="11" max="11" width="18.85546875" style="741" customWidth="1"/>
    <col min="12" max="12" width="16.7109375" style="741" hidden="1" customWidth="1"/>
    <col min="13" max="13" width="31.85546875" style="741" customWidth="1"/>
    <col min="14" max="14" width="30.140625" style="741" customWidth="1"/>
    <col min="15" max="85" width="15.7109375" style="741" customWidth="1"/>
    <col min="86" max="16384" width="11.42578125" style="741"/>
  </cols>
  <sheetData>
    <row r="2" spans="2:14" ht="15.6" customHeight="1">
      <c r="B2" s="1433" t="s">
        <v>685</v>
      </c>
      <c r="C2" s="1439" t="s">
        <v>969</v>
      </c>
      <c r="D2" s="1440"/>
      <c r="E2" s="1440"/>
      <c r="F2" s="1440"/>
      <c r="G2" s="1440"/>
      <c r="H2" s="1440"/>
      <c r="I2" s="1440"/>
      <c r="J2" s="1440"/>
      <c r="K2" s="1440"/>
      <c r="L2" s="932"/>
      <c r="M2" s="764" t="s">
        <v>984</v>
      </c>
      <c r="N2" s="937" t="s">
        <v>985</v>
      </c>
    </row>
    <row r="3" spans="2:14" ht="31.5">
      <c r="B3" s="1434"/>
      <c r="C3" s="1441"/>
      <c r="D3" s="1442"/>
      <c r="E3" s="1442"/>
      <c r="F3" s="1442"/>
      <c r="G3" s="1442"/>
      <c r="H3" s="1442"/>
      <c r="I3" s="1442"/>
      <c r="J3" s="1442"/>
      <c r="K3" s="1442"/>
      <c r="L3" s="933"/>
      <c r="M3" s="765" t="s">
        <v>1054</v>
      </c>
      <c r="N3" s="765" t="s">
        <v>986</v>
      </c>
    </row>
    <row r="4" spans="2:14" ht="15.6" customHeight="1">
      <c r="B4" s="1434"/>
      <c r="C4" s="1441"/>
      <c r="D4" s="1442"/>
      <c r="E4" s="1442"/>
      <c r="F4" s="1442"/>
      <c r="G4" s="1442"/>
      <c r="H4" s="1442"/>
      <c r="I4" s="1442"/>
      <c r="J4" s="1442"/>
      <c r="K4" s="1442"/>
      <c r="L4" s="933"/>
      <c r="M4" s="1437" t="s">
        <v>30</v>
      </c>
      <c r="N4" s="1438"/>
    </row>
    <row r="5" spans="2:14" ht="23.25">
      <c r="B5" s="1435"/>
      <c r="C5" s="1443" t="s">
        <v>970</v>
      </c>
      <c r="D5" s="1444"/>
      <c r="E5" s="1444"/>
      <c r="F5" s="1444"/>
      <c r="G5" s="1444"/>
      <c r="H5" s="1444"/>
      <c r="I5" s="1444"/>
      <c r="J5" s="1444"/>
      <c r="K5" s="1444"/>
      <c r="L5" s="934"/>
      <c r="M5" s="935">
        <v>44561</v>
      </c>
      <c r="N5" s="936"/>
    </row>
    <row r="6" spans="2:14">
      <c r="H6" s="1436"/>
      <c r="I6" s="1436"/>
      <c r="J6" s="1436"/>
      <c r="K6" s="1436"/>
      <c r="L6" s="1436"/>
    </row>
    <row r="7" spans="2:14" ht="27.6" customHeight="1">
      <c r="B7" s="1367" t="s">
        <v>0</v>
      </c>
      <c r="C7" s="1367" t="s">
        <v>971</v>
      </c>
      <c r="D7" s="1368" t="s">
        <v>972</v>
      </c>
      <c r="E7" s="1367" t="s">
        <v>934</v>
      </c>
      <c r="F7" s="1368" t="s">
        <v>987</v>
      </c>
      <c r="G7" s="1368" t="s">
        <v>974</v>
      </c>
      <c r="H7" s="1431" t="s">
        <v>975</v>
      </c>
      <c r="I7" s="1431"/>
      <c r="J7" s="1431"/>
      <c r="K7" s="1431"/>
      <c r="L7" s="1431"/>
      <c r="M7" s="1368" t="s">
        <v>976</v>
      </c>
      <c r="N7" s="939" t="s">
        <v>977</v>
      </c>
    </row>
    <row r="8" spans="2:14" ht="27.6" customHeight="1">
      <c r="B8" s="1367"/>
      <c r="C8" s="1367"/>
      <c r="D8" s="1369"/>
      <c r="E8" s="1367"/>
      <c r="F8" s="1369"/>
      <c r="G8" s="1369"/>
      <c r="H8" s="916" t="s">
        <v>59</v>
      </c>
      <c r="I8" s="916" t="s">
        <v>59</v>
      </c>
      <c r="J8" s="916" t="s">
        <v>59</v>
      </c>
      <c r="K8" s="916" t="s">
        <v>59</v>
      </c>
      <c r="L8" s="916" t="s">
        <v>59</v>
      </c>
      <c r="M8" s="1432"/>
      <c r="N8" s="1424" t="s">
        <v>978</v>
      </c>
    </row>
    <row r="9" spans="2:14" ht="61.9" customHeight="1">
      <c r="B9" s="1367"/>
      <c r="C9" s="1368"/>
      <c r="D9" s="1370"/>
      <c r="E9" s="1367"/>
      <c r="F9" s="1370"/>
      <c r="G9" s="1370"/>
      <c r="H9" s="742">
        <v>2021</v>
      </c>
      <c r="I9" s="742">
        <v>2022</v>
      </c>
      <c r="J9" s="742">
        <v>2023</v>
      </c>
      <c r="K9" s="742">
        <v>2024</v>
      </c>
      <c r="L9" s="742" t="s">
        <v>17</v>
      </c>
      <c r="M9" s="572" t="s">
        <v>863</v>
      </c>
      <c r="N9" s="1425"/>
    </row>
    <row r="10" spans="2:14" ht="83.25" customHeight="1">
      <c r="B10" s="1426" t="s">
        <v>130</v>
      </c>
      <c r="C10" s="746" t="str">
        <f>+'01-FR-03 POA INSTITUCIONAL'!C13</f>
        <v>1.1. Realizar 884.203 acciones que promuevan la defensa, garantía y restablecimiento de los derechos de las personas en el Distrito Capital.</v>
      </c>
      <c r="D10" s="747">
        <v>0.7</v>
      </c>
      <c r="E10" s="743">
        <f>SUM(H10:K10)</f>
        <v>884203</v>
      </c>
      <c r="F10" s="754" t="s">
        <v>156</v>
      </c>
      <c r="G10" s="744" t="s">
        <v>88</v>
      </c>
      <c r="H10" s="914">
        <f>+'01-FR-03 POA INSTITUCIONAL'!K13+'01-FR-03 POA INSTITUCIONAL'!K14+'01-FR-03 POA INSTITUCIONAL'!K15+'01-FR-03 POA INSTITUCIONAL'!K16+'01-FR-03 POA INSTITUCIONAL'!K17+'01-FR-03 POA INSTITUCIONAL'!K18+'01-FR-03 POA INSTITUCIONAL'!K20+'01-FR-03 POA INSTITUCIONAL'!K21+'01-FR-03 POA INSTITUCIONAL'!K22+'01-FR-03 POA INSTITUCIONAL'!K23</f>
        <v>239732</v>
      </c>
      <c r="I10" s="914">
        <f>+'01-FR-03 POA INSTITUCIONAL'!L13+'01-FR-03 POA INSTITUCIONAL'!L14+'01-FR-03 POA INSTITUCIONAL'!L15+'01-FR-03 POA INSTITUCIONAL'!L16+'01-FR-03 POA INSTITUCIONAL'!L17+'01-FR-03 POA INSTITUCIONAL'!L18+'01-FR-03 POA INSTITUCIONAL'!L20+'01-FR-03 POA INSTITUCIONAL'!L21+'01-FR-03 POA INSTITUCIONAL'!L22+'01-FR-03 POA INSTITUCIONAL'!L23</f>
        <v>262415</v>
      </c>
      <c r="J10" s="914">
        <f>+'01-FR-03 POA INSTITUCIONAL'!M13+'01-FR-03 POA INSTITUCIONAL'!M14+'01-FR-03 POA INSTITUCIONAL'!M15+'01-FR-03 POA INSTITUCIONAL'!M16+'01-FR-03 POA INSTITUCIONAL'!M17+'01-FR-03 POA INSTITUCIONAL'!M18+'01-FR-03 POA INSTITUCIONAL'!M20+'01-FR-03 POA INSTITUCIONAL'!M21+'01-FR-03 POA INSTITUCIONAL'!M22+'01-FR-03 POA INSTITUCIONAL'!M23</f>
        <v>257090</v>
      </c>
      <c r="K10" s="914">
        <f>+'01-FR-03 POA INSTITUCIONAL'!N13+'01-FR-03 POA INSTITUCIONAL'!N14+'01-FR-03 POA INSTITUCIONAL'!N15+'01-FR-03 POA INSTITUCIONAL'!N16+'01-FR-03 POA INSTITUCIONAL'!N17+'01-FR-03 POA INSTITUCIONAL'!N18+'01-FR-03 POA INSTITUCIONAL'!N20+'01-FR-03 POA INSTITUCIONAL'!N21+'01-FR-03 POA INSTITUCIONAL'!N22+'01-FR-03 POA INSTITUCIONAL'!N23</f>
        <v>124966</v>
      </c>
      <c r="L10" s="745"/>
      <c r="M10" s="1086">
        <f>+'3-Grado Cump Metas Estratégicas'!D11</f>
        <v>0.49733040233556469</v>
      </c>
      <c r="N10" s="1427">
        <f>+'4-Grado Cum Objetivos Est &amp; Cal'!C11</f>
        <v>0.48538679520443978</v>
      </c>
    </row>
    <row r="11" spans="2:14" ht="102" customHeight="1">
      <c r="B11" s="1426"/>
      <c r="C11" s="746" t="str">
        <f>+'01-FR-03 POA INSTITUCIONAL'!C24</f>
        <v>1.2. Realizar 260.709 acciones que propendan por la efectiva defensa y garantía de los derechos de los sujetos de especial protección constitucional, con énfasis en las personas mayores, mujeres y la población migrante en el Distrito Capital.</v>
      </c>
      <c r="D11" s="747">
        <v>0.2</v>
      </c>
      <c r="E11" s="743">
        <f t="shared" ref="E11:E18" si="0">SUM(H11:K11)</f>
        <v>260709</v>
      </c>
      <c r="F11" s="754" t="s">
        <v>156</v>
      </c>
      <c r="G11" s="744" t="s">
        <v>88</v>
      </c>
      <c r="H11" s="914">
        <f>'01-FR-03 POA INSTITUCIONAL'!K24+'01-FR-03 POA INSTITUCIONAL'!K25+'01-FR-03 POA INSTITUCIONAL'!K26+'01-FR-03 POA INSTITUCIONAL'!K27+'01-FR-03 POA INSTITUCIONAL'!K28+'01-FR-03 POA INSTITUCIONAL'!K29</f>
        <v>76600</v>
      </c>
      <c r="I11" s="914">
        <f>'01-FR-03 POA INSTITUCIONAL'!L24+'01-FR-03 POA INSTITUCIONAL'!L25+'01-FR-03 POA INSTITUCIONAL'!L26+'01-FR-03 POA INSTITUCIONAL'!L27+'01-FR-03 POA INSTITUCIONAL'!L28+'01-FR-03 POA INSTITUCIONAL'!L29</f>
        <v>85619</v>
      </c>
      <c r="J11" s="914">
        <f>'01-FR-03 POA INSTITUCIONAL'!M24+'01-FR-03 POA INSTITUCIONAL'!M25+'01-FR-03 POA INSTITUCIONAL'!M26+'01-FR-03 POA INSTITUCIONAL'!M27+'01-FR-03 POA INSTITUCIONAL'!M28+'01-FR-03 POA INSTITUCIONAL'!M29</f>
        <v>70424</v>
      </c>
      <c r="K11" s="914">
        <f>'01-FR-03 POA INSTITUCIONAL'!N24+'01-FR-03 POA INSTITUCIONAL'!N25+'01-FR-03 POA INSTITUCIONAL'!N26+'01-FR-03 POA INSTITUCIONAL'!N27+'01-FR-03 POA INSTITUCIONAL'!N28+'01-FR-03 POA INSTITUCIONAL'!N29</f>
        <v>28066</v>
      </c>
      <c r="L11" s="745"/>
      <c r="M11" s="1086">
        <f>+'3-Grado Cump Metas Estratégicas'!D12</f>
        <v>0.57425484057499543</v>
      </c>
      <c r="N11" s="1428"/>
    </row>
    <row r="12" spans="2:14" ht="75" customHeight="1">
      <c r="B12" s="1426"/>
      <c r="C12" s="746" t="str">
        <f>+'01-FR-03 POA INSTITUCIONAL'!C30</f>
        <v>1.3. Construir e Implementar 35 estrategias que permitan incrementar la oferta y cobertura de los servicios prestados por la Entidad.</v>
      </c>
      <c r="D12" s="747">
        <v>0.1</v>
      </c>
      <c r="E12" s="743">
        <f t="shared" si="0"/>
        <v>35</v>
      </c>
      <c r="F12" s="754" t="s">
        <v>156</v>
      </c>
      <c r="G12" s="744" t="s">
        <v>88</v>
      </c>
      <c r="H12" s="914">
        <f>'01-FR-03 POA INSTITUCIONAL'!K30+'01-FR-03 POA INSTITUCIONAL'!K31+'01-FR-03 POA INSTITUCIONAL'!K32</f>
        <v>6</v>
      </c>
      <c r="I12" s="914">
        <f>'01-FR-03 POA INSTITUCIONAL'!L30+'01-FR-03 POA INSTITUCIONAL'!L31+'01-FR-03 POA INSTITUCIONAL'!L32</f>
        <v>12</v>
      </c>
      <c r="J12" s="914">
        <f>'01-FR-03 POA INSTITUCIONAL'!M30+'01-FR-03 POA INSTITUCIONAL'!M31+'01-FR-03 POA INSTITUCIONAL'!M32</f>
        <v>12</v>
      </c>
      <c r="K12" s="914">
        <f>'01-FR-03 POA INSTITUCIONAL'!N30+'01-FR-03 POA INSTITUCIONAL'!N31+'01-FR-03 POA INSTITUCIONAL'!N32</f>
        <v>5</v>
      </c>
      <c r="L12" s="745"/>
      <c r="M12" s="1086">
        <f>+'3-Grado Cump Metas Estratégicas'!D13</f>
        <v>0.22404545454545455</v>
      </c>
      <c r="N12" s="1429"/>
    </row>
    <row r="13" spans="2:14" ht="78" customHeight="1">
      <c r="B13" s="1430" t="s">
        <v>134</v>
      </c>
      <c r="C13" s="749" t="str">
        <f>+'01-FR-03 POA INSTITUCIONAL'!C33</f>
        <v>2.1. Realizar 22 acciones de prevención y control a la función pública en medio ambiente, agua, protección y bienestar animal y desarrollo urbano.</v>
      </c>
      <c r="D13" s="751">
        <v>0.3</v>
      </c>
      <c r="E13" s="750">
        <f t="shared" si="0"/>
        <v>22</v>
      </c>
      <c r="F13" s="757" t="s">
        <v>156</v>
      </c>
      <c r="G13" s="752" t="s">
        <v>89</v>
      </c>
      <c r="H13" s="915">
        <f>'01-FR-03 POA INSTITUCIONAL'!K33+'01-FR-03 POA INSTITUCIONAL'!K34</f>
        <v>3</v>
      </c>
      <c r="I13" s="915">
        <f>'01-FR-03 POA INSTITUCIONAL'!L33+'01-FR-03 POA INSTITUCIONAL'!L34</f>
        <v>8</v>
      </c>
      <c r="J13" s="915">
        <f>'01-FR-03 POA INSTITUCIONAL'!M33+'01-FR-03 POA INSTITUCIONAL'!M34</f>
        <v>9</v>
      </c>
      <c r="K13" s="915">
        <f>'01-FR-03 POA INSTITUCIONAL'!N33+'01-FR-03 POA INSTITUCIONAL'!N34</f>
        <v>2</v>
      </c>
      <c r="L13" s="745"/>
      <c r="M13" s="1086">
        <f>+'3-Grado Cump Metas Estratégicas'!D14</f>
        <v>0.13636363636363635</v>
      </c>
      <c r="N13" s="1418">
        <f>+'4-Grado Cum Objetivos Est &amp; Cal'!C12</f>
        <v>0.42746533127889058</v>
      </c>
    </row>
    <row r="14" spans="2:14" ht="65.25" customHeight="1">
      <c r="B14" s="1430"/>
      <c r="C14" s="749" t="str">
        <f>+'01-FR-03 POA INSTITUCIONAL'!C35</f>
        <v>2.2. Fortalecer la moralidad publica realizando  952 acciones de prevención y control a la función pública.</v>
      </c>
      <c r="D14" s="751">
        <v>0.6</v>
      </c>
      <c r="E14" s="750">
        <f t="shared" si="0"/>
        <v>952</v>
      </c>
      <c r="F14" s="757" t="s">
        <v>156</v>
      </c>
      <c r="G14" s="752" t="s">
        <v>89</v>
      </c>
      <c r="H14" s="915">
        <f>'01-FR-03 POA INSTITUCIONAL'!K35+'01-FR-03 POA INSTITUCIONAL'!K36</f>
        <v>228</v>
      </c>
      <c r="I14" s="915">
        <f>'01-FR-03 POA INSTITUCIONAL'!L35+'01-FR-03 POA INSTITUCIONAL'!L36</f>
        <v>353</v>
      </c>
      <c r="J14" s="915">
        <f>'01-FR-03 POA INSTITUCIONAL'!M35+'01-FR-03 POA INSTITUCIONAL'!M36</f>
        <v>289</v>
      </c>
      <c r="K14" s="915">
        <f>'01-FR-03 POA INSTITUCIONAL'!N35+'01-FR-03 POA INSTITUCIONAL'!N36</f>
        <v>82</v>
      </c>
      <c r="L14" s="745"/>
      <c r="M14" s="1086">
        <f>+'3-Grado Cump Metas Estratégicas'!D15</f>
        <v>0.53409090909090906</v>
      </c>
      <c r="N14" s="1419"/>
    </row>
    <row r="15" spans="2:14" ht="63.75" customHeight="1">
      <c r="B15" s="1430"/>
      <c r="C15" s="749" t="str">
        <f>+'01-FR-03 POA INSTITUCIONAL'!C37</f>
        <v>2.3. Fortalecer 320 espacios de participación ciudadana en la Personería de Bogotá</v>
      </c>
      <c r="D15" s="751">
        <v>0.1</v>
      </c>
      <c r="E15" s="750">
        <f t="shared" si="0"/>
        <v>320</v>
      </c>
      <c r="F15" s="757" t="s">
        <v>156</v>
      </c>
      <c r="G15" s="752" t="s">
        <v>89</v>
      </c>
      <c r="H15" s="915">
        <f>'01-FR-03 POA INSTITUCIONAL'!K37+'01-FR-03 POA INSTITUCIONAL'!K38+'01-FR-03 POA INSTITUCIONAL'!K39</f>
        <v>72</v>
      </c>
      <c r="I15" s="915">
        <f>'01-FR-03 POA INSTITUCIONAL'!L37+'01-FR-03 POA INSTITUCIONAL'!L38+'01-FR-03 POA INSTITUCIONAL'!L39</f>
        <v>111</v>
      </c>
      <c r="J15" s="915">
        <f>'01-FR-03 POA INSTITUCIONAL'!M37+'01-FR-03 POA INSTITUCIONAL'!M38+'01-FR-03 POA INSTITUCIONAL'!M39</f>
        <v>93</v>
      </c>
      <c r="K15" s="915">
        <f>'01-FR-03 POA INSTITUCIONAL'!N37+'01-FR-03 POA INSTITUCIONAL'!N38+'01-FR-03 POA INSTITUCIONAL'!N39</f>
        <v>44</v>
      </c>
      <c r="L15" s="745"/>
      <c r="M15" s="1086">
        <f>+'3-Grado Cump Metas Estratégicas'!D16</f>
        <v>0.66101694915254239</v>
      </c>
      <c r="N15" s="1420"/>
    </row>
    <row r="16" spans="2:14" ht="69.75" customHeight="1">
      <c r="B16" s="1415" t="s">
        <v>138</v>
      </c>
      <c r="C16" s="746" t="str">
        <f>+'01-FR-03 POA INSTITUCIONAL'!C40</f>
        <v>3.1. Descongestionar 6.700 procesos disciplinarios con criterios de calidad, efectividad y garantía del debido proceso.</v>
      </c>
      <c r="D16" s="747">
        <v>0.4</v>
      </c>
      <c r="E16" s="743">
        <f t="shared" si="0"/>
        <v>6700</v>
      </c>
      <c r="F16" s="748">
        <v>6287</v>
      </c>
      <c r="G16" s="744" t="s">
        <v>90</v>
      </c>
      <c r="H16" s="914">
        <f>'01-FR-03 POA INSTITUCIONAL'!K40</f>
        <v>1600</v>
      </c>
      <c r="I16" s="914">
        <f>'01-FR-03 POA INSTITUCIONAL'!L40</f>
        <v>1800</v>
      </c>
      <c r="J16" s="914">
        <f>'01-FR-03 POA INSTITUCIONAL'!M40</f>
        <v>1800</v>
      </c>
      <c r="K16" s="914">
        <f>'01-FR-03 POA INSTITUCIONAL'!N40</f>
        <v>1500</v>
      </c>
      <c r="L16" s="745"/>
      <c r="M16" s="1086">
        <f>+'3-Grado Cump Metas Estratégicas'!D17</f>
        <v>0.29280798092868993</v>
      </c>
      <c r="N16" s="1418">
        <f>+'4-Grado Cum Objetivos Est &amp; Cal'!C13</f>
        <v>0.316416942371476</v>
      </c>
    </row>
    <row r="17" spans="2:14" ht="91.5" customHeight="1">
      <c r="B17" s="1416"/>
      <c r="C17" s="746" t="str">
        <f>+'01-FR-03 POA INSTITUCIONAL'!C42</f>
        <v xml:space="preserve">3.2. Identificar el 100% de los hechos constitutivos de faltas disciplinarias para ejercer el poder preferente en las Oficinas de Control Interno Disciplinario, en temas de interés e impacto para el Distrito Capital. </v>
      </c>
      <c r="D17" s="747">
        <v>0.15</v>
      </c>
      <c r="E17" s="754">
        <f>AVERAGE('01-FR-03 POA INSTITUCIONAL'!K43,'01-FR-03 POA INSTITUCIONAL'!L43,'01-FR-03 POA INSTITUCIONAL'!M43,'01-FR-03 POA INSTITUCIONAL'!N43)</f>
        <v>1</v>
      </c>
      <c r="F17" s="754">
        <v>1</v>
      </c>
      <c r="G17" s="744" t="s">
        <v>90</v>
      </c>
      <c r="H17" s="745">
        <f>'01-FR-03 POA INSTITUCIONAL'!K43</f>
        <v>1</v>
      </c>
      <c r="I17" s="745">
        <f>'01-FR-03 POA INSTITUCIONAL'!L43</f>
        <v>1</v>
      </c>
      <c r="J17" s="745">
        <f>'01-FR-03 POA INSTITUCIONAL'!M43</f>
        <v>1</v>
      </c>
      <c r="K17" s="745">
        <f>'01-FR-03 POA INSTITUCIONAL'!N43</f>
        <v>1</v>
      </c>
      <c r="L17" s="745"/>
      <c r="M17" s="1086">
        <f>+'3-Grado Cump Metas Estratégicas'!D18</f>
        <v>0.140625</v>
      </c>
      <c r="N17" s="1419"/>
    </row>
    <row r="18" spans="2:14" ht="105" customHeight="1">
      <c r="B18" s="1416"/>
      <c r="C18" s="746" t="str">
        <f>+'01-FR-03 POA INSTITUCIONAL'!C44</f>
        <v>3.3. Generar 8 escenarios que fortalezcan el conocimiento y las competencias del operador disciplinario, que apoya el cumplimiento de la labor misional, extendiendo el alcance a los jueces naturales en el Distrito Capital.</v>
      </c>
      <c r="D18" s="747">
        <v>0.1</v>
      </c>
      <c r="E18" s="743">
        <f t="shared" si="0"/>
        <v>8</v>
      </c>
      <c r="F18" s="748">
        <v>8</v>
      </c>
      <c r="G18" s="744" t="s">
        <v>90</v>
      </c>
      <c r="H18" s="753">
        <f>'01-FR-03 POA INSTITUCIONAL'!K44</f>
        <v>2</v>
      </c>
      <c r="I18" s="753">
        <f>'01-FR-03 POA INSTITUCIONAL'!L44</f>
        <v>2</v>
      </c>
      <c r="J18" s="753">
        <f>'01-FR-03 POA INSTITUCIONAL'!M44</f>
        <v>2</v>
      </c>
      <c r="K18" s="753">
        <f>'01-FR-03 POA INSTITUCIONAL'!N44</f>
        <v>2</v>
      </c>
      <c r="L18" s="745"/>
      <c r="M18" s="1086">
        <f>+'3-Grado Cump Metas Estratégicas'!D19</f>
        <v>0.375</v>
      </c>
      <c r="N18" s="1419"/>
    </row>
    <row r="19" spans="2:14" ht="63" customHeight="1">
      <c r="B19" s="1417"/>
      <c r="C19" s="746" t="str">
        <f>+'01-FR-03 POA INSTITUCIONAL'!C45</f>
        <v>3.4. Implementar al 100% tres soluciones informáticas propias para la ejecución y gestión de la Potestad Disciplinaria.</v>
      </c>
      <c r="D19" s="747">
        <v>0.35</v>
      </c>
      <c r="E19" s="754">
        <v>1</v>
      </c>
      <c r="F19" s="748">
        <v>3</v>
      </c>
      <c r="G19" s="1085" t="s">
        <v>90</v>
      </c>
      <c r="H19" s="1087">
        <v>0.3</v>
      </c>
      <c r="I19" s="1087">
        <v>0.4</v>
      </c>
      <c r="J19" s="1087">
        <v>0.25</v>
      </c>
      <c r="K19" s="1087">
        <v>0.05</v>
      </c>
      <c r="L19" s="745"/>
      <c r="M19" s="1086">
        <f>+'3-Grado Cump Metas Estratégicas'!D20</f>
        <v>0.40200000000000002</v>
      </c>
      <c r="N19" s="1420"/>
    </row>
    <row r="20" spans="2:14" ht="91.5" customHeight="1">
      <c r="B20" s="1421" t="s">
        <v>141</v>
      </c>
      <c r="C20" s="749" t="str">
        <f>+'01-FR-03 POA INSTITUCIONAL'!C48</f>
        <v>4.1. Implementar el 100% de las acciones que impulsen el crecimiento del Modelo de Madurez de Transformación Digital de la Entidad, aplicando los principios , lineamientos y normas que lo enmarcan.</v>
      </c>
      <c r="D20" s="755">
        <v>0.15</v>
      </c>
      <c r="E20" s="751">
        <v>1</v>
      </c>
      <c r="F20" s="757" t="s">
        <v>156</v>
      </c>
      <c r="G20" s="752" t="s">
        <v>81</v>
      </c>
      <c r="H20" s="757">
        <v>0.3</v>
      </c>
      <c r="I20" s="757">
        <v>0.4</v>
      </c>
      <c r="J20" s="757">
        <v>0.25</v>
      </c>
      <c r="K20" s="757">
        <v>0.05</v>
      </c>
      <c r="L20" s="757"/>
      <c r="M20" s="1086">
        <f>+'3-Grado Cump Metas Estratégicas'!D21</f>
        <v>0.5</v>
      </c>
      <c r="N20" s="1423">
        <f>+'4-Grado Cum Objetivos Est &amp; Cal'!C14</f>
        <v>0.36511067124682328</v>
      </c>
    </row>
    <row r="21" spans="2:14" ht="108" customHeight="1">
      <c r="B21" s="1421"/>
      <c r="C21" s="749" t="str">
        <f>+'01-FR-03 POA INSTITUCIONAL'!C55</f>
        <v>4.2. Consolidar el 90% del Modelo Integrado de Planeación y Gestión –MIPG- y sus sistemas de gestión articulados, como compromiso con la Calidad, la Excelencia, la Responsabilidad Ambiental y la Mejora en la prestación del Servicio.</v>
      </c>
      <c r="D21" s="751">
        <v>0.15</v>
      </c>
      <c r="E21" s="757">
        <v>0.9</v>
      </c>
      <c r="F21" s="757">
        <v>0.62</v>
      </c>
      <c r="G21" s="752" t="s">
        <v>981</v>
      </c>
      <c r="H21" s="757">
        <v>0.3</v>
      </c>
      <c r="I21" s="757">
        <v>0.3</v>
      </c>
      <c r="J21" s="757">
        <v>0.2</v>
      </c>
      <c r="K21" s="757">
        <v>0.1</v>
      </c>
      <c r="L21" s="757"/>
      <c r="M21" s="1086">
        <f>+'3-Grado Cump Metas Estratégicas'!D22</f>
        <v>0.45127654182116611</v>
      </c>
      <c r="N21" s="1423"/>
    </row>
    <row r="22" spans="2:14" ht="91.5" customHeight="1">
      <c r="B22" s="1421"/>
      <c r="C22" s="749" t="str">
        <f>+'01-FR-03 POA INSTITUCIONAL'!C61</f>
        <v xml:space="preserve">4.3. Realizar el 100% de las actividades relacionadas con la Gestión del Talento Humano, que permita su fortalecimiento y el desarrollo de sus conocimientos, su competencia y bienestar. </v>
      </c>
      <c r="D22" s="751">
        <v>0.14000000000000001</v>
      </c>
      <c r="E22" s="757">
        <v>1</v>
      </c>
      <c r="F22" s="757" t="s">
        <v>156</v>
      </c>
      <c r="G22" s="752" t="s">
        <v>91</v>
      </c>
      <c r="H22" s="757">
        <v>1</v>
      </c>
      <c r="I22" s="757">
        <v>1</v>
      </c>
      <c r="J22" s="757">
        <v>1</v>
      </c>
      <c r="K22" s="757">
        <v>1</v>
      </c>
      <c r="L22" s="757"/>
      <c r="M22" s="1086">
        <f>+'3-Grado Cump Metas Estratégicas'!D23</f>
        <v>0.19944372773436234</v>
      </c>
      <c r="N22" s="1423"/>
    </row>
    <row r="23" spans="2:14" ht="90" customHeight="1">
      <c r="B23" s="1421"/>
      <c r="C23" s="749" t="str">
        <f>+'01-FR-03 POA INSTITUCIONAL'!C69</f>
        <v>4.4. Implementar el 100% de las acciones necesarias para la modernización de la gestión institucional a través de los procesos de apoyo, que permita una mejor prestación del servicio.</v>
      </c>
      <c r="D23" s="751">
        <v>0.14000000000000001</v>
      </c>
      <c r="E23" s="757">
        <v>1</v>
      </c>
      <c r="F23" s="757" t="s">
        <v>156</v>
      </c>
      <c r="G23" s="752" t="s">
        <v>982</v>
      </c>
      <c r="H23" s="757">
        <v>1</v>
      </c>
      <c r="I23" s="757">
        <v>1</v>
      </c>
      <c r="J23" s="757">
        <v>1</v>
      </c>
      <c r="K23" s="757">
        <v>1</v>
      </c>
      <c r="L23" s="757"/>
      <c r="M23" s="1086">
        <f>+'3-Grado Cump Metas Estratégicas'!D24</f>
        <v>0.17576026757290703</v>
      </c>
      <c r="N23" s="1423"/>
    </row>
    <row r="24" spans="2:14" ht="73.5" customHeight="1">
      <c r="B24" s="1421"/>
      <c r="C24" s="749" t="str">
        <f>+'01-FR-03 POA INSTITUCIONAL'!C87</f>
        <v>4.5. Desarrollar el 100% de las acciones relacionadas con el fomento de la Cultura del Autocontrol, la Autorregulación y la Autogestión institucional.</v>
      </c>
      <c r="D24" s="751">
        <v>0.14000000000000001</v>
      </c>
      <c r="E24" s="757">
        <v>1</v>
      </c>
      <c r="F24" s="757" t="s">
        <v>156</v>
      </c>
      <c r="G24" s="752" t="s">
        <v>983</v>
      </c>
      <c r="H24" s="757">
        <v>1</v>
      </c>
      <c r="I24" s="757">
        <v>1</v>
      </c>
      <c r="J24" s="757">
        <v>1</v>
      </c>
      <c r="K24" s="757">
        <v>1</v>
      </c>
      <c r="L24" s="757"/>
      <c r="M24" s="1086">
        <f>+'3-Grado Cump Metas Estratégicas'!D25</f>
        <v>0.42183783783783785</v>
      </c>
      <c r="N24" s="1423"/>
    </row>
    <row r="25" spans="2:14" ht="94.5" customHeight="1">
      <c r="B25" s="1421"/>
      <c r="C25" s="749" t="str">
        <f>+'01-FR-03 POA INSTITUCIONAL'!C93</f>
        <v>4.6. Desarrollar el 100% de las estrategias de comunicación organizacional y de medios que contribuyan al logro de los objetivos institucionales y al posicionamiento de la Entidad.</v>
      </c>
      <c r="D25" s="751">
        <v>0.14000000000000001</v>
      </c>
      <c r="E25" s="757">
        <v>1</v>
      </c>
      <c r="F25" s="757">
        <v>1</v>
      </c>
      <c r="G25" s="752" t="s">
        <v>86</v>
      </c>
      <c r="H25" s="757">
        <v>1</v>
      </c>
      <c r="I25" s="757">
        <v>1</v>
      </c>
      <c r="J25" s="757">
        <v>1</v>
      </c>
      <c r="K25" s="757">
        <v>1</v>
      </c>
      <c r="L25" s="757"/>
      <c r="M25" s="1086">
        <f>+'3-Grado Cump Metas Estratégicas'!D26</f>
        <v>0.125</v>
      </c>
      <c r="N25" s="1423"/>
    </row>
    <row r="26" spans="2:14" ht="92.25" customHeight="1">
      <c r="B26" s="1422"/>
      <c r="C26" s="749" t="str">
        <f>+'01-FR-03 POA INSTITUCIONAL'!C95</f>
        <v>4.7. Articular el 100% de las acciones de trabajo interinstitucional y cooperación nacional e internacional que permita aunar esfuerzos para el cumplimiento de la misión institucional.</v>
      </c>
      <c r="D26" s="751">
        <v>0.14000000000000001</v>
      </c>
      <c r="E26" s="757">
        <v>1</v>
      </c>
      <c r="F26" s="757" t="s">
        <v>156</v>
      </c>
      <c r="G26" s="752" t="s">
        <v>87</v>
      </c>
      <c r="H26" s="756">
        <v>0.33333333333333337</v>
      </c>
      <c r="I26" s="756">
        <v>0.33333333333333337</v>
      </c>
      <c r="J26" s="756">
        <v>0.33333333333333337</v>
      </c>
      <c r="K26" s="757">
        <v>0</v>
      </c>
      <c r="L26" s="766"/>
      <c r="M26" s="1086">
        <f>+'3-Grado Cump Metas Estratégicas'!D27</f>
        <v>0.66666666666666663</v>
      </c>
      <c r="N26" s="1423"/>
    </row>
    <row r="27" spans="2:14" ht="88.5" customHeight="1">
      <c r="B27" s="1415" t="s">
        <v>149</v>
      </c>
      <c r="C27" s="758" t="str">
        <f>+'01-FR-03 POA INSTITUCIONAL'!C96</f>
        <v>5.1 Generar el 100% de productos de nuevo conocimiento o transformar los existentes, alineados con proyectos resultados de la investigación, desarrollo e innovación (I+D+I) en la Entidad.</v>
      </c>
      <c r="D27" s="747">
        <v>0.4</v>
      </c>
      <c r="E27" s="754">
        <v>1</v>
      </c>
      <c r="F27" s="754" t="s">
        <v>156</v>
      </c>
      <c r="G27" s="744" t="s">
        <v>80</v>
      </c>
      <c r="H27" s="745">
        <v>0.25</v>
      </c>
      <c r="I27" s="745">
        <v>0.25</v>
      </c>
      <c r="J27" s="745">
        <v>0.25</v>
      </c>
      <c r="K27" s="745">
        <v>0.25</v>
      </c>
      <c r="L27" s="753"/>
      <c r="M27" s="1086">
        <f>+'3-Grado Cump Metas Estratégicas'!D28</f>
        <v>0.125</v>
      </c>
      <c r="N27" s="1423">
        <f>+'4-Grado Cum Objetivos Est &amp; Cal'!C15</f>
        <v>0.25249999999999995</v>
      </c>
    </row>
    <row r="28" spans="2:14" ht="98.25" customHeight="1">
      <c r="B28" s="1416"/>
      <c r="C28" s="744" t="str">
        <f>+'01-FR-03 POA INSTITUCIONAL'!C98</f>
        <v>5.2 Formular el 100% de herramientas y acciones que permitan categorizar, preservar y utilizar el conocimiento para la toma de decisiones y compartir fácilmente los datos y la información de la Entidad.</v>
      </c>
      <c r="D28" s="747">
        <v>0.3</v>
      </c>
      <c r="E28" s="745">
        <v>1</v>
      </c>
      <c r="F28" s="754" t="s">
        <v>156</v>
      </c>
      <c r="G28" s="744" t="s">
        <v>80</v>
      </c>
      <c r="H28" s="745">
        <v>0.25</v>
      </c>
      <c r="I28" s="745">
        <v>0.25</v>
      </c>
      <c r="J28" s="745">
        <v>0.25</v>
      </c>
      <c r="K28" s="745">
        <v>0.25</v>
      </c>
      <c r="L28" s="753"/>
      <c r="M28" s="1086">
        <f>+'3-Grado Cump Metas Estratégicas'!D29</f>
        <v>0.375</v>
      </c>
      <c r="N28" s="1423"/>
    </row>
    <row r="29" spans="2:14" ht="120" customHeight="1">
      <c r="B29" s="1417"/>
      <c r="C29" s="759"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29" s="747">
        <v>0.3</v>
      </c>
      <c r="E29" s="760">
        <v>1</v>
      </c>
      <c r="F29" s="754" t="s">
        <v>156</v>
      </c>
      <c r="G29" s="759" t="s">
        <v>80</v>
      </c>
      <c r="H29" s="745">
        <v>0.25</v>
      </c>
      <c r="I29" s="745">
        <v>0.25</v>
      </c>
      <c r="J29" s="745">
        <v>0.25</v>
      </c>
      <c r="K29" s="745">
        <v>0.25</v>
      </c>
      <c r="L29" s="753"/>
      <c r="M29" s="1086">
        <f>+'3-Grado Cump Metas Estratégicas'!D30</f>
        <v>0.3</v>
      </c>
      <c r="N29" s="1423"/>
    </row>
    <row r="30" spans="2:14" ht="18">
      <c r="B30" s="761"/>
      <c r="C30" s="762"/>
      <c r="D30" s="762"/>
      <c r="E30" s="762"/>
      <c r="F30" s="762"/>
      <c r="G30" s="762"/>
      <c r="H30" s="761"/>
      <c r="I30" s="761"/>
      <c r="J30" s="761"/>
      <c r="K30" s="761"/>
      <c r="L30" s="761"/>
      <c r="M30" s="938">
        <f>AVERAGE(M10:M29)</f>
        <v>0.35887601073123665</v>
      </c>
      <c r="N30" s="938">
        <f>AVERAGE(N10:N29)</f>
        <v>0.36937594802032592</v>
      </c>
    </row>
    <row r="31" spans="2:14">
      <c r="M31" s="763"/>
    </row>
    <row r="33" spans="2:7">
      <c r="B33" s="767" t="s">
        <v>37</v>
      </c>
      <c r="C33" s="768">
        <v>44224</v>
      </c>
      <c r="D33" s="769"/>
      <c r="E33" s="769"/>
      <c r="F33" s="769"/>
      <c r="G33" s="769"/>
    </row>
    <row r="35" spans="2:7">
      <c r="B35" s="767" t="s">
        <v>82</v>
      </c>
      <c r="C35" s="768">
        <v>44581</v>
      </c>
    </row>
    <row r="38" spans="2:7">
      <c r="B38" s="605" t="s">
        <v>922</v>
      </c>
    </row>
  </sheetData>
  <mergeCells count="24">
    <mergeCell ref="B2:B5"/>
    <mergeCell ref="H6:L6"/>
    <mergeCell ref="M4:N4"/>
    <mergeCell ref="C2:K4"/>
    <mergeCell ref="C5:K5"/>
    <mergeCell ref="N8:N9"/>
    <mergeCell ref="B10:B12"/>
    <mergeCell ref="N10:N12"/>
    <mergeCell ref="B13:B15"/>
    <mergeCell ref="N13:N15"/>
    <mergeCell ref="G7:G9"/>
    <mergeCell ref="H7:L7"/>
    <mergeCell ref="M7:M8"/>
    <mergeCell ref="B7:B9"/>
    <mergeCell ref="C7:C9"/>
    <mergeCell ref="D7:D9"/>
    <mergeCell ref="E7:E9"/>
    <mergeCell ref="F7:F9"/>
    <mergeCell ref="B16:B19"/>
    <mergeCell ref="N16:N19"/>
    <mergeCell ref="B20:B26"/>
    <mergeCell ref="N20:N26"/>
    <mergeCell ref="B27:B29"/>
    <mergeCell ref="N27:N29"/>
  </mergeCells>
  <conditionalFormatting sqref="H21:L22 H26:L29">
    <cfRule type="expression" dxfId="870" priority="166">
      <formula>#REF!="Pesos ($)"</formula>
    </cfRule>
    <cfRule type="expression" dxfId="869" priority="167">
      <formula>OR(LEFT(#REF!,9)="Número de",#REF!="Otra")</formula>
    </cfRule>
    <cfRule type="expression" dxfId="868" priority="168">
      <formula>#REF!="Porcentaje"</formula>
    </cfRule>
  </conditionalFormatting>
  <conditionalFormatting sqref="H23:L23">
    <cfRule type="expression" dxfId="867" priority="149">
      <formula>#REF!="Pesos ($)"</formula>
    </cfRule>
    <cfRule type="expression" dxfId="866" priority="150">
      <formula>OR(LEFT(#REF!,9)="Número de",#REF!="Otra")</formula>
    </cfRule>
    <cfRule type="expression" dxfId="865" priority="151">
      <formula>#REF!="Porcentaje"</formula>
    </cfRule>
  </conditionalFormatting>
  <conditionalFormatting sqref="H25:L25">
    <cfRule type="expression" dxfId="864" priority="146">
      <formula>#REF!="Pesos ($)"</formula>
    </cfRule>
    <cfRule type="expression" dxfId="863" priority="147">
      <formula>OR(LEFT(#REF!,9)="Número de",#REF!="Otra")</formula>
    </cfRule>
    <cfRule type="expression" dxfId="862" priority="148">
      <formula>#REF!="Porcentaje"</formula>
    </cfRule>
  </conditionalFormatting>
  <conditionalFormatting sqref="H24:L24 H12:K12 H17:K18">
    <cfRule type="expression" dxfId="861" priority="143">
      <formula>#REF!="Pesos ($)"</formula>
    </cfRule>
    <cfRule type="expression" dxfId="860" priority="144">
      <formula>OR(LEFT(#REF!,9)="Número de",#REF!="Otra")</formula>
    </cfRule>
    <cfRule type="expression" dxfId="859" priority="145">
      <formula>#REF!="Porcentaje"</formula>
    </cfRule>
  </conditionalFormatting>
  <conditionalFormatting sqref="L10:L19">
    <cfRule type="expression" dxfId="858" priority="140">
      <formula>#REF!="Pesos ($)"</formula>
    </cfRule>
    <cfRule type="expression" dxfId="857" priority="141">
      <formula>OR(LEFT(#REF!,9)="Número de",#REF!="Otra")</formula>
    </cfRule>
    <cfRule type="expression" dxfId="856" priority="142">
      <formula>#REF!="Porcentaje"</formula>
    </cfRule>
  </conditionalFormatting>
  <conditionalFormatting sqref="I20:L20">
    <cfRule type="expression" dxfId="855" priority="130">
      <formula>#REF!="Pesos ($)"</formula>
    </cfRule>
    <cfRule type="expression" dxfId="854" priority="131">
      <formula>OR(LEFT(#REF!,9)="Número de",#REF!="Otra")</formula>
    </cfRule>
    <cfRule type="expression" dxfId="853" priority="132">
      <formula>#REF!="Porcentaje"</formula>
    </cfRule>
  </conditionalFormatting>
  <conditionalFormatting sqref="H20">
    <cfRule type="expression" dxfId="852" priority="127">
      <formula>#REF!="Pesos ($)"</formula>
    </cfRule>
    <cfRule type="expression" dxfId="851" priority="128">
      <formula>OR(LEFT(#REF!,9)="Número de",#REF!="Otra")</formula>
    </cfRule>
    <cfRule type="expression" dxfId="850" priority="129">
      <formula>#REF!="Porcentaje"</formula>
    </cfRule>
  </conditionalFormatting>
  <conditionalFormatting sqref="H13:K15">
    <cfRule type="expression" dxfId="849" priority="25">
      <formula>#REF!="Pesos ($)"</formula>
    </cfRule>
    <cfRule type="expression" dxfId="848" priority="26">
      <formula>OR(LEFT(#REF!,9)="Número de",#REF!="Otra")</formula>
    </cfRule>
    <cfRule type="expression" dxfId="847" priority="27">
      <formula>#REF!="Porcentaje"</formula>
    </cfRule>
  </conditionalFormatting>
  <conditionalFormatting sqref="H10:K11">
    <cfRule type="expression" dxfId="846" priority="16">
      <formula>#REF!="Pesos ($)"</formula>
    </cfRule>
    <cfRule type="expression" dxfId="845" priority="17">
      <formula>OR(LEFT(#REF!,9)="Número de",#REF!="Otra")</formula>
    </cfRule>
    <cfRule type="expression" dxfId="844" priority="18">
      <formula>#REF!="Porcentaje"</formula>
    </cfRule>
  </conditionalFormatting>
  <conditionalFormatting sqref="H16:K16">
    <cfRule type="expression" dxfId="843" priority="13">
      <formula>#REF!="Pesos ($)"</formula>
    </cfRule>
    <cfRule type="expression" dxfId="842" priority="14">
      <formula>OR(LEFT(#REF!,9)="Número de",#REF!="Otra")</formula>
    </cfRule>
    <cfRule type="expression" dxfId="841" priority="15">
      <formula>#REF!="Porcentaje"</formula>
    </cfRule>
  </conditionalFormatting>
  <conditionalFormatting sqref="H19:K19">
    <cfRule type="expression" dxfId="840" priority="1">
      <formula>#REF!="Pesos ($)"</formula>
    </cfRule>
    <cfRule type="expression" dxfId="839" priority="2">
      <formula>OR(LEFT(#REF!,9)="Número de",#REF!="Otra")</formula>
    </cfRule>
    <cfRule type="expression" dxfId="838" priority="3">
      <formula>#REF!="Porcentaje"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2FED-B871-4A7A-B967-061E54B0236B}">
  <sheetPr>
    <tabColor rgb="FF00B0F0"/>
  </sheetPr>
  <dimension ref="B1:P40"/>
  <sheetViews>
    <sheetView showGridLines="0" workbookViewId="0">
      <selection activeCell="B23" sqref="B23:O23"/>
    </sheetView>
  </sheetViews>
  <sheetFormatPr baseColWidth="10" defaultColWidth="11.42578125" defaultRowHeight="12.75"/>
  <cols>
    <col min="1" max="1" width="4.28515625" style="339" customWidth="1"/>
    <col min="2" max="2" width="28.5703125" style="339" customWidth="1"/>
    <col min="3" max="13" width="7.140625" style="339" customWidth="1"/>
    <col min="14" max="14" width="14.28515625" style="339" customWidth="1"/>
    <col min="15" max="15" width="14.42578125" style="339" customWidth="1"/>
    <col min="16" max="16" width="6.7109375" style="339" customWidth="1"/>
    <col min="17" max="17" width="9.5703125" style="339" customWidth="1"/>
    <col min="18" max="18" width="17.140625" style="339" customWidth="1"/>
    <col min="19" max="16384" width="11.42578125" style="339"/>
  </cols>
  <sheetData>
    <row r="1" spans="2:16" s="7" customFormat="1" ht="7.5" customHeight="1" thickBot="1">
      <c r="B1" s="337"/>
      <c r="C1" s="337"/>
      <c r="D1" s="337"/>
      <c r="E1" s="337"/>
      <c r="F1" s="337"/>
      <c r="G1" s="337"/>
      <c r="H1" s="337"/>
      <c r="I1" s="337"/>
      <c r="J1" s="337"/>
      <c r="K1" s="337"/>
      <c r="L1" s="337"/>
      <c r="M1" s="337"/>
      <c r="N1" s="337"/>
      <c r="O1" s="337"/>
      <c r="P1" s="337"/>
    </row>
    <row r="2" spans="2:16" s="7" customFormat="1" ht="15.75">
      <c r="B2" s="1446" t="s">
        <v>685</v>
      </c>
      <c r="C2" s="1449" t="s">
        <v>969</v>
      </c>
      <c r="D2" s="1450"/>
      <c r="E2" s="1450"/>
      <c r="F2" s="1450"/>
      <c r="G2" s="1450"/>
      <c r="H2" s="1450"/>
      <c r="I2" s="1450"/>
      <c r="J2" s="1450"/>
      <c r="K2" s="1450"/>
      <c r="L2" s="1450"/>
      <c r="M2" s="1450"/>
      <c r="N2" s="1455" t="s">
        <v>1055</v>
      </c>
      <c r="O2" s="1456"/>
      <c r="P2" s="337"/>
    </row>
    <row r="3" spans="2:16" s="7" customFormat="1" ht="15.75">
      <c r="B3" s="1447"/>
      <c r="C3" s="1451"/>
      <c r="D3" s="1452"/>
      <c r="E3" s="1452"/>
      <c r="F3" s="1452"/>
      <c r="G3" s="1452"/>
      <c r="H3" s="1452"/>
      <c r="I3" s="1452"/>
      <c r="J3" s="1452"/>
      <c r="K3" s="1452"/>
      <c r="L3" s="1452"/>
      <c r="M3" s="1452"/>
      <c r="N3" s="940" t="s">
        <v>28</v>
      </c>
      <c r="O3" s="941" t="s">
        <v>29</v>
      </c>
      <c r="P3" s="337"/>
    </row>
    <row r="4" spans="2:16" s="7" customFormat="1" ht="15.75" customHeight="1">
      <c r="B4" s="1447"/>
      <c r="C4" s="1451"/>
      <c r="D4" s="1452"/>
      <c r="E4" s="1452"/>
      <c r="F4" s="1452"/>
      <c r="G4" s="1452"/>
      <c r="H4" s="1452"/>
      <c r="I4" s="1452"/>
      <c r="J4" s="1452"/>
      <c r="K4" s="1452"/>
      <c r="L4" s="1452"/>
      <c r="M4" s="1452"/>
      <c r="N4" s="942">
        <v>7</v>
      </c>
      <c r="O4" s="943" t="s">
        <v>1056</v>
      </c>
      <c r="P4" s="337"/>
    </row>
    <row r="5" spans="2:16" s="7" customFormat="1" ht="15.75">
      <c r="B5" s="1447"/>
      <c r="C5" s="1451"/>
      <c r="D5" s="1452"/>
      <c r="E5" s="1452"/>
      <c r="F5" s="1452"/>
      <c r="G5" s="1452"/>
      <c r="H5" s="1452"/>
      <c r="I5" s="1452"/>
      <c r="J5" s="1452"/>
      <c r="K5" s="1452"/>
      <c r="L5" s="1452"/>
      <c r="M5" s="1452"/>
      <c r="N5" s="1457" t="s">
        <v>30</v>
      </c>
      <c r="O5" s="1458"/>
      <c r="P5" s="337"/>
    </row>
    <row r="6" spans="2:16" s="7" customFormat="1" ht="15.6" customHeight="1" thickBot="1">
      <c r="B6" s="1448"/>
      <c r="C6" s="1453"/>
      <c r="D6" s="1454"/>
      <c r="E6" s="1454"/>
      <c r="F6" s="1454"/>
      <c r="G6" s="1454"/>
      <c r="H6" s="1454"/>
      <c r="I6" s="1454"/>
      <c r="J6" s="1454"/>
      <c r="K6" s="1454"/>
      <c r="L6" s="1454"/>
      <c r="M6" s="1454"/>
      <c r="N6" s="1459">
        <v>44561</v>
      </c>
      <c r="O6" s="1460"/>
      <c r="P6" s="337"/>
    </row>
    <row r="7" spans="2:16" s="7" customFormat="1" ht="13.5" thickBot="1">
      <c r="B7" s="337"/>
      <c r="C7" s="337"/>
      <c r="D7" s="337"/>
      <c r="E7" s="337"/>
      <c r="F7" s="338">
        <f>D11</f>
        <v>0</v>
      </c>
      <c r="G7" s="337"/>
      <c r="H7" s="337"/>
      <c r="I7" s="337"/>
      <c r="J7" s="337"/>
      <c r="K7" s="337"/>
      <c r="L7" s="337"/>
      <c r="M7" s="337"/>
      <c r="N7" s="337"/>
      <c r="O7" s="337"/>
      <c r="P7" s="337"/>
    </row>
    <row r="8" spans="2:16" s="7" customFormat="1" ht="15.75">
      <c r="B8" s="1461" t="s">
        <v>1057</v>
      </c>
      <c r="C8" s="1462"/>
      <c r="D8" s="1462"/>
      <c r="E8" s="1462"/>
      <c r="F8" s="1462"/>
      <c r="G8" s="1462"/>
      <c r="H8" s="1462"/>
      <c r="I8" s="1462"/>
      <c r="J8" s="1462"/>
      <c r="K8" s="1462"/>
      <c r="L8" s="1462"/>
      <c r="M8" s="1462"/>
      <c r="N8" s="1462"/>
      <c r="O8" s="1463"/>
      <c r="P8" s="337"/>
    </row>
    <row r="9" spans="2:16" s="7" customFormat="1">
      <c r="B9" s="337"/>
      <c r="C9" s="337"/>
      <c r="D9" s="337"/>
      <c r="E9" s="337"/>
      <c r="F9" s="338"/>
      <c r="G9" s="337"/>
      <c r="H9" s="337"/>
      <c r="I9" s="337"/>
      <c r="J9" s="337"/>
      <c r="K9" s="337"/>
      <c r="L9" s="337"/>
      <c r="M9" s="337"/>
      <c r="N9" s="337"/>
      <c r="O9" s="337"/>
      <c r="P9" s="337"/>
    </row>
    <row r="10" spans="2:16" s="7" customFormat="1" ht="15.75">
      <c r="B10" s="944" t="s">
        <v>32</v>
      </c>
      <c r="C10" s="1464" t="s">
        <v>33</v>
      </c>
      <c r="D10" s="1464"/>
      <c r="E10" s="1464"/>
      <c r="F10" s="1464"/>
      <c r="G10" s="1464"/>
      <c r="H10" s="1464"/>
      <c r="I10" s="1464"/>
      <c r="J10" s="1464"/>
      <c r="K10" s="1464"/>
      <c r="L10" s="1464"/>
      <c r="M10" s="1464"/>
      <c r="N10" s="1464"/>
      <c r="O10" s="1464"/>
      <c r="P10" s="337"/>
    </row>
    <row r="11" spans="2:16" s="7" customFormat="1" ht="55.15" customHeight="1">
      <c r="B11" s="22" t="s">
        <v>1058</v>
      </c>
      <c r="C11" s="1445" t="s">
        <v>1059</v>
      </c>
      <c r="D11" s="1445"/>
      <c r="E11" s="1445"/>
      <c r="F11" s="1445"/>
      <c r="G11" s="1445"/>
      <c r="H11" s="1445"/>
      <c r="I11" s="1445"/>
      <c r="J11" s="1445"/>
      <c r="K11" s="1445"/>
      <c r="L11" s="1445"/>
      <c r="M11" s="1445"/>
      <c r="N11" s="1445"/>
      <c r="O11" s="1445"/>
    </row>
    <row r="12" spans="2:16" s="7" customFormat="1" ht="55.15" customHeight="1">
      <c r="B12" s="23" t="s">
        <v>1060</v>
      </c>
      <c r="C12" s="1445" t="s">
        <v>1061</v>
      </c>
      <c r="D12" s="1445"/>
      <c r="E12" s="1445"/>
      <c r="F12" s="1445"/>
      <c r="G12" s="1445"/>
      <c r="H12" s="1445"/>
      <c r="I12" s="1445"/>
      <c r="J12" s="1445"/>
      <c r="K12" s="1445"/>
      <c r="L12" s="1445"/>
      <c r="M12" s="1445"/>
      <c r="N12" s="1445"/>
      <c r="O12" s="1445"/>
    </row>
    <row r="13" spans="2:16" s="7" customFormat="1" ht="55.15" customHeight="1">
      <c r="B13" s="22" t="s">
        <v>972</v>
      </c>
      <c r="C13" s="1445" t="s">
        <v>1062</v>
      </c>
      <c r="D13" s="1445"/>
      <c r="E13" s="1445"/>
      <c r="F13" s="1445"/>
      <c r="G13" s="1445"/>
      <c r="H13" s="1445"/>
      <c r="I13" s="1445"/>
      <c r="J13" s="1445"/>
      <c r="K13" s="1445"/>
      <c r="L13" s="1445"/>
      <c r="M13" s="1445"/>
      <c r="N13" s="1445"/>
      <c r="O13" s="1445"/>
    </row>
    <row r="14" spans="2:16" s="7" customFormat="1" ht="55.15" customHeight="1">
      <c r="B14" s="22" t="s">
        <v>1063</v>
      </c>
      <c r="C14" s="1445" t="s">
        <v>1064</v>
      </c>
      <c r="D14" s="1445"/>
      <c r="E14" s="1445"/>
      <c r="F14" s="1445"/>
      <c r="G14" s="1445"/>
      <c r="H14" s="1445"/>
      <c r="I14" s="1445"/>
      <c r="J14" s="1445"/>
      <c r="K14" s="1445"/>
      <c r="L14" s="1445"/>
      <c r="M14" s="1445"/>
      <c r="N14" s="1445"/>
      <c r="O14" s="1445"/>
    </row>
    <row r="15" spans="2:16" s="7" customFormat="1" ht="55.15" customHeight="1">
      <c r="B15" s="22" t="s">
        <v>69</v>
      </c>
      <c r="C15" s="1445" t="s">
        <v>1065</v>
      </c>
      <c r="D15" s="1445"/>
      <c r="E15" s="1445"/>
      <c r="F15" s="1445"/>
      <c r="G15" s="1445"/>
      <c r="H15" s="1445"/>
      <c r="I15" s="1445"/>
      <c r="J15" s="1445"/>
      <c r="K15" s="1445"/>
      <c r="L15" s="1445"/>
      <c r="M15" s="1445"/>
      <c r="N15" s="1445"/>
      <c r="O15" s="1445"/>
    </row>
    <row r="16" spans="2:16" s="7" customFormat="1" ht="55.15" customHeight="1">
      <c r="B16" s="16" t="s">
        <v>1066</v>
      </c>
      <c r="C16" s="1445" t="s">
        <v>1067</v>
      </c>
      <c r="D16" s="1445"/>
      <c r="E16" s="1445"/>
      <c r="F16" s="1445"/>
      <c r="G16" s="1445"/>
      <c r="H16" s="1445"/>
      <c r="I16" s="1445"/>
      <c r="J16" s="1445"/>
      <c r="K16" s="1445"/>
      <c r="L16" s="1445"/>
      <c r="M16" s="1445"/>
      <c r="N16" s="1445"/>
      <c r="O16" s="1445"/>
    </row>
    <row r="17" spans="2:15" s="7" customFormat="1" ht="76.150000000000006" customHeight="1">
      <c r="B17" s="16" t="s">
        <v>975</v>
      </c>
      <c r="C17" s="1445" t="s">
        <v>1068</v>
      </c>
      <c r="D17" s="1445"/>
      <c r="E17" s="1445"/>
      <c r="F17" s="1445"/>
      <c r="G17" s="1445"/>
      <c r="H17" s="1445"/>
      <c r="I17" s="1445"/>
      <c r="J17" s="1445"/>
      <c r="K17" s="1445"/>
      <c r="L17" s="1445"/>
      <c r="M17" s="1445"/>
      <c r="N17" s="1445"/>
      <c r="O17" s="1445"/>
    </row>
    <row r="18" spans="2:15" s="7" customFormat="1" ht="55.15" customHeight="1">
      <c r="B18" s="16" t="s">
        <v>976</v>
      </c>
      <c r="C18" s="1466" t="s">
        <v>1069</v>
      </c>
      <c r="D18" s="1466"/>
      <c r="E18" s="1466"/>
      <c r="F18" s="1466"/>
      <c r="G18" s="1466"/>
      <c r="H18" s="1466"/>
      <c r="I18" s="1466"/>
      <c r="J18" s="1466"/>
      <c r="K18" s="1466"/>
      <c r="L18" s="1466"/>
      <c r="M18" s="1466"/>
      <c r="N18" s="1466"/>
      <c r="O18" s="1466"/>
    </row>
    <row r="19" spans="2:15" s="7" customFormat="1" ht="55.15" customHeight="1">
      <c r="B19" s="16" t="s">
        <v>1070</v>
      </c>
      <c r="C19" s="1466" t="s">
        <v>1071</v>
      </c>
      <c r="D19" s="1466"/>
      <c r="E19" s="1466"/>
      <c r="F19" s="1466"/>
      <c r="G19" s="1466"/>
      <c r="H19" s="1466"/>
      <c r="I19" s="1466"/>
      <c r="J19" s="1466"/>
      <c r="K19" s="1466"/>
      <c r="L19" s="1466"/>
      <c r="M19" s="1466"/>
      <c r="N19" s="1466"/>
      <c r="O19" s="1466"/>
    </row>
    <row r="20" spans="2:15" s="7" customFormat="1" ht="55.15" customHeight="1">
      <c r="B20" s="16" t="s">
        <v>37</v>
      </c>
      <c r="C20" s="1445" t="s">
        <v>83</v>
      </c>
      <c r="D20" s="1445"/>
      <c r="E20" s="1445"/>
      <c r="F20" s="1445"/>
      <c r="G20" s="1445"/>
      <c r="H20" s="1445"/>
      <c r="I20" s="1445"/>
      <c r="J20" s="1445"/>
      <c r="K20" s="1445"/>
      <c r="L20" s="1445"/>
      <c r="M20" s="1445"/>
      <c r="N20" s="1445"/>
      <c r="O20" s="1445"/>
    </row>
    <row r="21" spans="2:15" s="7" customFormat="1" ht="55.15" customHeight="1">
      <c r="B21" s="16" t="s">
        <v>82</v>
      </c>
      <c r="C21" s="1445" t="s">
        <v>84</v>
      </c>
      <c r="D21" s="1445"/>
      <c r="E21" s="1445"/>
      <c r="F21" s="1445"/>
      <c r="G21" s="1445"/>
      <c r="H21" s="1445"/>
      <c r="I21" s="1445"/>
      <c r="J21" s="1445"/>
      <c r="K21" s="1445"/>
      <c r="L21" s="1445"/>
      <c r="M21" s="1445"/>
      <c r="N21" s="1445"/>
      <c r="O21" s="1445"/>
    </row>
    <row r="22" spans="2:15" ht="12.75" customHeight="1"/>
    <row r="23" spans="2:15" ht="12.75" customHeight="1">
      <c r="B23" s="1465" t="s">
        <v>922</v>
      </c>
      <c r="C23" s="1465"/>
      <c r="D23" s="1465"/>
      <c r="E23" s="1465"/>
      <c r="F23" s="1465"/>
      <c r="G23" s="1465"/>
      <c r="H23" s="1465"/>
      <c r="I23" s="1465"/>
      <c r="J23" s="1465"/>
      <c r="K23" s="1465"/>
      <c r="L23" s="1465"/>
      <c r="M23" s="1465"/>
      <c r="N23" s="1465"/>
      <c r="O23" s="1465"/>
    </row>
    <row r="24" spans="2:15" ht="12.75" customHeight="1"/>
    <row r="25" spans="2:15" ht="12.75" customHeight="1"/>
    <row r="26" spans="2:15" ht="12.75" customHeight="1"/>
    <row r="27" spans="2:15" ht="12.75" customHeight="1"/>
    <row r="28" spans="2:15" ht="12.75" customHeight="1"/>
    <row r="29" spans="2:15" ht="12.75" customHeight="1"/>
    <row r="30" spans="2:15" ht="12.75" customHeight="1"/>
    <row r="31" spans="2:15" ht="12.75" customHeight="1"/>
    <row r="32" spans="2:15" ht="12.75" customHeight="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5Jwf0bnBeyMDubuOUh9hfgxyaXwIAs4zfrKtZGOoPyNGp8H8ai3/vBt3bv8pp3t/pCN1e7lqTbqWY7UYypfg1A==" saltValue="Yw4RKSG62dmxT4LW8P6ifw==" spinCount="100000" sheet="1" objects="1" scenarios="1"/>
  <mergeCells count="19">
    <mergeCell ref="B23:O23"/>
    <mergeCell ref="C16:O16"/>
    <mergeCell ref="C17:O17"/>
    <mergeCell ref="C18:O18"/>
    <mergeCell ref="C19:O19"/>
    <mergeCell ref="C20:O20"/>
    <mergeCell ref="C21:O21"/>
    <mergeCell ref="C15:O15"/>
    <mergeCell ref="B2:B6"/>
    <mergeCell ref="C2:M6"/>
    <mergeCell ref="N2:O2"/>
    <mergeCell ref="N5:O5"/>
    <mergeCell ref="N6:O6"/>
    <mergeCell ref="B8:O8"/>
    <mergeCell ref="C10:O10"/>
    <mergeCell ref="C11:O11"/>
    <mergeCell ref="C12:O12"/>
    <mergeCell ref="C13:O13"/>
    <mergeCell ref="C14:O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rgb="FF00FF99"/>
  </sheetPr>
  <dimension ref="B1:R84"/>
  <sheetViews>
    <sheetView showGridLines="0" zoomScale="85" zoomScaleNormal="85" workbookViewId="0">
      <selection activeCell="F39" sqref="F39"/>
    </sheetView>
  </sheetViews>
  <sheetFormatPr baseColWidth="10" defaultColWidth="11.42578125" defaultRowHeight="15"/>
  <cols>
    <col min="1" max="1" width="3.7109375" style="516" customWidth="1"/>
    <col min="2" max="2" width="52.42578125" style="516" customWidth="1"/>
    <col min="3" max="5" width="18.42578125" style="518" customWidth="1"/>
    <col min="6" max="7" width="18.42578125" style="516" customWidth="1"/>
    <col min="8" max="8" width="6.140625" style="518" customWidth="1"/>
    <col min="9" max="9" width="11.42578125" style="516" customWidth="1"/>
    <col min="10" max="16" width="11.42578125" style="516"/>
    <col min="17" max="17" width="62.42578125" style="516" bestFit="1" customWidth="1"/>
    <col min="18" max="18" width="40" style="516" customWidth="1"/>
    <col min="19" max="16356" width="11.42578125" style="516"/>
    <col min="16357" max="16357" width="1.42578125" style="516" customWidth="1"/>
    <col min="16358" max="16384" width="2.85546875" style="516" customWidth="1"/>
  </cols>
  <sheetData>
    <row r="1" spans="2:18">
      <c r="C1" s="517"/>
      <c r="D1" s="517"/>
      <c r="E1" s="517"/>
    </row>
    <row r="2" spans="2:18" ht="15.75">
      <c r="B2" s="1467" t="s">
        <v>889</v>
      </c>
      <c r="C2" s="1468" t="s">
        <v>894</v>
      </c>
      <c r="D2" s="1469"/>
      <c r="E2" s="1469"/>
      <c r="F2" s="1469"/>
      <c r="G2" s="1470"/>
      <c r="H2" s="565"/>
    </row>
    <row r="3" spans="2:18" ht="18">
      <c r="B3" s="1467"/>
      <c r="C3" s="1471" t="str">
        <f>+'3.Resum Desemp Procesos POA T1'!C3</f>
        <v>PLAN OPERATIVO ANUAL 2022</v>
      </c>
      <c r="D3" s="1472"/>
      <c r="E3" s="1472"/>
      <c r="F3" s="1472"/>
      <c r="G3" s="1473"/>
      <c r="H3" s="565"/>
    </row>
    <row r="4" spans="2:18" ht="9.75" customHeight="1">
      <c r="B4" s="1482"/>
      <c r="C4" s="1482"/>
      <c r="D4" s="1482"/>
      <c r="E4" s="1482"/>
      <c r="F4" s="1482"/>
      <c r="G4" s="610"/>
      <c r="H4" s="538"/>
    </row>
    <row r="5" spans="2:18" ht="19.5" customHeight="1">
      <c r="B5" s="516" t="str">
        <f>+'3.Resum Desemp Procesos POA T1'!B5</f>
        <v xml:space="preserve">Fecha de corte: </v>
      </c>
      <c r="C5" s="1064">
        <f>+'3.Resum Desemp Procesos POA T4 '!C5</f>
        <v>44926</v>
      </c>
    </row>
    <row r="6" spans="2:18" ht="19.5" customHeight="1">
      <c r="B6" s="519"/>
    </row>
    <row r="7" spans="2:18" s="528" customFormat="1" ht="31.5" customHeight="1">
      <c r="B7" s="1431" t="s">
        <v>717</v>
      </c>
      <c r="C7" s="1483" t="s">
        <v>1053</v>
      </c>
      <c r="D7" s="1484"/>
      <c r="E7" s="1484"/>
      <c r="F7" s="1484"/>
      <c r="G7" s="1485"/>
      <c r="H7" s="529"/>
      <c r="Q7" s="516"/>
      <c r="R7" s="516"/>
    </row>
    <row r="8" spans="2:18" s="528" customFormat="1" ht="74.45" customHeight="1">
      <c r="B8" s="1431"/>
      <c r="C8" s="611" t="s">
        <v>895</v>
      </c>
      <c r="D8" s="611" t="s">
        <v>896</v>
      </c>
      <c r="E8" s="611" t="s">
        <v>897</v>
      </c>
      <c r="F8" s="611" t="s">
        <v>904</v>
      </c>
      <c r="G8" s="570" t="s">
        <v>923</v>
      </c>
      <c r="H8" s="529"/>
      <c r="Q8" s="516"/>
      <c r="R8" s="516"/>
    </row>
    <row r="9" spans="2:18">
      <c r="B9" s="521" t="s">
        <v>724</v>
      </c>
      <c r="C9" s="616">
        <f>+'4.Segto Medición POA 2022 T4'!C64</f>
        <v>4</v>
      </c>
      <c r="D9" s="541">
        <f>COUNTIF('2.Infor Detallado Desempeño POA'!AL12:AL15,"=100%")</f>
        <v>0</v>
      </c>
      <c r="E9" s="542">
        <f>COUNTIF('2.Infor Detallado Desempeño POA'!AL12:AL15,"&gt;100%")</f>
        <v>0</v>
      </c>
      <c r="F9" s="614">
        <f>COUNTIF('2.Infor Detallado Desempeño POA'!AL12:AL15,"&lt;100%")</f>
        <v>3</v>
      </c>
      <c r="G9" s="612">
        <f>COUNTIF('2.Infor Detallado Desempeño POA'!AL12:AL15,"=No programado")</f>
        <v>1</v>
      </c>
      <c r="H9" s="539">
        <f>SUM(D9:G9)</f>
        <v>4</v>
      </c>
      <c r="I9" s="540">
        <f t="shared" ref="I9:I25" si="0">C9-H9</f>
        <v>0</v>
      </c>
    </row>
    <row r="10" spans="2:18">
      <c r="B10" s="521" t="s">
        <v>726</v>
      </c>
      <c r="C10" s="616">
        <f>+'4.Segto Medición POA 2022 T4'!C65</f>
        <v>4</v>
      </c>
      <c r="D10" s="541">
        <f>COUNTIF('2.Infor Detallado Desempeño POA'!AL21:AL24,"=100%")</f>
        <v>0</v>
      </c>
      <c r="E10" s="542">
        <f>COUNTIF('2.Infor Detallado Desempeño POA'!AL21:AL24,"&gt;100%")</f>
        <v>0</v>
      </c>
      <c r="F10" s="614">
        <f>COUNTIF('2.Infor Detallado Desempeño POA'!AL21:AL24,"&lt;100%")</f>
        <v>4</v>
      </c>
      <c r="G10" s="612">
        <f>COUNTIF('2.Infor Detallado Desempeño POA'!AL21:AL24,"=No programado")</f>
        <v>0</v>
      </c>
      <c r="H10" s="539">
        <f t="shared" ref="H10:H24" si="1">SUM(D10:G10)</f>
        <v>4</v>
      </c>
      <c r="I10" s="540">
        <f t="shared" si="0"/>
        <v>0</v>
      </c>
    </row>
    <row r="11" spans="2:18">
      <c r="B11" s="521" t="s">
        <v>727</v>
      </c>
      <c r="C11" s="616">
        <f>+'4.Segto Medición POA 2022 T4'!C66</f>
        <v>7</v>
      </c>
      <c r="D11" s="541">
        <f>COUNTIF('2.Infor Detallado Desempeño POA'!AL30:AL36,"=100%")</f>
        <v>0</v>
      </c>
      <c r="E11" s="542">
        <f>COUNTIF('2.Infor Detallado Desempeño POA'!AL30:AL36,"&gt;100%")</f>
        <v>0</v>
      </c>
      <c r="F11" s="614">
        <f>COUNTIF('2.Infor Detallado Desempeño POA'!AL30:AL36,"&lt;100%")</f>
        <v>7</v>
      </c>
      <c r="G11" s="612">
        <f>COUNTIF('2.Infor Detallado Desempeño POA'!AL30:AL36,"=No programado")</f>
        <v>0</v>
      </c>
      <c r="H11" s="539">
        <f t="shared" si="1"/>
        <v>7</v>
      </c>
      <c r="I11" s="540">
        <f t="shared" si="0"/>
        <v>0</v>
      </c>
    </row>
    <row r="12" spans="2:18">
      <c r="B12" s="521" t="s">
        <v>728</v>
      </c>
      <c r="C12" s="616">
        <f>+'4.Segto Medición POA 2022 T4'!C67</f>
        <v>2</v>
      </c>
      <c r="D12" s="541">
        <f>COUNTIF('2.Infor Detallado Desempeño POA'!AL42:AL43,"=100%")</f>
        <v>0</v>
      </c>
      <c r="E12" s="542">
        <f>COUNTIF('2.Infor Detallado Desempeño POA'!AL42:AL43,"&gt;100%")</f>
        <v>0</v>
      </c>
      <c r="F12" s="614">
        <f>COUNTIF('2.Infor Detallado Desempeño POA'!AL42:AL43,"&lt;100%")</f>
        <v>2</v>
      </c>
      <c r="G12" s="612">
        <f>COUNTIF('2.Infor Detallado Desempeño POA'!AL42:AL43,"=No programado")</f>
        <v>0</v>
      </c>
      <c r="H12" s="539">
        <f>SUM(D12:G12)</f>
        <v>2</v>
      </c>
      <c r="I12" s="540">
        <f t="shared" si="0"/>
        <v>0</v>
      </c>
    </row>
    <row r="13" spans="2:18">
      <c r="B13" s="521" t="s">
        <v>739</v>
      </c>
      <c r="C13" s="616">
        <f>+'4.Segto Medición POA 2022 T4'!C68</f>
        <v>3</v>
      </c>
      <c r="D13" s="541">
        <f>COUNTIF('2.Infor Detallado Desempeño POA'!AL49:AL51,"=100%")</f>
        <v>0</v>
      </c>
      <c r="E13" s="542">
        <f>COUNTIF('2.Infor Detallado Desempeño POA'!AL49:AL51,"&gt;100%")</f>
        <v>0</v>
      </c>
      <c r="F13" s="614">
        <f>COUNTIF('2.Infor Detallado Desempeño POA'!AL49:AL51,"&lt;100%")</f>
        <v>2</v>
      </c>
      <c r="G13" s="612">
        <f>COUNTIF('2.Infor Detallado Desempeño POA'!AL49:AL51,"=No programado")</f>
        <v>1</v>
      </c>
      <c r="H13" s="539">
        <f t="shared" si="1"/>
        <v>3</v>
      </c>
      <c r="I13" s="540">
        <f t="shared" si="0"/>
        <v>0</v>
      </c>
    </row>
    <row r="14" spans="2:18">
      <c r="B14" s="521" t="s">
        <v>729</v>
      </c>
      <c r="C14" s="616">
        <f>+'4.Segto Medición POA 2022 T4'!C69</f>
        <v>20</v>
      </c>
      <c r="D14" s="541">
        <f>COUNTIF('2.Infor Detallado Desempeño POA'!AL57:AL76,"=100%")</f>
        <v>0</v>
      </c>
      <c r="E14" s="542">
        <f>COUNTIF('2.Infor Detallado Desempeño POA'!AL57:AL76,"&gt;100%")</f>
        <v>0</v>
      </c>
      <c r="F14" s="614">
        <f>COUNTIF('2.Infor Detallado Desempeño POA'!AL57:AL76,"&lt;100%")</f>
        <v>18</v>
      </c>
      <c r="G14" s="612">
        <f>COUNTIF('2.Infor Detallado Desempeño POA'!AL57:AL76,"=No programado")</f>
        <v>2</v>
      </c>
      <c r="H14" s="539">
        <f t="shared" si="1"/>
        <v>20</v>
      </c>
      <c r="I14" s="540">
        <f t="shared" si="0"/>
        <v>0</v>
      </c>
    </row>
    <row r="15" spans="2:18">
      <c r="B15" s="521" t="s">
        <v>864</v>
      </c>
      <c r="C15" s="616">
        <f>+'4.Segto Medición POA 2022 T4'!C70</f>
        <v>7</v>
      </c>
      <c r="D15" s="541">
        <f>COUNTIF('2.Infor Detallado Desempeño POA'!AL82:AL88,"=100%")</f>
        <v>0</v>
      </c>
      <c r="E15" s="542">
        <f>COUNTIF('2.Infor Detallado Desempeño POA'!AL82:AL88,"&gt;100%")</f>
        <v>0</v>
      </c>
      <c r="F15" s="614">
        <f>COUNTIF('2.Infor Detallado Desempeño POA'!AL82:AL88,"&lt;100%")</f>
        <v>7</v>
      </c>
      <c r="G15" s="612">
        <f>COUNTIF('2.Infor Detallado Desempeño POA'!AL82:AL88,"=No programado")</f>
        <v>0</v>
      </c>
      <c r="H15" s="539">
        <f t="shared" si="1"/>
        <v>7</v>
      </c>
      <c r="I15" s="540">
        <f t="shared" si="0"/>
        <v>0</v>
      </c>
    </row>
    <row r="16" spans="2:18">
      <c r="B16" s="521" t="s">
        <v>732</v>
      </c>
      <c r="C16" s="616">
        <f>+'4.Segto Medición POA 2022 T4'!C71</f>
        <v>8</v>
      </c>
      <c r="D16" s="541">
        <f>COUNTIF('2.Infor Detallado Desempeño POA'!AL94:AL101,"=100%")</f>
        <v>0</v>
      </c>
      <c r="E16" s="542">
        <f>COUNTIF('2.Infor Detallado Desempeño POA'!AL94:AL101,"&gt;100%")</f>
        <v>0</v>
      </c>
      <c r="F16" s="614">
        <f>COUNTIF('2.Infor Detallado Desempeño POA'!AL94:AL101,"&lt;100%")</f>
        <v>7</v>
      </c>
      <c r="G16" s="612">
        <f>COUNTIF('2.Infor Detallado Desempeño POA'!AL94:AL101,"=No programado")</f>
        <v>1</v>
      </c>
      <c r="H16" s="539">
        <f t="shared" si="1"/>
        <v>8</v>
      </c>
      <c r="I16" s="540">
        <f t="shared" si="0"/>
        <v>0</v>
      </c>
    </row>
    <row r="17" spans="2:9">
      <c r="B17" s="521" t="s">
        <v>733</v>
      </c>
      <c r="C17" s="616">
        <f>+'4.Segto Medición POA 2022 T4'!C72</f>
        <v>8</v>
      </c>
      <c r="D17" s="541">
        <f>COUNTIF('2.Infor Detallado Desempeño POA'!AL107:AL114,"=100%")</f>
        <v>0</v>
      </c>
      <c r="E17" s="542">
        <f>COUNTIF('2.Infor Detallado Desempeño POA'!AL107:AL114,"&gt;100%")</f>
        <v>0</v>
      </c>
      <c r="F17" s="614">
        <f>COUNTIF('2.Infor Detallado Desempeño POA'!AL107:AL114,"&lt;100%")</f>
        <v>7</v>
      </c>
      <c r="G17" s="612">
        <f>COUNTIF('2.Infor Detallado Desempeño POA'!AL107:AL114,"=No programado")</f>
        <v>1</v>
      </c>
      <c r="H17" s="539">
        <f t="shared" si="1"/>
        <v>8</v>
      </c>
      <c r="I17" s="540">
        <f t="shared" si="0"/>
        <v>0</v>
      </c>
    </row>
    <row r="18" spans="2:9" ht="16.5" customHeight="1">
      <c r="B18" s="521" t="s">
        <v>734</v>
      </c>
      <c r="C18" s="616">
        <f>+'4.Segto Medición POA 2022 T4'!C73</f>
        <v>2</v>
      </c>
      <c r="D18" s="541">
        <f>COUNTIF('2.Infor Detallado Desempeño POA'!AL120:AL121,"=100%")</f>
        <v>0</v>
      </c>
      <c r="E18" s="542">
        <f>COUNTIF('2.Infor Detallado Desempeño POA'!AL120:AL121,"&gt;100%")</f>
        <v>0</v>
      </c>
      <c r="F18" s="614">
        <f>COUNTIF('2.Infor Detallado Desempeño POA'!AL120:AL121,"&lt;100%")</f>
        <v>2</v>
      </c>
      <c r="G18" s="612">
        <f>COUNTIF('2.Infor Detallado Desempeño POA'!AL120:AL121,"=No programado")</f>
        <v>0</v>
      </c>
      <c r="H18" s="539">
        <f t="shared" si="1"/>
        <v>2</v>
      </c>
      <c r="I18" s="540">
        <f t="shared" si="0"/>
        <v>0</v>
      </c>
    </row>
    <row r="19" spans="2:9">
      <c r="B19" s="521" t="s">
        <v>735</v>
      </c>
      <c r="C19" s="616">
        <f>+'4.Segto Medición POA 2022 T4'!C74</f>
        <v>3</v>
      </c>
      <c r="D19" s="541">
        <f>COUNTIF('2.Infor Detallado Desempeño POA'!AL127:AL129,"=100%")</f>
        <v>0</v>
      </c>
      <c r="E19" s="542">
        <f>COUNTIF('2.Infor Detallado Desempeño POA'!AL127:AL129,"&gt;100%")</f>
        <v>0</v>
      </c>
      <c r="F19" s="614">
        <f>COUNTIF('2.Infor Detallado Desempeño POA'!AL127:AL129,"&lt;100%")</f>
        <v>3</v>
      </c>
      <c r="G19" s="612">
        <f>COUNTIF('2.Infor Detallado Desempeño POA'!AL127:AL129,"=No programado")</f>
        <v>0</v>
      </c>
      <c r="H19" s="539">
        <f t="shared" si="1"/>
        <v>3</v>
      </c>
      <c r="I19" s="540">
        <f t="shared" si="0"/>
        <v>0</v>
      </c>
    </row>
    <row r="20" spans="2:9">
      <c r="B20" s="521" t="s">
        <v>736</v>
      </c>
      <c r="C20" s="616">
        <f>+'4.Segto Medición POA 2022 T4'!C75</f>
        <v>4</v>
      </c>
      <c r="D20" s="541">
        <f>COUNTIF('2.Infor Detallado Desempeño POA'!AL135:AL138,"=100%")</f>
        <v>1</v>
      </c>
      <c r="E20" s="542">
        <f>COUNTIF('2.Infor Detallado Desempeño POA'!AL135:AL138,"&gt;100%")</f>
        <v>0</v>
      </c>
      <c r="F20" s="614">
        <f>COUNTIF('2.Infor Detallado Desempeño POA'!AL135:AL138,"&lt;100%")</f>
        <v>3</v>
      </c>
      <c r="G20" s="612">
        <f>COUNTIF('2.Infor Detallado Desempeño POA'!AL135:AL138,"=No programado")</f>
        <v>0</v>
      </c>
      <c r="H20" s="539">
        <f t="shared" si="1"/>
        <v>4</v>
      </c>
      <c r="I20" s="540">
        <f t="shared" si="0"/>
        <v>0</v>
      </c>
    </row>
    <row r="21" spans="2:9">
      <c r="B21" s="521" t="s">
        <v>737</v>
      </c>
      <c r="C21" s="616">
        <f>+'4.Segto Medición POA 2022 T4'!C76</f>
        <v>4</v>
      </c>
      <c r="D21" s="541">
        <f>COUNTIF('2.Infor Detallado Desempeño POA'!AL144:AL147,"=100%")</f>
        <v>0</v>
      </c>
      <c r="E21" s="542">
        <f>COUNTIF('2.Infor Detallado Desempeño POA'!AL144:AL147,"&gt;100%")</f>
        <v>0</v>
      </c>
      <c r="F21" s="614">
        <f>COUNTIF('2.Infor Detallado Desempeño POA'!AL144:AL147,"&lt;100%")</f>
        <v>4</v>
      </c>
      <c r="G21" s="612">
        <f>COUNTIF('2.Infor Detallado Desempeño POA'!AL144:AL147,"=No programado")</f>
        <v>0</v>
      </c>
      <c r="H21" s="539">
        <f t="shared" si="1"/>
        <v>4</v>
      </c>
      <c r="I21" s="540">
        <f t="shared" si="0"/>
        <v>0</v>
      </c>
    </row>
    <row r="22" spans="2:9">
      <c r="B22" s="521" t="s">
        <v>738</v>
      </c>
      <c r="C22" s="616">
        <f>+'4.Segto Medición POA 2022 T4'!C77</f>
        <v>5</v>
      </c>
      <c r="D22" s="541">
        <f>COUNTIF('2.Infor Detallado Desempeño POA'!AL153:AL157,"=100%")</f>
        <v>0</v>
      </c>
      <c r="E22" s="542">
        <f>COUNTIF('2.Infor Detallado Desempeño POA'!AL153:AL157,"&gt;100%")</f>
        <v>0</v>
      </c>
      <c r="F22" s="614">
        <f>COUNTIF('2.Infor Detallado Desempeño POA'!AL153:AL157,"&lt;100%")</f>
        <v>5</v>
      </c>
      <c r="G22" s="612">
        <f>COUNTIF('2.Infor Detallado Desempeño POA'!AL153:AL157,"=No programado")</f>
        <v>0</v>
      </c>
      <c r="H22" s="539">
        <f t="shared" si="1"/>
        <v>5</v>
      </c>
      <c r="I22" s="540">
        <f t="shared" si="0"/>
        <v>0</v>
      </c>
    </row>
    <row r="23" spans="2:9">
      <c r="B23" s="521" t="s">
        <v>740</v>
      </c>
      <c r="C23" s="616">
        <f>+'4.Segto Medición POA 2022 T4'!C78</f>
        <v>3</v>
      </c>
      <c r="D23" s="541">
        <f>COUNTIF('2.Infor Detallado Desempeño POA'!AL163:AL165,"=100%")</f>
        <v>0</v>
      </c>
      <c r="E23" s="542">
        <f>COUNTIF('2.Infor Detallado Desempeño POA'!AL163:AL165,"&gt;100%")</f>
        <v>0</v>
      </c>
      <c r="F23" s="614">
        <f>COUNTIF('2.Infor Detallado Desempeño POA'!AL163:AL165,"&lt;100%")</f>
        <v>3</v>
      </c>
      <c r="G23" s="612">
        <f>COUNTIF('2.Infor Detallado Desempeño POA'!AL163:AL165,"=No programado")</f>
        <v>0</v>
      </c>
      <c r="H23" s="539">
        <f t="shared" si="1"/>
        <v>3</v>
      </c>
      <c r="I23" s="540">
        <f t="shared" si="0"/>
        <v>0</v>
      </c>
    </row>
    <row r="24" spans="2:9">
      <c r="B24" s="521" t="s">
        <v>741</v>
      </c>
      <c r="C24" s="616">
        <f>+'4.Segto Medición POA 2022 T4'!C79</f>
        <v>3</v>
      </c>
      <c r="D24" s="541">
        <f>COUNTIF('2.Infor Detallado Desempeño POA'!AL171:AL173,"=100%")</f>
        <v>0</v>
      </c>
      <c r="E24" s="542">
        <f>COUNTIF('2.Infor Detallado Desempeño POA'!AL171:AL173,"&gt;100%")</f>
        <v>0</v>
      </c>
      <c r="F24" s="614">
        <f>COUNTIF('2.Infor Detallado Desempeño POA'!AL171:AL173,"&lt;100%")</f>
        <v>2</v>
      </c>
      <c r="G24" s="612">
        <f>COUNTIF('2.Infor Detallado Desempeño POA'!AL171:AL173,"=No programado")</f>
        <v>1</v>
      </c>
      <c r="H24" s="539">
        <f t="shared" si="1"/>
        <v>3</v>
      </c>
      <c r="I24" s="540">
        <f t="shared" si="0"/>
        <v>0</v>
      </c>
    </row>
    <row r="25" spans="2:9" ht="19.5" customHeight="1">
      <c r="B25" s="554" t="s">
        <v>893</v>
      </c>
      <c r="C25" s="555">
        <f>SUM(C9:C24)</f>
        <v>87</v>
      </c>
      <c r="D25" s="556">
        <f t="shared" ref="D25:E25" si="2">SUM(D9:D24)</f>
        <v>1</v>
      </c>
      <c r="E25" s="557">
        <f t="shared" si="2"/>
        <v>0</v>
      </c>
      <c r="F25" s="615">
        <f>SUM(F9:F24)</f>
        <v>79</v>
      </c>
      <c r="G25" s="613">
        <f>SUM(G9:G24)</f>
        <v>7</v>
      </c>
      <c r="H25" s="539">
        <f>SUM(D25:G25)</f>
        <v>87</v>
      </c>
      <c r="I25" s="540">
        <f t="shared" si="0"/>
        <v>0</v>
      </c>
    </row>
    <row r="27" spans="2:9" s="622" customFormat="1" ht="2.4500000000000002" customHeight="1">
      <c r="C27" s="626"/>
      <c r="D27" s="897" t="str">
        <f>+D8</f>
        <v>No de Indicadores con Meta Cumplida según programación</v>
      </c>
      <c r="E27" s="898">
        <f>+D25</f>
        <v>1</v>
      </c>
      <c r="H27" s="623"/>
    </row>
    <row r="28" spans="2:9" s="622" customFormat="1" ht="2.4500000000000002" customHeight="1">
      <c r="C28" s="626"/>
      <c r="D28" s="897" t="str">
        <f>+E8</f>
        <v xml:space="preserve">No de Indicadores con ejecución superior a la programada </v>
      </c>
      <c r="E28" s="898">
        <f>+E25</f>
        <v>0</v>
      </c>
      <c r="H28" s="623"/>
    </row>
    <row r="29" spans="2:9" s="622" customFormat="1" ht="2.4500000000000002" customHeight="1">
      <c r="C29" s="626"/>
      <c r="D29" s="897" t="str">
        <f>+F8</f>
        <v xml:space="preserve">No de Indicadores con ejecución menor a la programada </v>
      </c>
      <c r="E29" s="898">
        <f>+F25</f>
        <v>79</v>
      </c>
      <c r="H29" s="623"/>
    </row>
    <row r="30" spans="2:9" s="622" customFormat="1" ht="2.4500000000000002" customHeight="1">
      <c r="C30" s="626"/>
      <c r="D30" s="897" t="str">
        <f>+G8</f>
        <v>No de indicadores sin programar en el periodo</v>
      </c>
      <c r="E30" s="898">
        <f>+G25</f>
        <v>7</v>
      </c>
      <c r="H30" s="623"/>
    </row>
    <row r="31" spans="2:9" s="622" customFormat="1">
      <c r="C31" s="623"/>
      <c r="D31" s="623"/>
      <c r="E31" s="623"/>
      <c r="H31" s="623"/>
    </row>
    <row r="32" spans="2:9" s="622" customFormat="1">
      <c r="C32" s="623"/>
      <c r="D32" s="623"/>
      <c r="E32" s="623"/>
      <c r="H32" s="623"/>
    </row>
    <row r="33" spans="2:9" s="622" customFormat="1" hidden="1">
      <c r="C33" s="623"/>
      <c r="D33" s="623"/>
      <c r="E33" s="623"/>
      <c r="H33" s="623"/>
    </row>
    <row r="34" spans="2:9" s="625" customFormat="1" ht="10.15" hidden="1" customHeight="1">
      <c r="C34" s="626"/>
      <c r="D34" s="1481" t="str">
        <f>+C7</f>
        <v>CUMPLIMIENTO PROGRAMACIÓN EN EL PERIODO 
Cuarto Trimestre de 2021</v>
      </c>
      <c r="E34" s="1481"/>
      <c r="H34" s="626"/>
    </row>
    <row r="35" spans="2:9" s="625" customFormat="1" ht="28.15" customHeight="1">
      <c r="B35" s="1431" t="s">
        <v>717</v>
      </c>
      <c r="C35" s="1486" t="s">
        <v>1158</v>
      </c>
      <c r="D35" s="1487"/>
      <c r="E35" s="1487"/>
      <c r="F35" s="1487"/>
      <c r="G35" s="1488"/>
      <c r="H35" s="626"/>
    </row>
    <row r="36" spans="2:9" s="625" customFormat="1" ht="29.45" customHeight="1">
      <c r="B36" s="1431"/>
      <c r="C36" s="1065"/>
      <c r="D36" s="1067" t="s">
        <v>1159</v>
      </c>
      <c r="E36" s="1489">
        <f>C5</f>
        <v>44926</v>
      </c>
      <c r="F36" s="1489"/>
      <c r="G36" s="1066"/>
      <c r="H36" s="626"/>
    </row>
    <row r="37" spans="2:9" s="625" customFormat="1" ht="72.599999999999994" customHeight="1">
      <c r="B37" s="1431"/>
      <c r="C37" s="611" t="s">
        <v>895</v>
      </c>
      <c r="D37" s="611" t="s">
        <v>896</v>
      </c>
      <c r="E37" s="611" t="s">
        <v>897</v>
      </c>
      <c r="F37" s="611" t="s">
        <v>904</v>
      </c>
      <c r="G37" s="570" t="s">
        <v>923</v>
      </c>
      <c r="H37" s="626"/>
    </row>
    <row r="38" spans="2:9" s="625" customFormat="1" ht="19.899999999999999" customHeight="1">
      <c r="B38" s="521" t="s">
        <v>724</v>
      </c>
      <c r="C38" s="616">
        <f>+C64</f>
        <v>4</v>
      </c>
      <c r="D38" s="541">
        <f>COUNTIF('2.Infor Detallado Desempeño POA'!AM12:AM15,"&gt;=99%")-COUNTIF('2.Infor Detallado Desempeño POA'!AM12:AM15,"&gt;100%")</f>
        <v>0</v>
      </c>
      <c r="E38" s="542">
        <f>COUNTIF('2.Infor Detallado Desempeño POA'!AM12:AM15,"&gt;100%")</f>
        <v>0</v>
      </c>
      <c r="F38" s="614">
        <f>COUNTIF('2.Infor Detallado Desempeño POA'!AM12:AM15,"&lt;99%")</f>
        <v>4</v>
      </c>
      <c r="G38" s="612">
        <f>COUNTIF('2.Infor Detallado Desempeño POA'!AM12:AM15,"=No programado")</f>
        <v>0</v>
      </c>
      <c r="H38" s="539">
        <f>SUM(D38:G38)</f>
        <v>4</v>
      </c>
      <c r="I38" s="540">
        <f t="shared" ref="I38:I54" si="3">C38-H38</f>
        <v>0</v>
      </c>
    </row>
    <row r="39" spans="2:9" s="625" customFormat="1" ht="19.899999999999999" customHeight="1">
      <c r="B39" s="521" t="s">
        <v>726</v>
      </c>
      <c r="C39" s="616">
        <f t="shared" ref="C39:C53" si="4">+C65</f>
        <v>4</v>
      </c>
      <c r="D39" s="541">
        <f>COUNTIF('2.Infor Detallado Desempeño POA'!AM21:AM24,"&gt;=99%")-COUNTIF('2.Infor Detallado Desempeño POA'!AM21:AM24,"&gt;100%")</f>
        <v>0</v>
      </c>
      <c r="E39" s="542">
        <f>COUNTIF('2.Infor Detallado Desempeño POA'!AM21:AM24,"&gt;100%")</f>
        <v>0</v>
      </c>
      <c r="F39" s="614">
        <f>COUNTIF('2.Infor Detallado Desempeño POA'!AM21:AM24,"&lt;99%")</f>
        <v>4</v>
      </c>
      <c r="G39" s="612">
        <f>COUNTIF('2.Infor Detallado Desempeño POA'!AM21:AM24,"=No programado")</f>
        <v>0</v>
      </c>
      <c r="H39" s="539">
        <f t="shared" ref="H39:H40" si="5">SUM(D39:G39)</f>
        <v>4</v>
      </c>
      <c r="I39" s="540">
        <f t="shared" si="3"/>
        <v>0</v>
      </c>
    </row>
    <row r="40" spans="2:9" s="625" customFormat="1" ht="19.899999999999999" customHeight="1">
      <c r="B40" s="521" t="s">
        <v>727</v>
      </c>
      <c r="C40" s="616">
        <f t="shared" si="4"/>
        <v>7</v>
      </c>
      <c r="D40" s="541">
        <f>COUNTIF('2.Infor Detallado Desempeño POA'!AM30:AM36,"&gt;=99%")-COUNTIF('2.Infor Detallado Desempeño POA'!AM30:AM36,"&gt;100%")</f>
        <v>0</v>
      </c>
      <c r="E40" s="542">
        <f>COUNTIF('2.Infor Detallado Desempeño POA'!AM30:AM36,"&gt;100%")</f>
        <v>0</v>
      </c>
      <c r="F40" s="614">
        <f>COUNTIF('2.Infor Detallado Desempeño POA'!AM30:AM36,"&lt;99%")</f>
        <v>7</v>
      </c>
      <c r="G40" s="612">
        <f>COUNTIF('2.Infor Detallado Desempeño POA'!AM30:AM36,"=No programado")</f>
        <v>0</v>
      </c>
      <c r="H40" s="539">
        <f t="shared" si="5"/>
        <v>7</v>
      </c>
      <c r="I40" s="540">
        <f t="shared" si="3"/>
        <v>0</v>
      </c>
    </row>
    <row r="41" spans="2:9" s="625" customFormat="1" ht="19.899999999999999" customHeight="1">
      <c r="B41" s="521" t="s">
        <v>728</v>
      </c>
      <c r="C41" s="616">
        <f t="shared" si="4"/>
        <v>2</v>
      </c>
      <c r="D41" s="541">
        <f>COUNTIF('2.Infor Detallado Desempeño POA'!AM42:AM43,"&gt;=99%")-COUNTIF('2.Infor Detallado Desempeño POA'!AM42:AM43,"&gt;100%")</f>
        <v>0</v>
      </c>
      <c r="E41" s="542">
        <f>COUNTIF('2.Infor Detallado Desempeño POA'!AM42:AM43,"&gt;100%")</f>
        <v>0</v>
      </c>
      <c r="F41" s="614">
        <f>COUNTIF('2.Infor Detallado Desempeño POA'!AM42:AM43,"&lt;99%")</f>
        <v>2</v>
      </c>
      <c r="G41" s="612">
        <f>COUNTIF('2.Infor Detallado Desempeño POA'!AM42:AM43,"=No programado")</f>
        <v>0</v>
      </c>
      <c r="H41" s="539">
        <f>SUM(D41:G41)</f>
        <v>2</v>
      </c>
      <c r="I41" s="540">
        <f t="shared" si="3"/>
        <v>0</v>
      </c>
    </row>
    <row r="42" spans="2:9" s="625" customFormat="1" ht="19.899999999999999" customHeight="1">
      <c r="B42" s="521" t="s">
        <v>739</v>
      </c>
      <c r="C42" s="616">
        <f t="shared" si="4"/>
        <v>3</v>
      </c>
      <c r="D42" s="541">
        <f>COUNTIF('2.Infor Detallado Desempeño POA'!AM49:AM51,"&gt;=99%")-COUNTIF('2.Infor Detallado Desempeño POA'!AM49:AM51,"&gt;100%")</f>
        <v>0</v>
      </c>
      <c r="E42" s="542">
        <f>COUNTIF('2.Infor Detallado Desempeño POA'!AM49:AM51,"&gt;100%")</f>
        <v>1</v>
      </c>
      <c r="F42" s="614">
        <f>COUNTIF('2.Infor Detallado Desempeño POA'!AM49:AM51,"&lt;99%")</f>
        <v>2</v>
      </c>
      <c r="G42" s="612">
        <f>COUNTIF('2.Infor Detallado Desempeño POA'!AM49:AM51,"=No programado")</f>
        <v>0</v>
      </c>
      <c r="H42" s="539">
        <f t="shared" ref="H42:H53" si="6">SUM(D42:G42)</f>
        <v>3</v>
      </c>
      <c r="I42" s="540">
        <f t="shared" si="3"/>
        <v>0</v>
      </c>
    </row>
    <row r="43" spans="2:9" s="625" customFormat="1" ht="19.899999999999999" customHeight="1">
      <c r="B43" s="521" t="s">
        <v>729</v>
      </c>
      <c r="C43" s="616">
        <f t="shared" si="4"/>
        <v>20</v>
      </c>
      <c r="D43" s="541">
        <f>COUNTIF('2.Infor Detallado Desempeño POA'!AM57:AM76,"&gt;=99%")-COUNTIF('2.Infor Detallado Desempeño POA'!AM57:AM76,"&gt;100%")</f>
        <v>0</v>
      </c>
      <c r="E43" s="542">
        <f>COUNTIF('2.Infor Detallado Desempeño POA'!AM57:AM76,"&gt;100%")</f>
        <v>6</v>
      </c>
      <c r="F43" s="614">
        <f>COUNTIF('2.Infor Detallado Desempeño POA'!AM57:AM76,"&lt;99%")</f>
        <v>13</v>
      </c>
      <c r="G43" s="612">
        <f>COUNTIF('2.Infor Detallado Desempeño POA'!AM57:AM76,"=No programado")</f>
        <v>1</v>
      </c>
      <c r="H43" s="539">
        <f t="shared" si="6"/>
        <v>20</v>
      </c>
      <c r="I43" s="540">
        <f t="shared" si="3"/>
        <v>0</v>
      </c>
    </row>
    <row r="44" spans="2:9" s="625" customFormat="1" ht="19.899999999999999" customHeight="1">
      <c r="B44" s="521" t="s">
        <v>864</v>
      </c>
      <c r="C44" s="616">
        <f t="shared" si="4"/>
        <v>7</v>
      </c>
      <c r="D44" s="541">
        <f>COUNTIF('2.Infor Detallado Desempeño POA'!AM82:AM88,"&gt;=99%")-COUNTIF('2.Infor Detallado Desempeño POA'!AM82:AM88,"&gt;100%")</f>
        <v>0</v>
      </c>
      <c r="E44" s="542">
        <f>COUNTIF('2.Infor Detallado Desempeño POA'!AM82:AM88,"&gt;100%")</f>
        <v>1</v>
      </c>
      <c r="F44" s="614">
        <f>COUNTIF('2.Infor Detallado Desempeño POA'!AM82:AM88,"&lt;99%")</f>
        <v>6</v>
      </c>
      <c r="G44" s="612">
        <f>COUNTIF('2.Infor Detallado Desempeño POA'!AM82:AM88,"=No programado")</f>
        <v>0</v>
      </c>
      <c r="H44" s="539">
        <f t="shared" si="6"/>
        <v>7</v>
      </c>
      <c r="I44" s="540">
        <f t="shared" si="3"/>
        <v>0</v>
      </c>
    </row>
    <row r="45" spans="2:9" s="625" customFormat="1" ht="19.899999999999999" customHeight="1">
      <c r="B45" s="521" t="s">
        <v>732</v>
      </c>
      <c r="C45" s="616">
        <f t="shared" si="4"/>
        <v>8</v>
      </c>
      <c r="D45" s="541">
        <f>COUNTIF('2.Infor Detallado Desempeño POA'!AM94:AM101,"&gt;=99%")-COUNTIF('2.Infor Detallado Desempeño POA'!AM94:AM101,"&gt;100%")</f>
        <v>0</v>
      </c>
      <c r="E45" s="542">
        <f>COUNTIF('2.Infor Detallado Desempeño POA'!AM94:AM101,"&gt;100%")</f>
        <v>0</v>
      </c>
      <c r="F45" s="614">
        <f>COUNTIF('2.Infor Detallado Desempeño POA'!AM94:AM101,"&lt;99%")</f>
        <v>8</v>
      </c>
      <c r="G45" s="612">
        <f>COUNTIF('2.Infor Detallado Desempeño POA'!AM94:AM101,"=No programado")</f>
        <v>0</v>
      </c>
      <c r="H45" s="539">
        <f t="shared" si="6"/>
        <v>8</v>
      </c>
      <c r="I45" s="540">
        <f t="shared" si="3"/>
        <v>0</v>
      </c>
    </row>
    <row r="46" spans="2:9" s="625" customFormat="1" ht="19.899999999999999" customHeight="1">
      <c r="B46" s="521" t="s">
        <v>733</v>
      </c>
      <c r="C46" s="616">
        <f t="shared" si="4"/>
        <v>8</v>
      </c>
      <c r="D46" s="541">
        <f>COUNTIF('2.Infor Detallado Desempeño POA'!AM107:AM114,"&gt;=99%")-COUNTIF('2.Infor Detallado Desempeño POA'!AM107:AM114,"&gt;100%")</f>
        <v>1</v>
      </c>
      <c r="E46" s="542">
        <f>COUNTIF('2.Infor Detallado Desempeño POA'!AM107:AM114,"&gt;100%")</f>
        <v>0</v>
      </c>
      <c r="F46" s="614">
        <f>COUNTIF('2.Infor Detallado Desempeño POA'!AM107:AM114,"&lt;99%")</f>
        <v>7</v>
      </c>
      <c r="G46" s="612">
        <f>COUNTIF('2.Infor Detallado Desempeño POA'!AM107:AM114,"=No programado")</f>
        <v>0</v>
      </c>
      <c r="H46" s="539">
        <f t="shared" si="6"/>
        <v>8</v>
      </c>
      <c r="I46" s="540">
        <f t="shared" si="3"/>
        <v>0</v>
      </c>
    </row>
    <row r="47" spans="2:9" s="625" customFormat="1" ht="19.899999999999999" customHeight="1">
      <c r="B47" s="521" t="s">
        <v>734</v>
      </c>
      <c r="C47" s="616">
        <f t="shared" si="4"/>
        <v>2</v>
      </c>
      <c r="D47" s="541">
        <f>COUNTIF('2.Infor Detallado Desempeño POA'!AM120:AM121,"&gt;=99%")-COUNTIF('2.Infor Detallado Desempeño POA'!AM120:AM121,"&gt;100%")</f>
        <v>0</v>
      </c>
      <c r="E47" s="542">
        <f>COUNTIF('2.Infor Detallado Desempeño POA'!AM120:AM121,"&gt;100%")</f>
        <v>0</v>
      </c>
      <c r="F47" s="614">
        <f>COUNTIF('2.Infor Detallado Desempeño POA'!AM120:AM121,"&lt;99%")</f>
        <v>2</v>
      </c>
      <c r="G47" s="612">
        <f>COUNTIF('2.Infor Detallado Desempeño POA'!AM120:AM121,"=No programado")</f>
        <v>0</v>
      </c>
      <c r="H47" s="539">
        <f t="shared" si="6"/>
        <v>2</v>
      </c>
      <c r="I47" s="540">
        <f t="shared" si="3"/>
        <v>0</v>
      </c>
    </row>
    <row r="48" spans="2:9" s="625" customFormat="1" ht="19.899999999999999" customHeight="1">
      <c r="B48" s="521" t="s">
        <v>735</v>
      </c>
      <c r="C48" s="616">
        <f t="shared" si="4"/>
        <v>3</v>
      </c>
      <c r="D48" s="541">
        <f>COUNTIF('2.Infor Detallado Desempeño POA'!AM127:AM129,"&gt;=99%")-COUNTIF('2.Infor Detallado Desempeño POA'!AM127:AM129,"&gt;100%")</f>
        <v>0</v>
      </c>
      <c r="E48" s="542">
        <f>COUNTIF('2.Infor Detallado Desempeño POA'!AM127:AM129,"&gt;100%")</f>
        <v>0</v>
      </c>
      <c r="F48" s="614">
        <f>COUNTIF('2.Infor Detallado Desempeño POA'!AM127:AM129,"&lt;99%")</f>
        <v>3</v>
      </c>
      <c r="G48" s="612">
        <f>COUNTIF('2.Infor Detallado Desempeño POA'!AM127:AM129,"=No programado")</f>
        <v>0</v>
      </c>
      <c r="H48" s="539">
        <f t="shared" si="6"/>
        <v>3</v>
      </c>
      <c r="I48" s="540">
        <f t="shared" si="3"/>
        <v>0</v>
      </c>
    </row>
    <row r="49" spans="2:17" s="625" customFormat="1" ht="19.899999999999999" customHeight="1">
      <c r="B49" s="521" t="s">
        <v>736</v>
      </c>
      <c r="C49" s="616">
        <f t="shared" si="4"/>
        <v>4</v>
      </c>
      <c r="D49" s="541">
        <f>COUNTIF('2.Infor Detallado Desempeño POA'!AM135:AM138,"&gt;=99%")-COUNTIF('2.Infor Detallado Desempeño POA'!AM135:AM138,"&gt;100%")</f>
        <v>1</v>
      </c>
      <c r="E49" s="542">
        <f>COUNTIF('2.Infor Detallado Desempeño POA'!AM135:AM138,"&gt;100%")</f>
        <v>0</v>
      </c>
      <c r="F49" s="614">
        <f>COUNTIF('2.Infor Detallado Desempeño POA'!AM135:AM138,"&lt;99%")</f>
        <v>3</v>
      </c>
      <c r="G49" s="612">
        <f>COUNTIF('2.Infor Detallado Desempeño POA'!AM135:AM138,"=No programado")</f>
        <v>0</v>
      </c>
      <c r="H49" s="539">
        <f t="shared" si="6"/>
        <v>4</v>
      </c>
      <c r="I49" s="540">
        <f t="shared" si="3"/>
        <v>0</v>
      </c>
    </row>
    <row r="50" spans="2:17" s="625" customFormat="1" ht="19.899999999999999" customHeight="1">
      <c r="B50" s="521" t="s">
        <v>737</v>
      </c>
      <c r="C50" s="616">
        <f t="shared" si="4"/>
        <v>4</v>
      </c>
      <c r="D50" s="541">
        <f>COUNTIF('2.Infor Detallado Desempeño POA'!AM144:AM147,"&gt;=99%")-COUNTIF('2.Infor Detallado Desempeño POA'!AM144:AM147,"&gt;100%")</f>
        <v>0</v>
      </c>
      <c r="E50" s="542">
        <f>COUNTIF('2.Infor Detallado Desempeño POA'!AM144:AM147,"&gt;100%")</f>
        <v>0</v>
      </c>
      <c r="F50" s="614">
        <f>COUNTIF('2.Infor Detallado Desempeño POA'!AM144:AM147,"&lt;99%")</f>
        <v>4</v>
      </c>
      <c r="G50" s="612">
        <f>COUNTIF('2.Infor Detallado Desempeño POA'!AM144:AM147,"=No programado")</f>
        <v>0</v>
      </c>
      <c r="H50" s="539">
        <f t="shared" si="6"/>
        <v>4</v>
      </c>
      <c r="I50" s="540">
        <f t="shared" si="3"/>
        <v>0</v>
      </c>
    </row>
    <row r="51" spans="2:17" s="625" customFormat="1" ht="19.899999999999999" customHeight="1">
      <c r="B51" s="521" t="s">
        <v>738</v>
      </c>
      <c r="C51" s="616">
        <f t="shared" si="4"/>
        <v>5</v>
      </c>
      <c r="D51" s="541">
        <f>COUNTIF('2.Infor Detallado Desempeño POA'!AM153:AM157,"&gt;=99%")-COUNTIF('2.Infor Detallado Desempeño POA'!AM153:AM157,"&gt;100%")</f>
        <v>0</v>
      </c>
      <c r="E51" s="542">
        <f>COUNTIF('2.Infor Detallado Desempeño POA'!AM153:AM157,"&gt;100%")</f>
        <v>0</v>
      </c>
      <c r="F51" s="614">
        <f>COUNTIF('2.Infor Detallado Desempeño POA'!AM153:AM157,"&lt;99%")</f>
        <v>5</v>
      </c>
      <c r="G51" s="612">
        <f>COUNTIF('2.Infor Detallado Desempeño POA'!AM153:AM157,"=No programado")</f>
        <v>0</v>
      </c>
      <c r="H51" s="539">
        <f t="shared" si="6"/>
        <v>5</v>
      </c>
      <c r="I51" s="540">
        <f t="shared" si="3"/>
        <v>0</v>
      </c>
    </row>
    <row r="52" spans="2:17" s="625" customFormat="1" ht="19.899999999999999" customHeight="1">
      <c r="B52" s="521" t="s">
        <v>740</v>
      </c>
      <c r="C52" s="616">
        <f t="shared" si="4"/>
        <v>3</v>
      </c>
      <c r="D52" s="541">
        <f>COUNTIF('2.Infor Detallado Desempeño POA'!AM163:AM165,"&gt;=99%")-COUNTIF('2.Infor Detallado Desempeño POA'!AM163:AM165,"&gt;100%")</f>
        <v>0</v>
      </c>
      <c r="E52" s="542">
        <f>COUNTIF('2.Infor Detallado Desempeño POA'!AM163:AM165,"&gt;100%")</f>
        <v>2</v>
      </c>
      <c r="F52" s="614">
        <f>COUNTIF('2.Infor Detallado Desempeño POA'!AM163:AM165,"&lt;99%")</f>
        <v>1</v>
      </c>
      <c r="G52" s="612">
        <f>COUNTIF('2.Infor Detallado Desempeño POA'!AM163:AM165,"=No programado")</f>
        <v>0</v>
      </c>
      <c r="H52" s="539">
        <f t="shared" si="6"/>
        <v>3</v>
      </c>
      <c r="I52" s="540">
        <f t="shared" si="3"/>
        <v>0</v>
      </c>
    </row>
    <row r="53" spans="2:17" s="625" customFormat="1" ht="19.899999999999999" customHeight="1">
      <c r="B53" s="521" t="s">
        <v>741</v>
      </c>
      <c r="C53" s="616">
        <f t="shared" si="4"/>
        <v>3</v>
      </c>
      <c r="D53" s="541">
        <f>COUNTIF('2.Infor Detallado Desempeño POA'!AM171:AM173,"&gt;=99%")-COUNTIF('2.Infor Detallado Desempeño POA'!AM171:AM173,"&gt;100%")</f>
        <v>1</v>
      </c>
      <c r="E53" s="542">
        <f>COUNTIF('2.Infor Detallado Desempeño POA'!AM171:AM173,"&gt;100%")</f>
        <v>0</v>
      </c>
      <c r="F53" s="614">
        <f>COUNTIF('2.Infor Detallado Desempeño POA'!AM171:AM173,"&lt;99%")</f>
        <v>2</v>
      </c>
      <c r="G53" s="612">
        <f>COUNTIF('2.Infor Detallado Desempeño POA'!AM171:AM173,"=No programado")</f>
        <v>0</v>
      </c>
      <c r="H53" s="539">
        <f t="shared" si="6"/>
        <v>3</v>
      </c>
      <c r="I53" s="540">
        <f t="shared" si="3"/>
        <v>0</v>
      </c>
    </row>
    <row r="54" spans="2:17" s="625" customFormat="1" ht="19.899999999999999" customHeight="1">
      <c r="B54" s="554" t="s">
        <v>893</v>
      </c>
      <c r="C54" s="555">
        <f>SUM(C38:C53)</f>
        <v>87</v>
      </c>
      <c r="D54" s="556">
        <f t="shared" ref="D54:E54" si="7">SUM(D38:D53)</f>
        <v>3</v>
      </c>
      <c r="E54" s="557">
        <f t="shared" si="7"/>
        <v>10</v>
      </c>
      <c r="F54" s="615">
        <f>SUM(F38:F53)</f>
        <v>73</v>
      </c>
      <c r="G54" s="613">
        <f>SUM(G38:G53)</f>
        <v>1</v>
      </c>
      <c r="H54" s="539">
        <f>SUM(D54:G54)</f>
        <v>87</v>
      </c>
      <c r="I54" s="540">
        <f t="shared" si="3"/>
        <v>0</v>
      </c>
    </row>
    <row r="55" spans="2:17" s="625" customFormat="1" ht="19.899999999999999" customHeight="1">
      <c r="B55" s="894"/>
      <c r="C55" s="896"/>
      <c r="D55" s="896"/>
      <c r="E55" s="896"/>
      <c r="F55" s="896"/>
      <c r="G55" s="896"/>
      <c r="H55" s="895"/>
      <c r="I55" s="540"/>
    </row>
    <row r="56" spans="2:17" s="625" customFormat="1" ht="3" customHeight="1">
      <c r="C56" s="899"/>
      <c r="D56" s="897" t="str">
        <f>+D37</f>
        <v>No de Indicadores con Meta Cumplida según programación</v>
      </c>
      <c r="E56" s="898">
        <f>+D54</f>
        <v>3</v>
      </c>
      <c r="F56" s="900"/>
      <c r="G56" s="901"/>
      <c r="H56" s="626"/>
    </row>
    <row r="57" spans="2:17" s="625" customFormat="1" ht="3" customHeight="1">
      <c r="C57" s="899"/>
      <c r="D57" s="897" t="str">
        <f>+E37</f>
        <v xml:space="preserve">No de Indicadores con ejecución superior a la programada </v>
      </c>
      <c r="E57" s="898">
        <f>+E54</f>
        <v>10</v>
      </c>
      <c r="F57" s="900"/>
      <c r="G57" s="901"/>
      <c r="H57" s="626"/>
    </row>
    <row r="58" spans="2:17" s="625" customFormat="1" ht="3" customHeight="1">
      <c r="C58" s="899"/>
      <c r="D58" s="897" t="str">
        <f>+F37</f>
        <v xml:space="preserve">No de Indicadores con ejecución menor a la programada </v>
      </c>
      <c r="E58" s="898">
        <f>+F54</f>
        <v>73</v>
      </c>
      <c r="F58" s="900"/>
      <c r="G58" s="901"/>
      <c r="H58" s="626"/>
    </row>
    <row r="59" spans="2:17" s="625" customFormat="1" ht="3" customHeight="1">
      <c r="C59" s="899"/>
      <c r="D59" s="897" t="str">
        <f>+G37</f>
        <v>No de indicadores sin programar en el periodo</v>
      </c>
      <c r="E59" s="898">
        <f>+G54</f>
        <v>1</v>
      </c>
      <c r="F59" s="900"/>
      <c r="G59" s="901"/>
      <c r="H59" s="626"/>
    </row>
    <row r="60" spans="2:17" s="625" customFormat="1" ht="10.15" customHeight="1">
      <c r="C60" s="626"/>
      <c r="D60" s="626"/>
      <c r="E60" s="627">
        <f>SUM(E27:E30)</f>
        <v>87</v>
      </c>
      <c r="F60" s="624"/>
      <c r="H60" s="626"/>
    </row>
    <row r="61" spans="2:17" ht="15.75" thickBot="1"/>
    <row r="62" spans="2:17" s="528" customFormat="1" ht="15.75">
      <c r="B62" s="1474" t="s">
        <v>750</v>
      </c>
      <c r="C62" s="1476" t="s">
        <v>891</v>
      </c>
      <c r="D62" s="1478" t="s">
        <v>892</v>
      </c>
      <c r="E62" s="1479"/>
      <c r="F62" s="1480"/>
      <c r="P62" s="516"/>
      <c r="Q62" s="516"/>
    </row>
    <row r="63" spans="2:17" ht="33" customHeight="1">
      <c r="B63" s="1475"/>
      <c r="C63" s="1477"/>
      <c r="D63" s="566" t="s">
        <v>759</v>
      </c>
      <c r="E63" s="566" t="s">
        <v>763</v>
      </c>
      <c r="F63" s="531" t="s">
        <v>767</v>
      </c>
      <c r="H63" s="516"/>
    </row>
    <row r="64" spans="2:17">
      <c r="B64" s="532" t="s">
        <v>724</v>
      </c>
      <c r="C64" s="533">
        <f>+'3.Resum Desemp Procesos POA T1'!C41</f>
        <v>4</v>
      </c>
      <c r="D64" s="533">
        <f>+'Rango indicadores'!E111</f>
        <v>4</v>
      </c>
      <c r="E64" s="533">
        <f>+'Rango indicadores'!F111</f>
        <v>0</v>
      </c>
      <c r="F64" s="534">
        <f>+'Rango indicadores'!G111</f>
        <v>0</v>
      </c>
      <c r="H64" s="516"/>
    </row>
    <row r="65" spans="2:8">
      <c r="B65" s="532" t="s">
        <v>726</v>
      </c>
      <c r="C65" s="533">
        <f>+'3.Resum Desemp Procesos POA T1'!C42</f>
        <v>4</v>
      </c>
      <c r="D65" s="533">
        <f>+'Rango indicadores'!E112</f>
        <v>4</v>
      </c>
      <c r="E65" s="533">
        <f>+'Rango indicadores'!F112</f>
        <v>0</v>
      </c>
      <c r="F65" s="534">
        <f>+'Rango indicadores'!G112</f>
        <v>0</v>
      </c>
      <c r="H65" s="516"/>
    </row>
    <row r="66" spans="2:8">
      <c r="B66" s="532" t="s">
        <v>727</v>
      </c>
      <c r="C66" s="533">
        <f>+'3.Resum Desemp Procesos POA T1'!C43</f>
        <v>7</v>
      </c>
      <c r="D66" s="533">
        <f>+'Rango indicadores'!E113</f>
        <v>7</v>
      </c>
      <c r="E66" s="533">
        <f>+'Rango indicadores'!F113</f>
        <v>0</v>
      </c>
      <c r="F66" s="534">
        <f>+'Rango indicadores'!G113</f>
        <v>0</v>
      </c>
      <c r="H66" s="516"/>
    </row>
    <row r="67" spans="2:8">
      <c r="B67" s="532" t="s">
        <v>728</v>
      </c>
      <c r="C67" s="533">
        <f>+'3.Resum Desemp Procesos POA T1'!C44</f>
        <v>2</v>
      </c>
      <c r="D67" s="533">
        <f>+'Rango indicadores'!E114</f>
        <v>2</v>
      </c>
      <c r="E67" s="533">
        <f>+'Rango indicadores'!F114</f>
        <v>0</v>
      </c>
      <c r="F67" s="534">
        <f>+'Rango indicadores'!G114</f>
        <v>0</v>
      </c>
      <c r="H67" s="516"/>
    </row>
    <row r="68" spans="2:8">
      <c r="B68" s="532" t="s">
        <v>739</v>
      </c>
      <c r="C68" s="533">
        <f>+'3.Resum Desemp Procesos POA T1'!C45</f>
        <v>3</v>
      </c>
      <c r="D68" s="533">
        <f>+'Rango indicadores'!E115</f>
        <v>21</v>
      </c>
      <c r="E68" s="533">
        <f>+'Rango indicadores'!F115</f>
        <v>0</v>
      </c>
      <c r="F68" s="534">
        <f>+'Rango indicadores'!G115</f>
        <v>0</v>
      </c>
      <c r="H68" s="516"/>
    </row>
    <row r="69" spans="2:8">
      <c r="B69" s="532" t="s">
        <v>729</v>
      </c>
      <c r="C69" s="533">
        <f>+'3.Resum Desemp Procesos POA T1'!C47</f>
        <v>20</v>
      </c>
      <c r="D69" s="533">
        <f>+'Rango indicadores'!E116</f>
        <v>7</v>
      </c>
      <c r="E69" s="533">
        <f>+'Rango indicadores'!F116</f>
        <v>0</v>
      </c>
      <c r="F69" s="534">
        <f>+'Rango indicadores'!G116</f>
        <v>0</v>
      </c>
      <c r="H69" s="516"/>
    </row>
    <row r="70" spans="2:8">
      <c r="B70" s="532" t="s">
        <v>864</v>
      </c>
      <c r="C70" s="533">
        <f>+'3.Resum Desemp Procesos POA T1'!C48</f>
        <v>7</v>
      </c>
      <c r="D70" s="533">
        <f>+'Rango indicadores'!E117</f>
        <v>8</v>
      </c>
      <c r="E70" s="533">
        <f>+'Rango indicadores'!F117</f>
        <v>0</v>
      </c>
      <c r="F70" s="534">
        <f>+'Rango indicadores'!G117</f>
        <v>0</v>
      </c>
      <c r="H70" s="516"/>
    </row>
    <row r="71" spans="2:8">
      <c r="B71" s="532" t="s">
        <v>732</v>
      </c>
      <c r="C71" s="533">
        <f>+'3.Resum Desemp Procesos POA T1'!C49</f>
        <v>8</v>
      </c>
      <c r="D71" s="533">
        <f>+'Rango indicadores'!E118</f>
        <v>7</v>
      </c>
      <c r="E71" s="533">
        <f>+'Rango indicadores'!F118</f>
        <v>0</v>
      </c>
      <c r="F71" s="534">
        <f>+'Rango indicadores'!G118</f>
        <v>1</v>
      </c>
      <c r="H71" s="516"/>
    </row>
    <row r="72" spans="2:8">
      <c r="B72" s="532" t="s">
        <v>733</v>
      </c>
      <c r="C72" s="533">
        <f>+'3.Resum Desemp Procesos POA T1'!C51</f>
        <v>8</v>
      </c>
      <c r="D72" s="533">
        <f>+'Rango indicadores'!E119</f>
        <v>2</v>
      </c>
      <c r="E72" s="533">
        <f>+'Rango indicadores'!F119</f>
        <v>0</v>
      </c>
      <c r="F72" s="534">
        <f>+'Rango indicadores'!G119</f>
        <v>0</v>
      </c>
      <c r="H72" s="516"/>
    </row>
    <row r="73" spans="2:8">
      <c r="B73" s="532" t="s">
        <v>734</v>
      </c>
      <c r="C73" s="533">
        <f>+'3.Resum Desemp Procesos POA T1'!C52</f>
        <v>2</v>
      </c>
      <c r="D73" s="533">
        <f>+'Rango indicadores'!E120</f>
        <v>3</v>
      </c>
      <c r="E73" s="533">
        <f>+'Rango indicadores'!F120</f>
        <v>0</v>
      </c>
      <c r="F73" s="534">
        <f>+'Rango indicadores'!G120</f>
        <v>0</v>
      </c>
      <c r="H73" s="516"/>
    </row>
    <row r="74" spans="2:8">
      <c r="B74" s="532" t="s">
        <v>735</v>
      </c>
      <c r="C74" s="533">
        <f>+'3.Resum Desemp Procesos POA T1'!C53</f>
        <v>3</v>
      </c>
      <c r="D74" s="533">
        <f>+'Rango indicadores'!E121</f>
        <v>1</v>
      </c>
      <c r="E74" s="533">
        <f>+'Rango indicadores'!F121</f>
        <v>3</v>
      </c>
      <c r="F74" s="534">
        <f>+'Rango indicadores'!G121</f>
        <v>0</v>
      </c>
      <c r="H74" s="516"/>
    </row>
    <row r="75" spans="2:8">
      <c r="B75" s="532" t="s">
        <v>736</v>
      </c>
      <c r="C75" s="533">
        <f>+'3.Resum Desemp Procesos POA T1'!C54</f>
        <v>4</v>
      </c>
      <c r="D75" s="533">
        <f>+'Rango indicadores'!E122</f>
        <v>3</v>
      </c>
      <c r="E75" s="533">
        <f>+'Rango indicadores'!F122</f>
        <v>1</v>
      </c>
      <c r="F75" s="534">
        <f>+'Rango indicadores'!G122</f>
        <v>0</v>
      </c>
      <c r="H75" s="516"/>
    </row>
    <row r="76" spans="2:8">
      <c r="B76" s="532" t="s">
        <v>737</v>
      </c>
      <c r="C76" s="533">
        <f>+'3.Resum Desemp Procesos POA T1'!C55</f>
        <v>4</v>
      </c>
      <c r="D76" s="533">
        <f>+'Rango indicadores'!E123</f>
        <v>5</v>
      </c>
      <c r="E76" s="533">
        <f>+'Rango indicadores'!F123</f>
        <v>0</v>
      </c>
      <c r="F76" s="534">
        <f>+'Rango indicadores'!G123</f>
        <v>0</v>
      </c>
      <c r="H76" s="516"/>
    </row>
    <row r="77" spans="2:8">
      <c r="B77" s="532" t="s">
        <v>738</v>
      </c>
      <c r="C77" s="533">
        <f>+'3.Resum Desemp Procesos POA T1'!C56</f>
        <v>5</v>
      </c>
      <c r="D77" s="533">
        <f>+'Rango indicadores'!E124</f>
        <v>3</v>
      </c>
      <c r="E77" s="533">
        <f>+'Rango indicadores'!F124</f>
        <v>0</v>
      </c>
      <c r="F77" s="534">
        <f>+'Rango indicadores'!G124</f>
        <v>0</v>
      </c>
      <c r="H77" s="516"/>
    </row>
    <row r="78" spans="2:8">
      <c r="B78" s="532" t="s">
        <v>740</v>
      </c>
      <c r="C78" s="533">
        <f>+'3.Resum Desemp Procesos POA T1'!C58</f>
        <v>3</v>
      </c>
      <c r="D78" s="533">
        <f>+'Rango indicadores'!E125</f>
        <v>3</v>
      </c>
      <c r="E78" s="533">
        <f>+'Rango indicadores'!F125</f>
        <v>0</v>
      </c>
      <c r="F78" s="534">
        <f>+'Rango indicadores'!G125</f>
        <v>0</v>
      </c>
      <c r="H78" s="516"/>
    </row>
    <row r="79" spans="2:8">
      <c r="B79" s="532" t="s">
        <v>741</v>
      </c>
      <c r="C79" s="533">
        <f>+'3.Resum Desemp Procesos POA T1'!C59</f>
        <v>3</v>
      </c>
      <c r="D79" s="533">
        <f>+'Rango indicadores'!E126</f>
        <v>3</v>
      </c>
      <c r="E79" s="533">
        <f>+'Rango indicadores'!F126</f>
        <v>0</v>
      </c>
      <c r="F79" s="534">
        <f>+'Rango indicadores'!G126</f>
        <v>0</v>
      </c>
      <c r="H79" s="516"/>
    </row>
    <row r="80" spans="2:8" ht="16.5" thickBot="1">
      <c r="B80" s="535" t="s">
        <v>893</v>
      </c>
      <c r="C80" s="536">
        <f>SUM(C64:C79)</f>
        <v>87</v>
      </c>
      <c r="D80" s="536">
        <f>SUM(D64:D79)</f>
        <v>83</v>
      </c>
      <c r="E80" s="536">
        <f>SUM(E64:E79)</f>
        <v>4</v>
      </c>
      <c r="F80" s="537">
        <f>SUM(F64:F79)</f>
        <v>1</v>
      </c>
      <c r="H80" s="516"/>
    </row>
    <row r="81" spans="8:8">
      <c r="H81" s="516"/>
    </row>
    <row r="82" spans="8:8">
      <c r="H82" s="516"/>
    </row>
    <row r="84" spans="8:8" ht="15" customHeight="1"/>
  </sheetData>
  <mergeCells count="13">
    <mergeCell ref="B2:B3"/>
    <mergeCell ref="C2:G2"/>
    <mergeCell ref="C3:G3"/>
    <mergeCell ref="B62:B63"/>
    <mergeCell ref="C62:C63"/>
    <mergeCell ref="D62:F62"/>
    <mergeCell ref="D34:E34"/>
    <mergeCell ref="B4:F4"/>
    <mergeCell ref="B7:B8"/>
    <mergeCell ref="C7:G7"/>
    <mergeCell ref="B35:B37"/>
    <mergeCell ref="C35:G35"/>
    <mergeCell ref="E36:F3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EE5F-C848-40CC-99F6-AA12AE5264D0}">
  <sheetPr>
    <tabColor rgb="FF00FF99"/>
  </sheetPr>
  <dimension ref="B1:V116"/>
  <sheetViews>
    <sheetView showGridLines="0" zoomScale="70" zoomScaleNormal="70" workbookViewId="0">
      <selection activeCell="F39" sqref="F39"/>
    </sheetView>
  </sheetViews>
  <sheetFormatPr baseColWidth="10" defaultColWidth="11.42578125" defaultRowHeight="15" customHeight="1" zeroHeight="1"/>
  <cols>
    <col min="1" max="1" width="3.7109375" style="516" customWidth="1"/>
    <col min="2" max="2" width="47.28515625" style="516" customWidth="1"/>
    <col min="3" max="3" width="20.28515625" style="518" customWidth="1"/>
    <col min="4" max="5" width="18.85546875" style="518" customWidth="1"/>
    <col min="6" max="6" width="19.42578125" style="516" customWidth="1"/>
    <col min="7" max="7" width="47" style="516" customWidth="1"/>
    <col min="8" max="15" width="11.42578125" style="516"/>
    <col min="16" max="16" width="62.42578125" style="516" bestFit="1" customWidth="1"/>
    <col min="17" max="17" width="40" style="516" customWidth="1"/>
    <col min="18" max="16355" width="11.42578125" style="516"/>
    <col min="16356" max="16356" width="1.42578125" style="516" customWidth="1"/>
    <col min="16357" max="16384" width="2.85546875" style="516" customWidth="1"/>
  </cols>
  <sheetData>
    <row r="1" spans="2:22" s="455" customFormat="1">
      <c r="D1" s="458"/>
      <c r="E1" s="456"/>
      <c r="F1" s="457"/>
      <c r="G1" s="457"/>
      <c r="H1" s="457"/>
      <c r="I1" s="457"/>
      <c r="J1" s="457"/>
      <c r="K1" s="457"/>
      <c r="L1" s="457"/>
      <c r="V1" s="458"/>
    </row>
    <row r="2" spans="2:22" s="455" customFormat="1" ht="28.9" customHeight="1">
      <c r="B2" s="1467" t="s">
        <v>889</v>
      </c>
      <c r="C2" s="1498" t="s">
        <v>898</v>
      </c>
      <c r="D2" s="1498"/>
      <c r="E2" s="1498"/>
      <c r="F2" s="1498"/>
      <c r="G2" s="1498"/>
      <c r="H2" s="1498"/>
      <c r="I2" s="510"/>
      <c r="J2" s="510"/>
      <c r="K2" s="510"/>
      <c r="L2" s="510"/>
      <c r="M2" s="510"/>
      <c r="N2" s="1057"/>
      <c r="O2" s="1057"/>
      <c r="P2" s="1057"/>
      <c r="Q2" s="1057"/>
      <c r="R2" s="1057"/>
      <c r="S2" s="1057"/>
      <c r="T2" s="1057"/>
      <c r="U2" s="1057"/>
      <c r="V2" s="458"/>
    </row>
    <row r="3" spans="2:22" s="455" customFormat="1" ht="17.45" customHeight="1">
      <c r="B3" s="1467"/>
      <c r="C3" s="1499" t="s">
        <v>1154</v>
      </c>
      <c r="D3" s="1499"/>
      <c r="E3" s="1499"/>
      <c r="F3" s="1499"/>
      <c r="G3" s="1499"/>
      <c r="H3" s="1499"/>
      <c r="I3" s="509"/>
      <c r="J3" s="509"/>
      <c r="K3" s="509"/>
      <c r="L3" s="509"/>
      <c r="M3" s="509"/>
      <c r="N3" s="1056"/>
      <c r="O3" s="1056"/>
      <c r="P3" s="1056"/>
      <c r="Q3" s="1056"/>
      <c r="R3" s="1056"/>
      <c r="S3" s="1056"/>
      <c r="T3" s="1056"/>
      <c r="U3" s="1056"/>
      <c r="V3" s="459"/>
    </row>
    <row r="4" spans="2:22" s="455" customFormat="1" ht="6" customHeight="1">
      <c r="B4" s="543"/>
      <c r="D4" s="1500"/>
      <c r="E4" s="1500"/>
      <c r="F4" s="1500"/>
      <c r="G4" s="1500"/>
      <c r="H4" s="1500"/>
      <c r="I4" s="501"/>
      <c r="J4" s="501"/>
      <c r="K4" s="501"/>
      <c r="L4" s="501"/>
      <c r="M4" s="501"/>
      <c r="N4" s="1054"/>
      <c r="O4" s="1054"/>
      <c r="P4" s="1054"/>
      <c r="Q4" s="1054"/>
      <c r="R4" s="1054"/>
      <c r="S4" s="1054"/>
      <c r="T4" s="1054"/>
      <c r="U4" s="1054"/>
      <c r="V4" s="460"/>
    </row>
    <row r="5" spans="2:22" s="455" customFormat="1" ht="19.5" customHeight="1">
      <c r="B5" s="1023" t="str">
        <f>+'2.Infor Detallado Desempeño POA'!C7</f>
        <v xml:space="preserve">Fecha de corte: </v>
      </c>
      <c r="C5" s="1063">
        <v>44926</v>
      </c>
      <c r="D5" s="502"/>
      <c r="E5" s="462"/>
      <c r="V5" s="458"/>
    </row>
    <row r="6" spans="2:22" ht="1.9" customHeight="1">
      <c r="B6" s="519"/>
    </row>
    <row r="7" spans="2:22" ht="8.4499999999999993" customHeight="1">
      <c r="B7" s="519"/>
    </row>
    <row r="8" spans="2:22" ht="54" customHeight="1">
      <c r="B8" s="1052" t="s">
        <v>750</v>
      </c>
      <c r="C8" s="1051" t="s">
        <v>1155</v>
      </c>
      <c r="D8" s="520"/>
      <c r="E8" s="516"/>
    </row>
    <row r="9" spans="2:22">
      <c r="B9" s="521" t="s">
        <v>724</v>
      </c>
      <c r="C9" s="522">
        <f>+F41</f>
        <v>0.85149999999999992</v>
      </c>
      <c r="D9" s="523"/>
      <c r="E9" s="516"/>
    </row>
    <row r="10" spans="2:22">
      <c r="B10" s="521" t="s">
        <v>726</v>
      </c>
      <c r="C10" s="522">
        <f>+F42</f>
        <v>0.20394736842105263</v>
      </c>
      <c r="D10" s="523"/>
      <c r="E10" s="516"/>
      <c r="H10" s="587"/>
      <c r="I10" s="588" t="s">
        <v>1156</v>
      </c>
    </row>
    <row r="11" spans="2:22">
      <c r="B11" s="521" t="s">
        <v>727</v>
      </c>
      <c r="C11" s="522">
        <f>+F43</f>
        <v>0.82500000000000007</v>
      </c>
      <c r="D11" s="523"/>
      <c r="E11" s="516"/>
      <c r="H11" s="893"/>
      <c r="I11" s="588" t="s">
        <v>905</v>
      </c>
    </row>
    <row r="12" spans="2:22">
      <c r="B12" s="521" t="s">
        <v>728</v>
      </c>
      <c r="C12" s="522">
        <f>+F44</f>
        <v>0.75</v>
      </c>
      <c r="D12" s="523"/>
      <c r="E12" s="516"/>
      <c r="H12" s="589"/>
      <c r="I12" s="588" t="s">
        <v>906</v>
      </c>
    </row>
    <row r="13" spans="2:22">
      <c r="B13" s="521" t="s">
        <v>739</v>
      </c>
      <c r="C13" s="522">
        <f>+F45</f>
        <v>0.57740740740740737</v>
      </c>
      <c r="D13" s="524"/>
      <c r="E13" s="516"/>
      <c r="H13" s="590"/>
      <c r="I13" s="588" t="s">
        <v>907</v>
      </c>
    </row>
    <row r="14" spans="2:22">
      <c r="B14" s="521" t="s">
        <v>729</v>
      </c>
      <c r="C14" s="522">
        <f>+F47</f>
        <v>0.82041529492741627</v>
      </c>
      <c r="D14" s="523"/>
      <c r="E14" s="516"/>
    </row>
    <row r="15" spans="2:22">
      <c r="B15" s="521" t="s">
        <v>864</v>
      </c>
      <c r="C15" s="522">
        <f>+F48</f>
        <v>0.41238313924881087</v>
      </c>
      <c r="D15" s="523"/>
      <c r="E15" s="516"/>
    </row>
    <row r="16" spans="2:22">
      <c r="B16" s="521" t="s">
        <v>732</v>
      </c>
      <c r="C16" s="522">
        <f>+F49</f>
        <v>0.46475</v>
      </c>
      <c r="D16" s="523"/>
      <c r="E16" s="516"/>
    </row>
    <row r="17" spans="2:17">
      <c r="B17" s="521" t="s">
        <v>733</v>
      </c>
      <c r="C17" s="522">
        <f t="shared" ref="C17:C22" si="0">+F51</f>
        <v>0.70174281462585042</v>
      </c>
      <c r="D17" s="523"/>
      <c r="E17" s="516"/>
    </row>
    <row r="18" spans="2:17">
      <c r="B18" s="521" t="s">
        <v>734</v>
      </c>
      <c r="C18" s="522">
        <f t="shared" si="0"/>
        <v>0.82036082474226801</v>
      </c>
      <c r="D18" s="523"/>
      <c r="E18" s="516"/>
    </row>
    <row r="19" spans="2:17">
      <c r="B19" s="521" t="s">
        <v>735</v>
      </c>
      <c r="C19" s="522">
        <f t="shared" si="0"/>
        <v>0.72045614035087713</v>
      </c>
      <c r="D19" s="523"/>
      <c r="E19" s="516"/>
    </row>
    <row r="20" spans="2:17">
      <c r="B20" s="521" t="s">
        <v>736</v>
      </c>
      <c r="C20" s="522">
        <f t="shared" si="0"/>
        <v>0.88554276315789471</v>
      </c>
      <c r="D20" s="523"/>
      <c r="E20" s="516"/>
    </row>
    <row r="21" spans="2:17">
      <c r="B21" s="521" t="s">
        <v>737</v>
      </c>
      <c r="C21" s="522">
        <f t="shared" si="0"/>
        <v>0.78166118421052633</v>
      </c>
      <c r="D21" s="523"/>
      <c r="E21" s="516"/>
    </row>
    <row r="22" spans="2:17">
      <c r="B22" s="521" t="s">
        <v>738</v>
      </c>
      <c r="C22" s="522">
        <f t="shared" si="0"/>
        <v>0.75</v>
      </c>
      <c r="D22" s="523"/>
      <c r="E22" s="516"/>
    </row>
    <row r="23" spans="2:17">
      <c r="B23" s="521" t="s">
        <v>740</v>
      </c>
      <c r="C23" s="522">
        <f>+F58</f>
        <v>1.0045299145299145</v>
      </c>
      <c r="D23" s="523"/>
      <c r="E23" s="516"/>
    </row>
    <row r="24" spans="2:17" ht="15.75" thickBot="1">
      <c r="B24" s="525" t="s">
        <v>741</v>
      </c>
      <c r="C24" s="522">
        <f>+F59</f>
        <v>0.31333333333333335</v>
      </c>
      <c r="D24" s="523"/>
      <c r="E24" s="516"/>
    </row>
    <row r="25" spans="2:17" ht="16.5" thickBot="1">
      <c r="B25" s="526" t="s">
        <v>890</v>
      </c>
      <c r="C25" s="946">
        <f>+F62</f>
        <v>0.66074483625099023</v>
      </c>
      <c r="D25" s="527"/>
      <c r="E25" s="516"/>
    </row>
    <row r="26" spans="2:17" s="528" customFormat="1">
      <c r="C26" s="529"/>
      <c r="D26" s="529"/>
      <c r="E26" s="529"/>
      <c r="P26" s="516"/>
      <c r="Q26" s="516"/>
    </row>
    <row r="27" spans="2:17" s="528" customFormat="1" ht="56.25" customHeight="1" thickBot="1">
      <c r="B27" s="528" t="s">
        <v>680</v>
      </c>
      <c r="C27" s="529"/>
      <c r="P27" s="516"/>
      <c r="Q27" s="516"/>
    </row>
    <row r="28" spans="2:17" ht="57" customHeight="1">
      <c r="B28" s="1501" t="s">
        <v>930</v>
      </c>
      <c r="C28" s="1503" t="s">
        <v>862</v>
      </c>
      <c r="D28" s="1505" t="s">
        <v>931</v>
      </c>
      <c r="E28" s="1506"/>
      <c r="F28" s="1507"/>
      <c r="H28" s="518"/>
    </row>
    <row r="29" spans="2:17" ht="54.6" customHeight="1" thickBot="1">
      <c r="B29" s="1502"/>
      <c r="C29" s="1504"/>
      <c r="D29" s="659" t="str">
        <f>+D39</f>
        <v>Cuarto Trimestre</v>
      </c>
      <c r="E29" s="663" t="s">
        <v>932</v>
      </c>
      <c r="F29" s="665" t="s">
        <v>924</v>
      </c>
      <c r="H29" s="518"/>
    </row>
    <row r="30" spans="2:17" ht="29.45" customHeight="1">
      <c r="B30" s="646" t="s">
        <v>925</v>
      </c>
      <c r="C30" s="629">
        <f>+C46</f>
        <v>20</v>
      </c>
      <c r="D30" s="660">
        <f>IFERROR(AVERAGE(D41:D45),0)</f>
        <v>1</v>
      </c>
      <c r="E30" s="666">
        <f>IFERROR(AVERAGE(E41:E45),0)</f>
        <v>0.7452005847953217</v>
      </c>
      <c r="F30" s="891">
        <f>IFERROR(AVERAGE(F41:F45),0)</f>
        <v>0.64157095516569196</v>
      </c>
      <c r="H30" s="518"/>
    </row>
    <row r="31" spans="2:17" ht="36.6" customHeight="1">
      <c r="B31" s="631" t="s">
        <v>926</v>
      </c>
      <c r="C31" s="630">
        <f>+C50</f>
        <v>35</v>
      </c>
      <c r="D31" s="661">
        <f>IFERROR(AVERAGE(D47:D49),0)</f>
        <v>0</v>
      </c>
      <c r="E31" s="666">
        <f>IFERROR(AVERAGE(E47:E49),0)</f>
        <v>0.6861858164029444</v>
      </c>
      <c r="F31" s="891">
        <f>IFERROR(AVERAGE(F47:F49),0)</f>
        <v>0.56584947805874242</v>
      </c>
      <c r="H31" s="518"/>
    </row>
    <row r="32" spans="2:17" ht="41.45" customHeight="1">
      <c r="B32" s="631" t="s">
        <v>927</v>
      </c>
      <c r="C32" s="630">
        <f>+C57</f>
        <v>26</v>
      </c>
      <c r="D32" s="661">
        <f>IFERROR(AVERAGE(D51:D56),0)</f>
        <v>0.24999999999999997</v>
      </c>
      <c r="E32" s="666">
        <f>IFERROR(AVERAGE(E51:E56),0)</f>
        <v>0.75466125800827311</v>
      </c>
      <c r="F32" s="891">
        <f>IFERROR(AVERAGE(F51:F56),0)</f>
        <v>0.7766272878479028</v>
      </c>
      <c r="H32" s="518"/>
    </row>
    <row r="33" spans="2:22" ht="40.5">
      <c r="B33" s="631" t="s">
        <v>928</v>
      </c>
      <c r="C33" s="630">
        <f>+C60</f>
        <v>6</v>
      </c>
      <c r="D33" s="662">
        <f>IFERROR(AVERAGE(D58:D59),0)</f>
        <v>0</v>
      </c>
      <c r="E33" s="667">
        <f>IFERROR(AVERAGE(E58:E59),0)</f>
        <v>0.8255982905982906</v>
      </c>
      <c r="F33" s="892">
        <f>IFERROR(AVERAGE(F58:F59),0)</f>
        <v>0.65893162393162386</v>
      </c>
      <c r="H33" s="518"/>
    </row>
    <row r="34" spans="2:22" ht="23.25">
      <c r="B34" s="633" t="s">
        <v>929</v>
      </c>
      <c r="C34" s="639">
        <f>SUM(C30:C33)</f>
        <v>87</v>
      </c>
      <c r="D34" s="632">
        <f>AVERAGE(D30:D33)</f>
        <v>0.3125</v>
      </c>
      <c r="E34" s="664">
        <f>AVERAGE(E30:E33)</f>
        <v>0.7529114874512074</v>
      </c>
      <c r="F34" s="664">
        <f>AVERAGE(F30:F33)</f>
        <v>0.66074483625099023</v>
      </c>
      <c r="H34" s="518"/>
    </row>
    <row r="35" spans="2:22" s="637" customFormat="1" ht="23.25">
      <c r="B35" s="634"/>
      <c r="C35" s="635"/>
      <c r="D35" s="636"/>
      <c r="E35" s="636"/>
      <c r="H35" s="638"/>
    </row>
    <row r="36" spans="2:22" s="528" customFormat="1">
      <c r="C36" s="529"/>
      <c r="P36" s="516"/>
      <c r="Q36" s="516"/>
    </row>
    <row r="37" spans="2:22" s="455" customFormat="1" ht="19.5" customHeight="1" thickBot="1">
      <c r="B37" s="461" t="str">
        <f>+B5</f>
        <v xml:space="preserve">Fecha de corte: </v>
      </c>
      <c r="D37" s="462"/>
      <c r="E37" s="462"/>
      <c r="V37" s="458"/>
    </row>
    <row r="38" spans="2:22" s="455" customFormat="1" ht="21" customHeight="1">
      <c r="B38" s="1490" t="s">
        <v>750</v>
      </c>
      <c r="C38" s="1492" t="s">
        <v>862</v>
      </c>
      <c r="D38" s="1492" t="s">
        <v>900</v>
      </c>
      <c r="E38" s="1492"/>
      <c r="F38" s="1494"/>
      <c r="G38" s="456"/>
      <c r="H38" s="456"/>
      <c r="I38" s="456"/>
      <c r="U38" s="458"/>
    </row>
    <row r="39" spans="2:22" s="455" customFormat="1" ht="49.5" customHeight="1" thickBot="1">
      <c r="B39" s="1491"/>
      <c r="C39" s="1493"/>
      <c r="D39" s="1055" t="str">
        <f>+'2.Infor Detallado Desempeño POA'!AL11</f>
        <v>Cuarto Trimestre</v>
      </c>
      <c r="E39" s="1055" t="str">
        <f>+'2.Infor Detallado Desempeño POA'!AM11</f>
        <v>Acumulado Corte 
31/12/2022</v>
      </c>
      <c r="F39" s="648" t="str">
        <f>+'2.Infor Detallado Desempeño POA'!AN11</f>
        <v>Anual</v>
      </c>
      <c r="G39" s="544"/>
      <c r="H39" s="456"/>
      <c r="I39" s="456"/>
      <c r="J39" s="456"/>
      <c r="V39" s="458"/>
    </row>
    <row r="40" spans="2:22" s="642" customFormat="1" ht="6" customHeight="1" thickBot="1">
      <c r="B40" s="1495"/>
      <c r="C40" s="1496"/>
      <c r="D40" s="1496"/>
      <c r="E40" s="1496"/>
      <c r="F40" s="1497"/>
      <c r="G40" s="640"/>
      <c r="H40" s="641"/>
      <c r="I40" s="641"/>
      <c r="J40" s="641"/>
      <c r="V40" s="643"/>
    </row>
    <row r="41" spans="2:22" s="455" customFormat="1">
      <c r="B41" s="463" t="s">
        <v>724</v>
      </c>
      <c r="C41" s="464">
        <f>+'Rango indicadores'!D111</f>
        <v>4</v>
      </c>
      <c r="D41" s="465" t="str">
        <f>IF(AND('2.Infor Detallado Desempeño POA'!AL16&gt;0),'2.Infor Detallado Desempeño POA'!AL16,"No Programado")</f>
        <v>No Programado</v>
      </c>
      <c r="E41" s="465">
        <f>IF(AND('2.Infor Detallado Desempeño POA'!AM16&gt;0),'2.Infor Detallado Desempeño POA'!AM16,"No Programado")</f>
        <v>0.78900000000000003</v>
      </c>
      <c r="F41" s="465">
        <f>IF(AND('2.Infor Detallado Desempeño POA'!AN16&gt;0),'2.Infor Detallado Desempeño POA'!AN16,"No Programado")</f>
        <v>0.85149999999999992</v>
      </c>
      <c r="G41" s="466"/>
      <c r="H41" s="466"/>
      <c r="I41" s="466"/>
      <c r="J41" s="466"/>
      <c r="V41" s="458"/>
    </row>
    <row r="42" spans="2:22" s="455" customFormat="1">
      <c r="B42" s="467" t="s">
        <v>726</v>
      </c>
      <c r="C42" s="464">
        <f>+'Rango indicadores'!D112</f>
        <v>4</v>
      </c>
      <c r="D42" s="465" t="str">
        <f>IF(AND('2.Infor Detallado Desempeño POA'!AL25&gt;0),'2.Infor Detallado Desempeño POA'!AL25,"No Programado")</f>
        <v>No Programado</v>
      </c>
      <c r="E42" s="465">
        <f>IF(AND('2.Infor Detallado Desempeño POA'!AM25&gt;0),'2.Infor Detallado Desempeño POA'!AM25,"No Programado")</f>
        <v>0.32894736842105265</v>
      </c>
      <c r="F42" s="465">
        <f>IF(AND('2.Infor Detallado Desempeño POA'!AN25&gt;0),'2.Infor Detallado Desempeño POA'!AN25,"No Programado")</f>
        <v>0.20394736842105263</v>
      </c>
      <c r="G42" s="466"/>
      <c r="H42" s="466"/>
      <c r="I42" s="466"/>
      <c r="J42" s="466"/>
      <c r="V42" s="458"/>
    </row>
    <row r="43" spans="2:22" s="455" customFormat="1">
      <c r="B43" s="467" t="s">
        <v>727</v>
      </c>
      <c r="C43" s="464">
        <f>+'Rango indicadores'!D113</f>
        <v>7</v>
      </c>
      <c r="D43" s="465" t="str">
        <f>IF(AND('2.Infor Detallado Desempeño POA'!AL37&gt;0),'2.Infor Detallado Desempeño POA'!AL37,"No Programado")</f>
        <v>No Programado</v>
      </c>
      <c r="E43" s="465">
        <f>IF(AND('2.Infor Detallado Desempeño POA'!AM37&gt;0),'2.Infor Detallado Desempeño POA'!AM37,"No Programado")</f>
        <v>0.82500000000000007</v>
      </c>
      <c r="F43" s="465">
        <f>IF(AND('2.Infor Detallado Desempeño POA'!AN37&gt;0),'2.Infor Detallado Desempeño POA'!AN37,"No Programado")</f>
        <v>0.82500000000000007</v>
      </c>
      <c r="G43" s="466"/>
      <c r="H43" s="466"/>
      <c r="I43" s="466"/>
      <c r="J43" s="466"/>
      <c r="V43" s="458"/>
    </row>
    <row r="44" spans="2:22" s="455" customFormat="1">
      <c r="B44" s="467" t="s">
        <v>728</v>
      </c>
      <c r="C44" s="464">
        <f>+'Rango indicadores'!D114</f>
        <v>2</v>
      </c>
      <c r="D44" s="465">
        <f>IF(AND('2.Infor Detallado Desempeño POA'!T44&gt;0),'2.Infor Detallado Desempeño POA'!T44,"No Programado")</f>
        <v>1</v>
      </c>
      <c r="E44" s="465">
        <f>IF(AND('2.Infor Detallado Desempeño POA'!AM44&gt;0),'2.Infor Detallado Desempeño POA'!AM44,"No Programado")</f>
        <v>0.75</v>
      </c>
      <c r="F44" s="465">
        <f>IF(AND('2.Infor Detallado Desempeño POA'!AN44&gt;0),'2.Infor Detallado Desempeño POA'!AN44,"No Programado")</f>
        <v>0.75</v>
      </c>
      <c r="G44" s="466"/>
      <c r="H44" s="466"/>
      <c r="I44" s="466"/>
      <c r="J44" s="466"/>
      <c r="V44" s="458"/>
    </row>
    <row r="45" spans="2:22" s="455" customFormat="1" ht="15.75" thickBot="1">
      <c r="B45" s="468" t="s">
        <v>739</v>
      </c>
      <c r="C45" s="464">
        <f>+'Rango indicadores'!D124</f>
        <v>3</v>
      </c>
      <c r="D45" s="465" t="str">
        <f>IF(AND('2.Infor Detallado Desempeño POA'!AL52&gt;0),'2.Infor Detallado Desempeño POA'!AL52,"No Programado")</f>
        <v>No Programado</v>
      </c>
      <c r="E45" s="465">
        <f>IF(AND('2.Infor Detallado Desempeño POA'!AD52&gt;0),'2.Infor Detallado Desempeño POA'!AD52,"No Programado")</f>
        <v>1.0330555555555554</v>
      </c>
      <c r="F45" s="465">
        <f>IF(AND('2.Infor Detallado Desempeño POA'!AN52&gt;0),'2.Infor Detallado Desempeño POA'!AN52,"No Programado")</f>
        <v>0.57740740740740737</v>
      </c>
      <c r="G45" s="466"/>
      <c r="H45" s="466"/>
      <c r="I45" s="466"/>
      <c r="J45" s="466"/>
      <c r="V45" s="458"/>
    </row>
    <row r="46" spans="2:22" s="455" customFormat="1" ht="34.9" customHeight="1" thickBot="1">
      <c r="B46" s="649" t="s">
        <v>901</v>
      </c>
      <c r="C46" s="650">
        <f>SUM(C41:C45)</f>
        <v>20</v>
      </c>
      <c r="D46" s="651">
        <f>IFERROR(AVERAGE(D41:D45),0)</f>
        <v>1</v>
      </c>
      <c r="E46" s="651">
        <f>IFERROR(AVERAGE(E41:E45),0)</f>
        <v>0.7452005847953217</v>
      </c>
      <c r="F46" s="651">
        <f>IFERROR(AVERAGE(F41:F45),0)</f>
        <v>0.64157095516569196</v>
      </c>
      <c r="G46" s="469"/>
      <c r="H46" s="466"/>
      <c r="I46" s="466"/>
      <c r="J46" s="466"/>
      <c r="V46" s="458"/>
    </row>
    <row r="47" spans="2:22" s="455" customFormat="1">
      <c r="B47" s="463" t="s">
        <v>729</v>
      </c>
      <c r="C47" s="464">
        <f>+'Rango indicadores'!D115</f>
        <v>20</v>
      </c>
      <c r="D47" s="465" t="str">
        <f>IF(AND('2.Infor Detallado Desempeño POA'!AL77&gt;0),'2.Infor Detallado Desempeño POA'!AL77,"No Programado")</f>
        <v>No Programado</v>
      </c>
      <c r="E47" s="465">
        <f>IF(AND('2.Infor Detallado Desempeño POA'!AM77&gt;0),'2.Infor Detallado Desempeño POA'!AM77,"No Programado")</f>
        <v>0.87747900683877367</v>
      </c>
      <c r="F47" s="465">
        <f>IF(AND('2.Infor Detallado Desempeño POA'!AN77&gt;0),'2.Infor Detallado Desempeño POA'!AN77,"No Programado")</f>
        <v>0.82041529492741627</v>
      </c>
      <c r="G47" s="466"/>
      <c r="H47" s="466"/>
      <c r="I47" s="466"/>
      <c r="J47" s="466"/>
      <c r="V47" s="458"/>
    </row>
    <row r="48" spans="2:22" s="455" customFormat="1">
      <c r="B48" s="467" t="s">
        <v>864</v>
      </c>
      <c r="C48" s="464">
        <f>+'Rango indicadores'!D116</f>
        <v>7</v>
      </c>
      <c r="D48" s="465" t="str">
        <f>IF(AND('2.Infor Detallado Desempeño POA'!AL89&gt;0),'2.Infor Detallado Desempeño POA'!AL89,"No Programado")</f>
        <v>No Programado</v>
      </c>
      <c r="E48" s="465">
        <f>IF(AND('2.Infor Detallado Desempeño POA'!AM89&gt;0),'2.Infor Detallado Desempeño POA'!AM89,"No Programado")</f>
        <v>0.53483211884064763</v>
      </c>
      <c r="F48" s="465">
        <f>IF(AND('2.Infor Detallado Desempeño POA'!AN89&gt;0),'2.Infor Detallado Desempeño POA'!AN89,"No Programado")</f>
        <v>0.41238313924881087</v>
      </c>
      <c r="G48" s="466"/>
      <c r="H48" s="466"/>
      <c r="I48" s="466"/>
      <c r="J48" s="466"/>
      <c r="V48" s="458"/>
    </row>
    <row r="49" spans="2:22" s="455" customFormat="1" ht="15.75" thickBot="1">
      <c r="B49" s="468" t="s">
        <v>732</v>
      </c>
      <c r="C49" s="464">
        <f>+'Rango indicadores'!D117</f>
        <v>8</v>
      </c>
      <c r="D49" s="465" t="str">
        <f>IF(AND('2.Infor Detallado Desempeño POA'!AL102&gt;0),'2.Infor Detallado Desempeño POA'!AL102,"No Programado")</f>
        <v>No Programado</v>
      </c>
      <c r="E49" s="465">
        <f>IF(AND('2.Infor Detallado Desempeño POA'!AM102&gt;0),'2.Infor Detallado Desempeño POA'!AM102,"No Programado")</f>
        <v>0.64624632352941169</v>
      </c>
      <c r="F49" s="465">
        <f>IF(AND('2.Infor Detallado Desempeño POA'!AN102&gt;0),'2.Infor Detallado Desempeño POA'!AN102,"No Programado")</f>
        <v>0.46475</v>
      </c>
      <c r="G49" s="466"/>
      <c r="H49" s="466"/>
      <c r="I49" s="466"/>
      <c r="J49" s="466"/>
      <c r="V49" s="458"/>
    </row>
    <row r="50" spans="2:22" s="455" customFormat="1" ht="34.9" customHeight="1" thickBot="1">
      <c r="B50" s="649" t="s">
        <v>902</v>
      </c>
      <c r="C50" s="650">
        <f>SUM(C47:C49)</f>
        <v>35</v>
      </c>
      <c r="D50" s="651">
        <f>IFERROR(AVERAGE(D47:D49),0)</f>
        <v>0</v>
      </c>
      <c r="E50" s="651">
        <f>IFERROR(AVERAGE(E47:E49),0)</f>
        <v>0.6861858164029444</v>
      </c>
      <c r="F50" s="651">
        <f>IFERROR(AVERAGE(F47:F49),0)</f>
        <v>0.56584947805874242</v>
      </c>
      <c r="G50" s="469"/>
      <c r="H50" s="466"/>
      <c r="I50" s="466"/>
      <c r="J50" s="466"/>
      <c r="V50" s="458"/>
    </row>
    <row r="51" spans="2:22" s="455" customFormat="1">
      <c r="B51" s="463" t="s">
        <v>733</v>
      </c>
      <c r="C51" s="464">
        <f>+'Rango indicadores'!D118</f>
        <v>8</v>
      </c>
      <c r="D51" s="465" t="str">
        <f>IF(AND('2.Infor Detallado Desempeño POA'!AL115&gt;0),'2.Infor Detallado Desempeño POA'!AL115,"No Programado")</f>
        <v>No Programado</v>
      </c>
      <c r="E51" s="465">
        <f>IF(AND('2.Infor Detallado Desempeño POA'!AM115&gt;0),'2.Infor Detallado Desempeño POA'!AM115,"No Programado")</f>
        <v>0.70193613414115652</v>
      </c>
      <c r="F51" s="465">
        <f>IF(AND('2.Infor Detallado Desempeño POA'!AN115&gt;0),'2.Infor Detallado Desempeño POA'!AN115,"No Programado")</f>
        <v>0.70174281462585042</v>
      </c>
      <c r="G51" s="466"/>
      <c r="H51" s="466"/>
      <c r="I51" s="466"/>
      <c r="J51" s="466"/>
      <c r="V51" s="458"/>
    </row>
    <row r="52" spans="2:22" s="455" customFormat="1">
      <c r="B52" s="467" t="s">
        <v>734</v>
      </c>
      <c r="C52" s="464">
        <f>+'Rango indicadores'!D119</f>
        <v>2</v>
      </c>
      <c r="D52" s="465" t="str">
        <f>IF(AND('2.Infor Detallado Desempeño POA'!AL122),'2.Infor Detallado Desempeño POA'!AL122,"No Programado")</f>
        <v>No Programado</v>
      </c>
      <c r="E52" s="465">
        <f>IF(AND('2.Infor Detallado Desempeño POA'!AM122),'2.Infor Detallado Desempeño POA'!AM122,"No Programado")</f>
        <v>0.82074742268041234</v>
      </c>
      <c r="F52" s="465">
        <f>IF(AND('2.Infor Detallado Desempeño POA'!AN122),'2.Infor Detallado Desempeño POA'!AN122,"No Programado")</f>
        <v>0.82036082474226801</v>
      </c>
      <c r="G52" s="466"/>
      <c r="H52" s="466"/>
      <c r="I52" s="466"/>
      <c r="J52" s="466"/>
      <c r="V52" s="458"/>
    </row>
    <row r="53" spans="2:22" s="455" customFormat="1">
      <c r="B53" s="467" t="s">
        <v>735</v>
      </c>
      <c r="C53" s="464">
        <f>+'Rango indicadores'!D120</f>
        <v>3</v>
      </c>
      <c r="D53" s="465" t="str">
        <f>IF(AND('2.Infor Detallado Desempeño POA'!AL130&gt;0),'2.Infor Detallado Desempeño POA'!AL130,"No Programado")</f>
        <v>No Programado</v>
      </c>
      <c r="E53" s="465">
        <f>IF(AND('2.Infor Detallado Desempeño POA'!AM130&gt;0),'2.Infor Detallado Desempeño POA'!AM130,"No Programado")</f>
        <v>0.72045614035087713</v>
      </c>
      <c r="F53" s="465">
        <f>IF(AND('2.Infor Detallado Desempeño POA'!AN130&gt;0),'2.Infor Detallado Desempeño POA'!AN130,"No Programado")</f>
        <v>0.72045614035087713</v>
      </c>
      <c r="G53" s="466"/>
      <c r="H53" s="466"/>
      <c r="I53" s="466"/>
      <c r="J53" s="466"/>
      <c r="V53" s="458"/>
    </row>
    <row r="54" spans="2:22" s="455" customFormat="1">
      <c r="B54" s="467" t="s">
        <v>736</v>
      </c>
      <c r="C54" s="464">
        <f>+'Rango indicadores'!D121</f>
        <v>4</v>
      </c>
      <c r="D54" s="465">
        <f>IF(AND('2.Infor Detallado Desempeño POA'!AL139&gt;0),'2.Infor Detallado Desempeño POA'!AL139,"No Programado")</f>
        <v>0.24999999999999997</v>
      </c>
      <c r="E54" s="465">
        <f>IF(AND('2.Infor Detallado Desempeño POA'!AM139&gt;0),'2.Infor Detallado Desempeño POA'!AM139,"No Programado")</f>
        <v>0.75276151315789464</v>
      </c>
      <c r="F54" s="465">
        <f>IF(AND('2.Infor Detallado Desempeño POA'!AN139&gt;0),'2.Infor Detallado Desempeño POA'!AN139,"No Programado")</f>
        <v>0.88554276315789471</v>
      </c>
      <c r="G54" s="466"/>
      <c r="H54" s="466"/>
      <c r="I54" s="466"/>
      <c r="J54" s="466"/>
      <c r="V54" s="458"/>
    </row>
    <row r="55" spans="2:22" s="455" customFormat="1">
      <c r="B55" s="467" t="s">
        <v>737</v>
      </c>
      <c r="C55" s="464">
        <f>+'Rango indicadores'!D122</f>
        <v>4</v>
      </c>
      <c r="D55" s="465" t="str">
        <f>IF(AND('2.Infor Detallado Desempeño POA'!AL148&gt;0),'2.Infor Detallado Desempeño POA'!AL148,"No Programado")</f>
        <v>No Programado</v>
      </c>
      <c r="E55" s="465">
        <f>IF(AND('2.Infor Detallado Desempeño POA'!AM148&gt;0),'2.Infor Detallado Desempeño POA'!AM148,"No Programado")</f>
        <v>0.78206633771929823</v>
      </c>
      <c r="F55" s="465">
        <f>IF(AND('2.Infor Detallado Desempeño POA'!AN148&gt;0),'2.Infor Detallado Desempeño POA'!AN148,"No Programado")</f>
        <v>0.78166118421052633</v>
      </c>
      <c r="G55" s="466"/>
      <c r="H55" s="466"/>
      <c r="I55" s="466"/>
      <c r="J55" s="466"/>
      <c r="V55" s="458"/>
    </row>
    <row r="56" spans="2:22" s="455" customFormat="1" ht="15.75" thickBot="1">
      <c r="B56" s="468" t="s">
        <v>738</v>
      </c>
      <c r="C56" s="464">
        <f>+'Rango indicadores'!D123</f>
        <v>5</v>
      </c>
      <c r="D56" s="465" t="str">
        <f>IF(AND('2.Infor Detallado Desempeño POA'!AL158&gt;0),'2.Infor Detallado Desempeño POA'!AL158,"No Programado")</f>
        <v>No Programado</v>
      </c>
      <c r="E56" s="465">
        <f>IF(AND('2.Infor Detallado Desempeño POA'!AM158&gt;0),'2.Infor Detallado Desempeño POA'!AM158,"No Programado")</f>
        <v>0.75</v>
      </c>
      <c r="F56" s="465">
        <f>IF(AND('2.Infor Detallado Desempeño POA'!AN158&gt;0),'2.Infor Detallado Desempeño POA'!AN158,"No Programado")</f>
        <v>0.75</v>
      </c>
      <c r="G56" s="466"/>
      <c r="H56" s="466"/>
      <c r="I56" s="466"/>
      <c r="J56" s="466"/>
      <c r="V56" s="458"/>
    </row>
    <row r="57" spans="2:22" s="455" customFormat="1" ht="34.9" customHeight="1" thickBot="1">
      <c r="B57" s="649" t="s">
        <v>903</v>
      </c>
      <c r="C57" s="650">
        <f>SUM(C51:C56)</f>
        <v>26</v>
      </c>
      <c r="D57" s="651">
        <f>IFERROR(AVERAGE(D51:D56),0)</f>
        <v>0.24999999999999997</v>
      </c>
      <c r="E57" s="651">
        <f>IFERROR(AVERAGE(E51:E56),0)</f>
        <v>0.75466125800827311</v>
      </c>
      <c r="F57" s="651">
        <f>IFERROR(AVERAGE(F51:F56),0)</f>
        <v>0.7766272878479028</v>
      </c>
      <c r="G57" s="469"/>
      <c r="H57" s="466"/>
      <c r="I57" s="466"/>
      <c r="J57" s="466"/>
      <c r="V57" s="458"/>
    </row>
    <row r="58" spans="2:22" s="455" customFormat="1">
      <c r="B58" s="467" t="s">
        <v>740</v>
      </c>
      <c r="C58" s="464">
        <f>+'Rango indicadores'!D125</f>
        <v>3</v>
      </c>
      <c r="D58" s="465" t="str">
        <f>IF(AND('2.Infor Detallado Desempeño POA'!AL166&gt;0),'2.Infor Detallado Desempeño POA'!AL166,"No Programado")</f>
        <v>No Programado</v>
      </c>
      <c r="E58" s="465">
        <f>IF(AND('2.Infor Detallado Desempeño POA'!AM166&gt;0),'2.Infor Detallado Desempeño POA'!AM166,"No Programado")</f>
        <v>1.0045299145299145</v>
      </c>
      <c r="F58" s="465">
        <f>IF(AND('2.Infor Detallado Desempeño POA'!AN166&gt;0),'2.Infor Detallado Desempeño POA'!AN166,"No Programado")</f>
        <v>1.0045299145299145</v>
      </c>
      <c r="G58" s="466"/>
      <c r="H58" s="466"/>
      <c r="I58" s="466"/>
      <c r="J58" s="466"/>
      <c r="V58" s="458"/>
    </row>
    <row r="59" spans="2:22" s="455" customFormat="1" ht="15.75" thickBot="1">
      <c r="B59" s="552" t="s">
        <v>741</v>
      </c>
      <c r="C59" s="553">
        <f>+'Rango indicadores'!D126</f>
        <v>3</v>
      </c>
      <c r="D59" s="465" t="str">
        <f>IF(AND('2.Infor Detallado Desempeño POA'!AL174&gt;0),'2.Infor Detallado Desempeño POA'!AL174,"No Programado")</f>
        <v>No Programado</v>
      </c>
      <c r="E59" s="465">
        <f>IF(AND('2.Infor Detallado Desempeño POA'!AM174&gt;0),'2.Infor Detallado Desempeño POA'!AM174,"No Programado")</f>
        <v>0.64666666666666661</v>
      </c>
      <c r="F59" s="465">
        <f>IF(AND('2.Infor Detallado Desempeño POA'!AN174&gt;0),'2.Infor Detallado Desempeño POA'!AN174,"No Programado")</f>
        <v>0.31333333333333335</v>
      </c>
      <c r="G59" s="466"/>
      <c r="H59" s="466"/>
      <c r="I59" s="466"/>
      <c r="J59" s="466"/>
      <c r="V59" s="458"/>
    </row>
    <row r="60" spans="2:22" s="455" customFormat="1" ht="46.9" customHeight="1" thickBot="1">
      <c r="B60" s="652" t="s">
        <v>865</v>
      </c>
      <c r="C60" s="650">
        <f>SUM(C58:C59)</f>
        <v>6</v>
      </c>
      <c r="D60" s="651">
        <f>IFERROR(AVERAGE(D58:D59),0)</f>
        <v>0</v>
      </c>
      <c r="E60" s="651">
        <f>IFERROR(AVERAGE(E58:E59),0)</f>
        <v>0.8255982905982906</v>
      </c>
      <c r="F60" s="651">
        <f>IFERROR(AVERAGE(F58:F59),0)</f>
        <v>0.65893162393162386</v>
      </c>
      <c r="G60" s="469"/>
      <c r="H60" s="466"/>
      <c r="I60" s="466"/>
      <c r="J60" s="466"/>
      <c r="V60" s="458"/>
    </row>
    <row r="61" spans="2:22" s="642" customFormat="1" ht="6" customHeight="1">
      <c r="B61" s="644"/>
      <c r="C61" s="645"/>
      <c r="D61" s="640"/>
      <c r="E61" s="640"/>
      <c r="F61" s="640"/>
      <c r="G61" s="640"/>
      <c r="H61" s="641"/>
      <c r="I61" s="641"/>
      <c r="J61" s="641"/>
      <c r="V61" s="643"/>
    </row>
    <row r="62" spans="2:22" ht="15" customHeight="1">
      <c r="B62" s="628" t="s">
        <v>929</v>
      </c>
      <c r="C62" s="639">
        <f>+C60+C57+C50+C46</f>
        <v>87</v>
      </c>
      <c r="D62" s="632">
        <f>AVERAGE(D46,D50,D57,D60)</f>
        <v>0.3125</v>
      </c>
      <c r="E62" s="632">
        <f>AVERAGE(E46,E50,E57,E60)</f>
        <v>0.7529114874512074</v>
      </c>
      <c r="F62" s="632">
        <f>AVERAGE(F46,F50,F57,F60)</f>
        <v>0.66074483625099023</v>
      </c>
      <c r="G62" s="672"/>
    </row>
    <row r="63" spans="2:22" ht="15" customHeight="1"/>
    <row r="64" spans="2:22" ht="15" customHeight="1">
      <c r="D64" s="658"/>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837" priority="1" operator="equal">
      <formula>"No Programado"</formula>
    </cfRule>
    <cfRule type="cellIs" dxfId="836" priority="2" operator="lessThanOrEqual">
      <formula>0.6</formula>
    </cfRule>
    <cfRule type="cellIs" dxfId="835" priority="3" operator="between">
      <formula>0.6</formula>
      <formula>0.899999999999999</formula>
    </cfRule>
    <cfRule type="cellIs" dxfId="834" priority="4" operator="greaterThan">
      <formula>1</formula>
    </cfRule>
    <cfRule type="cellIs" dxfId="833" priority="5" operator="between">
      <formula>0.9</formula>
      <formula>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09"/>
  <sheetViews>
    <sheetView showGridLines="0" topLeftCell="C1" zoomScale="55" zoomScaleNormal="55" workbookViewId="0">
      <pane xSplit="2" ySplit="12" topLeftCell="E91" activePane="bottomRight" state="frozen"/>
      <selection activeCell="C1" sqref="C1"/>
      <selection pane="topRight" activeCell="E1" sqref="E1"/>
      <selection pane="bottomLeft" activeCell="C13" sqref="C13"/>
      <selection pane="bottomRight" activeCell="B101" sqref="B101:F101"/>
    </sheetView>
  </sheetViews>
  <sheetFormatPr baseColWidth="10" defaultColWidth="17.28515625" defaultRowHeight="15" customHeight="1"/>
  <cols>
    <col min="1" max="1" width="4.28515625" style="135" customWidth="1"/>
    <col min="2" max="2" width="50.42578125" style="133" customWidth="1"/>
    <col min="3" max="3" width="55.140625" style="133" customWidth="1"/>
    <col min="4" max="4" width="52.85546875" style="133" customWidth="1"/>
    <col min="5" max="5" width="25.42578125" style="134" customWidth="1"/>
    <col min="6" max="6" width="26.28515625" style="134" customWidth="1"/>
    <col min="7" max="7" width="18" style="134" customWidth="1"/>
    <col min="8" max="8" width="43.7109375" style="133" customWidth="1"/>
    <col min="9" max="9" width="29.42578125" style="133" customWidth="1"/>
    <col min="10" max="10" width="56.28515625" style="133" customWidth="1"/>
    <col min="11" max="14" width="14.28515625" style="135" customWidth="1"/>
    <col min="15" max="15" width="18.5703125" style="135" customWidth="1"/>
    <col min="16" max="16384" width="17.28515625" style="135"/>
  </cols>
  <sheetData>
    <row r="1" spans="2:15" ht="15" customHeight="1" thickBot="1"/>
    <row r="2" spans="2:15" ht="16.5" customHeight="1">
      <c r="B2" s="1559" t="s">
        <v>701</v>
      </c>
      <c r="C2" s="1549" t="s">
        <v>44</v>
      </c>
      <c r="D2" s="1550"/>
      <c r="E2" s="1550"/>
      <c r="F2" s="1550"/>
      <c r="G2" s="1550"/>
      <c r="H2" s="1550"/>
      <c r="I2" s="1550"/>
      <c r="J2" s="1550"/>
      <c r="K2" s="1550"/>
      <c r="L2" s="1550"/>
      <c r="M2" s="1551"/>
      <c r="N2" s="1539" t="s">
        <v>31</v>
      </c>
      <c r="O2" s="1540"/>
    </row>
    <row r="3" spans="2:15" ht="16.5" customHeight="1">
      <c r="B3" s="1560"/>
      <c r="C3" s="1552"/>
      <c r="D3" s="1553"/>
      <c r="E3" s="1553"/>
      <c r="F3" s="1553"/>
      <c r="G3" s="1553"/>
      <c r="H3" s="1553"/>
      <c r="I3" s="1553"/>
      <c r="J3" s="1553"/>
      <c r="K3" s="1553"/>
      <c r="L3" s="1553"/>
      <c r="M3" s="1554"/>
      <c r="N3" s="27" t="s">
        <v>28</v>
      </c>
      <c r="O3" s="28" t="s">
        <v>29</v>
      </c>
    </row>
    <row r="4" spans="2:15" ht="16.5" customHeight="1">
      <c r="B4" s="1560"/>
      <c r="C4" s="1552"/>
      <c r="D4" s="1553"/>
      <c r="E4" s="1553"/>
      <c r="F4" s="1553"/>
      <c r="G4" s="1553"/>
      <c r="H4" s="1553"/>
      <c r="I4" s="1553"/>
      <c r="J4" s="1553"/>
      <c r="K4" s="1553"/>
      <c r="L4" s="1553"/>
      <c r="M4" s="1554"/>
      <c r="N4" s="29">
        <v>5</v>
      </c>
      <c r="O4" s="30" t="s">
        <v>655</v>
      </c>
    </row>
    <row r="5" spans="2:15" ht="16.5" customHeight="1">
      <c r="B5" s="1560"/>
      <c r="C5" s="1552"/>
      <c r="D5" s="1553"/>
      <c r="E5" s="1553"/>
      <c r="F5" s="1553"/>
      <c r="G5" s="1553"/>
      <c r="H5" s="1553"/>
      <c r="I5" s="1553"/>
      <c r="J5" s="1553"/>
      <c r="K5" s="1553"/>
      <c r="L5" s="1553"/>
      <c r="M5" s="1554"/>
      <c r="N5" s="1541" t="s">
        <v>30</v>
      </c>
      <c r="O5" s="1542"/>
    </row>
    <row r="6" spans="2:15" ht="16.5" customHeight="1" thickBot="1">
      <c r="B6" s="1561"/>
      <c r="C6" s="1555"/>
      <c r="D6" s="1556"/>
      <c r="E6" s="1556"/>
      <c r="F6" s="1556"/>
      <c r="G6" s="1556"/>
      <c r="H6" s="1556"/>
      <c r="I6" s="1556"/>
      <c r="J6" s="1556"/>
      <c r="K6" s="1556"/>
      <c r="L6" s="1556"/>
      <c r="M6" s="1557"/>
      <c r="N6" s="1543">
        <v>44306</v>
      </c>
      <c r="O6" s="1544"/>
    </row>
    <row r="7" spans="2:15" ht="14.25" customHeight="1">
      <c r="B7" s="136"/>
      <c r="C7" s="136"/>
      <c r="D7" s="136"/>
      <c r="E7" s="137"/>
      <c r="F7" s="137"/>
      <c r="G7" s="137"/>
      <c r="H7" s="136"/>
      <c r="I7" s="136"/>
      <c r="J7" s="136"/>
    </row>
    <row r="8" spans="2:15" ht="18" customHeight="1">
      <c r="B8" s="1545" t="s">
        <v>48</v>
      </c>
      <c r="C8" s="1545"/>
      <c r="D8" s="1545"/>
      <c r="E8" s="1545"/>
      <c r="F8" s="1545"/>
      <c r="G8" s="1545"/>
      <c r="H8" s="1545"/>
      <c r="I8" s="1545"/>
      <c r="J8" s="1545"/>
      <c r="K8" s="1545"/>
      <c r="L8" s="1545"/>
      <c r="M8" s="1545"/>
      <c r="N8" s="1545"/>
      <c r="O8" s="1545"/>
    </row>
    <row r="9" spans="2:15" ht="14.25" customHeight="1">
      <c r="B9" s="136"/>
      <c r="C9" s="136"/>
      <c r="D9" s="136"/>
      <c r="E9" s="137"/>
      <c r="F9" s="137"/>
      <c r="G9" s="137"/>
      <c r="H9" s="136"/>
      <c r="I9" s="136"/>
      <c r="J9" s="136"/>
      <c r="K9" s="138"/>
      <c r="L9" s="138"/>
      <c r="M9" s="138"/>
      <c r="N9" s="138"/>
      <c r="O9" s="138"/>
    </row>
    <row r="10" spans="2:15" ht="24.75" customHeight="1">
      <c r="B10" s="1558" t="s">
        <v>0</v>
      </c>
      <c r="C10" s="1558" t="s">
        <v>52</v>
      </c>
      <c r="D10" s="1558" t="s">
        <v>54</v>
      </c>
      <c r="E10" s="1546" t="s">
        <v>55</v>
      </c>
      <c r="F10" s="1558" t="s">
        <v>56</v>
      </c>
      <c r="G10" s="1558" t="s">
        <v>70</v>
      </c>
      <c r="H10" s="1558" t="s">
        <v>57</v>
      </c>
      <c r="I10" s="1558" t="s">
        <v>41</v>
      </c>
      <c r="J10" s="1558" t="s">
        <v>42</v>
      </c>
      <c r="K10" s="1563" t="s">
        <v>75</v>
      </c>
      <c r="L10" s="1563"/>
      <c r="M10" s="1563"/>
      <c r="N10" s="1563"/>
      <c r="O10" s="1562" t="s">
        <v>43</v>
      </c>
    </row>
    <row r="11" spans="2:15" ht="24.75" customHeight="1">
      <c r="B11" s="1558"/>
      <c r="C11" s="1558"/>
      <c r="D11" s="1558"/>
      <c r="E11" s="1547"/>
      <c r="F11" s="1558"/>
      <c r="G11" s="1558"/>
      <c r="H11" s="1558"/>
      <c r="I11" s="1558"/>
      <c r="J11" s="1558"/>
      <c r="K11" s="78" t="s">
        <v>59</v>
      </c>
      <c r="L11" s="78" t="s">
        <v>59</v>
      </c>
      <c r="M11" s="78" t="s">
        <v>59</v>
      </c>
      <c r="N11" s="78" t="s">
        <v>59</v>
      </c>
      <c r="O11" s="1562"/>
    </row>
    <row r="12" spans="2:15" ht="22.5" customHeight="1">
      <c r="B12" s="1558"/>
      <c r="C12" s="1558"/>
      <c r="D12" s="1558"/>
      <c r="E12" s="1548"/>
      <c r="F12" s="1558"/>
      <c r="G12" s="1558"/>
      <c r="H12" s="1558"/>
      <c r="I12" s="1558"/>
      <c r="J12" s="1558"/>
      <c r="K12" s="84">
        <v>2021</v>
      </c>
      <c r="L12" s="84">
        <v>2022</v>
      </c>
      <c r="M12" s="84">
        <v>2023</v>
      </c>
      <c r="N12" s="84">
        <v>2024</v>
      </c>
      <c r="O12" s="1562"/>
    </row>
    <row r="13" spans="2:15" ht="103.5" customHeight="1">
      <c r="B13" s="1522" t="s">
        <v>130</v>
      </c>
      <c r="C13" s="1517" t="s">
        <v>1072</v>
      </c>
      <c r="D13" s="31" t="s">
        <v>1073</v>
      </c>
      <c r="E13" s="52">
        <v>0.38</v>
      </c>
      <c r="F13" s="139">
        <v>356610</v>
      </c>
      <c r="G13" s="301" t="s">
        <v>156</v>
      </c>
      <c r="H13" s="141" t="s">
        <v>168</v>
      </c>
      <c r="I13" s="142" t="s">
        <v>197</v>
      </c>
      <c r="J13" s="143" t="s">
        <v>641</v>
      </c>
      <c r="K13" s="908">
        <v>102450</v>
      </c>
      <c r="L13" s="880">
        <v>106660</v>
      </c>
      <c r="M13" s="880">
        <v>98250</v>
      </c>
      <c r="N13" s="880">
        <v>49250</v>
      </c>
      <c r="O13" s="35">
        <f>K13+L13+M13+N13</f>
        <v>356610</v>
      </c>
    </row>
    <row r="14" spans="2:15" ht="142.5" customHeight="1">
      <c r="B14" s="1523"/>
      <c r="C14" s="1521"/>
      <c r="D14" s="31" t="s">
        <v>1074</v>
      </c>
      <c r="E14" s="52">
        <v>0.3</v>
      </c>
      <c r="F14" s="139">
        <v>292755</v>
      </c>
      <c r="G14" s="301" t="s">
        <v>156</v>
      </c>
      <c r="H14" s="141" t="s">
        <v>169</v>
      </c>
      <c r="I14" s="142" t="s">
        <v>197</v>
      </c>
      <c r="J14" s="143" t="s">
        <v>642</v>
      </c>
      <c r="K14" s="908">
        <v>78750</v>
      </c>
      <c r="L14" s="880">
        <v>97105</v>
      </c>
      <c r="M14" s="880">
        <v>76600</v>
      </c>
      <c r="N14" s="880">
        <v>40300</v>
      </c>
      <c r="O14" s="35">
        <f t="shared" ref="O14:O47" si="0">K14+L14+M14+N14</f>
        <v>292755</v>
      </c>
    </row>
    <row r="15" spans="2:15" ht="185.25" customHeight="1">
      <c r="B15" s="1523"/>
      <c r="C15" s="1521"/>
      <c r="D15" s="31" t="s">
        <v>1075</v>
      </c>
      <c r="E15" s="52">
        <v>0.15</v>
      </c>
      <c r="F15" s="139">
        <v>117610</v>
      </c>
      <c r="G15" s="301" t="s">
        <v>156</v>
      </c>
      <c r="H15" s="141" t="s">
        <v>170</v>
      </c>
      <c r="I15" s="142" t="s">
        <v>197</v>
      </c>
      <c r="J15" s="143" t="s">
        <v>643</v>
      </c>
      <c r="K15" s="908">
        <v>28695</v>
      </c>
      <c r="L15" s="880">
        <v>26115</v>
      </c>
      <c r="M15" s="880">
        <v>39200</v>
      </c>
      <c r="N15" s="880">
        <v>23600</v>
      </c>
      <c r="O15" s="35">
        <f t="shared" si="0"/>
        <v>117610</v>
      </c>
    </row>
    <row r="16" spans="2:15" ht="45" customHeight="1">
      <c r="B16" s="1523"/>
      <c r="C16" s="1521"/>
      <c r="D16" s="31" t="s">
        <v>1076</v>
      </c>
      <c r="E16" s="52">
        <v>0.04</v>
      </c>
      <c r="F16" s="139">
        <v>28586</v>
      </c>
      <c r="G16" s="301" t="s">
        <v>156</v>
      </c>
      <c r="H16" s="141" t="s">
        <v>172</v>
      </c>
      <c r="I16" s="142" t="s">
        <v>197</v>
      </c>
      <c r="J16" s="143" t="s">
        <v>612</v>
      </c>
      <c r="K16" s="880">
        <v>6810</v>
      </c>
      <c r="L16" s="880">
        <v>6900</v>
      </c>
      <c r="M16" s="880">
        <v>10500</v>
      </c>
      <c r="N16" s="880">
        <v>4376</v>
      </c>
      <c r="O16" s="35">
        <f t="shared" si="0"/>
        <v>28586</v>
      </c>
    </row>
    <row r="17" spans="2:15" ht="159" customHeight="1">
      <c r="B17" s="1523"/>
      <c r="C17" s="1521"/>
      <c r="D17" s="31" t="s">
        <v>1077</v>
      </c>
      <c r="E17" s="52">
        <v>0.06</v>
      </c>
      <c r="F17" s="139">
        <v>55722</v>
      </c>
      <c r="G17" s="301" t="s">
        <v>156</v>
      </c>
      <c r="H17" s="141" t="s">
        <v>173</v>
      </c>
      <c r="I17" s="142" t="s">
        <v>197</v>
      </c>
      <c r="J17" s="143" t="s">
        <v>1051</v>
      </c>
      <c r="K17" s="908">
        <v>14307</v>
      </c>
      <c r="L17" s="880">
        <v>16115</v>
      </c>
      <c r="M17" s="880">
        <v>21200</v>
      </c>
      <c r="N17" s="880">
        <v>4100</v>
      </c>
      <c r="O17" s="35">
        <f t="shared" si="0"/>
        <v>55722</v>
      </c>
    </row>
    <row r="18" spans="2:15" ht="108.6" customHeight="1">
      <c r="B18" s="1523"/>
      <c r="C18" s="1521"/>
      <c r="D18" s="31" t="s">
        <v>171</v>
      </c>
      <c r="E18" s="52">
        <v>0.01</v>
      </c>
      <c r="F18" s="139">
        <v>80</v>
      </c>
      <c r="G18" s="301" t="s">
        <v>156</v>
      </c>
      <c r="H18" s="141" t="s">
        <v>174</v>
      </c>
      <c r="I18" s="142" t="s">
        <v>197</v>
      </c>
      <c r="J18" s="143" t="s">
        <v>644</v>
      </c>
      <c r="K18" s="144">
        <v>20</v>
      </c>
      <c r="L18" s="144">
        <v>20</v>
      </c>
      <c r="M18" s="144">
        <v>20</v>
      </c>
      <c r="N18" s="144">
        <v>20</v>
      </c>
      <c r="O18" s="35">
        <f t="shared" si="0"/>
        <v>80</v>
      </c>
    </row>
    <row r="19" spans="2:15" ht="88.5" customHeight="1">
      <c r="B19" s="1523"/>
      <c r="C19" s="1521"/>
      <c r="D19" s="31" t="s">
        <v>175</v>
      </c>
      <c r="E19" s="52">
        <v>0.01</v>
      </c>
      <c r="F19" s="139" t="s">
        <v>176</v>
      </c>
      <c r="G19" s="301" t="s">
        <v>156</v>
      </c>
      <c r="H19" s="141" t="s">
        <v>194</v>
      </c>
      <c r="I19" s="142" t="s">
        <v>197</v>
      </c>
      <c r="J19" s="143" t="s">
        <v>645</v>
      </c>
      <c r="K19" s="145" t="s">
        <v>176</v>
      </c>
      <c r="L19" s="145" t="s">
        <v>176</v>
      </c>
      <c r="M19" s="145" t="s">
        <v>176</v>
      </c>
      <c r="N19" s="145" t="s">
        <v>176</v>
      </c>
      <c r="O19" s="36" t="s">
        <v>176</v>
      </c>
    </row>
    <row r="20" spans="2:15" ht="121.5" customHeight="1">
      <c r="B20" s="1523"/>
      <c r="C20" s="1521"/>
      <c r="D20" s="31" t="s">
        <v>1078</v>
      </c>
      <c r="E20" s="52">
        <v>0.02</v>
      </c>
      <c r="F20" s="139">
        <v>19500</v>
      </c>
      <c r="G20" s="301" t="s">
        <v>156</v>
      </c>
      <c r="H20" s="141" t="s">
        <v>195</v>
      </c>
      <c r="I20" s="142" t="s">
        <v>197</v>
      </c>
      <c r="J20" s="143" t="s">
        <v>646</v>
      </c>
      <c r="K20" s="880">
        <v>5000</v>
      </c>
      <c r="L20" s="880">
        <v>6000</v>
      </c>
      <c r="M20" s="880">
        <v>6500</v>
      </c>
      <c r="N20" s="880">
        <v>2000</v>
      </c>
      <c r="O20" s="35">
        <f t="shared" si="0"/>
        <v>19500</v>
      </c>
    </row>
    <row r="21" spans="2:15" ht="84.75" customHeight="1">
      <c r="B21" s="1523"/>
      <c r="C21" s="1521"/>
      <c r="D21" s="31" t="s">
        <v>1079</v>
      </c>
      <c r="E21" s="52">
        <v>0.01</v>
      </c>
      <c r="F21" s="139">
        <v>11000</v>
      </c>
      <c r="G21" s="301" t="s">
        <v>156</v>
      </c>
      <c r="H21" s="141" t="s">
        <v>236</v>
      </c>
      <c r="I21" s="142" t="s">
        <v>197</v>
      </c>
      <c r="J21" s="143" t="s">
        <v>646</v>
      </c>
      <c r="K21" s="880">
        <v>3000</v>
      </c>
      <c r="L21" s="880">
        <v>3000</v>
      </c>
      <c r="M21" s="880">
        <v>4000</v>
      </c>
      <c r="N21" s="880">
        <v>1000</v>
      </c>
      <c r="O21" s="35">
        <f t="shared" si="0"/>
        <v>11000</v>
      </c>
    </row>
    <row r="22" spans="2:15" ht="83.25" customHeight="1">
      <c r="B22" s="1523"/>
      <c r="C22" s="1521"/>
      <c r="D22" s="31" t="s">
        <v>1080</v>
      </c>
      <c r="E22" s="52">
        <v>0.01</v>
      </c>
      <c r="F22" s="139">
        <v>2300</v>
      </c>
      <c r="G22" s="301" t="s">
        <v>156</v>
      </c>
      <c r="H22" s="141" t="s">
        <v>196</v>
      </c>
      <c r="I22" s="142" t="s">
        <v>197</v>
      </c>
      <c r="J22" s="143" t="s">
        <v>646</v>
      </c>
      <c r="K22" s="880">
        <v>700</v>
      </c>
      <c r="L22" s="880">
        <v>500</v>
      </c>
      <c r="M22" s="880">
        <v>800</v>
      </c>
      <c r="N22" s="880">
        <v>300</v>
      </c>
      <c r="O22" s="35">
        <f t="shared" si="0"/>
        <v>2300</v>
      </c>
    </row>
    <row r="23" spans="2:15" ht="93.75" customHeight="1">
      <c r="B23" s="1523"/>
      <c r="C23" s="1518"/>
      <c r="D23" s="31" t="s">
        <v>1081</v>
      </c>
      <c r="E23" s="52">
        <v>0.01</v>
      </c>
      <c r="F23" s="139">
        <v>40</v>
      </c>
      <c r="G23" s="301" t="s">
        <v>156</v>
      </c>
      <c r="H23" s="141" t="s">
        <v>177</v>
      </c>
      <c r="I23" s="142" t="s">
        <v>197</v>
      </c>
      <c r="J23" s="143" t="s">
        <v>646</v>
      </c>
      <c r="K23" s="880">
        <v>0</v>
      </c>
      <c r="L23" s="880">
        <v>0</v>
      </c>
      <c r="M23" s="880">
        <v>20</v>
      </c>
      <c r="N23" s="880">
        <v>20</v>
      </c>
      <c r="O23" s="35">
        <f t="shared" si="0"/>
        <v>40</v>
      </c>
    </row>
    <row r="24" spans="2:15" ht="135.75" customHeight="1">
      <c r="B24" s="1523"/>
      <c r="C24" s="1517" t="s">
        <v>1082</v>
      </c>
      <c r="D24" s="31" t="s">
        <v>1083</v>
      </c>
      <c r="E24" s="52">
        <v>0.75</v>
      </c>
      <c r="F24" s="139">
        <v>205930</v>
      </c>
      <c r="G24" s="301" t="s">
        <v>156</v>
      </c>
      <c r="H24" s="141" t="s">
        <v>178</v>
      </c>
      <c r="I24" s="142" t="s">
        <v>197</v>
      </c>
      <c r="J24" s="143" t="s">
        <v>647</v>
      </c>
      <c r="K24" s="880">
        <v>62360</v>
      </c>
      <c r="L24" s="880">
        <v>71570</v>
      </c>
      <c r="M24" s="880">
        <v>53000</v>
      </c>
      <c r="N24" s="880">
        <v>19000</v>
      </c>
      <c r="O24" s="35">
        <f t="shared" si="0"/>
        <v>205930</v>
      </c>
    </row>
    <row r="25" spans="2:15" ht="102" customHeight="1">
      <c r="B25" s="1523"/>
      <c r="C25" s="1521"/>
      <c r="D25" s="31" t="s">
        <v>1084</v>
      </c>
      <c r="E25" s="52">
        <v>0.12</v>
      </c>
      <c r="F25" s="139">
        <v>23910</v>
      </c>
      <c r="G25" s="301" t="s">
        <v>156</v>
      </c>
      <c r="H25" s="141" t="s">
        <v>179</v>
      </c>
      <c r="I25" s="142" t="s">
        <v>197</v>
      </c>
      <c r="J25" s="143" t="s">
        <v>648</v>
      </c>
      <c r="K25" s="908">
        <v>5480</v>
      </c>
      <c r="L25" s="880">
        <v>5480</v>
      </c>
      <c r="M25" s="880">
        <v>8650</v>
      </c>
      <c r="N25" s="880">
        <v>4300</v>
      </c>
      <c r="O25" s="35">
        <f t="shared" si="0"/>
        <v>23910</v>
      </c>
    </row>
    <row r="26" spans="2:15" ht="82.9" customHeight="1">
      <c r="B26" s="1523"/>
      <c r="C26" s="1521"/>
      <c r="D26" s="31" t="s">
        <v>1085</v>
      </c>
      <c r="E26" s="52">
        <v>0.09</v>
      </c>
      <c r="F26" s="139">
        <v>18880</v>
      </c>
      <c r="G26" s="301" t="s">
        <v>156</v>
      </c>
      <c r="H26" s="141" t="s">
        <v>180</v>
      </c>
      <c r="I26" s="142" t="s">
        <v>197</v>
      </c>
      <c r="J26" s="143" t="s">
        <v>649</v>
      </c>
      <c r="K26" s="880">
        <v>4790</v>
      </c>
      <c r="L26" s="880">
        <v>4790</v>
      </c>
      <c r="M26" s="880">
        <v>6300</v>
      </c>
      <c r="N26" s="880">
        <v>3000</v>
      </c>
      <c r="O26" s="35">
        <f t="shared" si="0"/>
        <v>18880</v>
      </c>
    </row>
    <row r="27" spans="2:15" ht="73.150000000000006" customHeight="1">
      <c r="B27" s="1523"/>
      <c r="C27" s="1521"/>
      <c r="D27" s="51" t="s">
        <v>1173</v>
      </c>
      <c r="E27" s="298">
        <v>0.02</v>
      </c>
      <c r="F27" s="139">
        <v>3540</v>
      </c>
      <c r="G27" s="301" t="s">
        <v>156</v>
      </c>
      <c r="H27" s="1084" t="s">
        <v>1172</v>
      </c>
      <c r="I27" s="142" t="s">
        <v>197</v>
      </c>
      <c r="J27" s="146" t="s">
        <v>650</v>
      </c>
      <c r="K27" s="880">
        <v>940</v>
      </c>
      <c r="L27" s="880">
        <v>800</v>
      </c>
      <c r="M27" s="880">
        <v>1200</v>
      </c>
      <c r="N27" s="880">
        <v>600</v>
      </c>
      <c r="O27" s="35">
        <f t="shared" si="0"/>
        <v>3540</v>
      </c>
    </row>
    <row r="28" spans="2:15" ht="120" customHeight="1">
      <c r="B28" s="1523"/>
      <c r="C28" s="1521"/>
      <c r="D28" s="31" t="s">
        <v>1086</v>
      </c>
      <c r="E28" s="147">
        <v>0.01</v>
      </c>
      <c r="F28" s="139">
        <v>7711</v>
      </c>
      <c r="G28" s="301" t="s">
        <v>156</v>
      </c>
      <c r="H28" s="141" t="s">
        <v>181</v>
      </c>
      <c r="I28" s="31" t="s">
        <v>197</v>
      </c>
      <c r="J28" s="148" t="s">
        <v>651</v>
      </c>
      <c r="K28" s="908">
        <v>2802</v>
      </c>
      <c r="L28" s="880">
        <v>2771</v>
      </c>
      <c r="M28" s="880">
        <v>1092</v>
      </c>
      <c r="N28" s="880">
        <v>1046</v>
      </c>
      <c r="O28" s="35">
        <f t="shared" si="0"/>
        <v>7711</v>
      </c>
    </row>
    <row r="29" spans="2:15" ht="105">
      <c r="B29" s="1523"/>
      <c r="C29" s="1518"/>
      <c r="D29" s="31" t="s">
        <v>1087</v>
      </c>
      <c r="E29" s="147">
        <v>0.01</v>
      </c>
      <c r="F29" s="139">
        <v>712</v>
      </c>
      <c r="G29" s="301" t="s">
        <v>156</v>
      </c>
      <c r="H29" s="141" t="s">
        <v>182</v>
      </c>
      <c r="I29" s="31" t="s">
        <v>197</v>
      </c>
      <c r="J29" s="148" t="s">
        <v>652</v>
      </c>
      <c r="K29" s="880">
        <v>228</v>
      </c>
      <c r="L29" s="880">
        <v>208</v>
      </c>
      <c r="M29" s="880">
        <v>182</v>
      </c>
      <c r="N29" s="880">
        <v>120</v>
      </c>
      <c r="O29" s="35">
        <f t="shared" si="0"/>
        <v>738</v>
      </c>
    </row>
    <row r="30" spans="2:15" ht="90" customHeight="1">
      <c r="B30" s="1523"/>
      <c r="C30" s="1517" t="s">
        <v>1098</v>
      </c>
      <c r="D30" s="31" t="s">
        <v>183</v>
      </c>
      <c r="E30" s="299">
        <v>0.56000000000000005</v>
      </c>
      <c r="F30" s="139">
        <v>20</v>
      </c>
      <c r="G30" s="301" t="s">
        <v>156</v>
      </c>
      <c r="H30" s="141" t="s">
        <v>184</v>
      </c>
      <c r="I30" s="149" t="s">
        <v>197</v>
      </c>
      <c r="J30" s="150" t="s">
        <v>653</v>
      </c>
      <c r="K30" s="880">
        <v>2</v>
      </c>
      <c r="L30" s="880">
        <v>8</v>
      </c>
      <c r="M30" s="880">
        <v>8</v>
      </c>
      <c r="N30" s="880">
        <v>2</v>
      </c>
      <c r="O30" s="35">
        <f t="shared" si="0"/>
        <v>20</v>
      </c>
    </row>
    <row r="31" spans="2:15" ht="92.25" customHeight="1">
      <c r="B31" s="1523"/>
      <c r="C31" s="1521"/>
      <c r="D31" s="31" t="s">
        <v>185</v>
      </c>
      <c r="E31" s="52">
        <v>0.31</v>
      </c>
      <c r="F31" s="139">
        <v>11</v>
      </c>
      <c r="G31" s="301" t="s">
        <v>156</v>
      </c>
      <c r="H31" s="141" t="s">
        <v>186</v>
      </c>
      <c r="I31" s="142" t="s">
        <v>197</v>
      </c>
      <c r="J31" s="143" t="s">
        <v>653</v>
      </c>
      <c r="K31" s="880">
        <v>3</v>
      </c>
      <c r="L31" s="880">
        <v>3</v>
      </c>
      <c r="M31" s="880">
        <v>3</v>
      </c>
      <c r="N31" s="880">
        <v>2</v>
      </c>
      <c r="O31" s="35">
        <f t="shared" si="0"/>
        <v>11</v>
      </c>
    </row>
    <row r="32" spans="2:15" ht="83.25" customHeight="1">
      <c r="B32" s="1523"/>
      <c r="C32" s="1521"/>
      <c r="D32" s="31" t="s">
        <v>187</v>
      </c>
      <c r="E32" s="52">
        <v>0.11</v>
      </c>
      <c r="F32" s="139">
        <v>4</v>
      </c>
      <c r="G32" s="301" t="s">
        <v>156</v>
      </c>
      <c r="H32" s="141" t="s">
        <v>188</v>
      </c>
      <c r="I32" s="142" t="s">
        <v>197</v>
      </c>
      <c r="J32" s="143" t="s">
        <v>653</v>
      </c>
      <c r="K32" s="880">
        <v>1</v>
      </c>
      <c r="L32" s="880">
        <v>1</v>
      </c>
      <c r="M32" s="880">
        <v>1</v>
      </c>
      <c r="N32" s="880">
        <v>1</v>
      </c>
      <c r="O32" s="35">
        <f t="shared" si="0"/>
        <v>4</v>
      </c>
    </row>
    <row r="33" spans="2:15" ht="102" customHeight="1">
      <c r="B33" s="1513" t="s">
        <v>134</v>
      </c>
      <c r="C33" s="1510" t="s">
        <v>135</v>
      </c>
      <c r="D33" s="151" t="s">
        <v>189</v>
      </c>
      <c r="E33" s="152">
        <f>0.727272727272727*100%</f>
        <v>0.72727272727272696</v>
      </c>
      <c r="F33" s="153">
        <v>16</v>
      </c>
      <c r="G33" s="154" t="s">
        <v>156</v>
      </c>
      <c r="H33" s="155" t="s">
        <v>191</v>
      </c>
      <c r="I33" s="156" t="s">
        <v>248</v>
      </c>
      <c r="J33" s="157" t="s">
        <v>249</v>
      </c>
      <c r="K33" s="909">
        <v>2</v>
      </c>
      <c r="L33" s="909">
        <v>7</v>
      </c>
      <c r="M33" s="909">
        <v>6</v>
      </c>
      <c r="N33" s="909">
        <v>1</v>
      </c>
      <c r="O33" s="35">
        <f t="shared" si="0"/>
        <v>16</v>
      </c>
    </row>
    <row r="34" spans="2:15" ht="120" customHeight="1">
      <c r="B34" s="1514"/>
      <c r="C34" s="1511"/>
      <c r="D34" s="151" t="s">
        <v>190</v>
      </c>
      <c r="E34" s="152">
        <f>0.272727272727273*100%</f>
        <v>0.27272727272727298</v>
      </c>
      <c r="F34" s="153">
        <v>6</v>
      </c>
      <c r="G34" s="154" t="s">
        <v>156</v>
      </c>
      <c r="H34" s="155" t="s">
        <v>245</v>
      </c>
      <c r="I34" s="156" t="s">
        <v>248</v>
      </c>
      <c r="J34" s="157" t="s">
        <v>249</v>
      </c>
      <c r="K34" s="909">
        <v>1</v>
      </c>
      <c r="L34" s="909">
        <v>1</v>
      </c>
      <c r="M34" s="909">
        <v>3</v>
      </c>
      <c r="N34" s="909">
        <v>1</v>
      </c>
      <c r="O34" s="35">
        <f t="shared" si="0"/>
        <v>6</v>
      </c>
    </row>
    <row r="35" spans="2:15" ht="100.5" customHeight="1">
      <c r="B35" s="1514"/>
      <c r="C35" s="1510" t="s">
        <v>1099</v>
      </c>
      <c r="D35" s="151" t="s">
        <v>1088</v>
      </c>
      <c r="E35" s="152">
        <f>+F35/880</f>
        <v>0.92840909090909096</v>
      </c>
      <c r="F35" s="153">
        <v>817</v>
      </c>
      <c r="G35" s="154" t="s">
        <v>156</v>
      </c>
      <c r="H35" s="155" t="s">
        <v>274</v>
      </c>
      <c r="I35" s="156" t="s">
        <v>248</v>
      </c>
      <c r="J35" s="157" t="s">
        <v>249</v>
      </c>
      <c r="K35" s="909">
        <v>200</v>
      </c>
      <c r="L35" s="909">
        <v>286</v>
      </c>
      <c r="M35" s="909">
        <v>259</v>
      </c>
      <c r="N35" s="909">
        <v>72</v>
      </c>
      <c r="O35" s="35">
        <f t="shared" si="0"/>
        <v>817</v>
      </c>
    </row>
    <row r="36" spans="2:15" ht="100.5" customHeight="1">
      <c r="B36" s="1514"/>
      <c r="C36" s="1511"/>
      <c r="D36" s="151" t="s">
        <v>1089</v>
      </c>
      <c r="E36" s="152">
        <f>+F36/880</f>
        <v>0.15340909090909091</v>
      </c>
      <c r="F36" s="153">
        <v>135</v>
      </c>
      <c r="G36" s="154" t="s">
        <v>156</v>
      </c>
      <c r="H36" s="155" t="s">
        <v>275</v>
      </c>
      <c r="I36" s="156" t="s">
        <v>248</v>
      </c>
      <c r="J36" s="157" t="s">
        <v>249</v>
      </c>
      <c r="K36" s="909">
        <v>28</v>
      </c>
      <c r="L36" s="909">
        <v>67</v>
      </c>
      <c r="M36" s="909">
        <v>30</v>
      </c>
      <c r="N36" s="909">
        <v>10</v>
      </c>
      <c r="O36" s="35">
        <f t="shared" si="0"/>
        <v>135</v>
      </c>
    </row>
    <row r="37" spans="2:15" ht="65.25" customHeight="1">
      <c r="B37" s="1514"/>
      <c r="C37" s="1510" t="s">
        <v>1100</v>
      </c>
      <c r="D37" s="151" t="s">
        <v>1046</v>
      </c>
      <c r="E37" s="152">
        <f>+F37/295</f>
        <v>0.20338983050847459</v>
      </c>
      <c r="F37" s="153">
        <v>60</v>
      </c>
      <c r="G37" s="154">
        <v>75</v>
      </c>
      <c r="H37" s="155" t="s">
        <v>246</v>
      </c>
      <c r="I37" s="156" t="s">
        <v>248</v>
      </c>
      <c r="J37" s="157" t="s">
        <v>250</v>
      </c>
      <c r="K37" s="909">
        <v>12</v>
      </c>
      <c r="L37" s="909">
        <v>21</v>
      </c>
      <c r="M37" s="909">
        <v>23</v>
      </c>
      <c r="N37" s="909">
        <v>4</v>
      </c>
      <c r="O37" s="35">
        <f t="shared" si="0"/>
        <v>60</v>
      </c>
    </row>
    <row r="38" spans="2:15" ht="63.75" customHeight="1">
      <c r="B38" s="1514"/>
      <c r="C38" s="1512"/>
      <c r="D38" s="151" t="s">
        <v>1090</v>
      </c>
      <c r="E38" s="152">
        <f>+F38/295</f>
        <v>0.5423728813559322</v>
      </c>
      <c r="F38" s="153">
        <v>160</v>
      </c>
      <c r="G38" s="154" t="s">
        <v>156</v>
      </c>
      <c r="H38" s="155" t="s">
        <v>247</v>
      </c>
      <c r="I38" s="156" t="s">
        <v>248</v>
      </c>
      <c r="J38" s="157" t="s">
        <v>251</v>
      </c>
      <c r="K38" s="909">
        <v>40</v>
      </c>
      <c r="L38" s="909">
        <v>60</v>
      </c>
      <c r="M38" s="909">
        <v>40</v>
      </c>
      <c r="N38" s="909">
        <v>20</v>
      </c>
      <c r="O38" s="35">
        <f t="shared" si="0"/>
        <v>160</v>
      </c>
    </row>
    <row r="39" spans="2:15" ht="102" customHeight="1">
      <c r="B39" s="1515"/>
      <c r="C39" s="1511"/>
      <c r="D39" s="151" t="s">
        <v>192</v>
      </c>
      <c r="E39" s="152">
        <f>+F39/295</f>
        <v>0.33898305084745761</v>
      </c>
      <c r="F39" s="153">
        <v>100</v>
      </c>
      <c r="G39" s="154" t="s">
        <v>156</v>
      </c>
      <c r="H39" s="155" t="s">
        <v>193</v>
      </c>
      <c r="I39" s="156" t="s">
        <v>248</v>
      </c>
      <c r="J39" s="157" t="s">
        <v>252</v>
      </c>
      <c r="K39" s="909">
        <v>20</v>
      </c>
      <c r="L39" s="909">
        <v>30</v>
      </c>
      <c r="M39" s="909">
        <v>30</v>
      </c>
      <c r="N39" s="909">
        <v>20</v>
      </c>
      <c r="O39" s="35">
        <f t="shared" si="0"/>
        <v>100</v>
      </c>
    </row>
    <row r="40" spans="2:15" ht="93.75" customHeight="1">
      <c r="B40" s="1522" t="s">
        <v>138</v>
      </c>
      <c r="C40" s="1517" t="s">
        <v>1048</v>
      </c>
      <c r="D40" s="31" t="s">
        <v>1047</v>
      </c>
      <c r="E40" s="52">
        <v>0.8</v>
      </c>
      <c r="F40" s="139">
        <v>6700</v>
      </c>
      <c r="G40" s="139">
        <v>6287</v>
      </c>
      <c r="H40" s="31" t="s">
        <v>284</v>
      </c>
      <c r="I40" s="142" t="s">
        <v>290</v>
      </c>
      <c r="J40" s="159" t="s">
        <v>291</v>
      </c>
      <c r="K40" s="910">
        <v>1600</v>
      </c>
      <c r="L40" s="910">
        <v>1800</v>
      </c>
      <c r="M40" s="910">
        <v>1800</v>
      </c>
      <c r="N40" s="910">
        <v>1500</v>
      </c>
      <c r="O40" s="58">
        <f t="shared" si="0"/>
        <v>6700</v>
      </c>
    </row>
    <row r="41" spans="2:15" ht="67.5" customHeight="1">
      <c r="B41" s="1523"/>
      <c r="C41" s="1518"/>
      <c r="D41" s="31" t="s">
        <v>279</v>
      </c>
      <c r="E41" s="52">
        <v>0.2</v>
      </c>
      <c r="F41" s="160">
        <v>1</v>
      </c>
      <c r="G41" s="160">
        <v>0.98</v>
      </c>
      <c r="H41" s="31" t="s">
        <v>285</v>
      </c>
      <c r="I41" s="142" t="s">
        <v>290</v>
      </c>
      <c r="J41" s="159" t="s">
        <v>291</v>
      </c>
      <c r="K41" s="161">
        <v>1</v>
      </c>
      <c r="L41" s="161">
        <v>1</v>
      </c>
      <c r="M41" s="161">
        <v>1</v>
      </c>
      <c r="N41" s="161">
        <v>1</v>
      </c>
      <c r="O41" s="60">
        <f>AVERAGE(K41:N41)</f>
        <v>1</v>
      </c>
    </row>
    <row r="42" spans="2:15" ht="95.25" customHeight="1">
      <c r="B42" s="1523"/>
      <c r="C42" s="1519" t="s">
        <v>139</v>
      </c>
      <c r="D42" s="31" t="s">
        <v>292</v>
      </c>
      <c r="E42" s="52">
        <v>0.5</v>
      </c>
      <c r="F42" s="68">
        <v>204</v>
      </c>
      <c r="G42" s="68">
        <v>204</v>
      </c>
      <c r="H42" s="31" t="s">
        <v>302</v>
      </c>
      <c r="I42" s="142" t="s">
        <v>290</v>
      </c>
      <c r="J42" s="159" t="s">
        <v>291</v>
      </c>
      <c r="K42" s="162">
        <v>51</v>
      </c>
      <c r="L42" s="162">
        <v>51</v>
      </c>
      <c r="M42" s="162">
        <v>51</v>
      </c>
      <c r="N42" s="162">
        <v>51</v>
      </c>
      <c r="O42" s="58">
        <f t="shared" si="0"/>
        <v>204</v>
      </c>
    </row>
    <row r="43" spans="2:15" ht="95.25" customHeight="1">
      <c r="B43" s="1523"/>
      <c r="C43" s="1520"/>
      <c r="D43" s="31" t="s">
        <v>280</v>
      </c>
      <c r="E43" s="52">
        <v>0.5</v>
      </c>
      <c r="F43" s="160">
        <v>1</v>
      </c>
      <c r="G43" s="160">
        <v>1</v>
      </c>
      <c r="H43" s="31" t="s">
        <v>286</v>
      </c>
      <c r="I43" s="142" t="s">
        <v>290</v>
      </c>
      <c r="J43" s="159" t="s">
        <v>291</v>
      </c>
      <c r="K43" s="161">
        <v>1</v>
      </c>
      <c r="L43" s="161">
        <v>1</v>
      </c>
      <c r="M43" s="161">
        <v>1</v>
      </c>
      <c r="N43" s="161">
        <v>1</v>
      </c>
      <c r="O43" s="60">
        <f>AVERAGE(K43:N43)</f>
        <v>1</v>
      </c>
    </row>
    <row r="44" spans="2:15" ht="126.75" customHeight="1">
      <c r="B44" s="1523"/>
      <c r="C44" s="163" t="s">
        <v>140</v>
      </c>
      <c r="D44" s="31" t="s">
        <v>281</v>
      </c>
      <c r="E44" s="52">
        <v>1</v>
      </c>
      <c r="F44" s="68">
        <v>8</v>
      </c>
      <c r="G44" s="68">
        <v>8</v>
      </c>
      <c r="H44" s="31" t="s">
        <v>287</v>
      </c>
      <c r="I44" s="142" t="s">
        <v>290</v>
      </c>
      <c r="J44" s="159" t="s">
        <v>291</v>
      </c>
      <c r="K44" s="162">
        <v>2</v>
      </c>
      <c r="L44" s="162">
        <v>2</v>
      </c>
      <c r="M44" s="162">
        <v>2</v>
      </c>
      <c r="N44" s="162">
        <v>2</v>
      </c>
      <c r="O44" s="58">
        <f t="shared" si="0"/>
        <v>8</v>
      </c>
    </row>
    <row r="45" spans="2:15" ht="61.5" customHeight="1">
      <c r="B45" s="1523"/>
      <c r="C45" s="1519" t="s">
        <v>277</v>
      </c>
      <c r="D45" s="31" t="s">
        <v>282</v>
      </c>
      <c r="E45" s="52">
        <v>0.2</v>
      </c>
      <c r="F45" s="68">
        <v>1</v>
      </c>
      <c r="G45" s="301" t="s">
        <v>156</v>
      </c>
      <c r="H45" s="31" t="s">
        <v>303</v>
      </c>
      <c r="I45" s="142" t="s">
        <v>290</v>
      </c>
      <c r="J45" s="159" t="s">
        <v>291</v>
      </c>
      <c r="K45" s="162">
        <v>0.5</v>
      </c>
      <c r="L45" s="162">
        <v>0.5</v>
      </c>
      <c r="M45" s="162">
        <v>0</v>
      </c>
      <c r="N45" s="162">
        <v>0</v>
      </c>
      <c r="O45" s="58">
        <f t="shared" si="0"/>
        <v>1</v>
      </c>
    </row>
    <row r="46" spans="2:15" ht="61.5" customHeight="1">
      <c r="B46" s="1523"/>
      <c r="C46" s="1521"/>
      <c r="D46" s="31" t="s">
        <v>660</v>
      </c>
      <c r="E46" s="52">
        <v>0.7</v>
      </c>
      <c r="F46" s="68">
        <v>1</v>
      </c>
      <c r="G46" s="301" t="s">
        <v>156</v>
      </c>
      <c r="H46" s="31" t="s">
        <v>288</v>
      </c>
      <c r="I46" s="142" t="s">
        <v>290</v>
      </c>
      <c r="J46" s="159" t="s">
        <v>291</v>
      </c>
      <c r="K46" s="162">
        <v>0.2</v>
      </c>
      <c r="L46" s="162">
        <v>0.4</v>
      </c>
      <c r="M46" s="162">
        <v>0.3</v>
      </c>
      <c r="N46" s="162">
        <v>0.1</v>
      </c>
      <c r="O46" s="58">
        <f t="shared" si="0"/>
        <v>1.0000000000000002</v>
      </c>
    </row>
    <row r="47" spans="2:15" ht="61.5" customHeight="1">
      <c r="B47" s="1524"/>
      <c r="C47" s="1520"/>
      <c r="D47" s="31" t="s">
        <v>283</v>
      </c>
      <c r="E47" s="52">
        <v>0.1</v>
      </c>
      <c r="F47" s="68">
        <v>1</v>
      </c>
      <c r="G47" s="301" t="s">
        <v>156</v>
      </c>
      <c r="H47" s="31" t="s">
        <v>289</v>
      </c>
      <c r="I47" s="142" t="s">
        <v>290</v>
      </c>
      <c r="J47" s="159" t="s">
        <v>291</v>
      </c>
      <c r="K47" s="162">
        <v>0.1</v>
      </c>
      <c r="L47" s="162">
        <v>0.3</v>
      </c>
      <c r="M47" s="162">
        <v>0.4</v>
      </c>
      <c r="N47" s="162">
        <v>0.2</v>
      </c>
      <c r="O47" s="58">
        <f t="shared" si="0"/>
        <v>1</v>
      </c>
    </row>
    <row r="48" spans="2:15" ht="75" customHeight="1">
      <c r="B48" s="1514" t="s">
        <v>141</v>
      </c>
      <c r="C48" s="1525" t="s">
        <v>142</v>
      </c>
      <c r="D48" s="953" t="s">
        <v>657</v>
      </c>
      <c r="E48" s="954">
        <v>0.14000000000000001</v>
      </c>
      <c r="F48" s="955">
        <v>1</v>
      </c>
      <c r="G48" s="956" t="s">
        <v>156</v>
      </c>
      <c r="H48" s="957" t="s">
        <v>632</v>
      </c>
      <c r="I48" s="953" t="s">
        <v>325</v>
      </c>
      <c r="J48" s="958" t="s">
        <v>326</v>
      </c>
      <c r="K48" s="963">
        <v>0.3</v>
      </c>
      <c r="L48" s="963">
        <v>0.4</v>
      </c>
      <c r="M48" s="963">
        <v>0.25</v>
      </c>
      <c r="N48" s="963">
        <v>0.05</v>
      </c>
      <c r="O48" s="63">
        <v>1</v>
      </c>
    </row>
    <row r="49" spans="2:15" ht="80.25" customHeight="1">
      <c r="B49" s="1514"/>
      <c r="C49" s="1526"/>
      <c r="D49" s="953" t="s">
        <v>331</v>
      </c>
      <c r="E49" s="954">
        <v>0.14000000000000001</v>
      </c>
      <c r="F49" s="955">
        <v>1</v>
      </c>
      <c r="G49" s="956" t="s">
        <v>156</v>
      </c>
      <c r="H49" s="957" t="s">
        <v>330</v>
      </c>
      <c r="I49" s="953" t="s">
        <v>325</v>
      </c>
      <c r="J49" s="958" t="s">
        <v>326</v>
      </c>
      <c r="K49" s="963">
        <v>0.3</v>
      </c>
      <c r="L49" s="963">
        <v>0.4</v>
      </c>
      <c r="M49" s="963">
        <v>0.25</v>
      </c>
      <c r="N49" s="963">
        <v>0.05</v>
      </c>
      <c r="O49" s="63">
        <v>1</v>
      </c>
    </row>
    <row r="50" spans="2:15" ht="111" customHeight="1">
      <c r="B50" s="1514"/>
      <c r="C50" s="1526"/>
      <c r="D50" s="953" t="s">
        <v>659</v>
      </c>
      <c r="E50" s="954">
        <v>0.14000000000000001</v>
      </c>
      <c r="F50" s="955">
        <v>1</v>
      </c>
      <c r="G50" s="956" t="s">
        <v>156</v>
      </c>
      <c r="H50" s="957" t="s">
        <v>327</v>
      </c>
      <c r="I50" s="953" t="s">
        <v>325</v>
      </c>
      <c r="J50" s="958" t="s">
        <v>326</v>
      </c>
      <c r="K50" s="963">
        <v>0.3</v>
      </c>
      <c r="L50" s="963">
        <v>0.4</v>
      </c>
      <c r="M50" s="963">
        <v>0.25</v>
      </c>
      <c r="N50" s="963">
        <v>0.05</v>
      </c>
      <c r="O50" s="63">
        <v>1</v>
      </c>
    </row>
    <row r="51" spans="2:15" ht="82.5" customHeight="1">
      <c r="B51" s="1514"/>
      <c r="C51" s="1526"/>
      <c r="D51" s="953" t="s">
        <v>658</v>
      </c>
      <c r="E51" s="954">
        <v>0.14000000000000001</v>
      </c>
      <c r="F51" s="955">
        <v>1</v>
      </c>
      <c r="G51" s="956" t="s">
        <v>156</v>
      </c>
      <c r="H51" s="957" t="s">
        <v>633</v>
      </c>
      <c r="I51" s="953" t="s">
        <v>325</v>
      </c>
      <c r="J51" s="958" t="s">
        <v>326</v>
      </c>
      <c r="K51" s="963">
        <v>0.3</v>
      </c>
      <c r="L51" s="963">
        <v>0.4</v>
      </c>
      <c r="M51" s="963">
        <v>0.25</v>
      </c>
      <c r="N51" s="963">
        <v>0.05</v>
      </c>
      <c r="O51" s="63">
        <v>1</v>
      </c>
    </row>
    <row r="52" spans="2:15" ht="94.5" customHeight="1">
      <c r="B52" s="1514"/>
      <c r="C52" s="1526"/>
      <c r="D52" s="953" t="s">
        <v>355</v>
      </c>
      <c r="E52" s="954">
        <v>0.14000000000000001</v>
      </c>
      <c r="F52" s="955">
        <v>1</v>
      </c>
      <c r="G52" s="956" t="s">
        <v>156</v>
      </c>
      <c r="H52" s="957" t="s">
        <v>328</v>
      </c>
      <c r="I52" s="953" t="s">
        <v>325</v>
      </c>
      <c r="J52" s="958" t="s">
        <v>326</v>
      </c>
      <c r="K52" s="963">
        <v>0.3</v>
      </c>
      <c r="L52" s="963">
        <v>0.4</v>
      </c>
      <c r="M52" s="963">
        <v>0.25</v>
      </c>
      <c r="N52" s="963">
        <v>0.05</v>
      </c>
      <c r="O52" s="63">
        <v>1</v>
      </c>
    </row>
    <row r="53" spans="2:15" ht="71.25" customHeight="1">
      <c r="B53" s="1514"/>
      <c r="C53" s="1526"/>
      <c r="D53" s="953" t="s">
        <v>322</v>
      </c>
      <c r="E53" s="954">
        <v>0.15</v>
      </c>
      <c r="F53" s="955">
        <v>1</v>
      </c>
      <c r="G53" s="956" t="s">
        <v>156</v>
      </c>
      <c r="H53" s="957" t="s">
        <v>329</v>
      </c>
      <c r="I53" s="953" t="s">
        <v>325</v>
      </c>
      <c r="J53" s="958" t="s">
        <v>326</v>
      </c>
      <c r="K53" s="963">
        <v>0.3</v>
      </c>
      <c r="L53" s="963">
        <v>0.4</v>
      </c>
      <c r="M53" s="963">
        <v>0.25</v>
      </c>
      <c r="N53" s="963">
        <v>0.05</v>
      </c>
      <c r="O53" s="63">
        <v>1</v>
      </c>
    </row>
    <row r="54" spans="2:15" ht="87.75" customHeight="1">
      <c r="B54" s="1514"/>
      <c r="C54" s="1527"/>
      <c r="D54" s="953" t="s">
        <v>323</v>
      </c>
      <c r="E54" s="954">
        <v>0.15</v>
      </c>
      <c r="F54" s="955">
        <v>1</v>
      </c>
      <c r="G54" s="959" t="s">
        <v>324</v>
      </c>
      <c r="H54" s="957" t="s">
        <v>351</v>
      </c>
      <c r="I54" s="953" t="s">
        <v>325</v>
      </c>
      <c r="J54" s="958" t="s">
        <v>326</v>
      </c>
      <c r="K54" s="963">
        <v>0.3</v>
      </c>
      <c r="L54" s="963">
        <v>0.4</v>
      </c>
      <c r="M54" s="963">
        <v>0.25</v>
      </c>
      <c r="N54" s="963">
        <v>0.05</v>
      </c>
      <c r="O54" s="63">
        <v>1</v>
      </c>
    </row>
    <row r="55" spans="2:15" ht="105" customHeight="1">
      <c r="B55" s="1514"/>
      <c r="C55" s="1533" t="s">
        <v>143</v>
      </c>
      <c r="D55" s="31" t="s">
        <v>159</v>
      </c>
      <c r="E55" s="32">
        <v>0.2</v>
      </c>
      <c r="F55" s="160">
        <v>1</v>
      </c>
      <c r="G55" s="33">
        <v>1</v>
      </c>
      <c r="H55" s="169" t="s">
        <v>153</v>
      </c>
      <c r="I55" s="142" t="s">
        <v>359</v>
      </c>
      <c r="J55" s="143" t="s">
        <v>654</v>
      </c>
      <c r="K55" s="170">
        <v>1</v>
      </c>
      <c r="L55" s="170">
        <v>1</v>
      </c>
      <c r="M55" s="170">
        <v>1</v>
      </c>
      <c r="N55" s="170">
        <v>1</v>
      </c>
      <c r="O55" s="36">
        <f>AVERAGE(K55:N55)</f>
        <v>1</v>
      </c>
    </row>
    <row r="56" spans="2:15" ht="96" customHeight="1">
      <c r="B56" s="1514"/>
      <c r="C56" s="1564"/>
      <c r="D56" s="31" t="s">
        <v>160</v>
      </c>
      <c r="E56" s="32">
        <v>0.2</v>
      </c>
      <c r="F56" s="160">
        <v>0.4</v>
      </c>
      <c r="G56" s="33">
        <v>0.6</v>
      </c>
      <c r="H56" s="169" t="s">
        <v>154</v>
      </c>
      <c r="I56" s="142" t="s">
        <v>359</v>
      </c>
      <c r="J56" s="143" t="s">
        <v>654</v>
      </c>
      <c r="K56" s="170">
        <v>0.22</v>
      </c>
      <c r="L56" s="170">
        <v>0.14000000000000001</v>
      </c>
      <c r="M56" s="170">
        <v>0.02</v>
      </c>
      <c r="N56" s="170">
        <v>0.02</v>
      </c>
      <c r="O56" s="36">
        <f>K56+L56+M56+N56</f>
        <v>0.4</v>
      </c>
    </row>
    <row r="57" spans="2:15" ht="74.25" customHeight="1">
      <c r="B57" s="1514"/>
      <c r="C57" s="1564"/>
      <c r="D57" s="31" t="s">
        <v>161</v>
      </c>
      <c r="E57" s="32">
        <v>0.15</v>
      </c>
      <c r="F57" s="160">
        <v>1</v>
      </c>
      <c r="G57" s="171" t="s">
        <v>156</v>
      </c>
      <c r="H57" s="169" t="s">
        <v>155</v>
      </c>
      <c r="I57" s="142" t="s">
        <v>359</v>
      </c>
      <c r="J57" s="143" t="s">
        <v>158</v>
      </c>
      <c r="K57" s="170">
        <v>0.38</v>
      </c>
      <c r="L57" s="170">
        <v>0.33</v>
      </c>
      <c r="M57" s="170">
        <v>0.28999999999999998</v>
      </c>
      <c r="N57" s="170">
        <v>0</v>
      </c>
      <c r="O57" s="36">
        <f>K57+L57+M57+N57</f>
        <v>1</v>
      </c>
    </row>
    <row r="58" spans="2:15" ht="63" customHeight="1">
      <c r="B58" s="1514"/>
      <c r="C58" s="1564"/>
      <c r="D58" s="31" t="s">
        <v>162</v>
      </c>
      <c r="E58" s="32">
        <v>0.1</v>
      </c>
      <c r="F58" s="172">
        <v>12</v>
      </c>
      <c r="G58" s="171" t="s">
        <v>157</v>
      </c>
      <c r="H58" s="169" t="s">
        <v>166</v>
      </c>
      <c r="I58" s="142" t="s">
        <v>359</v>
      </c>
      <c r="J58" s="143" t="s">
        <v>158</v>
      </c>
      <c r="K58" s="173">
        <v>3</v>
      </c>
      <c r="L58" s="173">
        <v>3</v>
      </c>
      <c r="M58" s="173">
        <v>3</v>
      </c>
      <c r="N58" s="173">
        <v>3</v>
      </c>
      <c r="O58" s="64">
        <f>K58+L58+M58+N58</f>
        <v>12</v>
      </c>
    </row>
    <row r="59" spans="2:15" ht="63" customHeight="1">
      <c r="B59" s="1514"/>
      <c r="C59" s="1564"/>
      <c r="D59" s="31" t="s">
        <v>163</v>
      </c>
      <c r="E59" s="32">
        <v>0.2</v>
      </c>
      <c r="F59" s="32">
        <v>0.9</v>
      </c>
      <c r="G59" s="174">
        <v>0.86</v>
      </c>
      <c r="H59" s="175" t="s">
        <v>368</v>
      </c>
      <c r="I59" s="142" t="s">
        <v>360</v>
      </c>
      <c r="J59" s="143" t="s">
        <v>1</v>
      </c>
      <c r="K59" s="170">
        <v>0.9</v>
      </c>
      <c r="L59" s="170">
        <v>0.9</v>
      </c>
      <c r="M59" s="170">
        <v>0.9</v>
      </c>
      <c r="N59" s="170">
        <v>0.9</v>
      </c>
      <c r="O59" s="36">
        <f>AVERAGE(K59:N59)</f>
        <v>0.9</v>
      </c>
    </row>
    <row r="60" spans="2:15" ht="70.5" customHeight="1">
      <c r="B60" s="1514"/>
      <c r="C60" s="1534"/>
      <c r="D60" s="31" t="s">
        <v>164</v>
      </c>
      <c r="E60" s="32">
        <v>0.15</v>
      </c>
      <c r="F60" s="172">
        <v>7</v>
      </c>
      <c r="G60" s="171">
        <v>3</v>
      </c>
      <c r="H60" s="141" t="s">
        <v>369</v>
      </c>
      <c r="I60" s="142" t="s">
        <v>360</v>
      </c>
      <c r="J60" s="143" t="s">
        <v>1</v>
      </c>
      <c r="K60" s="173">
        <v>2</v>
      </c>
      <c r="L60" s="173">
        <v>3</v>
      </c>
      <c r="M60" s="173">
        <v>1</v>
      </c>
      <c r="N60" s="173">
        <v>1</v>
      </c>
      <c r="O60" s="64">
        <v>7</v>
      </c>
    </row>
    <row r="61" spans="2:15" ht="60" customHeight="1">
      <c r="B61" s="1514"/>
      <c r="C61" s="1528" t="s">
        <v>144</v>
      </c>
      <c r="D61" s="151" t="s">
        <v>398</v>
      </c>
      <c r="E61" s="152">
        <v>0.1</v>
      </c>
      <c r="F61" s="165">
        <v>1</v>
      </c>
      <c r="G61" s="176">
        <v>1</v>
      </c>
      <c r="H61" s="177" t="s">
        <v>385</v>
      </c>
      <c r="I61" s="178" t="s">
        <v>386</v>
      </c>
      <c r="J61" s="179" t="s">
        <v>387</v>
      </c>
      <c r="K61" s="180">
        <v>1</v>
      </c>
      <c r="L61" s="180">
        <v>1</v>
      </c>
      <c r="M61" s="180">
        <v>1</v>
      </c>
      <c r="N61" s="180">
        <v>1</v>
      </c>
      <c r="O61" s="86">
        <f>AVERAGE(K61:N61)</f>
        <v>1</v>
      </c>
    </row>
    <row r="62" spans="2:15" ht="88.5" customHeight="1">
      <c r="B62" s="1514"/>
      <c r="C62" s="1512"/>
      <c r="D62" s="151" t="s">
        <v>1091</v>
      </c>
      <c r="E62" s="152">
        <v>0.1</v>
      </c>
      <c r="F62" s="947">
        <v>0.97799999999999998</v>
      </c>
      <c r="G62" s="176">
        <v>0.97</v>
      </c>
      <c r="H62" s="151" t="s">
        <v>388</v>
      </c>
      <c r="I62" s="178" t="s">
        <v>386</v>
      </c>
      <c r="J62" s="179" t="s">
        <v>389</v>
      </c>
      <c r="K62" s="180">
        <v>0.97</v>
      </c>
      <c r="L62" s="180">
        <v>0.98</v>
      </c>
      <c r="M62" s="180">
        <v>0.98</v>
      </c>
      <c r="N62" s="180">
        <v>0.98</v>
      </c>
      <c r="O62" s="948">
        <f t="shared" ref="O62:O67" si="1">AVERAGE(K62:N62)</f>
        <v>0.97749999999999992</v>
      </c>
    </row>
    <row r="63" spans="2:15" ht="99.75" customHeight="1">
      <c r="B63" s="1514"/>
      <c r="C63" s="1512"/>
      <c r="D63" s="151" t="s">
        <v>1092</v>
      </c>
      <c r="E63" s="152">
        <v>0.1</v>
      </c>
      <c r="F63" s="947">
        <v>0.94499999999999995</v>
      </c>
      <c r="G63" s="154" t="s">
        <v>156</v>
      </c>
      <c r="H63" s="155" t="s">
        <v>390</v>
      </c>
      <c r="I63" s="178" t="s">
        <v>386</v>
      </c>
      <c r="J63" s="179" t="s">
        <v>389</v>
      </c>
      <c r="K63" s="180">
        <v>0.9</v>
      </c>
      <c r="L63" s="180">
        <v>0.96</v>
      </c>
      <c r="M63" s="180">
        <v>0.96</v>
      </c>
      <c r="N63" s="180">
        <v>0.96</v>
      </c>
      <c r="O63" s="948">
        <f t="shared" si="1"/>
        <v>0.94499999999999995</v>
      </c>
    </row>
    <row r="64" spans="2:15" ht="75">
      <c r="B64" s="1514"/>
      <c r="C64" s="1512"/>
      <c r="D64" s="151" t="s">
        <v>399</v>
      </c>
      <c r="E64" s="152">
        <v>0.15</v>
      </c>
      <c r="F64" s="181">
        <v>1</v>
      </c>
      <c r="G64" s="181">
        <v>1</v>
      </c>
      <c r="H64" s="182" t="s">
        <v>391</v>
      </c>
      <c r="I64" s="178" t="s">
        <v>386</v>
      </c>
      <c r="J64" s="179" t="s">
        <v>392</v>
      </c>
      <c r="K64" s="180">
        <v>1</v>
      </c>
      <c r="L64" s="180">
        <v>1</v>
      </c>
      <c r="M64" s="180">
        <v>1</v>
      </c>
      <c r="N64" s="180">
        <v>1</v>
      </c>
      <c r="O64" s="86">
        <f t="shared" si="1"/>
        <v>1</v>
      </c>
    </row>
    <row r="65" spans="2:15" ht="75">
      <c r="B65" s="1514"/>
      <c r="C65" s="1512"/>
      <c r="D65" s="151" t="s">
        <v>400</v>
      </c>
      <c r="E65" s="152">
        <v>0.15</v>
      </c>
      <c r="F65" s="181">
        <v>1</v>
      </c>
      <c r="G65" s="181">
        <v>1</v>
      </c>
      <c r="H65" s="182" t="s">
        <v>393</v>
      </c>
      <c r="I65" s="178" t="s">
        <v>386</v>
      </c>
      <c r="J65" s="179" t="s">
        <v>392</v>
      </c>
      <c r="K65" s="180">
        <v>1</v>
      </c>
      <c r="L65" s="180">
        <v>1</v>
      </c>
      <c r="M65" s="180">
        <v>1</v>
      </c>
      <c r="N65" s="180">
        <v>1</v>
      </c>
      <c r="O65" s="86">
        <f t="shared" si="1"/>
        <v>1</v>
      </c>
    </row>
    <row r="66" spans="2:15" ht="75">
      <c r="B66" s="1514"/>
      <c r="C66" s="1512"/>
      <c r="D66" s="151" t="s">
        <v>401</v>
      </c>
      <c r="E66" s="152">
        <v>0.15</v>
      </c>
      <c r="F66" s="181">
        <v>1</v>
      </c>
      <c r="G66" s="181">
        <v>1</v>
      </c>
      <c r="H66" s="182" t="s">
        <v>394</v>
      </c>
      <c r="I66" s="178" t="s">
        <v>386</v>
      </c>
      <c r="J66" s="179" t="s">
        <v>392</v>
      </c>
      <c r="K66" s="180">
        <v>1</v>
      </c>
      <c r="L66" s="180">
        <v>1</v>
      </c>
      <c r="M66" s="180">
        <v>1</v>
      </c>
      <c r="N66" s="180">
        <v>1</v>
      </c>
      <c r="O66" s="86">
        <f t="shared" si="1"/>
        <v>1</v>
      </c>
    </row>
    <row r="67" spans="2:15" ht="75">
      <c r="B67" s="1514"/>
      <c r="C67" s="1512"/>
      <c r="D67" s="151" t="s">
        <v>402</v>
      </c>
      <c r="E67" s="152">
        <v>0.15</v>
      </c>
      <c r="F67" s="181">
        <v>1</v>
      </c>
      <c r="G67" s="181">
        <v>0.99</v>
      </c>
      <c r="H67" s="182" t="s">
        <v>395</v>
      </c>
      <c r="I67" s="178" t="s">
        <v>386</v>
      </c>
      <c r="J67" s="179" t="s">
        <v>392</v>
      </c>
      <c r="K67" s="180">
        <v>1</v>
      </c>
      <c r="L67" s="180">
        <v>1</v>
      </c>
      <c r="M67" s="180">
        <v>1</v>
      </c>
      <c r="N67" s="180">
        <v>1</v>
      </c>
      <c r="O67" s="86">
        <f t="shared" si="1"/>
        <v>1</v>
      </c>
    </row>
    <row r="68" spans="2:15" ht="84.75" customHeight="1">
      <c r="B68" s="1514"/>
      <c r="C68" s="1529"/>
      <c r="D68" s="151" t="s">
        <v>1093</v>
      </c>
      <c r="E68" s="152">
        <v>0.1</v>
      </c>
      <c r="F68" s="183">
        <v>21</v>
      </c>
      <c r="G68" s="184" t="s">
        <v>156</v>
      </c>
      <c r="H68" s="177" t="s">
        <v>396</v>
      </c>
      <c r="I68" s="178" t="s">
        <v>386</v>
      </c>
      <c r="J68" s="179" t="s">
        <v>397</v>
      </c>
      <c r="K68" s="185">
        <v>9</v>
      </c>
      <c r="L68" s="185">
        <v>4</v>
      </c>
      <c r="M68" s="185">
        <v>4</v>
      </c>
      <c r="N68" s="185">
        <v>4</v>
      </c>
      <c r="O68" s="85">
        <f t="shared" ref="O68" si="2">K68+L68+M68+N68</f>
        <v>21</v>
      </c>
    </row>
    <row r="69" spans="2:15" ht="76.5" customHeight="1">
      <c r="B69" s="1514"/>
      <c r="C69" s="1536" t="s">
        <v>145</v>
      </c>
      <c r="D69" s="31" t="s">
        <v>465</v>
      </c>
      <c r="E69" s="147">
        <v>0.1</v>
      </c>
      <c r="F69" s="160">
        <v>1</v>
      </c>
      <c r="G69" s="186">
        <v>0.99199999999999999</v>
      </c>
      <c r="H69" s="300" t="s">
        <v>435</v>
      </c>
      <c r="I69" s="142" t="s">
        <v>437</v>
      </c>
      <c r="J69" s="143" t="s">
        <v>438</v>
      </c>
      <c r="K69" s="170">
        <v>1</v>
      </c>
      <c r="L69" s="170">
        <v>1</v>
      </c>
      <c r="M69" s="170">
        <v>1</v>
      </c>
      <c r="N69" s="170">
        <v>1</v>
      </c>
      <c r="O69" s="36">
        <f>AVERAGE(K69:N69)</f>
        <v>1</v>
      </c>
    </row>
    <row r="70" spans="2:15" ht="62.25" customHeight="1">
      <c r="B70" s="1514"/>
      <c r="C70" s="1291"/>
      <c r="D70" s="31" t="s">
        <v>634</v>
      </c>
      <c r="E70" s="147">
        <v>0.1</v>
      </c>
      <c r="F70" s="160">
        <v>0.97</v>
      </c>
      <c r="G70" s="186">
        <v>0.96599999999999997</v>
      </c>
      <c r="H70" s="300" t="s">
        <v>436</v>
      </c>
      <c r="I70" s="142" t="s">
        <v>437</v>
      </c>
      <c r="J70" s="143" t="s">
        <v>438</v>
      </c>
      <c r="K70" s="170">
        <v>0.97</v>
      </c>
      <c r="L70" s="170">
        <v>0.97</v>
      </c>
      <c r="M70" s="170">
        <v>0.97</v>
      </c>
      <c r="N70" s="170">
        <v>0.97</v>
      </c>
      <c r="O70" s="36">
        <f>AVERAGE(K70:N70)</f>
        <v>0.97</v>
      </c>
    </row>
    <row r="71" spans="2:15" ht="64.5" customHeight="1">
      <c r="B71" s="1514"/>
      <c r="C71" s="1291"/>
      <c r="D71" s="31" t="s">
        <v>466</v>
      </c>
      <c r="E71" s="160">
        <v>7.0000000000000007E-2</v>
      </c>
      <c r="F71" s="160">
        <v>0.95</v>
      </c>
      <c r="G71" s="301" t="s">
        <v>156</v>
      </c>
      <c r="H71" s="300" t="s">
        <v>460</v>
      </c>
      <c r="I71" s="142" t="s">
        <v>464</v>
      </c>
      <c r="J71" s="143" t="s">
        <v>463</v>
      </c>
      <c r="K71" s="170">
        <v>0.95</v>
      </c>
      <c r="L71" s="170">
        <v>0.95</v>
      </c>
      <c r="M71" s="170">
        <v>0.95</v>
      </c>
      <c r="N71" s="170">
        <v>0.95</v>
      </c>
      <c r="O71" s="36">
        <f>AVERAGE(K71:N71)</f>
        <v>0.95</v>
      </c>
    </row>
    <row r="72" spans="2:15" ht="64.5" customHeight="1">
      <c r="B72" s="1514"/>
      <c r="C72" s="1291"/>
      <c r="D72" s="31" t="s">
        <v>467</v>
      </c>
      <c r="E72" s="160">
        <v>7.0000000000000007E-2</v>
      </c>
      <c r="F72" s="160">
        <v>0.95</v>
      </c>
      <c r="G72" s="301" t="s">
        <v>156</v>
      </c>
      <c r="H72" s="300" t="s">
        <v>461</v>
      </c>
      <c r="I72" s="142" t="s">
        <v>464</v>
      </c>
      <c r="J72" s="143" t="s">
        <v>463</v>
      </c>
      <c r="K72" s="170">
        <v>0.95</v>
      </c>
      <c r="L72" s="170">
        <v>0.95</v>
      </c>
      <c r="M72" s="170">
        <v>0.95</v>
      </c>
      <c r="N72" s="170">
        <v>0.95</v>
      </c>
      <c r="O72" s="36">
        <f t="shared" ref="O72:O73" si="3">AVERAGE(K72:N72)</f>
        <v>0.95</v>
      </c>
    </row>
    <row r="73" spans="2:15" ht="64.5" customHeight="1">
      <c r="B73" s="1514"/>
      <c r="C73" s="1291"/>
      <c r="D73" s="31" t="s">
        <v>468</v>
      </c>
      <c r="E73" s="160">
        <v>0.06</v>
      </c>
      <c r="F73" s="160">
        <v>1</v>
      </c>
      <c r="G73" s="301" t="s">
        <v>156</v>
      </c>
      <c r="H73" s="300" t="s">
        <v>462</v>
      </c>
      <c r="I73" s="142" t="s">
        <v>464</v>
      </c>
      <c r="J73" s="143" t="s">
        <v>463</v>
      </c>
      <c r="K73" s="170">
        <v>1</v>
      </c>
      <c r="L73" s="170">
        <v>1</v>
      </c>
      <c r="M73" s="170">
        <v>1</v>
      </c>
      <c r="N73" s="170">
        <v>1</v>
      </c>
      <c r="O73" s="36">
        <f t="shared" si="3"/>
        <v>1</v>
      </c>
    </row>
    <row r="74" spans="2:15" ht="78" customHeight="1">
      <c r="B74" s="1514"/>
      <c r="C74" s="1291"/>
      <c r="D74" s="31" t="s">
        <v>469</v>
      </c>
      <c r="E74" s="52">
        <v>0.1</v>
      </c>
      <c r="F74" s="160">
        <v>0.95</v>
      </c>
      <c r="G74" s="301" t="s">
        <v>156</v>
      </c>
      <c r="H74" s="300" t="s">
        <v>451</v>
      </c>
      <c r="I74" s="142" t="s">
        <v>452</v>
      </c>
      <c r="J74" s="143" t="s">
        <v>453</v>
      </c>
      <c r="K74" s="170">
        <v>0.95</v>
      </c>
      <c r="L74" s="170">
        <v>0.95</v>
      </c>
      <c r="M74" s="170">
        <v>0.95</v>
      </c>
      <c r="N74" s="170">
        <v>0.95</v>
      </c>
      <c r="O74" s="36">
        <f>AVERAGE(K74:N74)</f>
        <v>0.95</v>
      </c>
    </row>
    <row r="75" spans="2:15" ht="96.75" customHeight="1">
      <c r="B75" s="1514"/>
      <c r="C75" s="1291"/>
      <c r="D75" s="31" t="s">
        <v>494</v>
      </c>
      <c r="E75" s="52">
        <v>0.05</v>
      </c>
      <c r="F75" s="160">
        <v>0.95</v>
      </c>
      <c r="G75" s="301" t="s">
        <v>156</v>
      </c>
      <c r="H75" s="300" t="s">
        <v>487</v>
      </c>
      <c r="I75" s="142" t="s">
        <v>488</v>
      </c>
      <c r="J75" s="143" t="s">
        <v>489</v>
      </c>
      <c r="K75" s="170">
        <v>0.95</v>
      </c>
      <c r="L75" s="170">
        <v>0.95</v>
      </c>
      <c r="M75" s="170">
        <v>0.95</v>
      </c>
      <c r="N75" s="170">
        <v>0.95</v>
      </c>
      <c r="O75" s="36">
        <f t="shared" ref="O75:O76" si="4">AVERAGE(K75:N75)</f>
        <v>0.95</v>
      </c>
    </row>
    <row r="76" spans="2:15" ht="76.5" customHeight="1">
      <c r="B76" s="1514"/>
      <c r="C76" s="1291"/>
      <c r="D76" s="31" t="s">
        <v>495</v>
      </c>
      <c r="E76" s="52">
        <v>0.05</v>
      </c>
      <c r="F76" s="160">
        <v>0.8</v>
      </c>
      <c r="G76" s="301">
        <v>264</v>
      </c>
      <c r="H76" s="300" t="s">
        <v>514</v>
      </c>
      <c r="I76" s="142" t="s">
        <v>488</v>
      </c>
      <c r="J76" s="143" t="s">
        <v>490</v>
      </c>
      <c r="K76" s="170">
        <v>0.8</v>
      </c>
      <c r="L76" s="170">
        <v>0.8</v>
      </c>
      <c r="M76" s="170">
        <v>0.8</v>
      </c>
      <c r="N76" s="170">
        <v>0.8</v>
      </c>
      <c r="O76" s="36">
        <f t="shared" si="4"/>
        <v>0.8</v>
      </c>
    </row>
    <row r="77" spans="2:15" ht="120" customHeight="1">
      <c r="B77" s="1514"/>
      <c r="C77" s="1291"/>
      <c r="D77" s="31" t="s">
        <v>496</v>
      </c>
      <c r="E77" s="52">
        <v>0.05</v>
      </c>
      <c r="F77" s="172">
        <v>100</v>
      </c>
      <c r="G77" s="301">
        <v>32</v>
      </c>
      <c r="H77" s="188" t="s">
        <v>639</v>
      </c>
      <c r="I77" s="142" t="s">
        <v>488</v>
      </c>
      <c r="J77" s="143" t="s">
        <v>491</v>
      </c>
      <c r="K77" s="189">
        <v>25</v>
      </c>
      <c r="L77" s="189">
        <v>25</v>
      </c>
      <c r="M77" s="189">
        <v>25</v>
      </c>
      <c r="N77" s="189">
        <v>25</v>
      </c>
      <c r="O77" s="64">
        <f t="shared" ref="O77:O78" si="5">K77+L77+M77+N77</f>
        <v>100</v>
      </c>
    </row>
    <row r="78" spans="2:15" ht="87" customHeight="1">
      <c r="B78" s="1514"/>
      <c r="C78" s="1291"/>
      <c r="D78" s="31" t="s">
        <v>497</v>
      </c>
      <c r="E78" s="52">
        <v>0.05</v>
      </c>
      <c r="F78" s="172">
        <v>100</v>
      </c>
      <c r="G78" s="301">
        <v>26</v>
      </c>
      <c r="H78" s="188" t="s">
        <v>640</v>
      </c>
      <c r="I78" s="142" t="s">
        <v>492</v>
      </c>
      <c r="J78" s="143" t="s">
        <v>493</v>
      </c>
      <c r="K78" s="189">
        <v>25</v>
      </c>
      <c r="L78" s="189">
        <v>25</v>
      </c>
      <c r="M78" s="189">
        <v>25</v>
      </c>
      <c r="N78" s="189">
        <v>25</v>
      </c>
      <c r="O78" s="64">
        <f t="shared" si="5"/>
        <v>100</v>
      </c>
    </row>
    <row r="79" spans="2:15" ht="63" customHeight="1">
      <c r="B79" s="1514"/>
      <c r="C79" s="1291"/>
      <c r="D79" s="31" t="s">
        <v>520</v>
      </c>
      <c r="E79" s="52">
        <v>0.05</v>
      </c>
      <c r="F79" s="160">
        <v>1</v>
      </c>
      <c r="G79" s="33">
        <v>1</v>
      </c>
      <c r="H79" s="300" t="s">
        <v>516</v>
      </c>
      <c r="I79" s="142" t="s">
        <v>517</v>
      </c>
      <c r="J79" s="190" t="s">
        <v>3</v>
      </c>
      <c r="K79" s="191">
        <v>1</v>
      </c>
      <c r="L79" s="191">
        <v>1</v>
      </c>
      <c r="M79" s="191">
        <v>1</v>
      </c>
      <c r="N79" s="191">
        <v>1</v>
      </c>
      <c r="O79" s="36">
        <f t="shared" ref="O79:O83" si="6">AVERAGE(K79:N79)</f>
        <v>1</v>
      </c>
    </row>
    <row r="80" spans="2:15" ht="54.75" customHeight="1">
      <c r="B80" s="1514"/>
      <c r="C80" s="1291"/>
      <c r="D80" s="31" t="s">
        <v>521</v>
      </c>
      <c r="E80" s="52">
        <v>0.05</v>
      </c>
      <c r="F80" s="33">
        <v>1</v>
      </c>
      <c r="G80" s="33">
        <v>1</v>
      </c>
      <c r="H80" s="300" t="s">
        <v>518</v>
      </c>
      <c r="I80" s="142" t="s">
        <v>517</v>
      </c>
      <c r="J80" s="190" t="s">
        <v>3</v>
      </c>
      <c r="K80" s="191">
        <v>1</v>
      </c>
      <c r="L80" s="191">
        <v>1</v>
      </c>
      <c r="M80" s="191">
        <v>1</v>
      </c>
      <c r="N80" s="191">
        <v>1</v>
      </c>
      <c r="O80" s="36">
        <f t="shared" si="6"/>
        <v>1</v>
      </c>
    </row>
    <row r="81" spans="2:15" ht="78.75" customHeight="1">
      <c r="B81" s="1514"/>
      <c r="C81" s="1291"/>
      <c r="D81" s="31" t="s">
        <v>522</v>
      </c>
      <c r="E81" s="52">
        <v>0.05</v>
      </c>
      <c r="F81" s="33">
        <v>1</v>
      </c>
      <c r="G81" s="33">
        <v>1</v>
      </c>
      <c r="H81" s="300" t="s">
        <v>519</v>
      </c>
      <c r="I81" s="142" t="s">
        <v>517</v>
      </c>
      <c r="J81" s="190" t="s">
        <v>3</v>
      </c>
      <c r="K81" s="191">
        <v>1</v>
      </c>
      <c r="L81" s="191">
        <v>1</v>
      </c>
      <c r="M81" s="191">
        <v>1</v>
      </c>
      <c r="N81" s="191">
        <v>1</v>
      </c>
      <c r="O81" s="36">
        <f t="shared" si="6"/>
        <v>1</v>
      </c>
    </row>
    <row r="82" spans="2:15" ht="76.5" customHeight="1">
      <c r="B82" s="1514"/>
      <c r="C82" s="1291"/>
      <c r="D82" s="1531" t="s">
        <v>523</v>
      </c>
      <c r="E82" s="1530">
        <v>0.05</v>
      </c>
      <c r="F82" s="33">
        <v>1</v>
      </c>
      <c r="G82" s="33">
        <v>1</v>
      </c>
      <c r="H82" s="300" t="s">
        <v>525</v>
      </c>
      <c r="I82" s="142" t="s">
        <v>517</v>
      </c>
      <c r="J82" s="190" t="s">
        <v>3</v>
      </c>
      <c r="K82" s="191">
        <v>1</v>
      </c>
      <c r="L82" s="191">
        <v>1</v>
      </c>
      <c r="M82" s="191">
        <v>1</v>
      </c>
      <c r="N82" s="191">
        <v>1</v>
      </c>
      <c r="O82" s="36">
        <f t="shared" si="6"/>
        <v>1</v>
      </c>
    </row>
    <row r="83" spans="2:15" ht="76.5" customHeight="1">
      <c r="B83" s="1514"/>
      <c r="C83" s="1291"/>
      <c r="D83" s="1532"/>
      <c r="E83" s="1344"/>
      <c r="F83" s="33">
        <v>1</v>
      </c>
      <c r="G83" s="33">
        <v>1</v>
      </c>
      <c r="H83" s="300" t="s">
        <v>524</v>
      </c>
      <c r="I83" s="142" t="s">
        <v>517</v>
      </c>
      <c r="J83" s="190" t="s">
        <v>3</v>
      </c>
      <c r="K83" s="191">
        <v>1</v>
      </c>
      <c r="L83" s="191">
        <v>1</v>
      </c>
      <c r="M83" s="191">
        <v>1</v>
      </c>
      <c r="N83" s="191">
        <v>1</v>
      </c>
      <c r="O83" s="36">
        <f t="shared" si="6"/>
        <v>1</v>
      </c>
    </row>
    <row r="84" spans="2:15" ht="76.5" customHeight="1">
      <c r="B84" s="1514"/>
      <c r="C84" s="1291"/>
      <c r="D84" s="1535" t="s">
        <v>908</v>
      </c>
      <c r="E84" s="1530">
        <v>0.1</v>
      </c>
      <c r="F84" s="594">
        <v>0.95</v>
      </c>
      <c r="G84" s="594" t="s">
        <v>156</v>
      </c>
      <c r="H84" s="585" t="s">
        <v>909</v>
      </c>
      <c r="I84" s="595" t="s">
        <v>452</v>
      </c>
      <c r="J84" s="596" t="s">
        <v>453</v>
      </c>
      <c r="K84" s="191">
        <v>0.6</v>
      </c>
      <c r="L84" s="191">
        <v>0.8</v>
      </c>
      <c r="M84" s="191">
        <v>0.9</v>
      </c>
      <c r="N84" s="191">
        <v>0.95</v>
      </c>
      <c r="O84" s="597">
        <f>+N84</f>
        <v>0.95</v>
      </c>
    </row>
    <row r="85" spans="2:15" ht="76.5" customHeight="1">
      <c r="B85" s="1514"/>
      <c r="C85" s="1291"/>
      <c r="D85" s="1351"/>
      <c r="E85" s="1353"/>
      <c r="F85" s="594">
        <v>0.95</v>
      </c>
      <c r="G85" s="594" t="s">
        <v>156</v>
      </c>
      <c r="H85" s="585" t="s">
        <v>910</v>
      </c>
      <c r="I85" s="595" t="s">
        <v>452</v>
      </c>
      <c r="J85" s="596" t="s">
        <v>453</v>
      </c>
      <c r="K85" s="191">
        <v>0.6</v>
      </c>
      <c r="L85" s="191">
        <v>0.8</v>
      </c>
      <c r="M85" s="191">
        <v>0.9</v>
      </c>
      <c r="N85" s="191">
        <v>0.95</v>
      </c>
      <c r="O85" s="597">
        <f>+N85</f>
        <v>0.95</v>
      </c>
    </row>
    <row r="86" spans="2:15" ht="76.5" customHeight="1">
      <c r="B86" s="1514"/>
      <c r="C86" s="1286"/>
      <c r="D86" s="1352"/>
      <c r="E86" s="1344"/>
      <c r="F86" s="594">
        <v>0.95</v>
      </c>
      <c r="G86" s="594" t="s">
        <v>156</v>
      </c>
      <c r="H86" s="585" t="s">
        <v>911</v>
      </c>
      <c r="I86" s="595" t="s">
        <v>452</v>
      </c>
      <c r="J86" s="596" t="s">
        <v>453</v>
      </c>
      <c r="K86" s="191">
        <v>0.6</v>
      </c>
      <c r="L86" s="191">
        <v>0.8</v>
      </c>
      <c r="M86" s="191">
        <v>0.9</v>
      </c>
      <c r="N86" s="191">
        <v>0.95</v>
      </c>
      <c r="O86" s="597">
        <f>+N86</f>
        <v>0.95</v>
      </c>
    </row>
    <row r="87" spans="2:15" ht="73.5" customHeight="1">
      <c r="B87" s="1514"/>
      <c r="C87" s="1528" t="s">
        <v>146</v>
      </c>
      <c r="D87" s="151" t="s">
        <v>548</v>
      </c>
      <c r="E87" s="152">
        <v>0.05</v>
      </c>
      <c r="F87" s="192">
        <f>+O87</f>
        <v>148</v>
      </c>
      <c r="G87" s="154" t="s">
        <v>156</v>
      </c>
      <c r="H87" s="155" t="s">
        <v>544</v>
      </c>
      <c r="I87" s="156" t="s">
        <v>563</v>
      </c>
      <c r="J87" s="156" t="s">
        <v>545</v>
      </c>
      <c r="K87" s="193">
        <v>24</v>
      </c>
      <c r="L87" s="193">
        <v>52</v>
      </c>
      <c r="M87" s="193">
        <v>36</v>
      </c>
      <c r="N87" s="193">
        <v>36</v>
      </c>
      <c r="O87" s="85">
        <f t="shared" ref="O87:O92" si="7">K87+L87+M87+N87</f>
        <v>148</v>
      </c>
    </row>
    <row r="88" spans="2:15" ht="86.25" customHeight="1">
      <c r="B88" s="1514"/>
      <c r="C88" s="1512"/>
      <c r="D88" s="151" t="s">
        <v>1094</v>
      </c>
      <c r="E88" s="152">
        <v>0.05</v>
      </c>
      <c r="F88" s="192">
        <f t="shared" ref="F88:F89" si="8">+O88</f>
        <v>20</v>
      </c>
      <c r="G88" s="154" t="s">
        <v>156</v>
      </c>
      <c r="H88" s="155" t="s">
        <v>546</v>
      </c>
      <c r="I88" s="156" t="s">
        <v>563</v>
      </c>
      <c r="J88" s="156" t="s">
        <v>545</v>
      </c>
      <c r="K88" s="195">
        <v>2</v>
      </c>
      <c r="L88" s="195">
        <v>6</v>
      </c>
      <c r="M88" s="195">
        <v>6</v>
      </c>
      <c r="N88" s="195">
        <v>6</v>
      </c>
      <c r="O88" s="85">
        <f t="shared" si="7"/>
        <v>20</v>
      </c>
    </row>
    <row r="89" spans="2:15" ht="96.75" customHeight="1">
      <c r="B89" s="1514"/>
      <c r="C89" s="1512"/>
      <c r="D89" s="151" t="s">
        <v>549</v>
      </c>
      <c r="E89" s="152">
        <v>0.2</v>
      </c>
      <c r="F89" s="192">
        <f t="shared" si="8"/>
        <v>400</v>
      </c>
      <c r="G89" s="154" t="s">
        <v>557</v>
      </c>
      <c r="H89" s="155" t="s">
        <v>547</v>
      </c>
      <c r="I89" s="156" t="s">
        <v>563</v>
      </c>
      <c r="J89" s="156" t="s">
        <v>545</v>
      </c>
      <c r="K89" s="195">
        <v>100</v>
      </c>
      <c r="L89" s="195">
        <v>100</v>
      </c>
      <c r="M89" s="195">
        <v>100</v>
      </c>
      <c r="N89" s="195">
        <v>100</v>
      </c>
      <c r="O89" s="85">
        <f t="shared" si="7"/>
        <v>400</v>
      </c>
    </row>
    <row r="90" spans="2:15" ht="69.75" customHeight="1">
      <c r="B90" s="1514"/>
      <c r="C90" s="1512"/>
      <c r="D90" s="151" t="s">
        <v>566</v>
      </c>
      <c r="E90" s="165">
        <v>0.5</v>
      </c>
      <c r="F90" s="154">
        <v>4</v>
      </c>
      <c r="G90" s="154">
        <v>4</v>
      </c>
      <c r="H90" s="155" t="s">
        <v>564</v>
      </c>
      <c r="I90" s="196" t="s">
        <v>565</v>
      </c>
      <c r="J90" s="196" t="s">
        <v>2</v>
      </c>
      <c r="K90" s="154">
        <v>1</v>
      </c>
      <c r="L90" s="154">
        <v>1</v>
      </c>
      <c r="M90" s="154">
        <v>1</v>
      </c>
      <c r="N90" s="154">
        <v>1</v>
      </c>
      <c r="O90" s="85">
        <f t="shared" si="7"/>
        <v>4</v>
      </c>
    </row>
    <row r="91" spans="2:15" ht="56.25" customHeight="1">
      <c r="B91" s="1514"/>
      <c r="C91" s="1512"/>
      <c r="D91" s="151" t="s">
        <v>635</v>
      </c>
      <c r="E91" s="165">
        <v>0.1</v>
      </c>
      <c r="F91" s="194">
        <v>4</v>
      </c>
      <c r="G91" s="154">
        <v>4</v>
      </c>
      <c r="H91" s="155" t="s">
        <v>636</v>
      </c>
      <c r="I91" s="196" t="s">
        <v>565</v>
      </c>
      <c r="J91" s="196" t="s">
        <v>2</v>
      </c>
      <c r="K91" s="154">
        <v>1</v>
      </c>
      <c r="L91" s="154">
        <v>1</v>
      </c>
      <c r="M91" s="154">
        <v>1</v>
      </c>
      <c r="N91" s="154">
        <v>1</v>
      </c>
      <c r="O91" s="85">
        <f t="shared" si="7"/>
        <v>4</v>
      </c>
    </row>
    <row r="92" spans="2:15" ht="61.5" customHeight="1">
      <c r="B92" s="1514"/>
      <c r="C92" s="1529"/>
      <c r="D92" s="151" t="s">
        <v>637</v>
      </c>
      <c r="E92" s="165">
        <v>0.1</v>
      </c>
      <c r="F92" s="194">
        <v>4</v>
      </c>
      <c r="G92" s="154">
        <v>4</v>
      </c>
      <c r="H92" s="155" t="s">
        <v>638</v>
      </c>
      <c r="I92" s="196" t="s">
        <v>565</v>
      </c>
      <c r="J92" s="196" t="s">
        <v>2</v>
      </c>
      <c r="K92" s="154">
        <v>1</v>
      </c>
      <c r="L92" s="154">
        <v>1</v>
      </c>
      <c r="M92" s="154">
        <v>1</v>
      </c>
      <c r="N92" s="154">
        <v>1</v>
      </c>
      <c r="O92" s="85">
        <f t="shared" si="7"/>
        <v>4</v>
      </c>
    </row>
    <row r="93" spans="2:15" ht="60" customHeight="1">
      <c r="B93" s="1514"/>
      <c r="C93" s="1533" t="s">
        <v>147</v>
      </c>
      <c r="D93" s="300" t="s">
        <v>583</v>
      </c>
      <c r="E93" s="298">
        <v>0.5</v>
      </c>
      <c r="F93" s="33">
        <v>1</v>
      </c>
      <c r="G93" s="33">
        <v>1</v>
      </c>
      <c r="H93" s="300" t="s">
        <v>579</v>
      </c>
      <c r="I93" s="187" t="s">
        <v>580</v>
      </c>
      <c r="J93" s="197" t="s">
        <v>581</v>
      </c>
      <c r="K93" s="191">
        <v>1</v>
      </c>
      <c r="L93" s="191">
        <v>1</v>
      </c>
      <c r="M93" s="191">
        <v>1</v>
      </c>
      <c r="N93" s="191">
        <v>1</v>
      </c>
      <c r="O93" s="36">
        <f t="shared" ref="O93:O94" si="9">AVERAGE(K93:N93)</f>
        <v>1</v>
      </c>
    </row>
    <row r="94" spans="2:15" ht="69.75" customHeight="1">
      <c r="B94" s="1514"/>
      <c r="C94" s="1534"/>
      <c r="D94" s="300" t="s">
        <v>584</v>
      </c>
      <c r="E94" s="298">
        <v>0.5</v>
      </c>
      <c r="F94" s="33">
        <v>1</v>
      </c>
      <c r="G94" s="33">
        <v>1</v>
      </c>
      <c r="H94" s="300" t="s">
        <v>582</v>
      </c>
      <c r="I94" s="187" t="s">
        <v>580</v>
      </c>
      <c r="J94" s="197" t="s">
        <v>581</v>
      </c>
      <c r="K94" s="191">
        <v>1</v>
      </c>
      <c r="L94" s="191">
        <v>1</v>
      </c>
      <c r="M94" s="191">
        <v>1</v>
      </c>
      <c r="N94" s="191">
        <v>1</v>
      </c>
      <c r="O94" s="36">
        <f t="shared" si="9"/>
        <v>1</v>
      </c>
    </row>
    <row r="95" spans="2:15" ht="114" customHeight="1">
      <c r="B95" s="1515"/>
      <c r="C95" s="198" t="s">
        <v>148</v>
      </c>
      <c r="D95" s="151" t="s">
        <v>384</v>
      </c>
      <c r="E95" s="152">
        <v>1</v>
      </c>
      <c r="F95" s="192">
        <v>3</v>
      </c>
      <c r="G95" s="154" t="s">
        <v>156</v>
      </c>
      <c r="H95" s="151" t="s">
        <v>378</v>
      </c>
      <c r="I95" s="156" t="s">
        <v>360</v>
      </c>
      <c r="J95" s="199" t="s">
        <v>1</v>
      </c>
      <c r="K95" s="200">
        <v>1</v>
      </c>
      <c r="L95" s="200">
        <v>1</v>
      </c>
      <c r="M95" s="200">
        <v>1</v>
      </c>
      <c r="N95" s="200">
        <v>0</v>
      </c>
      <c r="O95" s="85">
        <f t="shared" ref="O95" si="10">K95+L95+M95+N95</f>
        <v>3</v>
      </c>
    </row>
    <row r="96" spans="2:15" ht="93.75" customHeight="1">
      <c r="B96" s="1522" t="s">
        <v>149</v>
      </c>
      <c r="C96" s="1508" t="s">
        <v>150</v>
      </c>
      <c r="D96" s="31" t="s">
        <v>597</v>
      </c>
      <c r="E96" s="52">
        <v>0.5</v>
      </c>
      <c r="F96" s="68">
        <v>4</v>
      </c>
      <c r="G96" s="301">
        <v>2</v>
      </c>
      <c r="H96" s="300" t="s">
        <v>593</v>
      </c>
      <c r="I96" s="142" t="s">
        <v>594</v>
      </c>
      <c r="J96" s="190" t="s">
        <v>595</v>
      </c>
      <c r="K96" s="201">
        <v>1</v>
      </c>
      <c r="L96" s="201">
        <v>1</v>
      </c>
      <c r="M96" s="201">
        <v>1</v>
      </c>
      <c r="N96" s="201">
        <v>1</v>
      </c>
      <c r="O96" s="35">
        <f t="shared" ref="O96:O99" si="11">K96+L96+M96+N96</f>
        <v>4</v>
      </c>
    </row>
    <row r="97" spans="2:15" ht="93.75" customHeight="1">
      <c r="B97" s="1523"/>
      <c r="C97" s="1509"/>
      <c r="D97" s="31" t="s">
        <v>1095</v>
      </c>
      <c r="E97" s="52">
        <v>0.5</v>
      </c>
      <c r="F97" s="68">
        <v>2</v>
      </c>
      <c r="G97" s="911" t="s">
        <v>156</v>
      </c>
      <c r="H97" s="960" t="s">
        <v>1096</v>
      </c>
      <c r="I97" s="961" t="s">
        <v>594</v>
      </c>
      <c r="J97" s="190" t="s">
        <v>595</v>
      </c>
      <c r="K97" s="962">
        <v>0</v>
      </c>
      <c r="L97" s="962">
        <v>1</v>
      </c>
      <c r="M97" s="962">
        <v>1</v>
      </c>
      <c r="N97" s="962">
        <v>0</v>
      </c>
      <c r="O97" s="35">
        <f t="shared" si="11"/>
        <v>2</v>
      </c>
    </row>
    <row r="98" spans="2:15" ht="102" customHeight="1">
      <c r="B98" s="1523"/>
      <c r="C98" s="202" t="s">
        <v>151</v>
      </c>
      <c r="D98" s="31" t="s">
        <v>598</v>
      </c>
      <c r="E98" s="52">
        <v>1</v>
      </c>
      <c r="F98" s="68">
        <v>8</v>
      </c>
      <c r="G98" s="301" t="s">
        <v>156</v>
      </c>
      <c r="H98" s="300" t="s">
        <v>596</v>
      </c>
      <c r="I98" s="142" t="s">
        <v>594</v>
      </c>
      <c r="J98" s="190" t="s">
        <v>595</v>
      </c>
      <c r="K98" s="201">
        <v>2</v>
      </c>
      <c r="L98" s="201">
        <v>2</v>
      </c>
      <c r="M98" s="201">
        <v>3</v>
      </c>
      <c r="N98" s="201">
        <v>1</v>
      </c>
      <c r="O98" s="35">
        <f t="shared" si="11"/>
        <v>8</v>
      </c>
    </row>
    <row r="99" spans="2:15" ht="124.5" customHeight="1">
      <c r="B99" s="1524"/>
      <c r="C99" s="203" t="s">
        <v>152</v>
      </c>
      <c r="D99" s="31" t="s">
        <v>1097</v>
      </c>
      <c r="E99" s="52">
        <v>1</v>
      </c>
      <c r="F99" s="68">
        <v>80</v>
      </c>
      <c r="G99" s="301">
        <v>3</v>
      </c>
      <c r="H99" s="300" t="s">
        <v>599</v>
      </c>
      <c r="I99" s="142" t="s">
        <v>594</v>
      </c>
      <c r="J99" s="190" t="s">
        <v>595</v>
      </c>
      <c r="K99" s="201">
        <v>3</v>
      </c>
      <c r="L99" s="201">
        <v>38</v>
      </c>
      <c r="M99" s="201">
        <v>39</v>
      </c>
      <c r="N99" s="201">
        <v>0</v>
      </c>
      <c r="O99" s="35">
        <f t="shared" si="11"/>
        <v>80</v>
      </c>
    </row>
    <row r="100" spans="2:15" ht="18">
      <c r="B100" s="1537"/>
      <c r="C100" s="1538"/>
      <c r="D100" s="1538"/>
      <c r="E100" s="1538"/>
      <c r="F100" s="1538"/>
      <c r="G100" s="1538"/>
      <c r="H100" s="1538"/>
      <c r="I100" s="1538"/>
      <c r="J100" s="1538"/>
      <c r="K100" s="1538"/>
      <c r="L100" s="1538"/>
      <c r="M100" s="1538"/>
      <c r="N100" s="1538"/>
      <c r="O100" s="1538"/>
    </row>
    <row r="101" spans="2:15" ht="17.25">
      <c r="B101" s="1516"/>
      <c r="C101" s="1516"/>
      <c r="D101" s="1516"/>
      <c r="E101" s="1516"/>
      <c r="F101" s="1516"/>
      <c r="G101" s="204"/>
      <c r="H101" s="205"/>
      <c r="I101" s="205"/>
      <c r="J101" s="205"/>
    </row>
    <row r="102" spans="2:15" ht="13.5" customHeight="1">
      <c r="B102" s="205"/>
      <c r="C102" s="205"/>
      <c r="D102" s="205"/>
      <c r="E102" s="204"/>
      <c r="F102" s="204"/>
      <c r="G102" s="204"/>
      <c r="H102" s="205"/>
      <c r="I102" s="205"/>
      <c r="J102" s="205"/>
    </row>
    <row r="103" spans="2:15" ht="28.5" customHeight="1">
      <c r="B103" s="77" t="s">
        <v>26</v>
      </c>
      <c r="C103" s="80">
        <v>44224</v>
      </c>
      <c r="D103" s="205"/>
      <c r="E103" s="204"/>
      <c r="F103" s="204"/>
      <c r="G103" s="204"/>
      <c r="H103" s="205"/>
      <c r="I103" s="205"/>
      <c r="J103" s="205"/>
    </row>
    <row r="104" spans="2:15" ht="17.25">
      <c r="B104" s="205"/>
      <c r="C104" s="205"/>
      <c r="D104" s="205"/>
      <c r="E104" s="204"/>
      <c r="F104" s="204"/>
      <c r="G104" s="204"/>
      <c r="H104" s="205"/>
      <c r="I104" s="205"/>
      <c r="J104" s="205"/>
    </row>
    <row r="105" spans="2:15" ht="26.25" customHeight="1">
      <c r="B105" s="77" t="s">
        <v>49</v>
      </c>
      <c r="C105" s="80"/>
      <c r="D105" s="205"/>
      <c r="E105" s="204"/>
      <c r="F105" s="204"/>
      <c r="G105" s="204"/>
      <c r="H105" s="206"/>
      <c r="I105" s="206"/>
      <c r="J105" s="206"/>
    </row>
    <row r="106" spans="2:15" ht="15" customHeight="1">
      <c r="B106" s="205"/>
      <c r="C106" s="205"/>
      <c r="D106" s="205"/>
      <c r="E106" s="204"/>
      <c r="F106" s="204"/>
      <c r="G106" s="204"/>
      <c r="H106" s="205"/>
      <c r="I106" s="205"/>
      <c r="J106" s="205"/>
    </row>
    <row r="107" spans="2:15" ht="15" customHeight="1">
      <c r="B107" s="605" t="s">
        <v>922</v>
      </c>
      <c r="C107" s="205"/>
      <c r="D107" s="205"/>
      <c r="E107" s="204"/>
      <c r="F107" s="204"/>
      <c r="G107" s="204"/>
      <c r="H107" s="206"/>
      <c r="I107" s="206"/>
      <c r="J107" s="206"/>
    </row>
    <row r="108" spans="2:15" ht="15" customHeight="1">
      <c r="B108" s="205"/>
      <c r="C108" s="205"/>
      <c r="D108" s="205"/>
      <c r="E108" s="204"/>
      <c r="F108" s="204"/>
      <c r="G108" s="204"/>
      <c r="H108" s="205"/>
      <c r="I108" s="205"/>
      <c r="J108" s="205"/>
    </row>
    <row r="109" spans="2:15" ht="15" customHeight="1">
      <c r="B109" s="205"/>
      <c r="C109" s="205"/>
      <c r="D109" s="205"/>
      <c r="E109" s="204"/>
      <c r="F109" s="204"/>
      <c r="G109" s="204"/>
      <c r="H109" s="206"/>
      <c r="I109" s="206"/>
      <c r="J109" s="206"/>
    </row>
  </sheetData>
  <sheetProtection algorithmName="SHA-512" hashValue="yvE3LYqRn7ugS663kio+8XgEz0gilaBP0aRneqwu5rfgkOZWgZC1yzcv8IzhPBwTg6Kvbps/JkKruxo9VRz9Qw==" saltValue="U0OXKhyvnAtW7a4Pg0aOVQ==" spinCount="100000" sheet="1" objects="1" scenarios="1"/>
  <mergeCells count="44">
    <mergeCell ref="G10:G12"/>
    <mergeCell ref="B48:B95"/>
    <mergeCell ref="C55:C60"/>
    <mergeCell ref="C13:C23"/>
    <mergeCell ref="C30:C32"/>
    <mergeCell ref="C24:C29"/>
    <mergeCell ref="B13:B32"/>
    <mergeCell ref="N2:O2"/>
    <mergeCell ref="N5:O5"/>
    <mergeCell ref="N6:O6"/>
    <mergeCell ref="B8:O8"/>
    <mergeCell ref="E10:E12"/>
    <mergeCell ref="C2:M6"/>
    <mergeCell ref="I10:I12"/>
    <mergeCell ref="B2:B6"/>
    <mergeCell ref="O10:O12"/>
    <mergeCell ref="J10:J12"/>
    <mergeCell ref="K10:N10"/>
    <mergeCell ref="B10:B12"/>
    <mergeCell ref="C10:C12"/>
    <mergeCell ref="D10:D12"/>
    <mergeCell ref="F10:F12"/>
    <mergeCell ref="H10:H12"/>
    <mergeCell ref="B101:F101"/>
    <mergeCell ref="C40:C41"/>
    <mergeCell ref="C42:C43"/>
    <mergeCell ref="C45:C47"/>
    <mergeCell ref="B40:B47"/>
    <mergeCell ref="C48:C54"/>
    <mergeCell ref="C61:C68"/>
    <mergeCell ref="E82:E83"/>
    <mergeCell ref="D82:D83"/>
    <mergeCell ref="C87:C92"/>
    <mergeCell ref="C93:C94"/>
    <mergeCell ref="D84:D86"/>
    <mergeCell ref="E84:E86"/>
    <mergeCell ref="C69:C86"/>
    <mergeCell ref="B100:O100"/>
    <mergeCell ref="B96:B99"/>
    <mergeCell ref="C96:C97"/>
    <mergeCell ref="C33:C34"/>
    <mergeCell ref="C35:C36"/>
    <mergeCell ref="C37:C39"/>
    <mergeCell ref="B33:B39"/>
  </mergeCell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7C1C-1BB9-4499-857C-6417B4A8B590}">
  <sheetPr>
    <tabColor rgb="FF0070C0"/>
  </sheetPr>
  <dimension ref="B1:R84"/>
  <sheetViews>
    <sheetView showGridLines="0" workbookViewId="0">
      <selection activeCell="C5" sqref="C5"/>
    </sheetView>
  </sheetViews>
  <sheetFormatPr baseColWidth="10" defaultColWidth="11.42578125" defaultRowHeight="15"/>
  <cols>
    <col min="1" max="1" width="3.7109375" style="516" customWidth="1"/>
    <col min="2" max="2" width="52.42578125" style="516" customWidth="1"/>
    <col min="3" max="5" width="18.42578125" style="518" customWidth="1"/>
    <col min="6" max="6" width="18.42578125" style="516" customWidth="1"/>
    <col min="7" max="7" width="18.28515625" style="516" customWidth="1"/>
    <col min="8" max="8" width="6.140625" style="518" hidden="1" customWidth="1"/>
    <col min="9" max="9" width="11.42578125" style="516" hidden="1" customWidth="1"/>
    <col min="10" max="16" width="11.42578125" style="516"/>
    <col min="17" max="17" width="62.42578125" style="516" bestFit="1" customWidth="1"/>
    <col min="18" max="18" width="40" style="516" customWidth="1"/>
    <col min="19" max="16356" width="11.42578125" style="516"/>
    <col min="16357" max="16357" width="1.42578125" style="516" customWidth="1"/>
    <col min="16358" max="16384" width="2.85546875" style="516" customWidth="1"/>
  </cols>
  <sheetData>
    <row r="1" spans="2:18">
      <c r="C1" s="517"/>
      <c r="D1" s="517"/>
      <c r="E1" s="517"/>
    </row>
    <row r="2" spans="2:18" ht="15.75">
      <c r="B2" s="1467" t="s">
        <v>889</v>
      </c>
      <c r="C2" s="1468" t="s">
        <v>894</v>
      </c>
      <c r="D2" s="1469"/>
      <c r="E2" s="1469"/>
      <c r="F2" s="1469"/>
      <c r="G2" s="1470"/>
      <c r="H2" s="565"/>
    </row>
    <row r="3" spans="2:18" ht="18">
      <c r="B3" s="1467"/>
      <c r="C3" s="1471" t="str">
        <f>+'3.Resum Desemp Procesos POA T1'!C3</f>
        <v>PLAN OPERATIVO ANUAL 2022</v>
      </c>
      <c r="D3" s="1472"/>
      <c r="E3" s="1472"/>
      <c r="F3" s="1472"/>
      <c r="G3" s="1473"/>
      <c r="H3" s="565"/>
    </row>
    <row r="4" spans="2:18" ht="9.75" customHeight="1">
      <c r="B4" s="1482"/>
      <c r="C4" s="1482"/>
      <c r="D4" s="1482"/>
      <c r="E4" s="1482"/>
      <c r="F4" s="1482"/>
      <c r="G4" s="1053"/>
      <c r="H4" s="538"/>
    </row>
    <row r="5" spans="2:18" ht="19.5" customHeight="1">
      <c r="B5" s="516" t="str">
        <f>+'3.Resum Desemp Procesos POA T1'!B5</f>
        <v xml:space="preserve">Fecha de corte: </v>
      </c>
      <c r="C5" s="1064">
        <f>+'3.Resum Desemp Procesos POA T2'!C5</f>
        <v>44834</v>
      </c>
    </row>
    <row r="6" spans="2:18" ht="19.5" customHeight="1">
      <c r="B6" s="519"/>
    </row>
    <row r="7" spans="2:18" s="528" customFormat="1" ht="31.5" customHeight="1">
      <c r="B7" s="1431" t="s">
        <v>717</v>
      </c>
      <c r="C7" s="1483" t="s">
        <v>1161</v>
      </c>
      <c r="D7" s="1484"/>
      <c r="E7" s="1484"/>
      <c r="F7" s="1484"/>
      <c r="G7" s="1485"/>
      <c r="H7" s="529"/>
      <c r="Q7" s="516"/>
      <c r="R7" s="516"/>
    </row>
    <row r="8" spans="2:18" s="528" customFormat="1" ht="74.45" customHeight="1">
      <c r="B8" s="1431"/>
      <c r="C8" s="611" t="s">
        <v>895</v>
      </c>
      <c r="D8" s="611" t="s">
        <v>896</v>
      </c>
      <c r="E8" s="611" t="s">
        <v>897</v>
      </c>
      <c r="F8" s="611" t="s">
        <v>904</v>
      </c>
      <c r="G8" s="570" t="s">
        <v>923</v>
      </c>
      <c r="H8" s="529"/>
      <c r="Q8" s="516"/>
      <c r="R8" s="516"/>
    </row>
    <row r="9" spans="2:18">
      <c r="B9" s="521" t="s">
        <v>724</v>
      </c>
      <c r="C9" s="616">
        <f>+'4.Segto Medición POA 2022 T4'!C64</f>
        <v>4</v>
      </c>
      <c r="D9" s="541">
        <f>COUNTIF('2.Infor Detallado Desempeño POA'!T12:T15,"=100%")</f>
        <v>2</v>
      </c>
      <c r="E9" s="542">
        <f>COUNTIF('2.Infor Detallado Desempeño POA'!T12:T15,"&gt;100%")</f>
        <v>1</v>
      </c>
      <c r="F9" s="614">
        <f>COUNTIF('2.Infor Detallado Desempeño POA'!T12:T15,"&lt;100%")</f>
        <v>1</v>
      </c>
      <c r="G9" s="612">
        <f>COUNTIF('2.Infor Detallado Desempeño POA'!T12:T15,"=No programado")</f>
        <v>0</v>
      </c>
      <c r="H9" s="539">
        <f>SUM(D9:G9)</f>
        <v>4</v>
      </c>
      <c r="I9" s="540">
        <f t="shared" ref="I9:I25" si="0">C9-H9</f>
        <v>0</v>
      </c>
    </row>
    <row r="10" spans="2:18">
      <c r="B10" s="521" t="s">
        <v>726</v>
      </c>
      <c r="C10" s="616">
        <f>+'4.Segto Medición POA 2022 T4'!C65</f>
        <v>4</v>
      </c>
      <c r="D10" s="541">
        <f>COUNTIF('2.Infor Detallado Desempeño POA'!T21:T24,"=100%")</f>
        <v>2</v>
      </c>
      <c r="E10" s="542">
        <f>COUNTIF('2.Infor Detallado Desempeño POA'!T21:T24,"&gt;100%")</f>
        <v>0</v>
      </c>
      <c r="F10" s="614">
        <f>COUNTIF('2.Infor Detallado Desempeño POA'!T21:T24,"&lt;100%")</f>
        <v>0</v>
      </c>
      <c r="G10" s="612">
        <f>COUNTIF('2.Infor Detallado Desempeño POA'!T21:T24,"=No programado")</f>
        <v>2</v>
      </c>
      <c r="H10" s="539">
        <f t="shared" ref="H10:H24" si="1">SUM(D10:G10)</f>
        <v>4</v>
      </c>
      <c r="I10" s="540">
        <f t="shared" si="0"/>
        <v>0</v>
      </c>
    </row>
    <row r="11" spans="2:18">
      <c r="B11" s="521" t="s">
        <v>727</v>
      </c>
      <c r="C11" s="616">
        <f>+'4.Segto Medición POA 2022 T4'!C66</f>
        <v>7</v>
      </c>
      <c r="D11" s="541">
        <f>COUNTIF('2.Infor Detallado Desempeño POA'!T30:T36,"=100%")</f>
        <v>7</v>
      </c>
      <c r="E11" s="542">
        <f>COUNTIF('2.Infor Detallado Desempeño POA'!T30:T36,"&gt;100%")</f>
        <v>0</v>
      </c>
      <c r="F11" s="614">
        <f>COUNTIF('2.Infor Detallado Desempeño POA'!T30:T36,"&lt;100%")</f>
        <v>0</v>
      </c>
      <c r="G11" s="612">
        <f>COUNTIF('2.Infor Detallado Desempeño POA'!T30:T36,"=No programado")</f>
        <v>0</v>
      </c>
      <c r="H11" s="539">
        <f t="shared" si="1"/>
        <v>7</v>
      </c>
      <c r="I11" s="540">
        <f t="shared" si="0"/>
        <v>0</v>
      </c>
    </row>
    <row r="12" spans="2:18">
      <c r="B12" s="521" t="s">
        <v>728</v>
      </c>
      <c r="C12" s="616">
        <f>+'4.Segto Medición POA 2022 T4'!C67</f>
        <v>2</v>
      </c>
      <c r="D12" s="541">
        <f>COUNTIF('2.Infor Detallado Desempeño POA'!T42:T43,"=100%")</f>
        <v>2</v>
      </c>
      <c r="E12" s="542">
        <f>COUNTIF('2.Infor Detallado Desempeño POA'!T42:T43,"&gt;100%")</f>
        <v>0</v>
      </c>
      <c r="F12" s="614">
        <f>COUNTIF('2.Infor Detallado Desempeño POA'!T42:T43,"&lt;100%")</f>
        <v>0</v>
      </c>
      <c r="G12" s="612">
        <f>COUNTIF('2.Infor Detallado Desempeño POA'!T42:T43,"=No programado")</f>
        <v>0</v>
      </c>
      <c r="H12" s="539">
        <f>SUM(D12:G12)</f>
        <v>2</v>
      </c>
      <c r="I12" s="540">
        <f t="shared" si="0"/>
        <v>0</v>
      </c>
    </row>
    <row r="13" spans="2:18">
      <c r="B13" s="521" t="s">
        <v>739</v>
      </c>
      <c r="C13" s="616">
        <f>+'4.Segto Medición POA 2022 T4'!C68</f>
        <v>3</v>
      </c>
      <c r="D13" s="541">
        <f>COUNTIF('2.Infor Detallado Desempeño POA'!T49:T51,"=100%")</f>
        <v>1</v>
      </c>
      <c r="E13" s="542">
        <f>COUNTIF('2.Infor Detallado Desempeño POA'!T49:T51,"&gt;100%")</f>
        <v>0</v>
      </c>
      <c r="F13" s="614">
        <f>COUNTIF('2.Infor Detallado Desempeño POA'!T49:T51,"&lt;100%")</f>
        <v>0</v>
      </c>
      <c r="G13" s="612">
        <f>COUNTIF('2.Infor Detallado Desempeño POA'!T49:T51,"=No programado")</f>
        <v>2</v>
      </c>
      <c r="H13" s="539">
        <f t="shared" si="1"/>
        <v>3</v>
      </c>
      <c r="I13" s="540">
        <f t="shared" si="0"/>
        <v>0</v>
      </c>
    </row>
    <row r="14" spans="2:18">
      <c r="B14" s="521" t="s">
        <v>729</v>
      </c>
      <c r="C14" s="616">
        <f>+'4.Segto Medición POA 2022 T4'!C69</f>
        <v>20</v>
      </c>
      <c r="D14" s="541">
        <f>COUNTIF('2.Infor Detallado Desempeño POA'!T57:T76,"=100%")</f>
        <v>1</v>
      </c>
      <c r="E14" s="542">
        <f>COUNTIF('2.Infor Detallado Desempeño POA'!T57:T76,"&gt;100%")</f>
        <v>12</v>
      </c>
      <c r="F14" s="614">
        <f>COUNTIF('2.Infor Detallado Desempeño POA'!T57:T76,"&lt;100%")</f>
        <v>4</v>
      </c>
      <c r="G14" s="612">
        <f>COUNTIF('2.Infor Detallado Desempeño POA'!T57:T76,"=No programado")</f>
        <v>3</v>
      </c>
      <c r="H14" s="539">
        <f t="shared" si="1"/>
        <v>20</v>
      </c>
      <c r="I14" s="540">
        <f t="shared" si="0"/>
        <v>0</v>
      </c>
    </row>
    <row r="15" spans="2:18">
      <c r="B15" s="521" t="s">
        <v>864</v>
      </c>
      <c r="C15" s="616">
        <f>+'4.Segto Medición POA 2022 T4'!C70</f>
        <v>7</v>
      </c>
      <c r="D15" s="541">
        <f>COUNTIF('2.Infor Detallado Desempeño POA'!T82:T88,"=100%")</f>
        <v>0</v>
      </c>
      <c r="E15" s="542">
        <f>COUNTIF('2.Infor Detallado Desempeño POA'!T82:T88,"&gt;100%")</f>
        <v>1</v>
      </c>
      <c r="F15" s="614">
        <f>COUNTIF('2.Infor Detallado Desempeño POA'!T82:T88,"&lt;100%")</f>
        <v>5</v>
      </c>
      <c r="G15" s="612">
        <f>COUNTIF('2.Infor Detallado Desempeño POA'!T82:T88,"=No programado")</f>
        <v>1</v>
      </c>
      <c r="H15" s="539">
        <f t="shared" si="1"/>
        <v>7</v>
      </c>
      <c r="I15" s="540">
        <f t="shared" si="0"/>
        <v>0</v>
      </c>
    </row>
    <row r="16" spans="2:18">
      <c r="B16" s="521" t="s">
        <v>732</v>
      </c>
      <c r="C16" s="616">
        <f>+'4.Segto Medición POA 2022 T4'!C71</f>
        <v>8</v>
      </c>
      <c r="D16" s="541">
        <f>COUNTIF('2.Infor Detallado Desempeño POA'!T94:T101,"=100%")</f>
        <v>4</v>
      </c>
      <c r="E16" s="542">
        <f>COUNTIF('2.Infor Detallado Desempeño POA'!T94:T101,"&gt;100%")</f>
        <v>0</v>
      </c>
      <c r="F16" s="614">
        <f>COUNTIF('2.Infor Detallado Desempeño POA'!T94:T101,"&lt;100%")</f>
        <v>3</v>
      </c>
      <c r="G16" s="612">
        <f>COUNTIF('2.Infor Detallado Desempeño POA'!T94:T101,"=No programado")</f>
        <v>1</v>
      </c>
      <c r="H16" s="539">
        <f t="shared" si="1"/>
        <v>8</v>
      </c>
      <c r="I16" s="540">
        <f t="shared" si="0"/>
        <v>0</v>
      </c>
    </row>
    <row r="17" spans="2:9">
      <c r="B17" s="521" t="s">
        <v>733</v>
      </c>
      <c r="C17" s="616">
        <f>+'4.Segto Medición POA 2022 T4'!C72</f>
        <v>8</v>
      </c>
      <c r="D17" s="541">
        <f>COUNTIF('2.Infor Detallado Desempeño POA'!T107:T114,"=100%")</f>
        <v>5</v>
      </c>
      <c r="E17" s="542">
        <f>COUNTIF('2.Infor Detallado Desempeño POA'!T107:T114,"&gt;100%")</f>
        <v>1</v>
      </c>
      <c r="F17" s="614">
        <f>COUNTIF('2.Infor Detallado Desempeño POA'!T107:T114,"&lt;100%")</f>
        <v>2</v>
      </c>
      <c r="G17" s="612">
        <f>COUNTIF('2.Infor Detallado Desempeño POA'!T107:T114,"=No programado")</f>
        <v>0</v>
      </c>
      <c r="H17" s="539">
        <f t="shared" si="1"/>
        <v>8</v>
      </c>
      <c r="I17" s="540">
        <f t="shared" si="0"/>
        <v>0</v>
      </c>
    </row>
    <row r="18" spans="2:9" ht="16.5" customHeight="1">
      <c r="B18" s="521" t="s">
        <v>734</v>
      </c>
      <c r="C18" s="616">
        <f>+'4.Segto Medición POA 2022 T4'!C73</f>
        <v>2</v>
      </c>
      <c r="D18" s="541">
        <f>COUNTIF('2.Infor Detallado Desempeño POA'!T120:T121,"=100%")</f>
        <v>1</v>
      </c>
      <c r="E18" s="542">
        <f>COUNTIF('2.Infor Detallado Desempeño POA'!T120:T121,"&gt;100%")</f>
        <v>1</v>
      </c>
      <c r="F18" s="614">
        <f>COUNTIF('2.Infor Detallado Desempeño POA'!T120:T121,"&lt;100%")</f>
        <v>0</v>
      </c>
      <c r="G18" s="612">
        <f>COUNTIF('2.Infor Detallado Desempeño POA'!T120:T121,"=No programado")</f>
        <v>0</v>
      </c>
      <c r="H18" s="539">
        <f t="shared" si="1"/>
        <v>2</v>
      </c>
      <c r="I18" s="540">
        <f t="shared" si="0"/>
        <v>0</v>
      </c>
    </row>
    <row r="19" spans="2:9">
      <c r="B19" s="521" t="s">
        <v>735</v>
      </c>
      <c r="C19" s="616">
        <f>+'4.Segto Medición POA 2022 T4'!C74</f>
        <v>3</v>
      </c>
      <c r="D19" s="541">
        <f>COUNTIF('2.Infor Detallado Desempeño POA'!T127:T129,"=100%")</f>
        <v>1</v>
      </c>
      <c r="E19" s="542">
        <f>COUNTIF('2.Infor Detallado Desempeño POA'!T127:T129,"&gt;100%")</f>
        <v>1</v>
      </c>
      <c r="F19" s="614">
        <f>COUNTIF('2.Infor Detallado Desempeño POA'!T127:T129,"&lt;100%")</f>
        <v>1</v>
      </c>
      <c r="G19" s="612">
        <f>COUNTIF('2.Infor Detallado Desempeño POA'!T127:T129,"=No programado")</f>
        <v>0</v>
      </c>
      <c r="H19" s="539">
        <f t="shared" si="1"/>
        <v>3</v>
      </c>
      <c r="I19" s="540">
        <f t="shared" si="0"/>
        <v>0</v>
      </c>
    </row>
    <row r="20" spans="2:9">
      <c r="B20" s="521" t="s">
        <v>736</v>
      </c>
      <c r="C20" s="616">
        <f>+'4.Segto Medición POA 2022 T4'!C75</f>
        <v>4</v>
      </c>
      <c r="D20" s="541">
        <f>COUNTIF('2.Infor Detallado Desempeño POA'!T135:T138,"=100%")</f>
        <v>1</v>
      </c>
      <c r="E20" s="542">
        <f>COUNTIF('2.Infor Detallado Desempeño POA'!T135:T138,"&gt;100%")</f>
        <v>1</v>
      </c>
      <c r="F20" s="614">
        <f>COUNTIF('2.Infor Detallado Desempeño POA'!T135:T138,"&lt;100%")</f>
        <v>1</v>
      </c>
      <c r="G20" s="612">
        <f>COUNTIF('2.Infor Detallado Desempeño POA'!T135:T138,"=No programado")</f>
        <v>1</v>
      </c>
      <c r="H20" s="539">
        <f t="shared" si="1"/>
        <v>4</v>
      </c>
      <c r="I20" s="540">
        <f t="shared" si="0"/>
        <v>0</v>
      </c>
    </row>
    <row r="21" spans="2:9">
      <c r="B21" s="521" t="s">
        <v>737</v>
      </c>
      <c r="C21" s="616">
        <f>+'4.Segto Medición POA 2022 T4'!C76</f>
        <v>4</v>
      </c>
      <c r="D21" s="541">
        <f>COUNTIF('2.Infor Detallado Desempeño POA'!T144:T147,"=100%")</f>
        <v>1</v>
      </c>
      <c r="E21" s="542">
        <f>COUNTIF('2.Infor Detallado Desempeño POA'!T144:T147,"&gt;100%")</f>
        <v>3</v>
      </c>
      <c r="F21" s="614">
        <f>COUNTIF('2.Infor Detallado Desempeño POA'!T144:T147,"&lt;100%")</f>
        <v>0</v>
      </c>
      <c r="G21" s="612">
        <f>COUNTIF('2.Infor Detallado Desempeño POA'!T144:T147,"=No programado")</f>
        <v>0</v>
      </c>
      <c r="H21" s="539">
        <f t="shared" si="1"/>
        <v>4</v>
      </c>
      <c r="I21" s="540">
        <f t="shared" si="0"/>
        <v>0</v>
      </c>
    </row>
    <row r="22" spans="2:9">
      <c r="B22" s="521" t="s">
        <v>738</v>
      </c>
      <c r="C22" s="616">
        <f>+'4.Segto Medición POA 2022 T4'!C77</f>
        <v>5</v>
      </c>
      <c r="D22" s="541">
        <f>COUNTIF('2.Infor Detallado Desempeño POA'!T153:T157,"=100%")</f>
        <v>5</v>
      </c>
      <c r="E22" s="542">
        <f>COUNTIF('2.Infor Detallado Desempeño POA'!T153:T157,"&gt;100%")</f>
        <v>0</v>
      </c>
      <c r="F22" s="614">
        <f>COUNTIF('2.Infor Detallado Desempeño POA'!T153:T157,"&lt;100%")</f>
        <v>0</v>
      </c>
      <c r="G22" s="612">
        <f>COUNTIF('2.Infor Detallado Desempeño POA'!T153:T157,"=No programado")</f>
        <v>0</v>
      </c>
      <c r="H22" s="539">
        <f t="shared" si="1"/>
        <v>5</v>
      </c>
      <c r="I22" s="540">
        <f t="shared" si="0"/>
        <v>0</v>
      </c>
    </row>
    <row r="23" spans="2:9">
      <c r="B23" s="521" t="s">
        <v>740</v>
      </c>
      <c r="C23" s="616">
        <f>+'4.Segto Medición POA 2022 T4'!C78</f>
        <v>3</v>
      </c>
      <c r="D23" s="541">
        <f>COUNTIF('2.Infor Detallado Desempeño POA'!T163:T165,"=100%")</f>
        <v>0</v>
      </c>
      <c r="E23" s="542">
        <f>COUNTIF('2.Infor Detallado Desempeño POA'!T163:T165,"&gt;100%")</f>
        <v>2</v>
      </c>
      <c r="F23" s="614">
        <f>COUNTIF('2.Infor Detallado Desempeño POA'!T163:T165,"&lt;100%")</f>
        <v>1</v>
      </c>
      <c r="G23" s="612">
        <f>COUNTIF('2.Infor Detallado Desempeño POA'!T163:T165,"=No programado")</f>
        <v>0</v>
      </c>
      <c r="H23" s="539">
        <f t="shared" si="1"/>
        <v>3</v>
      </c>
      <c r="I23" s="540">
        <f t="shared" si="0"/>
        <v>0</v>
      </c>
    </row>
    <row r="24" spans="2:9">
      <c r="B24" s="521" t="s">
        <v>741</v>
      </c>
      <c r="C24" s="616">
        <f>+'4.Segto Medición POA 2022 T4'!C79</f>
        <v>3</v>
      </c>
      <c r="D24" s="541">
        <f>COUNTIF('2.Infor Detallado Desempeño POA'!T171:T173,"=100%")</f>
        <v>2</v>
      </c>
      <c r="E24" s="542">
        <f>COUNTIF('2.Infor Detallado Desempeño POA'!T171:T173,"&gt;100%")</f>
        <v>0</v>
      </c>
      <c r="F24" s="614">
        <f>COUNTIF('2.Infor Detallado Desempeño POA'!T171:T173,"&lt;100%")</f>
        <v>0</v>
      </c>
      <c r="G24" s="612">
        <f>COUNTIF('2.Infor Detallado Desempeño POA'!T171:T173,"=No programado")</f>
        <v>1</v>
      </c>
      <c r="H24" s="539">
        <f t="shared" si="1"/>
        <v>3</v>
      </c>
      <c r="I24" s="540">
        <f t="shared" si="0"/>
        <v>0</v>
      </c>
    </row>
    <row r="25" spans="2:9" ht="19.5" customHeight="1">
      <c r="B25" s="554" t="s">
        <v>893</v>
      </c>
      <c r="C25" s="555">
        <f>SUM(C9:C24)</f>
        <v>87</v>
      </c>
      <c r="D25" s="556">
        <f t="shared" ref="D25:E25" si="2">SUM(D9:D24)</f>
        <v>35</v>
      </c>
      <c r="E25" s="557">
        <f t="shared" si="2"/>
        <v>23</v>
      </c>
      <c r="F25" s="615">
        <f>SUM(F9:F24)</f>
        <v>18</v>
      </c>
      <c r="G25" s="613">
        <f>SUM(G9:G24)</f>
        <v>11</v>
      </c>
      <c r="H25" s="539">
        <f>SUM(D25:G25)</f>
        <v>87</v>
      </c>
      <c r="I25" s="540">
        <f t="shared" si="0"/>
        <v>0</v>
      </c>
    </row>
    <row r="27" spans="2:9" s="622" customFormat="1" ht="2.4500000000000002" customHeight="1">
      <c r="C27" s="626"/>
      <c r="D27" s="897" t="str">
        <f>+D8</f>
        <v>No de Indicadores con Meta Cumplida según programación</v>
      </c>
      <c r="E27" s="898">
        <f>+D25</f>
        <v>35</v>
      </c>
      <c r="H27" s="623"/>
    </row>
    <row r="28" spans="2:9" s="622" customFormat="1" ht="2.4500000000000002" customHeight="1">
      <c r="C28" s="626"/>
      <c r="D28" s="897" t="str">
        <f>+E8</f>
        <v xml:space="preserve">No de Indicadores con ejecución superior a la programada </v>
      </c>
      <c r="E28" s="898">
        <f>+E25</f>
        <v>23</v>
      </c>
      <c r="H28" s="623"/>
    </row>
    <row r="29" spans="2:9" s="622" customFormat="1" ht="2.4500000000000002" customHeight="1">
      <c r="C29" s="626"/>
      <c r="D29" s="897" t="str">
        <f>+F8</f>
        <v xml:space="preserve">No de Indicadores con ejecución menor a la programada </v>
      </c>
      <c r="E29" s="898">
        <f>+F25</f>
        <v>18</v>
      </c>
      <c r="H29" s="623"/>
    </row>
    <row r="30" spans="2:9" s="622" customFormat="1" ht="2.4500000000000002" customHeight="1">
      <c r="C30" s="626"/>
      <c r="D30" s="897" t="str">
        <f>+G8</f>
        <v>No de indicadores sin programar en el periodo</v>
      </c>
      <c r="E30" s="898">
        <f>+G25</f>
        <v>11</v>
      </c>
      <c r="H30" s="623"/>
    </row>
    <row r="31" spans="2:9" s="622" customFormat="1">
      <c r="C31" s="623"/>
      <c r="D31" s="623"/>
      <c r="E31" s="623"/>
      <c r="H31" s="623"/>
    </row>
    <row r="32" spans="2:9" s="622" customFormat="1">
      <c r="C32" s="623"/>
      <c r="D32" s="623"/>
      <c r="E32" s="623"/>
      <c r="H32" s="623"/>
    </row>
    <row r="33" spans="2:9" s="622" customFormat="1" hidden="1">
      <c r="C33" s="623"/>
      <c r="D33" s="623"/>
      <c r="E33" s="623"/>
      <c r="H33" s="623"/>
    </row>
    <row r="34" spans="2:9" s="625" customFormat="1" ht="10.15" hidden="1" customHeight="1">
      <c r="C34" s="626"/>
      <c r="D34" s="1481" t="str">
        <f>+C7</f>
        <v>CUMPLIMIENTO PROGRAMACIÓN EN EL PERIODO 
Segundo Trimestre de 2022</v>
      </c>
      <c r="E34" s="1481"/>
      <c r="H34" s="626"/>
    </row>
    <row r="35" spans="2:9" s="625" customFormat="1" ht="28.15" customHeight="1">
      <c r="B35" s="1431" t="s">
        <v>717</v>
      </c>
      <c r="C35" s="1486" t="s">
        <v>1158</v>
      </c>
      <c r="D35" s="1487"/>
      <c r="E35" s="1487"/>
      <c r="F35" s="1487"/>
      <c r="G35" s="1488"/>
      <c r="H35" s="626"/>
    </row>
    <row r="36" spans="2:9" s="625" customFormat="1" ht="29.45" customHeight="1">
      <c r="B36" s="1431"/>
      <c r="C36" s="1565" t="s">
        <v>1177</v>
      </c>
      <c r="D36" s="1566"/>
      <c r="E36" s="1489">
        <f>C5</f>
        <v>44834</v>
      </c>
      <c r="F36" s="1489"/>
      <c r="G36" s="1066"/>
      <c r="H36" s="626"/>
    </row>
    <row r="37" spans="2:9" s="625" customFormat="1" ht="72.599999999999994" customHeight="1">
      <c r="B37" s="1431"/>
      <c r="C37" s="611" t="s">
        <v>895</v>
      </c>
      <c r="D37" s="611" t="s">
        <v>1160</v>
      </c>
      <c r="E37" s="611" t="s">
        <v>897</v>
      </c>
      <c r="F37" s="611" t="s">
        <v>904</v>
      </c>
      <c r="G37" s="570" t="s">
        <v>923</v>
      </c>
      <c r="H37" s="626"/>
    </row>
    <row r="38" spans="2:9" s="625" customFormat="1" ht="19.899999999999999" customHeight="1">
      <c r="B38" s="521" t="s">
        <v>724</v>
      </c>
      <c r="C38" s="616">
        <f>+C64</f>
        <v>4</v>
      </c>
      <c r="D38" s="541">
        <f>COUNTIF('2.Infor Detallado Desempeño POA'!U12:U15,"&gt;=99%")-COUNTIF('2.Infor Detallado Desempeño POA'!U12:U15,"&gt;100%")</f>
        <v>3</v>
      </c>
      <c r="E38" s="542">
        <f>COUNTIF('2.Infor Detallado Desempeño POA'!U12:U15,"&gt;100%")</f>
        <v>1</v>
      </c>
      <c r="F38" s="614">
        <f>COUNTIF('2.Infor Detallado Desempeño POA'!U12:U15,"&lt;99%")</f>
        <v>0</v>
      </c>
      <c r="G38" s="612">
        <f>COUNTIF('2.Infor Detallado Desempeño POA'!U12:U15,"=No programado")</f>
        <v>0</v>
      </c>
      <c r="H38" s="539">
        <f>SUM(D38:G38)</f>
        <v>4</v>
      </c>
      <c r="I38" s="540">
        <f t="shared" ref="I38:I54" si="3">C38-H38</f>
        <v>0</v>
      </c>
    </row>
    <row r="39" spans="2:9" s="625" customFormat="1" ht="19.899999999999999" customHeight="1">
      <c r="B39" s="521" t="s">
        <v>726</v>
      </c>
      <c r="C39" s="616">
        <f t="shared" ref="C39:C53" si="4">+C65</f>
        <v>4</v>
      </c>
      <c r="D39" s="541">
        <f>COUNTIF('2.Infor Detallado Desempeño POA'!U21:U24,"&gt;=99%")-COUNTIF('2.Infor Detallado Desempeño POA'!U21:U24,"&gt;100%")</f>
        <v>1</v>
      </c>
      <c r="E39" s="542">
        <f>COUNTIF('2.Infor Detallado Desempeño POA'!U21:U24,"&gt;100%")</f>
        <v>1</v>
      </c>
      <c r="F39" s="614">
        <f>COUNTIF('2.Infor Detallado Desempeño POA'!U21:U24,"&lt;99%")</f>
        <v>0</v>
      </c>
      <c r="G39" s="612">
        <f>COUNTIF('2.Infor Detallado Desempeño POA'!U21:U24,"=No programado")</f>
        <v>2</v>
      </c>
      <c r="H39" s="539">
        <f t="shared" ref="H39:H40" si="5">SUM(D39:G39)</f>
        <v>4</v>
      </c>
      <c r="I39" s="540">
        <f t="shared" si="3"/>
        <v>0</v>
      </c>
    </row>
    <row r="40" spans="2:9" s="625" customFormat="1" ht="19.899999999999999" customHeight="1">
      <c r="B40" s="521" t="s">
        <v>727</v>
      </c>
      <c r="C40" s="616">
        <f t="shared" si="4"/>
        <v>7</v>
      </c>
      <c r="D40" s="541">
        <f>COUNTIF('2.Infor Detallado Desempeño POA'!U30:U36,"&gt;=99%")-COUNTIF('2.Infor Detallado Desempeño POA'!U30:U36,"&gt;100%")</f>
        <v>7</v>
      </c>
      <c r="E40" s="542">
        <f>COUNTIF('2.Infor Detallado Desempeño POA'!U30:U36,"&gt;100%")</f>
        <v>0</v>
      </c>
      <c r="F40" s="614">
        <f>COUNTIF('2.Infor Detallado Desempeño POA'!U30:U36,"&lt;99%")</f>
        <v>0</v>
      </c>
      <c r="G40" s="612">
        <f>COUNTIF('2.Infor Detallado Desempeño POA'!U30:U36,"=No programado")</f>
        <v>0</v>
      </c>
      <c r="H40" s="539">
        <f t="shared" si="5"/>
        <v>7</v>
      </c>
      <c r="I40" s="540">
        <f t="shared" si="3"/>
        <v>0</v>
      </c>
    </row>
    <row r="41" spans="2:9" s="625" customFormat="1" ht="19.899999999999999" customHeight="1">
      <c r="B41" s="521" t="s">
        <v>728</v>
      </c>
      <c r="C41" s="616">
        <f t="shared" si="4"/>
        <v>2</v>
      </c>
      <c r="D41" s="541">
        <f>COUNTIF('2.Infor Detallado Desempeño POA'!U42:U43,"&gt;=99%")-COUNTIF('2.Infor Detallado Desempeño POA'!U42:U43,"&gt;100%")</f>
        <v>2</v>
      </c>
      <c r="E41" s="542">
        <f>COUNTIF('2.Infor Detallado Desempeño POA'!U42:U43,"&gt;100%")</f>
        <v>0</v>
      </c>
      <c r="F41" s="614">
        <f>COUNTIF('2.Infor Detallado Desempeño POA'!U42:U43,"&lt;99%")</f>
        <v>0</v>
      </c>
      <c r="G41" s="612">
        <f>COUNTIF('2.Infor Detallado Desempeño POA'!U42:U43,"=No programado")</f>
        <v>0</v>
      </c>
      <c r="H41" s="539">
        <f>SUM(D41:G41)</f>
        <v>2</v>
      </c>
      <c r="I41" s="540">
        <f t="shared" si="3"/>
        <v>0</v>
      </c>
    </row>
    <row r="42" spans="2:9" s="625" customFormat="1" ht="19.899999999999999" customHeight="1">
      <c r="B42" s="521" t="s">
        <v>739</v>
      </c>
      <c r="C42" s="616">
        <f t="shared" si="4"/>
        <v>3</v>
      </c>
      <c r="D42" s="541">
        <f>COUNTIF('2.Infor Detallado Desempeño POA'!U49:U51,"&gt;=99%")-COUNTIF('2.Infor Detallado Desempeño POA'!U49:U51,"&gt;100%")</f>
        <v>1</v>
      </c>
      <c r="E42" s="542">
        <f>COUNTIF('2.Infor Detallado Desempeño POA'!U49:U51,"&gt;100%")</f>
        <v>1</v>
      </c>
      <c r="F42" s="614">
        <f>COUNTIF('2.Infor Detallado Desempeño POA'!U49:U51,"&lt;99%")</f>
        <v>0</v>
      </c>
      <c r="G42" s="612">
        <f>COUNTIF('2.Infor Detallado Desempeño POA'!U49:U51,"=No programado")</f>
        <v>1</v>
      </c>
      <c r="H42" s="539">
        <f t="shared" ref="H42:H53" si="6">SUM(D42:G42)</f>
        <v>3</v>
      </c>
      <c r="I42" s="540">
        <f t="shared" si="3"/>
        <v>0</v>
      </c>
    </row>
    <row r="43" spans="2:9" s="625" customFormat="1" ht="19.899999999999999" customHeight="1">
      <c r="B43" s="521" t="s">
        <v>729</v>
      </c>
      <c r="C43" s="616">
        <f t="shared" si="4"/>
        <v>20</v>
      </c>
      <c r="D43" s="541">
        <f>COUNTIF('2.Infor Detallado Desempeño POA'!U57:U76,"&gt;=99%")-COUNTIF('2.Infor Detallado Desempeño POA'!U57:U76,"&gt;100%")</f>
        <v>1</v>
      </c>
      <c r="E43" s="542">
        <f>COUNTIF('2.Infor Detallado Desempeño POA'!U57:U76,"&gt;100%")</f>
        <v>12</v>
      </c>
      <c r="F43" s="614">
        <f>COUNTIF('2.Infor Detallado Desempeño POA'!U57:U76,"&lt;99%")</f>
        <v>4</v>
      </c>
      <c r="G43" s="612">
        <f>COUNTIF('2.Infor Detallado Desempeño POA'!U57:U76,"=No programado")</f>
        <v>3</v>
      </c>
      <c r="H43" s="539">
        <f t="shared" si="6"/>
        <v>20</v>
      </c>
      <c r="I43" s="540">
        <f t="shared" si="3"/>
        <v>0</v>
      </c>
    </row>
    <row r="44" spans="2:9" s="625" customFormat="1" ht="19.899999999999999" customHeight="1">
      <c r="B44" s="521" t="s">
        <v>864</v>
      </c>
      <c r="C44" s="616">
        <f t="shared" si="4"/>
        <v>7</v>
      </c>
      <c r="D44" s="541">
        <f>COUNTIF('2.Infor Detallado Desempeño POA'!U82:U88,"&gt;=99%")-COUNTIF('2.Infor Detallado Desempeño POA'!U82:U88,"&gt;100%")</f>
        <v>0</v>
      </c>
      <c r="E44" s="542">
        <f>COUNTIF('2.Infor Detallado Desempeño POA'!U82:U88,"&gt;100%")</f>
        <v>2</v>
      </c>
      <c r="F44" s="614">
        <f>COUNTIF('2.Infor Detallado Desempeño POA'!U82:U88,"&lt;99%")</f>
        <v>4</v>
      </c>
      <c r="G44" s="612">
        <f>COUNTIF('2.Infor Detallado Desempeño POA'!U82:U88,"=No programado")</f>
        <v>1</v>
      </c>
      <c r="H44" s="539">
        <f t="shared" si="6"/>
        <v>7</v>
      </c>
      <c r="I44" s="540">
        <f t="shared" si="3"/>
        <v>0</v>
      </c>
    </row>
    <row r="45" spans="2:9" s="625" customFormat="1" ht="19.899999999999999" customHeight="1">
      <c r="B45" s="521" t="s">
        <v>732</v>
      </c>
      <c r="C45" s="616">
        <f t="shared" si="4"/>
        <v>8</v>
      </c>
      <c r="D45" s="541">
        <f>COUNTIF('2.Infor Detallado Desempeño POA'!U94:U101,"&gt;=99%")-COUNTIF('2.Infor Detallado Desempeño POA'!U94:U101,"&gt;100%")</f>
        <v>3</v>
      </c>
      <c r="E45" s="542">
        <f>COUNTIF('2.Infor Detallado Desempeño POA'!U94:U101,"&gt;100%")</f>
        <v>0</v>
      </c>
      <c r="F45" s="614">
        <f>COUNTIF('2.Infor Detallado Desempeño POA'!U94:U101,"&lt;99%")</f>
        <v>4</v>
      </c>
      <c r="G45" s="612">
        <f>COUNTIF('2.Infor Detallado Desempeño POA'!U94:U101,"=No programado")</f>
        <v>1</v>
      </c>
      <c r="H45" s="539">
        <f t="shared" si="6"/>
        <v>8</v>
      </c>
      <c r="I45" s="540">
        <f t="shared" si="3"/>
        <v>0</v>
      </c>
    </row>
    <row r="46" spans="2:9" s="625" customFormat="1" ht="19.899999999999999" customHeight="1">
      <c r="B46" s="521" t="s">
        <v>733</v>
      </c>
      <c r="C46" s="616">
        <f t="shared" si="4"/>
        <v>8</v>
      </c>
      <c r="D46" s="541">
        <f>COUNTIF('2.Infor Detallado Desempeño POA'!U107:U114,"&gt;=99%")-COUNTIF('2.Infor Detallado Desempeño POA'!U107:U114,"&gt;100%")</f>
        <v>6</v>
      </c>
      <c r="E46" s="542">
        <f>COUNTIF('2.Infor Detallado Desempeño POA'!U107:U114,"&gt;100%")</f>
        <v>1</v>
      </c>
      <c r="F46" s="614">
        <f>COUNTIF('2.Infor Detallado Desempeño POA'!U107:U114,"&lt;99%")</f>
        <v>1</v>
      </c>
      <c r="G46" s="612">
        <f>COUNTIF('2.Infor Detallado Desempeño POA'!U107:U114,"=No programado")</f>
        <v>0</v>
      </c>
      <c r="H46" s="539">
        <f t="shared" si="6"/>
        <v>8</v>
      </c>
      <c r="I46" s="540">
        <f t="shared" si="3"/>
        <v>0</v>
      </c>
    </row>
    <row r="47" spans="2:9" s="625" customFormat="1" ht="19.899999999999999" customHeight="1">
      <c r="B47" s="521" t="s">
        <v>734</v>
      </c>
      <c r="C47" s="616">
        <f t="shared" si="4"/>
        <v>2</v>
      </c>
      <c r="D47" s="541">
        <f>COUNTIF('2.Infor Detallado Desempeño POA'!U120:U121,"&gt;=99%")-COUNTIF('2.Infor Detallado Desempeño POA'!U120:U121,"&gt;100%")</f>
        <v>1</v>
      </c>
      <c r="E47" s="542">
        <f>COUNTIF('2.Infor Detallado Desempeño POA'!U120:U121,"&gt;100%")</f>
        <v>1</v>
      </c>
      <c r="F47" s="614">
        <f>COUNTIF('2.Infor Detallado Desempeño POA'!U120:U121,"&lt;99%")</f>
        <v>0</v>
      </c>
      <c r="G47" s="612">
        <f>COUNTIF('2.Infor Detallado Desempeño POA'!U120:U121,"=No programado")</f>
        <v>0</v>
      </c>
      <c r="H47" s="539">
        <f t="shared" si="6"/>
        <v>2</v>
      </c>
      <c r="I47" s="540">
        <f t="shared" si="3"/>
        <v>0</v>
      </c>
    </row>
    <row r="48" spans="2:9" s="625" customFormat="1" ht="19.899999999999999" customHeight="1">
      <c r="B48" s="521" t="s">
        <v>735</v>
      </c>
      <c r="C48" s="616">
        <f t="shared" si="4"/>
        <v>3</v>
      </c>
      <c r="D48" s="541">
        <f>COUNTIF('2.Infor Detallado Desempeño POA'!U127:U129,"&gt;=99%")-COUNTIF('2.Infor Detallado Desempeño POA'!U127:U129,"&gt;100%")</f>
        <v>1</v>
      </c>
      <c r="E48" s="542">
        <f>COUNTIF('2.Infor Detallado Desempeño POA'!U127:U129,"&gt;100%")</f>
        <v>1</v>
      </c>
      <c r="F48" s="614">
        <f>COUNTIF('2.Infor Detallado Desempeño POA'!U127:U129,"&lt;99%")</f>
        <v>1</v>
      </c>
      <c r="G48" s="612">
        <f>COUNTIF('2.Infor Detallado Desempeño POA'!U127:U129,"=No programado")</f>
        <v>0</v>
      </c>
      <c r="H48" s="539">
        <f t="shared" si="6"/>
        <v>3</v>
      </c>
      <c r="I48" s="540">
        <f t="shared" si="3"/>
        <v>0</v>
      </c>
    </row>
    <row r="49" spans="2:17" s="625" customFormat="1" ht="19.899999999999999" customHeight="1">
      <c r="B49" s="521" t="s">
        <v>736</v>
      </c>
      <c r="C49" s="616">
        <f t="shared" si="4"/>
        <v>4</v>
      </c>
      <c r="D49" s="541">
        <f>COUNTIF('2.Infor Detallado Desempeño POA'!U135:U138,"&gt;=99%")-COUNTIF('2.Infor Detallado Desempeño POA'!U135:U138,"&gt;100%")</f>
        <v>0</v>
      </c>
      <c r="E49" s="542">
        <f>COUNTIF('2.Infor Detallado Desempeño POA'!U135:U138,"&gt;100%")</f>
        <v>3</v>
      </c>
      <c r="F49" s="614">
        <f>COUNTIF('2.Infor Detallado Desempeño POA'!U135:U138,"&lt;99%")</f>
        <v>1</v>
      </c>
      <c r="G49" s="612">
        <f>COUNTIF('2.Infor Detallado Desempeño POA'!U135:U138,"=No programado")</f>
        <v>0</v>
      </c>
      <c r="H49" s="539">
        <f t="shared" si="6"/>
        <v>4</v>
      </c>
      <c r="I49" s="540">
        <f t="shared" si="3"/>
        <v>0</v>
      </c>
    </row>
    <row r="50" spans="2:17" s="625" customFormat="1" ht="19.899999999999999" customHeight="1">
      <c r="B50" s="521" t="s">
        <v>737</v>
      </c>
      <c r="C50" s="616">
        <f t="shared" si="4"/>
        <v>4</v>
      </c>
      <c r="D50" s="541">
        <f>COUNTIF('2.Infor Detallado Desempeño POA'!U144:U147,"&gt;=99%")-COUNTIF('2.Infor Detallado Desempeño POA'!U144:U147,"&gt;100%")</f>
        <v>1</v>
      </c>
      <c r="E50" s="542">
        <f>COUNTIF('2.Infor Detallado Desempeño POA'!U144:U147,"&gt;100%")</f>
        <v>3</v>
      </c>
      <c r="F50" s="614">
        <f>COUNTIF('2.Infor Detallado Desempeño POA'!U144:U147,"&lt;99%")</f>
        <v>0</v>
      </c>
      <c r="G50" s="612">
        <f>COUNTIF('2.Infor Detallado Desempeño POA'!U144:U147,"=No programado")</f>
        <v>0</v>
      </c>
      <c r="H50" s="539">
        <f t="shared" si="6"/>
        <v>4</v>
      </c>
      <c r="I50" s="540">
        <f t="shared" si="3"/>
        <v>0</v>
      </c>
    </row>
    <row r="51" spans="2:17" s="625" customFormat="1" ht="19.899999999999999" customHeight="1">
      <c r="B51" s="521" t="s">
        <v>738</v>
      </c>
      <c r="C51" s="616">
        <f t="shared" si="4"/>
        <v>5</v>
      </c>
      <c r="D51" s="541">
        <f>COUNTIF('2.Infor Detallado Desempeño POA'!U153:U157,"&gt;=99%")-COUNTIF('2.Infor Detallado Desempeño POA'!U153:U157,"&gt;100%")</f>
        <v>5</v>
      </c>
      <c r="E51" s="542">
        <f>COUNTIF('2.Infor Detallado Desempeño POA'!U153:U157,"&gt;100%")</f>
        <v>0</v>
      </c>
      <c r="F51" s="614">
        <f>COUNTIF('2.Infor Detallado Desempeño POA'!U153:U157,"&lt;99%")</f>
        <v>0</v>
      </c>
      <c r="G51" s="612">
        <f>COUNTIF('2.Infor Detallado Desempeño POA'!U153:U157,"=No programado")</f>
        <v>0</v>
      </c>
      <c r="H51" s="539">
        <f t="shared" si="6"/>
        <v>5</v>
      </c>
      <c r="I51" s="540">
        <f t="shared" si="3"/>
        <v>0</v>
      </c>
    </row>
    <row r="52" spans="2:17" s="625" customFormat="1" ht="19.899999999999999" customHeight="1">
      <c r="B52" s="521" t="s">
        <v>740</v>
      </c>
      <c r="C52" s="616">
        <f t="shared" si="4"/>
        <v>3</v>
      </c>
      <c r="D52" s="541">
        <f>COUNTIF('2.Infor Detallado Desempeño POA'!U163:U165,"&gt;=99%")-COUNTIF('2.Infor Detallado Desempeño POA'!U163:U165,"&gt;100%")</f>
        <v>1</v>
      </c>
      <c r="E52" s="542">
        <f>COUNTIF('2.Infor Detallado Desempeño POA'!U163:U165,"&gt;100%")</f>
        <v>2</v>
      </c>
      <c r="F52" s="614">
        <f>COUNTIF('2.Infor Detallado Desempeño POA'!U163:U165,"&lt;99%")</f>
        <v>0</v>
      </c>
      <c r="G52" s="612">
        <f>COUNTIF('2.Infor Detallado Desempeño POA'!U163:U165,"=No programado")</f>
        <v>0</v>
      </c>
      <c r="H52" s="539">
        <f t="shared" si="6"/>
        <v>3</v>
      </c>
      <c r="I52" s="540">
        <f t="shared" si="3"/>
        <v>0</v>
      </c>
    </row>
    <row r="53" spans="2:17" s="625" customFormat="1" ht="19.899999999999999" customHeight="1">
      <c r="B53" s="521" t="s">
        <v>741</v>
      </c>
      <c r="C53" s="616">
        <f t="shared" si="4"/>
        <v>3</v>
      </c>
      <c r="D53" s="541">
        <f>COUNTIF('2.Infor Detallado Desempeño POA'!U171:U173,"&gt;=99%")-COUNTIF('2.Infor Detallado Desempeño POA'!U171:U173,"&gt;100%")</f>
        <v>2</v>
      </c>
      <c r="E53" s="542">
        <f>COUNTIF('2.Infor Detallado Desempeño POA'!U171:U173,"&gt;100%")</f>
        <v>0</v>
      </c>
      <c r="F53" s="614">
        <f>COUNTIF('2.Infor Detallado Desempeño POA'!U171:U173,"&lt;99%")</f>
        <v>0</v>
      </c>
      <c r="G53" s="612">
        <f>COUNTIF('2.Infor Detallado Desempeño POA'!U171:U173,"=No programado")</f>
        <v>1</v>
      </c>
      <c r="H53" s="539">
        <f t="shared" si="6"/>
        <v>3</v>
      </c>
      <c r="I53" s="540">
        <f t="shared" si="3"/>
        <v>0</v>
      </c>
    </row>
    <row r="54" spans="2:17" s="625" customFormat="1" ht="19.899999999999999" customHeight="1">
      <c r="B54" s="554" t="s">
        <v>893</v>
      </c>
      <c r="C54" s="555">
        <f>SUM(C38:C53)</f>
        <v>87</v>
      </c>
      <c r="D54" s="556">
        <f t="shared" ref="D54:E54" si="7">SUM(D38:D53)</f>
        <v>35</v>
      </c>
      <c r="E54" s="557">
        <f t="shared" si="7"/>
        <v>28</v>
      </c>
      <c r="F54" s="615">
        <f>SUM(F38:F53)</f>
        <v>15</v>
      </c>
      <c r="G54" s="613">
        <f>SUM(G38:G53)</f>
        <v>9</v>
      </c>
      <c r="H54" s="539">
        <f>SUM(D54:G54)</f>
        <v>87</v>
      </c>
      <c r="I54" s="540">
        <f t="shared" si="3"/>
        <v>0</v>
      </c>
    </row>
    <row r="55" spans="2:17" s="625" customFormat="1" ht="19.899999999999999" customHeight="1">
      <c r="B55" s="894"/>
      <c r="C55" s="896"/>
      <c r="D55" s="896"/>
      <c r="E55" s="896"/>
      <c r="F55" s="896"/>
      <c r="G55" s="896"/>
      <c r="H55" s="895"/>
      <c r="I55" s="540"/>
    </row>
    <row r="56" spans="2:17" s="625" customFormat="1" ht="3" customHeight="1">
      <c r="C56" s="899"/>
      <c r="D56" s="897" t="str">
        <f>+D37</f>
        <v>No de Indicadores con Meta Cumplida según progrLación</v>
      </c>
      <c r="E56" s="898">
        <f>+D54</f>
        <v>35</v>
      </c>
      <c r="F56" s="900"/>
      <c r="G56" s="901"/>
      <c r="H56" s="626"/>
    </row>
    <row r="57" spans="2:17" s="625" customFormat="1" ht="3" customHeight="1">
      <c r="C57" s="899"/>
      <c r="D57" s="897" t="str">
        <f>+E37</f>
        <v xml:space="preserve">No de Indicadores con ejecución superior a la programada </v>
      </c>
      <c r="E57" s="898">
        <f>+E54</f>
        <v>28</v>
      </c>
      <c r="F57" s="900"/>
      <c r="G57" s="901"/>
      <c r="H57" s="626"/>
    </row>
    <row r="58" spans="2:17" s="625" customFormat="1" ht="3" customHeight="1">
      <c r="C58" s="899"/>
      <c r="D58" s="897" t="str">
        <f>+F37</f>
        <v xml:space="preserve">No de Indicadores con ejecución menor a la programada </v>
      </c>
      <c r="E58" s="898">
        <f>+F54</f>
        <v>15</v>
      </c>
      <c r="F58" s="900"/>
      <c r="G58" s="901"/>
      <c r="H58" s="626"/>
    </row>
    <row r="59" spans="2:17" s="625" customFormat="1" ht="3" customHeight="1">
      <c r="C59" s="899"/>
      <c r="D59" s="897" t="str">
        <f>+G37</f>
        <v>No de indicadores sin programar en el periodo</v>
      </c>
      <c r="E59" s="898">
        <f>+G54</f>
        <v>9</v>
      </c>
      <c r="F59" s="900"/>
      <c r="G59" s="901"/>
      <c r="H59" s="626"/>
    </row>
    <row r="60" spans="2:17" s="625" customFormat="1" ht="10.15" customHeight="1">
      <c r="C60" s="626"/>
      <c r="D60" s="626"/>
      <c r="E60" s="627">
        <f>SUM(E27:E30)</f>
        <v>87</v>
      </c>
      <c r="F60" s="624"/>
      <c r="H60" s="626"/>
    </row>
    <row r="61" spans="2:17" ht="15.75" thickBot="1"/>
    <row r="62" spans="2:17" s="528" customFormat="1" ht="15.75">
      <c r="B62" s="1474" t="s">
        <v>750</v>
      </c>
      <c r="C62" s="1476" t="s">
        <v>891</v>
      </c>
      <c r="D62" s="1478" t="s">
        <v>892</v>
      </c>
      <c r="E62" s="1479"/>
      <c r="F62" s="1480"/>
      <c r="P62" s="516"/>
      <c r="Q62" s="516"/>
    </row>
    <row r="63" spans="2:17" ht="33" customHeight="1">
      <c r="B63" s="1475"/>
      <c r="C63" s="1477"/>
      <c r="D63" s="1050" t="s">
        <v>759</v>
      </c>
      <c r="E63" s="1050" t="s">
        <v>763</v>
      </c>
      <c r="F63" s="531" t="s">
        <v>767</v>
      </c>
      <c r="H63" s="516"/>
    </row>
    <row r="64" spans="2:17">
      <c r="B64" s="532" t="s">
        <v>724</v>
      </c>
      <c r="C64" s="533">
        <f>+'3.Resum Desemp Procesos POA T1'!C41</f>
        <v>4</v>
      </c>
      <c r="D64" s="533">
        <f>+'Rango indicadores'!E111</f>
        <v>4</v>
      </c>
      <c r="E64" s="533">
        <f>+'Rango indicadores'!F111</f>
        <v>0</v>
      </c>
      <c r="F64" s="534">
        <f>+'Rango indicadores'!G111</f>
        <v>0</v>
      </c>
      <c r="H64" s="516"/>
    </row>
    <row r="65" spans="2:8">
      <c r="B65" s="532" t="s">
        <v>726</v>
      </c>
      <c r="C65" s="533">
        <f>+'3.Resum Desemp Procesos POA T1'!C42</f>
        <v>4</v>
      </c>
      <c r="D65" s="533">
        <f>+'Rango indicadores'!E112</f>
        <v>4</v>
      </c>
      <c r="E65" s="533">
        <f>+'Rango indicadores'!F112</f>
        <v>0</v>
      </c>
      <c r="F65" s="534">
        <f>+'Rango indicadores'!G112</f>
        <v>0</v>
      </c>
      <c r="H65" s="516"/>
    </row>
    <row r="66" spans="2:8">
      <c r="B66" s="532" t="s">
        <v>727</v>
      </c>
      <c r="C66" s="533">
        <f>+'3.Resum Desemp Procesos POA T1'!C43</f>
        <v>7</v>
      </c>
      <c r="D66" s="533">
        <f>+'Rango indicadores'!E113</f>
        <v>7</v>
      </c>
      <c r="E66" s="533">
        <f>+'Rango indicadores'!F113</f>
        <v>0</v>
      </c>
      <c r="F66" s="534">
        <f>+'Rango indicadores'!G113</f>
        <v>0</v>
      </c>
      <c r="H66" s="516"/>
    </row>
    <row r="67" spans="2:8">
      <c r="B67" s="532" t="s">
        <v>728</v>
      </c>
      <c r="C67" s="533">
        <f>+'3.Resum Desemp Procesos POA T1'!C44</f>
        <v>2</v>
      </c>
      <c r="D67" s="533">
        <f>+'Rango indicadores'!E114</f>
        <v>2</v>
      </c>
      <c r="E67" s="533">
        <f>+'Rango indicadores'!F114</f>
        <v>0</v>
      </c>
      <c r="F67" s="534">
        <f>+'Rango indicadores'!G114</f>
        <v>0</v>
      </c>
      <c r="H67" s="516"/>
    </row>
    <row r="68" spans="2:8">
      <c r="B68" s="532" t="s">
        <v>739</v>
      </c>
      <c r="C68" s="533">
        <f>+'3.Resum Desemp Procesos POA T1'!C45</f>
        <v>3</v>
      </c>
      <c r="D68" s="533">
        <f>+'Rango indicadores'!E115</f>
        <v>21</v>
      </c>
      <c r="E68" s="533">
        <f>+'Rango indicadores'!F115</f>
        <v>0</v>
      </c>
      <c r="F68" s="534">
        <f>+'Rango indicadores'!G115</f>
        <v>0</v>
      </c>
      <c r="H68" s="516"/>
    </row>
    <row r="69" spans="2:8">
      <c r="B69" s="532" t="s">
        <v>729</v>
      </c>
      <c r="C69" s="533">
        <f>+'3.Resum Desemp Procesos POA T1'!C47</f>
        <v>20</v>
      </c>
      <c r="D69" s="533">
        <f>+'Rango indicadores'!E116</f>
        <v>7</v>
      </c>
      <c r="E69" s="533">
        <f>+'Rango indicadores'!F116</f>
        <v>0</v>
      </c>
      <c r="F69" s="534">
        <f>+'Rango indicadores'!G116</f>
        <v>0</v>
      </c>
      <c r="H69" s="516"/>
    </row>
    <row r="70" spans="2:8">
      <c r="B70" s="532" t="s">
        <v>864</v>
      </c>
      <c r="C70" s="533">
        <f>+'3.Resum Desemp Procesos POA T1'!C48</f>
        <v>7</v>
      </c>
      <c r="D70" s="533">
        <f>+'Rango indicadores'!E117</f>
        <v>8</v>
      </c>
      <c r="E70" s="533">
        <f>+'Rango indicadores'!F117</f>
        <v>0</v>
      </c>
      <c r="F70" s="534">
        <f>+'Rango indicadores'!G117</f>
        <v>0</v>
      </c>
      <c r="H70" s="516"/>
    </row>
    <row r="71" spans="2:8">
      <c r="B71" s="532" t="s">
        <v>732</v>
      </c>
      <c r="C71" s="533">
        <f>+'3.Resum Desemp Procesos POA T1'!C49</f>
        <v>8</v>
      </c>
      <c r="D71" s="533">
        <f>+'Rango indicadores'!E118</f>
        <v>7</v>
      </c>
      <c r="E71" s="533">
        <f>+'Rango indicadores'!F118</f>
        <v>0</v>
      </c>
      <c r="F71" s="534">
        <f>+'Rango indicadores'!G118</f>
        <v>1</v>
      </c>
      <c r="H71" s="516"/>
    </row>
    <row r="72" spans="2:8">
      <c r="B72" s="532" t="s">
        <v>733</v>
      </c>
      <c r="C72" s="533">
        <f>+'3.Resum Desemp Procesos POA T1'!C51</f>
        <v>8</v>
      </c>
      <c r="D72" s="533">
        <f>+'Rango indicadores'!E119</f>
        <v>2</v>
      </c>
      <c r="E72" s="533">
        <f>+'Rango indicadores'!F119</f>
        <v>0</v>
      </c>
      <c r="F72" s="534">
        <f>+'Rango indicadores'!G119</f>
        <v>0</v>
      </c>
      <c r="H72" s="516"/>
    </row>
    <row r="73" spans="2:8">
      <c r="B73" s="532" t="s">
        <v>734</v>
      </c>
      <c r="C73" s="533">
        <f>+'3.Resum Desemp Procesos POA T1'!C52</f>
        <v>2</v>
      </c>
      <c r="D73" s="533">
        <f>+'Rango indicadores'!E120</f>
        <v>3</v>
      </c>
      <c r="E73" s="533">
        <f>+'Rango indicadores'!F120</f>
        <v>0</v>
      </c>
      <c r="F73" s="534">
        <f>+'Rango indicadores'!G120</f>
        <v>0</v>
      </c>
      <c r="H73" s="516"/>
    </row>
    <row r="74" spans="2:8">
      <c r="B74" s="532" t="s">
        <v>735</v>
      </c>
      <c r="C74" s="533">
        <f>+'3.Resum Desemp Procesos POA T1'!C53</f>
        <v>3</v>
      </c>
      <c r="D74" s="533">
        <f>+'Rango indicadores'!E121</f>
        <v>1</v>
      </c>
      <c r="E74" s="533">
        <f>+'Rango indicadores'!F121</f>
        <v>3</v>
      </c>
      <c r="F74" s="534">
        <f>+'Rango indicadores'!G121</f>
        <v>0</v>
      </c>
      <c r="H74" s="516"/>
    </row>
    <row r="75" spans="2:8">
      <c r="B75" s="532" t="s">
        <v>736</v>
      </c>
      <c r="C75" s="533">
        <f>+'3.Resum Desemp Procesos POA T1'!C54</f>
        <v>4</v>
      </c>
      <c r="D75" s="533">
        <f>+'Rango indicadores'!E122</f>
        <v>3</v>
      </c>
      <c r="E75" s="533">
        <f>+'Rango indicadores'!F122</f>
        <v>1</v>
      </c>
      <c r="F75" s="534">
        <f>+'Rango indicadores'!G122</f>
        <v>0</v>
      </c>
      <c r="H75" s="516"/>
    </row>
    <row r="76" spans="2:8">
      <c r="B76" s="532" t="s">
        <v>737</v>
      </c>
      <c r="C76" s="533">
        <f>+'3.Resum Desemp Procesos POA T1'!C55</f>
        <v>4</v>
      </c>
      <c r="D76" s="533">
        <f>+'Rango indicadores'!E123</f>
        <v>5</v>
      </c>
      <c r="E76" s="533">
        <f>+'Rango indicadores'!F123</f>
        <v>0</v>
      </c>
      <c r="F76" s="534">
        <f>+'Rango indicadores'!G123</f>
        <v>0</v>
      </c>
      <c r="H76" s="516"/>
    </row>
    <row r="77" spans="2:8">
      <c r="B77" s="532" t="s">
        <v>738</v>
      </c>
      <c r="C77" s="533">
        <f>+'3.Resum Desemp Procesos POA T1'!C56</f>
        <v>5</v>
      </c>
      <c r="D77" s="533">
        <f>+'Rango indicadores'!E124</f>
        <v>3</v>
      </c>
      <c r="E77" s="533">
        <f>+'Rango indicadores'!F124</f>
        <v>0</v>
      </c>
      <c r="F77" s="534">
        <f>+'Rango indicadores'!G124</f>
        <v>0</v>
      </c>
      <c r="H77" s="516"/>
    </row>
    <row r="78" spans="2:8">
      <c r="B78" s="532" t="s">
        <v>740</v>
      </c>
      <c r="C78" s="533">
        <f>+'3.Resum Desemp Procesos POA T1'!C58</f>
        <v>3</v>
      </c>
      <c r="D78" s="533">
        <f>+'Rango indicadores'!E125</f>
        <v>3</v>
      </c>
      <c r="E78" s="533">
        <f>+'Rango indicadores'!F125</f>
        <v>0</v>
      </c>
      <c r="F78" s="534">
        <f>+'Rango indicadores'!G125</f>
        <v>0</v>
      </c>
      <c r="H78" s="516"/>
    </row>
    <row r="79" spans="2:8">
      <c r="B79" s="532" t="s">
        <v>741</v>
      </c>
      <c r="C79" s="533">
        <f>+'3.Resum Desemp Procesos POA T1'!C59</f>
        <v>3</v>
      </c>
      <c r="D79" s="533">
        <f>+'Rango indicadores'!E126</f>
        <v>3</v>
      </c>
      <c r="E79" s="533">
        <f>+'Rango indicadores'!F126</f>
        <v>0</v>
      </c>
      <c r="F79" s="534">
        <f>+'Rango indicadores'!G126</f>
        <v>0</v>
      </c>
      <c r="H79" s="516"/>
    </row>
    <row r="80" spans="2:8" ht="16.5" thickBot="1">
      <c r="B80" s="535" t="s">
        <v>893</v>
      </c>
      <c r="C80" s="536">
        <f>SUM(C64:C79)</f>
        <v>87</v>
      </c>
      <c r="D80" s="536">
        <f>SUM(D64:D79)</f>
        <v>83</v>
      </c>
      <c r="E80" s="536">
        <f>SUM(E64:E79)</f>
        <v>4</v>
      </c>
      <c r="F80" s="537">
        <f>SUM(F64:F79)</f>
        <v>1</v>
      </c>
      <c r="H80" s="516"/>
    </row>
    <row r="81" spans="8:8">
      <c r="H81" s="516"/>
    </row>
    <row r="82" spans="8:8">
      <c r="H82" s="516"/>
    </row>
    <row r="84" spans="8:8" ht="15" customHeight="1"/>
  </sheetData>
  <mergeCells count="14">
    <mergeCell ref="D34:E34"/>
    <mergeCell ref="B35:B37"/>
    <mergeCell ref="C35:G35"/>
    <mergeCell ref="E36:F36"/>
    <mergeCell ref="B62:B63"/>
    <mergeCell ref="C62:C63"/>
    <mergeCell ref="D62:F62"/>
    <mergeCell ref="C36:D36"/>
    <mergeCell ref="B2:B3"/>
    <mergeCell ref="C2:G2"/>
    <mergeCell ref="C3:G3"/>
    <mergeCell ref="B4:F4"/>
    <mergeCell ref="B7:B8"/>
    <mergeCell ref="C7:G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C51B-AEF1-4586-8C8A-932837EBA963}">
  <sheetPr>
    <tabColor rgb="FF0070C0"/>
  </sheetPr>
  <dimension ref="B1:V116"/>
  <sheetViews>
    <sheetView showGridLines="0" topLeftCell="B33" zoomScale="85" zoomScaleNormal="85" workbookViewId="0">
      <selection activeCell="F41" sqref="F41"/>
    </sheetView>
  </sheetViews>
  <sheetFormatPr baseColWidth="10" defaultColWidth="11.42578125" defaultRowHeight="15" customHeight="1" zeroHeight="1"/>
  <cols>
    <col min="1" max="1" width="3.7109375" style="516" customWidth="1"/>
    <col min="2" max="2" width="47.28515625" style="516" customWidth="1"/>
    <col min="3" max="3" width="20.28515625" style="518" customWidth="1"/>
    <col min="4" max="4" width="18.85546875" style="518" customWidth="1"/>
    <col min="5" max="5" width="22.7109375" style="518" customWidth="1"/>
    <col min="6" max="6" width="19.42578125" style="516" customWidth="1"/>
    <col min="7" max="7" width="47" style="516" customWidth="1"/>
    <col min="8" max="15" width="11.42578125" style="516"/>
    <col min="16" max="16" width="62.42578125" style="516" bestFit="1" customWidth="1"/>
    <col min="17" max="17" width="40" style="516" customWidth="1"/>
    <col min="18" max="16355" width="11.42578125" style="516"/>
    <col min="16356" max="16356" width="1.42578125" style="516" customWidth="1"/>
    <col min="16357" max="16384" width="2.85546875" style="516" customWidth="1"/>
  </cols>
  <sheetData>
    <row r="1" spans="2:22" s="455" customFormat="1">
      <c r="D1" s="458"/>
      <c r="E1" s="456"/>
      <c r="F1" s="457"/>
      <c r="G1" s="457"/>
      <c r="H1" s="457"/>
      <c r="I1" s="457"/>
      <c r="J1" s="457"/>
      <c r="K1" s="457"/>
      <c r="L1" s="457"/>
      <c r="V1" s="458"/>
    </row>
    <row r="2" spans="2:22" s="455" customFormat="1" ht="28.9" customHeight="1">
      <c r="B2" s="1467" t="s">
        <v>889</v>
      </c>
      <c r="C2" s="1498" t="s">
        <v>898</v>
      </c>
      <c r="D2" s="1498"/>
      <c r="E2" s="1498"/>
      <c r="F2" s="1498"/>
      <c r="G2" s="1498"/>
      <c r="H2" s="1498"/>
      <c r="I2" s="510"/>
      <c r="J2" s="510"/>
      <c r="K2" s="510"/>
      <c r="L2" s="510"/>
      <c r="M2" s="510"/>
      <c r="N2" s="1057"/>
      <c r="O2" s="1057"/>
      <c r="P2" s="1057"/>
      <c r="Q2" s="1057"/>
      <c r="R2" s="1057"/>
      <c r="S2" s="1057"/>
      <c r="T2" s="1057"/>
      <c r="U2" s="1057"/>
      <c r="V2" s="458"/>
    </row>
    <row r="3" spans="2:22" s="455" customFormat="1" ht="17.45" customHeight="1">
      <c r="B3" s="1467"/>
      <c r="C3" s="1499" t="s">
        <v>1154</v>
      </c>
      <c r="D3" s="1499"/>
      <c r="E3" s="1499"/>
      <c r="F3" s="1499"/>
      <c r="G3" s="1499"/>
      <c r="H3" s="1499"/>
      <c r="I3" s="509"/>
      <c r="J3" s="509"/>
      <c r="K3" s="509"/>
      <c r="L3" s="509"/>
      <c r="M3" s="509"/>
      <c r="N3" s="1056"/>
      <c r="O3" s="1056"/>
      <c r="P3" s="1056"/>
      <c r="Q3" s="1056"/>
      <c r="R3" s="1056"/>
      <c r="S3" s="1056"/>
      <c r="T3" s="1056"/>
      <c r="U3" s="1056"/>
      <c r="V3" s="459"/>
    </row>
    <row r="4" spans="2:22" s="455" customFormat="1" ht="6" customHeight="1">
      <c r="B4" s="543"/>
      <c r="D4" s="1500"/>
      <c r="E4" s="1500"/>
      <c r="F4" s="1500"/>
      <c r="G4" s="1500"/>
      <c r="H4" s="1500"/>
      <c r="I4" s="501"/>
      <c r="J4" s="501"/>
      <c r="K4" s="501"/>
      <c r="L4" s="501"/>
      <c r="M4" s="501"/>
      <c r="N4" s="1054"/>
      <c r="O4" s="1054"/>
      <c r="P4" s="1054"/>
      <c r="Q4" s="1054"/>
      <c r="R4" s="1054"/>
      <c r="S4" s="1054"/>
      <c r="T4" s="1054"/>
      <c r="U4" s="1054"/>
      <c r="V4" s="460"/>
    </row>
    <row r="5" spans="2:22" s="455" customFormat="1" ht="19.5" customHeight="1">
      <c r="B5" s="1023" t="str">
        <f>+'2.Infor Detallado Desempeño POA'!C7</f>
        <v xml:space="preserve">Fecha de corte: </v>
      </c>
      <c r="C5" s="1070">
        <v>44834</v>
      </c>
      <c r="D5" s="502"/>
      <c r="E5" s="462"/>
      <c r="V5" s="458"/>
    </row>
    <row r="6" spans="2:22" ht="1.9" customHeight="1">
      <c r="B6" s="519"/>
    </row>
    <row r="7" spans="2:22" ht="8.4499999999999993" customHeight="1">
      <c r="B7" s="519"/>
    </row>
    <row r="8" spans="2:22" ht="54" customHeight="1">
      <c r="B8" s="1052" t="s">
        <v>750</v>
      </c>
      <c r="C8" s="1051" t="s">
        <v>1155</v>
      </c>
      <c r="D8" s="520"/>
      <c r="E8" s="516"/>
    </row>
    <row r="9" spans="2:22">
      <c r="B9" s="521" t="s">
        <v>724</v>
      </c>
      <c r="C9" s="522">
        <f>+F41</f>
        <v>0.58378571428571424</v>
      </c>
      <c r="D9" s="523"/>
      <c r="E9" s="516"/>
    </row>
    <row r="10" spans="2:22">
      <c r="B10" s="521" t="s">
        <v>726</v>
      </c>
      <c r="C10" s="522">
        <f>+F42</f>
        <v>0.26315789473684215</v>
      </c>
      <c r="D10" s="523"/>
      <c r="E10" s="516"/>
      <c r="H10" s="587"/>
      <c r="I10" s="588" t="s">
        <v>1156</v>
      </c>
    </row>
    <row r="11" spans="2:22">
      <c r="B11" s="521" t="s">
        <v>727</v>
      </c>
      <c r="C11" s="522">
        <f>+F43</f>
        <v>0.5</v>
      </c>
      <c r="D11" s="523"/>
      <c r="E11" s="516"/>
      <c r="H11" s="893"/>
      <c r="I11" s="588" t="s">
        <v>905</v>
      </c>
    </row>
    <row r="12" spans="2:22">
      <c r="B12" s="521" t="s">
        <v>728</v>
      </c>
      <c r="C12" s="522">
        <f>+F44</f>
        <v>0.5</v>
      </c>
      <c r="D12" s="523"/>
      <c r="E12" s="516"/>
      <c r="H12" s="589"/>
      <c r="I12" s="588" t="s">
        <v>906</v>
      </c>
    </row>
    <row r="13" spans="2:22">
      <c r="B13" s="521" t="s">
        <v>739</v>
      </c>
      <c r="C13" s="522">
        <f>+F45</f>
        <v>0.57740740740740737</v>
      </c>
      <c r="D13" s="524"/>
      <c r="E13" s="516"/>
      <c r="H13" s="590"/>
      <c r="I13" s="588" t="s">
        <v>907</v>
      </c>
    </row>
    <row r="14" spans="2:22">
      <c r="B14" s="521" t="s">
        <v>729</v>
      </c>
      <c r="C14" s="522">
        <f>+F47</f>
        <v>0.53085099681429748</v>
      </c>
      <c r="D14" s="523"/>
      <c r="E14" s="516"/>
    </row>
    <row r="15" spans="2:22">
      <c r="B15" s="521" t="s">
        <v>864</v>
      </c>
      <c r="C15" s="522">
        <f>+F48</f>
        <v>0.2550677822532833</v>
      </c>
      <c r="D15" s="523"/>
      <c r="E15" s="516"/>
    </row>
    <row r="16" spans="2:22">
      <c r="B16" s="521" t="s">
        <v>732</v>
      </c>
      <c r="C16" s="522">
        <f>+F49</f>
        <v>0.39768750000000003</v>
      </c>
      <c r="D16" s="523"/>
      <c r="E16" s="516"/>
    </row>
    <row r="17" spans="2:17">
      <c r="B17" s="521" t="s">
        <v>733</v>
      </c>
      <c r="C17" s="522">
        <f t="shared" ref="C17:C22" si="0">+F51</f>
        <v>0.50473979591836726</v>
      </c>
      <c r="D17" s="523"/>
      <c r="E17" s="516"/>
    </row>
    <row r="18" spans="2:17">
      <c r="B18" s="521" t="s">
        <v>734</v>
      </c>
      <c r="C18" s="522">
        <f t="shared" si="0"/>
        <v>0.53170103092783505</v>
      </c>
      <c r="D18" s="523"/>
      <c r="E18" s="516"/>
    </row>
    <row r="19" spans="2:17">
      <c r="B19" s="521" t="s">
        <v>735</v>
      </c>
      <c r="C19" s="522">
        <f t="shared" si="0"/>
        <v>0.48049122807017541</v>
      </c>
      <c r="D19" s="523"/>
      <c r="E19" s="516"/>
    </row>
    <row r="20" spans="2:17">
      <c r="B20" s="521" t="s">
        <v>736</v>
      </c>
      <c r="C20" s="522">
        <f t="shared" si="0"/>
        <v>0.56913651315789471</v>
      </c>
      <c r="D20" s="523"/>
      <c r="E20" s="516"/>
    </row>
    <row r="21" spans="2:17">
      <c r="B21" s="521" t="s">
        <v>737</v>
      </c>
      <c r="C21" s="522">
        <f t="shared" si="0"/>
        <v>0.52481907894736834</v>
      </c>
      <c r="D21" s="523"/>
      <c r="E21" s="516"/>
    </row>
    <row r="22" spans="2:17">
      <c r="B22" s="521" t="s">
        <v>738</v>
      </c>
      <c r="C22" s="522">
        <f t="shared" si="0"/>
        <v>0.5</v>
      </c>
      <c r="D22" s="523"/>
      <c r="E22" s="516"/>
    </row>
    <row r="23" spans="2:17">
      <c r="B23" s="521" t="s">
        <v>740</v>
      </c>
      <c r="C23" s="522">
        <f>+F58</f>
        <v>0.62085470085470085</v>
      </c>
      <c r="D23" s="523"/>
      <c r="E23" s="516"/>
    </row>
    <row r="24" spans="2:17" ht="15.75" thickBot="1">
      <c r="B24" s="525" t="s">
        <v>741</v>
      </c>
      <c r="C24" s="522">
        <f>+F59</f>
        <v>0.5</v>
      </c>
      <c r="D24" s="523"/>
      <c r="E24" s="516"/>
    </row>
    <row r="25" spans="2:17" ht="16.5" thickBot="1">
      <c r="B25" s="526" t="s">
        <v>890</v>
      </c>
      <c r="C25" s="946">
        <f>+F62</f>
        <v>0.48957856364320257</v>
      </c>
      <c r="D25" s="527"/>
      <c r="E25" s="516"/>
    </row>
    <row r="26" spans="2:17" s="528" customFormat="1">
      <c r="C26" s="529"/>
      <c r="D26" s="529"/>
      <c r="E26" s="529"/>
      <c r="P26" s="516"/>
      <c r="Q26" s="516"/>
    </row>
    <row r="27" spans="2:17" s="528" customFormat="1" ht="56.25" customHeight="1" thickBot="1">
      <c r="B27" s="528" t="s">
        <v>680</v>
      </c>
      <c r="C27" s="529"/>
      <c r="G27" s="1068"/>
      <c r="P27" s="516"/>
      <c r="Q27" s="516"/>
    </row>
    <row r="28" spans="2:17" ht="57" customHeight="1">
      <c r="B28" s="1501" t="s">
        <v>930</v>
      </c>
      <c r="C28" s="1503" t="s">
        <v>862</v>
      </c>
      <c r="D28" s="1505" t="s">
        <v>931</v>
      </c>
      <c r="E28" s="1506"/>
      <c r="F28" s="1507"/>
      <c r="H28" s="518"/>
    </row>
    <row r="29" spans="2:17" ht="57.6" customHeight="1" thickBot="1">
      <c r="B29" s="1502"/>
      <c r="C29" s="1504"/>
      <c r="D29" s="659" t="str">
        <f>+D39</f>
        <v>Segundo Trimestre</v>
      </c>
      <c r="E29" s="663" t="s">
        <v>932</v>
      </c>
      <c r="F29" s="665" t="s">
        <v>924</v>
      </c>
      <c r="H29" s="518"/>
    </row>
    <row r="30" spans="2:17" ht="29.45" customHeight="1">
      <c r="B30" s="646" t="s">
        <v>925</v>
      </c>
      <c r="C30" s="629">
        <f>+C46</f>
        <v>20</v>
      </c>
      <c r="D30" s="660">
        <f>IFERROR(AVERAGE(D41:D45),0)</f>
        <v>1.0014814814814816</v>
      </c>
      <c r="E30" s="666">
        <f>IFERROR(AVERAGE(E41:E45),0)</f>
        <v>1.0236617083615056</v>
      </c>
      <c r="F30" s="891">
        <f>IFERROR(AVERAGE(F41:F45),0)</f>
        <v>0.48487020328599273</v>
      </c>
      <c r="H30" s="518"/>
    </row>
    <row r="31" spans="2:17" ht="36.6" customHeight="1">
      <c r="B31" s="631" t="s">
        <v>926</v>
      </c>
      <c r="C31" s="630">
        <f>+C50</f>
        <v>35</v>
      </c>
      <c r="D31" s="661">
        <f>IFERROR(AVERAGE(D47:D49),0)</f>
        <v>0.841254413552463</v>
      </c>
      <c r="E31" s="666">
        <f>IFERROR(AVERAGE(E47:E49),0)</f>
        <v>0.89231343467482349</v>
      </c>
      <c r="F31" s="891">
        <f>IFERROR(AVERAGE(F47:F49),0)</f>
        <v>0.39453542635586025</v>
      </c>
      <c r="H31" s="518"/>
    </row>
    <row r="32" spans="2:17" ht="41.45" customHeight="1">
      <c r="B32" s="631" t="s">
        <v>927</v>
      </c>
      <c r="C32" s="630">
        <f>+C57</f>
        <v>26</v>
      </c>
      <c r="D32" s="661">
        <f>IFERROR(AVERAGE(D51:D56),0)</f>
        <v>1.0045795658724117</v>
      </c>
      <c r="E32" s="666">
        <f>IFERROR(AVERAGE(E51:E56),0)</f>
        <v>1.038909423417048</v>
      </c>
      <c r="F32" s="891">
        <f>IFERROR(AVERAGE(F51:F56),0)</f>
        <v>0.51848127450360681</v>
      </c>
      <c r="H32" s="518"/>
    </row>
    <row r="33" spans="2:22" ht="40.5">
      <c r="B33" s="631" t="s">
        <v>928</v>
      </c>
      <c r="C33" s="630">
        <f>+C60</f>
        <v>6</v>
      </c>
      <c r="D33" s="662">
        <f>IFERROR(AVERAGE(D58:D59),0)</f>
        <v>1.2277777777777779</v>
      </c>
      <c r="E33" s="667">
        <f>IFERROR(AVERAGE(E58:E59),0)</f>
        <v>1.4612159329140462</v>
      </c>
      <c r="F33" s="892">
        <f>IFERROR(AVERAGE(F58:F59),0)</f>
        <v>0.56042735042735048</v>
      </c>
      <c r="H33" s="518"/>
    </row>
    <row r="34" spans="2:22" ht="23.25">
      <c r="B34" s="633" t="s">
        <v>929</v>
      </c>
      <c r="C34" s="639">
        <f>SUM(C30:C33)</f>
        <v>87</v>
      </c>
      <c r="D34" s="632">
        <f>AVERAGE(D30:D33)</f>
        <v>1.0187733096710336</v>
      </c>
      <c r="E34" s="664">
        <f>AVERAGE(E30:E33)</f>
        <v>1.1040251248418558</v>
      </c>
      <c r="F34" s="664">
        <f>AVERAGE(F30:F33)</f>
        <v>0.48957856364320257</v>
      </c>
      <c r="H34" s="518"/>
    </row>
    <row r="35" spans="2:22" s="637" customFormat="1" ht="23.25">
      <c r="B35" s="634"/>
      <c r="C35" s="635"/>
      <c r="D35" s="636"/>
      <c r="E35" s="636"/>
      <c r="H35" s="638"/>
    </row>
    <row r="36" spans="2:22" s="528" customFormat="1">
      <c r="C36" s="529"/>
      <c r="P36" s="516"/>
      <c r="Q36" s="516"/>
    </row>
    <row r="37" spans="2:22" s="455" customFormat="1" ht="19.5" customHeight="1" thickBot="1">
      <c r="B37" s="1023" t="str">
        <f>+B5</f>
        <v xml:space="preserve">Fecha de corte: </v>
      </c>
      <c r="C37" s="1070">
        <f>+C5</f>
        <v>44834</v>
      </c>
      <c r="D37" s="462"/>
      <c r="E37" s="462"/>
      <c r="V37" s="458"/>
    </row>
    <row r="38" spans="2:22" s="455" customFormat="1" ht="21" customHeight="1">
      <c r="B38" s="1490" t="s">
        <v>750</v>
      </c>
      <c r="C38" s="1492" t="s">
        <v>862</v>
      </c>
      <c r="D38" s="1492" t="s">
        <v>900</v>
      </c>
      <c r="E38" s="1492"/>
      <c r="F38" s="1494"/>
      <c r="G38" s="456"/>
      <c r="H38" s="456"/>
      <c r="I38" s="456"/>
      <c r="U38" s="458"/>
    </row>
    <row r="39" spans="2:22" s="455" customFormat="1" ht="49.5" customHeight="1" thickBot="1">
      <c r="B39" s="1491"/>
      <c r="C39" s="1493"/>
      <c r="D39" s="1055" t="str">
        <f>+'2.Infor Detallado Desempeño POA'!T11</f>
        <v>Segundo Trimestre</v>
      </c>
      <c r="E39" s="1055" t="str">
        <f>+'2.Infor Detallado Desempeño POA'!U11</f>
        <v>Acumulado Corte 
30/06/2022</v>
      </c>
      <c r="F39" s="648" t="str">
        <f>+'2.Infor Detallado Desempeño POA'!V11</f>
        <v>Anual</v>
      </c>
      <c r="G39" s="544"/>
      <c r="H39" s="456"/>
      <c r="I39" s="456"/>
      <c r="J39" s="456"/>
      <c r="V39" s="458"/>
    </row>
    <row r="40" spans="2:22" s="642" customFormat="1" ht="6" customHeight="1" thickBot="1">
      <c r="B40" s="1495"/>
      <c r="C40" s="1496"/>
      <c r="D40" s="1496"/>
      <c r="E40" s="1496"/>
      <c r="F40" s="1497"/>
      <c r="G40" s="640"/>
      <c r="H40" s="641"/>
      <c r="I40" s="641"/>
      <c r="J40" s="641"/>
      <c r="V40" s="643"/>
    </row>
    <row r="41" spans="2:22" s="455" customFormat="1">
      <c r="B41" s="463" t="s">
        <v>724</v>
      </c>
      <c r="C41" s="464">
        <f>+'Rango indicadores'!D111</f>
        <v>4</v>
      </c>
      <c r="D41" s="465">
        <f>IF(AND('2.Infor Detallado Desempeño POA'!AC16&gt;0),'2.Infor Detallado Desempeño POA'!AC16,"No Programado")</f>
        <v>1.0074074074074075</v>
      </c>
      <c r="E41" s="465">
        <f>IF(AND('2.Infor Detallado Desempeño POA'!U16&gt;0),'2.Infor Detallado Desempeño POA'!U16,"No Programado")</f>
        <v>1.0021974306964165</v>
      </c>
      <c r="F41" s="465">
        <f>IF(AND('2.Infor Detallado Desempeño POA'!V16&gt;0),'2.Infor Detallado Desempeño POA'!V16,"No Programado")</f>
        <v>0.58378571428571424</v>
      </c>
      <c r="G41" s="466"/>
      <c r="H41" s="466"/>
      <c r="I41" s="466"/>
      <c r="J41" s="466"/>
      <c r="V41" s="458"/>
    </row>
    <row r="42" spans="2:22" s="455" customFormat="1">
      <c r="B42" s="467" t="s">
        <v>726</v>
      </c>
      <c r="C42" s="464">
        <f>+'Rango indicadores'!D112</f>
        <v>4</v>
      </c>
      <c r="D42" s="465">
        <f>IF(AND('2.Infor Detallado Desempeño POA'!T25&gt;0),'2.Infor Detallado Desempeño POA'!T25,"No Programado")</f>
        <v>1</v>
      </c>
      <c r="E42" s="465">
        <f>IF(AND('2.Infor Detallado Desempeño POA'!U25&gt;0),'2.Infor Detallado Desempeño POA'!U25,"No Programado")</f>
        <v>1.0833333333333335</v>
      </c>
      <c r="F42" s="465">
        <f>IF(AND('2.Infor Detallado Desempeño POA'!V25&gt;0),'2.Infor Detallado Desempeño POA'!V25,"No Programado")</f>
        <v>0.26315789473684215</v>
      </c>
      <c r="G42" s="466"/>
      <c r="H42" s="466"/>
      <c r="I42" s="466"/>
      <c r="J42" s="466"/>
      <c r="V42" s="458"/>
    </row>
    <row r="43" spans="2:22" s="455" customFormat="1">
      <c r="B43" s="467" t="s">
        <v>727</v>
      </c>
      <c r="C43" s="464">
        <f>+'Rango indicadores'!D113</f>
        <v>7</v>
      </c>
      <c r="D43" s="465">
        <f>IF(AND('2.Infor Detallado Desempeño POA'!T37&gt;0),'2.Infor Detallado Desempeño POA'!T37,"No Programado")</f>
        <v>1</v>
      </c>
      <c r="E43" s="465">
        <f>IF(AND('2.Infor Detallado Desempeño POA'!U37&gt;0),'2.Infor Detallado Desempeño POA'!U37,"No Programado")</f>
        <v>1</v>
      </c>
      <c r="F43" s="465">
        <f>IF(AND('2.Infor Detallado Desempeño POA'!V37&gt;0),'2.Infor Detallado Desempeño POA'!V37,"No Programado")</f>
        <v>0.5</v>
      </c>
      <c r="G43" s="466"/>
      <c r="H43" s="466"/>
      <c r="I43" s="466"/>
      <c r="J43" s="466"/>
      <c r="V43" s="458"/>
    </row>
    <row r="44" spans="2:22" s="455" customFormat="1">
      <c r="B44" s="467" t="s">
        <v>728</v>
      </c>
      <c r="C44" s="464">
        <f>+'Rango indicadores'!D114</f>
        <v>2</v>
      </c>
      <c r="D44" s="465">
        <f>IF(AND('2.Infor Detallado Desempeño POA'!T44&gt;0),'2.Infor Detallado Desempeño POA'!T44,"No Programado")</f>
        <v>1</v>
      </c>
      <c r="E44" s="465">
        <f>IF(AND('2.Infor Detallado Desempeño POA'!U44&gt;0),'2.Infor Detallado Desempeño POA'!U44,"No Programado")</f>
        <v>1</v>
      </c>
      <c r="F44" s="465">
        <f>IF(AND('2.Infor Detallado Desempeño POA'!V44&gt;0),'2.Infor Detallado Desempeño POA'!V44,"No Programado")</f>
        <v>0.5</v>
      </c>
      <c r="G44" s="466"/>
      <c r="H44" s="466"/>
      <c r="I44" s="466"/>
      <c r="J44" s="466"/>
      <c r="V44" s="458"/>
    </row>
    <row r="45" spans="2:22" s="455" customFormat="1" ht="15.75" thickBot="1">
      <c r="B45" s="468" t="s">
        <v>739</v>
      </c>
      <c r="C45" s="464">
        <f>+'Rango indicadores'!D124</f>
        <v>3</v>
      </c>
      <c r="D45" s="465">
        <f>IF(AND('2.Infor Detallado Desempeño POA'!T52&gt;0),'2.Infor Detallado Desempeño POA'!T52,"No Programado")</f>
        <v>1</v>
      </c>
      <c r="E45" s="465">
        <f>IF(AND('2.Infor Detallado Desempeño POA'!U52&gt;0),'2.Infor Detallado Desempeño POA'!U52,"No Programado")</f>
        <v>1.0327777777777778</v>
      </c>
      <c r="F45" s="465">
        <f>IF(AND('2.Infor Detallado Desempeño POA'!V52&gt;0),'2.Infor Detallado Desempeño POA'!V52,"No Programado")</f>
        <v>0.57740740740740737</v>
      </c>
      <c r="G45" s="466"/>
      <c r="H45" s="466"/>
      <c r="I45" s="466"/>
      <c r="J45" s="466"/>
      <c r="V45" s="458"/>
    </row>
    <row r="46" spans="2:22" s="455" customFormat="1" ht="34.9" customHeight="1" thickBot="1">
      <c r="B46" s="649" t="s">
        <v>901</v>
      </c>
      <c r="C46" s="650">
        <f>SUM(C41:C45)</f>
        <v>20</v>
      </c>
      <c r="D46" s="651">
        <f>IFERROR(AVERAGE(D41:D45),0)</f>
        <v>1.0014814814814816</v>
      </c>
      <c r="E46" s="651">
        <f>IFERROR(AVERAGE(E41:E45),0)</f>
        <v>1.0236617083615056</v>
      </c>
      <c r="F46" s="651">
        <f>IFERROR(AVERAGE(F41:F45),0)</f>
        <v>0.48487020328599273</v>
      </c>
      <c r="G46" s="469"/>
      <c r="H46" s="466"/>
      <c r="I46" s="466"/>
      <c r="J46" s="466"/>
      <c r="V46" s="458"/>
    </row>
    <row r="47" spans="2:22" s="455" customFormat="1">
      <c r="B47" s="463" t="s">
        <v>729</v>
      </c>
      <c r="C47" s="464">
        <f>+'Rango indicadores'!D115</f>
        <v>20</v>
      </c>
      <c r="D47" s="465">
        <f>IF(AND('2.Infor Detallado Desempeño POA'!T77&gt;0),'2.Infor Detallado Desempeño POA'!T77,"No Programado")</f>
        <v>1.1519898802309669</v>
      </c>
      <c r="E47" s="465">
        <f>IF(AND('2.Infor Detallado Desempeño POA'!U77&gt;0),'2.Infor Detallado Desempeño POA'!U77,"No Programado")</f>
        <v>1.2340198308648858</v>
      </c>
      <c r="F47" s="465">
        <f>IF(AND('2.Infor Detallado Desempeño POA'!V77&gt;0),'2.Infor Detallado Desempeño POA'!V77,"No Programado")</f>
        <v>0.53085099681429748</v>
      </c>
      <c r="G47" s="466"/>
      <c r="H47" s="466"/>
      <c r="I47" s="466"/>
      <c r="J47" s="466"/>
      <c r="V47" s="458"/>
    </row>
    <row r="48" spans="2:22" s="455" customFormat="1">
      <c r="B48" s="467" t="s">
        <v>864</v>
      </c>
      <c r="C48" s="464">
        <f>+'Rango indicadores'!D116</f>
        <v>7</v>
      </c>
      <c r="D48" s="465">
        <f>IF(AND('2.Infor Detallado Desempeño POA'!T89&gt;0),'2.Infor Detallado Desempeño POA'!T89,"No Programado")</f>
        <v>0.56273448773448775</v>
      </c>
      <c r="E48" s="465">
        <f>IF(AND('2.Infor Detallado Desempeño POA'!U89&gt;0),'2.Infor Detallado Desempeño POA'!U89,"No Programado")</f>
        <v>0.67051721818670984</v>
      </c>
      <c r="F48" s="465">
        <f>IF(AND('2.Infor Detallado Desempeño POA'!V89&gt;0),'2.Infor Detallado Desempeño POA'!V89,"No Programado")</f>
        <v>0.2550677822532833</v>
      </c>
      <c r="G48" s="466"/>
      <c r="H48" s="466"/>
      <c r="I48" s="466"/>
      <c r="J48" s="466"/>
      <c r="V48" s="458"/>
    </row>
    <row r="49" spans="2:22" s="455" customFormat="1" ht="15.75" thickBot="1">
      <c r="B49" s="468" t="s">
        <v>732</v>
      </c>
      <c r="C49" s="464">
        <f>+'Rango indicadores'!D117</f>
        <v>8</v>
      </c>
      <c r="D49" s="465">
        <f>IF(AND('2.Infor Detallado Desempeño POA'!T102&gt;0),'2.Infor Detallado Desempeño POA'!T102,"No Programado")</f>
        <v>0.80903887269193397</v>
      </c>
      <c r="E49" s="465">
        <f>IF(AND('2.Infor Detallado Desempeño POA'!U102&gt;0),'2.Infor Detallado Desempeño POA'!U102,"No Programado")</f>
        <v>0.77240325497287521</v>
      </c>
      <c r="F49" s="465">
        <f>IF(AND('2.Infor Detallado Desempeño POA'!V102&gt;0),'2.Infor Detallado Desempeño POA'!V102,"No Programado")</f>
        <v>0.39768750000000003</v>
      </c>
      <c r="G49" s="466"/>
      <c r="H49" s="466"/>
      <c r="I49" s="466"/>
      <c r="J49" s="466"/>
      <c r="V49" s="458"/>
    </row>
    <row r="50" spans="2:22" s="455" customFormat="1" ht="34.9" customHeight="1" thickBot="1">
      <c r="B50" s="649" t="s">
        <v>902</v>
      </c>
      <c r="C50" s="650">
        <f>SUM(C47:C49)</f>
        <v>35</v>
      </c>
      <c r="D50" s="651">
        <f>IFERROR(AVERAGE(D47:D49),0)</f>
        <v>0.841254413552463</v>
      </c>
      <c r="E50" s="651">
        <f>IFERROR(AVERAGE(E47:E49),0)</f>
        <v>0.89231343467482349</v>
      </c>
      <c r="F50" s="651">
        <f>IFERROR(AVERAGE(F47:F49),0)</f>
        <v>0.39453542635586025</v>
      </c>
      <c r="G50" s="469"/>
      <c r="H50" s="466"/>
      <c r="I50" s="466"/>
      <c r="J50" s="466"/>
      <c r="V50" s="458"/>
    </row>
    <row r="51" spans="2:22" s="455" customFormat="1">
      <c r="B51" s="463" t="s">
        <v>733</v>
      </c>
      <c r="C51" s="464">
        <f>+'Rango indicadores'!D118</f>
        <v>8</v>
      </c>
      <c r="D51" s="465">
        <f>IF(AND('2.Infor Detallado Desempeño POA'!T115&gt;0),'2.Infor Detallado Desempeño POA'!T115,"No Programado")</f>
        <v>0.97344727891156457</v>
      </c>
      <c r="E51" s="465">
        <f>IF(AND('2.Infor Detallado Desempeño POA'!U115&gt;0),'2.Infor Detallado Desempeño POA'!U115,"No Programado")</f>
        <v>0.98786519593196731</v>
      </c>
      <c r="F51" s="465">
        <f>IF(AND('2.Infor Detallado Desempeño POA'!V115&gt;0),'2.Infor Detallado Desempeño POA'!V115,"No Programado")</f>
        <v>0.50473979591836726</v>
      </c>
      <c r="G51" s="466"/>
      <c r="H51" s="466"/>
      <c r="I51" s="466"/>
      <c r="J51" s="466"/>
      <c r="V51" s="458"/>
    </row>
    <row r="52" spans="2:22" s="455" customFormat="1">
      <c r="B52" s="467" t="s">
        <v>734</v>
      </c>
      <c r="C52" s="464">
        <f>+'Rango indicadores'!D119</f>
        <v>2</v>
      </c>
      <c r="D52" s="465">
        <f>IF(AND('2.Infor Detallado Desempeño POA'!T122),'2.Infor Detallado Desempeño POA'!T122,"No Programado")</f>
        <v>1.0642611683848797</v>
      </c>
      <c r="E52" s="465">
        <f>IF(AND('2.Infor Detallado Desempeño POA'!U122),'2.Infor Detallado Desempeño POA'!U122,"No Programado")</f>
        <v>1.063659793814433</v>
      </c>
      <c r="F52" s="465">
        <f>IF(AND('2.Infor Detallado Desempeño POA'!V122),'2.Infor Detallado Desempeño POA'!V122,"No Programado")</f>
        <v>0.53170103092783505</v>
      </c>
      <c r="G52" s="466"/>
      <c r="H52" s="466"/>
      <c r="I52" s="466"/>
      <c r="J52" s="466"/>
      <c r="V52" s="458"/>
    </row>
    <row r="53" spans="2:22" s="455" customFormat="1">
      <c r="B53" s="467" t="s">
        <v>735</v>
      </c>
      <c r="C53" s="464">
        <f>+'Rango indicadores'!D120</f>
        <v>3</v>
      </c>
      <c r="D53" s="465">
        <f>IF(AND('2.Infor Detallado Desempeño POA'!T130&gt;0),'2.Infor Detallado Desempeño POA'!T130,"No Programado")</f>
        <v>0.98906666666666665</v>
      </c>
      <c r="E53" s="465">
        <f>IF(AND('2.Infor Detallado Desempeño POA'!U130&gt;0),'2.Infor Detallado Desempeño POA'!U130,"No Programado")</f>
        <v>1.0235824695399163</v>
      </c>
      <c r="F53" s="465">
        <f>IF(AND('2.Infor Detallado Desempeño POA'!V130&gt;0),'2.Infor Detallado Desempeño POA'!V130,"No Programado")</f>
        <v>0.48049122807017541</v>
      </c>
      <c r="G53" s="466"/>
      <c r="H53" s="466"/>
      <c r="I53" s="466"/>
      <c r="J53" s="466"/>
      <c r="V53" s="458"/>
    </row>
    <row r="54" spans="2:22" s="455" customFormat="1">
      <c r="B54" s="467" t="s">
        <v>736</v>
      </c>
      <c r="C54" s="464">
        <f>+'Rango indicadores'!D121</f>
        <v>4</v>
      </c>
      <c r="D54" s="465">
        <f>IF(AND('2.Infor Detallado Desempeño POA'!T139&gt;0),'2.Infor Detallado Desempeño POA'!T139,"No Programado")</f>
        <v>0.93659090909090903</v>
      </c>
      <c r="E54" s="465">
        <f>IF(AND('2.Infor Detallado Desempeño POA'!U139&gt;0),'2.Infor Detallado Desempeño POA'!U139,"No Programado")</f>
        <v>1.0868211206896552</v>
      </c>
      <c r="F54" s="465">
        <f>IF(AND('2.Infor Detallado Desempeño POA'!V139&gt;0),'2.Infor Detallado Desempeño POA'!V139,"No Programado")</f>
        <v>0.56913651315789471</v>
      </c>
      <c r="G54" s="466"/>
      <c r="H54" s="466"/>
      <c r="I54" s="466"/>
      <c r="J54" s="466"/>
      <c r="V54" s="458"/>
    </row>
    <row r="55" spans="2:22" s="455" customFormat="1">
      <c r="B55" s="467" t="s">
        <v>737</v>
      </c>
      <c r="C55" s="464">
        <f>+'Rango indicadores'!D122</f>
        <v>4</v>
      </c>
      <c r="D55" s="465">
        <f>IF(AND('2.Infor Detallado Desempeño POA'!T148&gt;0),'2.Infor Detallado Desempeño POA'!T148,"No Programado")</f>
        <v>1.0641113721804509</v>
      </c>
      <c r="E55" s="465">
        <f>IF(AND('2.Infor Detallado Desempeño POA'!U148&gt;0),'2.Infor Detallado Desempeño POA'!U148,"No Programado")</f>
        <v>1.0715279605263157</v>
      </c>
      <c r="F55" s="465">
        <f>IF(AND('2.Infor Detallado Desempeño POA'!V148&gt;0),'2.Infor Detallado Desempeño POA'!V148,"No Programado")</f>
        <v>0.52481907894736834</v>
      </c>
      <c r="G55" s="466"/>
      <c r="H55" s="466"/>
      <c r="I55" s="466"/>
      <c r="J55" s="466"/>
      <c r="V55" s="458"/>
    </row>
    <row r="56" spans="2:22" s="455" customFormat="1" ht="15.75" thickBot="1">
      <c r="B56" s="468" t="s">
        <v>738</v>
      </c>
      <c r="C56" s="464">
        <f>+'Rango indicadores'!D123</f>
        <v>5</v>
      </c>
      <c r="D56" s="465">
        <f>IF(AND('2.Infor Detallado Desempeño POA'!T158&gt;0),'2.Infor Detallado Desempeño POA'!T158,"No Programado")</f>
        <v>1</v>
      </c>
      <c r="E56" s="465">
        <f>IF(AND('2.Infor Detallado Desempeño POA'!U158&gt;0),'2.Infor Detallado Desempeño POA'!U158,"No Programado")</f>
        <v>1</v>
      </c>
      <c r="F56" s="465">
        <f>IF(AND('2.Infor Detallado Desempeño POA'!V158&gt;0),'2.Infor Detallado Desempeño POA'!V158,"No Programado")</f>
        <v>0.5</v>
      </c>
      <c r="G56" s="466"/>
      <c r="H56" s="466"/>
      <c r="I56" s="466"/>
      <c r="J56" s="466"/>
      <c r="V56" s="458"/>
    </row>
    <row r="57" spans="2:22" s="455" customFormat="1" ht="34.9" customHeight="1" thickBot="1">
      <c r="B57" s="649" t="s">
        <v>903</v>
      </c>
      <c r="C57" s="650">
        <f>SUM(C51:C56)</f>
        <v>26</v>
      </c>
      <c r="D57" s="651">
        <f>IFERROR(AVERAGE(D51:D56),0)</f>
        <v>1.0045795658724117</v>
      </c>
      <c r="E57" s="651">
        <f>IFERROR(AVERAGE(E51:E56),0)</f>
        <v>1.038909423417048</v>
      </c>
      <c r="F57" s="651">
        <f>IFERROR(AVERAGE(F51:F56),0)</f>
        <v>0.51848127450360681</v>
      </c>
      <c r="G57" s="469"/>
      <c r="H57" s="466"/>
      <c r="I57" s="466"/>
      <c r="J57" s="466"/>
      <c r="V57" s="458"/>
    </row>
    <row r="58" spans="2:22" s="455" customFormat="1">
      <c r="B58" s="467" t="s">
        <v>740</v>
      </c>
      <c r="C58" s="464">
        <f>+'Rango indicadores'!D125</f>
        <v>3</v>
      </c>
      <c r="D58" s="465">
        <f>IF(AND('2.Infor Detallado Desempeño POA'!T166&gt;0),'2.Infor Detallado Desempeño POA'!T166,"No Programado")</f>
        <v>1.4555555555555557</v>
      </c>
      <c r="E58" s="465">
        <f>IF(AND('2.Infor Detallado Desempeño POA'!U166&gt;0),'2.Infor Detallado Desempeño POA'!U166,"No Programado")</f>
        <v>1.9224318658280923</v>
      </c>
      <c r="F58" s="465">
        <f>IF(AND('2.Infor Detallado Desempeño POA'!V166&gt;0),'2.Infor Detallado Desempeño POA'!V166,"No Programado")</f>
        <v>0.62085470085470085</v>
      </c>
      <c r="G58" s="466"/>
      <c r="H58" s="466"/>
      <c r="I58" s="466"/>
      <c r="J58" s="466"/>
      <c r="V58" s="458"/>
    </row>
    <row r="59" spans="2:22" s="455" customFormat="1" ht="15.75" thickBot="1">
      <c r="B59" s="552" t="s">
        <v>741</v>
      </c>
      <c r="C59" s="553">
        <f>+'Rango indicadores'!D126</f>
        <v>3</v>
      </c>
      <c r="D59" s="465">
        <f>IF(AND('2.Infor Detallado Desempeño POA'!T174&gt;0),'2.Infor Detallado Desempeño POA'!T174,"No Programado")</f>
        <v>1</v>
      </c>
      <c r="E59" s="465">
        <f>IF(AND('2.Infor Detallado Desempeño POA'!U174&gt;0),'2.Infor Detallado Desempeño POA'!U174,"No Programado")</f>
        <v>1</v>
      </c>
      <c r="F59" s="465">
        <f>IF(AND('2.Infor Detallado Desempeño POA'!V174&gt;0),'2.Infor Detallado Desempeño POA'!V174,"No Programado")</f>
        <v>0.5</v>
      </c>
      <c r="G59" s="466"/>
      <c r="H59" s="466"/>
      <c r="I59" s="466"/>
      <c r="J59" s="466"/>
      <c r="V59" s="458"/>
    </row>
    <row r="60" spans="2:22" s="455" customFormat="1" ht="46.9" customHeight="1" thickBot="1">
      <c r="B60" s="652" t="s">
        <v>865</v>
      </c>
      <c r="C60" s="650">
        <f>SUM(C58:C59)</f>
        <v>6</v>
      </c>
      <c r="D60" s="651">
        <f>IFERROR(AVERAGE(D58:D59),0)</f>
        <v>1.2277777777777779</v>
      </c>
      <c r="E60" s="651">
        <f>IFERROR(AVERAGE(E58:E59),0)</f>
        <v>1.4612159329140462</v>
      </c>
      <c r="F60" s="651">
        <f>IFERROR(AVERAGE(F58:F59),0)</f>
        <v>0.56042735042735048</v>
      </c>
      <c r="G60" s="469"/>
      <c r="H60" s="466"/>
      <c r="I60" s="466"/>
      <c r="J60" s="466"/>
      <c r="V60" s="458"/>
    </row>
    <row r="61" spans="2:22" s="642" customFormat="1" ht="6" customHeight="1">
      <c r="B61" s="644"/>
      <c r="C61" s="645"/>
      <c r="D61" s="640"/>
      <c r="E61" s="640"/>
      <c r="F61" s="640"/>
      <c r="G61" s="640"/>
      <c r="H61" s="641"/>
      <c r="I61" s="641"/>
      <c r="J61" s="641"/>
      <c r="V61" s="643"/>
    </row>
    <row r="62" spans="2:22" ht="15" customHeight="1">
      <c r="B62" s="628" t="s">
        <v>929</v>
      </c>
      <c r="C62" s="639">
        <f>+C60+C57+C50+C46</f>
        <v>87</v>
      </c>
      <c r="D62" s="632">
        <f>AVERAGE(D46,D50,D57,D60)</f>
        <v>1.0187733096710336</v>
      </c>
      <c r="E62" s="632">
        <f>AVERAGE(E46,E50,E57,E60)</f>
        <v>1.1040251248418558</v>
      </c>
      <c r="F62" s="632">
        <f>AVERAGE(F46,F50,F57,F60)</f>
        <v>0.48957856364320257</v>
      </c>
      <c r="G62" s="672"/>
    </row>
    <row r="63" spans="2:22" ht="15" customHeight="1"/>
    <row r="64" spans="2:22" ht="15" customHeight="1">
      <c r="D64" s="658"/>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832" priority="1" operator="equal">
      <formula>"No Programado"</formula>
    </cfRule>
    <cfRule type="cellIs" dxfId="831" priority="2" operator="lessThanOrEqual">
      <formula>0.6</formula>
    </cfRule>
    <cfRule type="cellIs" dxfId="830" priority="3" operator="between">
      <formula>0.6</formula>
      <formula>0.899999999999999</formula>
    </cfRule>
    <cfRule type="cellIs" dxfId="829" priority="4" operator="greaterThan">
      <formula>1</formula>
    </cfRule>
    <cfRule type="cellIs" dxfId="828" priority="5" operator="between">
      <formula>0.9</formula>
      <formula>1</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CEE2A-ACFA-4CE3-AF69-AA9020ED9A7F}">
  <sheetPr>
    <tabColor rgb="FF00FF99"/>
  </sheetPr>
  <dimension ref="B1:R84"/>
  <sheetViews>
    <sheetView showGridLines="0" topLeftCell="B8" workbookViewId="0">
      <selection activeCell="D59" sqref="D59"/>
    </sheetView>
  </sheetViews>
  <sheetFormatPr baseColWidth="10" defaultColWidth="11.42578125" defaultRowHeight="15"/>
  <cols>
    <col min="1" max="1" width="3.7109375" style="516" customWidth="1"/>
    <col min="2" max="2" width="52.42578125" style="516" customWidth="1"/>
    <col min="3" max="5" width="18.42578125" style="518" customWidth="1"/>
    <col min="6" max="6" width="18.42578125" style="516" customWidth="1"/>
    <col min="7" max="7" width="18.28515625" style="516" customWidth="1"/>
    <col min="8" max="8" width="6.140625" style="518" hidden="1" customWidth="1"/>
    <col min="9" max="9" width="0" style="516" hidden="1" customWidth="1"/>
    <col min="10" max="16" width="11.42578125" style="516"/>
    <col min="17" max="17" width="62.42578125" style="516" bestFit="1" customWidth="1"/>
    <col min="18" max="18" width="40" style="516" customWidth="1"/>
    <col min="19" max="16356" width="11.42578125" style="516"/>
    <col min="16357" max="16357" width="1.42578125" style="516" customWidth="1"/>
    <col min="16358" max="16384" width="2.85546875" style="516" customWidth="1"/>
  </cols>
  <sheetData>
    <row r="1" spans="2:18">
      <c r="C1" s="517"/>
      <c r="D1" s="517"/>
      <c r="E1" s="517"/>
    </row>
    <row r="2" spans="2:18" ht="15.75">
      <c r="B2" s="1467" t="s">
        <v>889</v>
      </c>
      <c r="C2" s="1468" t="s">
        <v>894</v>
      </c>
      <c r="D2" s="1469"/>
      <c r="E2" s="1469"/>
      <c r="F2" s="1469"/>
      <c r="G2" s="1470"/>
      <c r="H2" s="565"/>
    </row>
    <row r="3" spans="2:18" ht="18">
      <c r="B3" s="1467"/>
      <c r="C3" s="1471" t="str">
        <f>+'3.Resum Desemp Procesos POA T1'!C3</f>
        <v>PLAN OPERATIVO ANUAL 2022</v>
      </c>
      <c r="D3" s="1472"/>
      <c r="E3" s="1472"/>
      <c r="F3" s="1472"/>
      <c r="G3" s="1473"/>
      <c r="H3" s="565"/>
    </row>
    <row r="4" spans="2:18" ht="9.75" customHeight="1">
      <c r="B4" s="1482"/>
      <c r="C4" s="1482"/>
      <c r="D4" s="1482"/>
      <c r="E4" s="1482"/>
      <c r="F4" s="1482"/>
      <c r="G4" s="1053"/>
      <c r="H4" s="538"/>
    </row>
    <row r="5" spans="2:18" ht="19.5" customHeight="1">
      <c r="B5" s="516" t="str">
        <f>+'3.Resum Desemp Procesos POA T1'!B5</f>
        <v xml:space="preserve">Fecha de corte: </v>
      </c>
      <c r="C5" s="1064">
        <f>+'3.Resum Desemp Procesos POA T3'!C5</f>
        <v>44834</v>
      </c>
    </row>
    <row r="6" spans="2:18" ht="19.5" customHeight="1">
      <c r="B6" s="519"/>
    </row>
    <row r="7" spans="2:18" s="528" customFormat="1" ht="31.5" customHeight="1">
      <c r="B7" s="1431" t="s">
        <v>717</v>
      </c>
      <c r="C7" s="1483" t="s">
        <v>1162</v>
      </c>
      <c r="D7" s="1484"/>
      <c r="E7" s="1484"/>
      <c r="F7" s="1484"/>
      <c r="G7" s="1485"/>
      <c r="H7" s="529"/>
      <c r="Q7" s="516"/>
      <c r="R7" s="516"/>
    </row>
    <row r="8" spans="2:18" s="528" customFormat="1" ht="74.45" customHeight="1">
      <c r="B8" s="1431"/>
      <c r="C8" s="611" t="s">
        <v>895</v>
      </c>
      <c r="D8" s="611" t="s">
        <v>896</v>
      </c>
      <c r="E8" s="611" t="s">
        <v>897</v>
      </c>
      <c r="F8" s="611" t="s">
        <v>904</v>
      </c>
      <c r="G8" s="570" t="s">
        <v>923</v>
      </c>
      <c r="H8" s="529"/>
      <c r="Q8" s="516"/>
      <c r="R8" s="516"/>
    </row>
    <row r="9" spans="2:18">
      <c r="B9" s="521" t="s">
        <v>724</v>
      </c>
      <c r="C9" s="616">
        <f>+'4.Segto Medición POA 2022 T4'!C64</f>
        <v>4</v>
      </c>
      <c r="D9" s="541">
        <f>COUNTIF('2.Infor Detallado Desempeño POA'!AC12:AC15,"=100%")</f>
        <v>3</v>
      </c>
      <c r="E9" s="542">
        <f>COUNTIF('2.Infor Detallado Desempeño POA'!AC12:AC15,"&gt;100%")</f>
        <v>1</v>
      </c>
      <c r="F9" s="614">
        <f>COUNTIF('2.Infor Detallado Desempeño POA'!AC12:AC15,"&lt;100%")</f>
        <v>0</v>
      </c>
      <c r="G9" s="612">
        <f>COUNTIF('2.Infor Detallado Desempeño POA'!AC12:AC15,"=No programado")</f>
        <v>0</v>
      </c>
      <c r="H9" s="539">
        <f>SUM(D9:G9)</f>
        <v>4</v>
      </c>
      <c r="I9" s="540">
        <f t="shared" ref="I9:I25" si="0">C9-H9</f>
        <v>0</v>
      </c>
    </row>
    <row r="10" spans="2:18">
      <c r="B10" s="521" t="s">
        <v>726</v>
      </c>
      <c r="C10" s="616">
        <f>+'4.Segto Medición POA 2022 T4'!C65</f>
        <v>4</v>
      </c>
      <c r="D10" s="541">
        <f>COUNTIF('2.Infor Detallado Desempeño POA'!AC21:AC24,"=100%")</f>
        <v>0</v>
      </c>
      <c r="E10" s="542">
        <f>COUNTIF('2.Infor Detallado Desempeño POA'!AC21:AC24,"&gt;100%")</f>
        <v>0</v>
      </c>
      <c r="F10" s="614">
        <f>COUNTIF('2.Infor Detallado Desempeño POA'!AC21:AC24,"&lt;100%")</f>
        <v>1</v>
      </c>
      <c r="G10" s="612">
        <f>COUNTIF('2.Infor Detallado Desempeño POA'!AC21:AC24,"=No programado")</f>
        <v>3</v>
      </c>
      <c r="H10" s="539">
        <f t="shared" ref="H10:H24" si="1">SUM(D10:G10)</f>
        <v>4</v>
      </c>
      <c r="I10" s="540">
        <f t="shared" si="0"/>
        <v>0</v>
      </c>
    </row>
    <row r="11" spans="2:18">
      <c r="B11" s="521" t="s">
        <v>727</v>
      </c>
      <c r="C11" s="616">
        <f>+'4.Segto Medición POA 2022 T4'!C66</f>
        <v>7</v>
      </c>
      <c r="D11" s="541">
        <f>COUNTIF('2.Infor Detallado Desempeño POA'!AC30:AC36,"=100%")</f>
        <v>7</v>
      </c>
      <c r="E11" s="542">
        <f>COUNTIF('2.Infor Detallado Desempeño POA'!AC30:AC36,"&gt;100%")</f>
        <v>0</v>
      </c>
      <c r="F11" s="614">
        <f>COUNTIF('2.Infor Detallado Desempeño POA'!AC30:AC36,"&lt;100%")</f>
        <v>0</v>
      </c>
      <c r="G11" s="612">
        <f>COUNTIF('2.Infor Detallado Desempeño POA'!AC30:AC36,"=No programado")</f>
        <v>0</v>
      </c>
      <c r="H11" s="539">
        <f t="shared" si="1"/>
        <v>7</v>
      </c>
      <c r="I11" s="540">
        <f t="shared" si="0"/>
        <v>0</v>
      </c>
    </row>
    <row r="12" spans="2:18">
      <c r="B12" s="521" t="s">
        <v>728</v>
      </c>
      <c r="C12" s="616">
        <f>+'4.Segto Medición POA 2022 T4'!C67</f>
        <v>2</v>
      </c>
      <c r="D12" s="541">
        <f>COUNTIF('2.Infor Detallado Desempeño POA'!AC42:AC43,"=100%")</f>
        <v>2</v>
      </c>
      <c r="E12" s="542">
        <f>COUNTIF('2.Infor Detallado Desempeño POA'!AC42:AC43,"&gt;100%")</f>
        <v>0</v>
      </c>
      <c r="F12" s="614">
        <f>COUNTIF('2.Infor Detallado Desempeño POA'!AC42:AC43,"&lt;100%")</f>
        <v>0</v>
      </c>
      <c r="G12" s="612">
        <f>COUNTIF('2.Infor Detallado Desempeño POA'!AC42:AC43,"=No programado")</f>
        <v>0</v>
      </c>
      <c r="H12" s="539">
        <f>SUM(D12:G12)</f>
        <v>2</v>
      </c>
      <c r="I12" s="540">
        <f t="shared" si="0"/>
        <v>0</v>
      </c>
    </row>
    <row r="13" spans="2:18">
      <c r="B13" s="521" t="s">
        <v>739</v>
      </c>
      <c r="C13" s="616">
        <f>+'4.Segto Medición POA 2022 T4'!C68</f>
        <v>3</v>
      </c>
      <c r="D13" s="541">
        <f>COUNTIF('2.Infor Detallado Desempeño POA'!AC49:AC51,"=100%")</f>
        <v>0</v>
      </c>
      <c r="E13" s="542">
        <f>COUNTIF('2.Infor Detallado Desempeño POA'!AC49:AC51,"&gt;100%")</f>
        <v>1</v>
      </c>
      <c r="F13" s="614">
        <f>COUNTIF('2.Infor Detallado Desempeño POA'!AC49:AC51,"&lt;100%")</f>
        <v>0</v>
      </c>
      <c r="G13" s="612">
        <f>COUNTIF('2.Infor Detallado Desempeño POA'!AC49:AC51,"=No programado")</f>
        <v>2</v>
      </c>
      <c r="H13" s="539">
        <f t="shared" si="1"/>
        <v>3</v>
      </c>
      <c r="I13" s="540">
        <f t="shared" si="0"/>
        <v>0</v>
      </c>
    </row>
    <row r="14" spans="2:18">
      <c r="B14" s="521" t="s">
        <v>729</v>
      </c>
      <c r="C14" s="616">
        <f>+'4.Segto Medición POA 2022 T4'!C69</f>
        <v>20</v>
      </c>
      <c r="D14" s="541">
        <f>COUNTIF('2.Infor Detallado Desempeño POA'!AC57:AC76,"=100%")</f>
        <v>1</v>
      </c>
      <c r="E14" s="542">
        <f>COUNTIF('2.Infor Detallado Desempeño POA'!AC57:AC76,"&gt;100%")</f>
        <v>12</v>
      </c>
      <c r="F14" s="614">
        <f>COUNTIF('2.Infor Detallado Desempeño POA'!AC57:AC76,"&lt;100%")</f>
        <v>5</v>
      </c>
      <c r="G14" s="612">
        <f>COUNTIF('2.Infor Detallado Desempeño POA'!AC57:AC76,"=No programado")</f>
        <v>2</v>
      </c>
      <c r="H14" s="539">
        <f t="shared" si="1"/>
        <v>20</v>
      </c>
      <c r="I14" s="540">
        <f t="shared" si="0"/>
        <v>0</v>
      </c>
    </row>
    <row r="15" spans="2:18">
      <c r="B15" s="521" t="s">
        <v>864</v>
      </c>
      <c r="C15" s="616">
        <f>+'4.Segto Medición POA 2022 T4'!C70</f>
        <v>7</v>
      </c>
      <c r="D15" s="541">
        <f>COUNTIF('2.Infor Detallado Desempeño POA'!AC82:AC88,"=100%")</f>
        <v>0</v>
      </c>
      <c r="E15" s="542">
        <f>COUNTIF('2.Infor Detallado Desempeño POA'!AC82:AC88,"&gt;100%")</f>
        <v>2</v>
      </c>
      <c r="F15" s="614">
        <f>COUNTIF('2.Infor Detallado Desempeño POA'!AC82:AC88,"&lt;100%")</f>
        <v>3</v>
      </c>
      <c r="G15" s="612">
        <f>COUNTIF('2.Infor Detallado Desempeño POA'!AC82:AC88,"=No programado")</f>
        <v>2</v>
      </c>
      <c r="H15" s="1071">
        <f t="shared" si="1"/>
        <v>7</v>
      </c>
      <c r="I15" s="540">
        <f t="shared" si="0"/>
        <v>0</v>
      </c>
    </row>
    <row r="16" spans="2:18">
      <c r="B16" s="521" t="s">
        <v>732</v>
      </c>
      <c r="C16" s="616">
        <f>+'4.Segto Medición POA 2022 T4'!C71</f>
        <v>8</v>
      </c>
      <c r="D16" s="541">
        <f>COUNTIF('2.Infor Detallado Desempeño POA'!AC94:AC101,"=100%")</f>
        <v>2</v>
      </c>
      <c r="E16" s="542">
        <f>COUNTIF('2.Infor Detallado Desempeño POA'!AC94:AC101,"&gt;100%")</f>
        <v>1</v>
      </c>
      <c r="F16" s="614">
        <f>COUNTIF('2.Infor Detallado Desempeño POA'!AC94:AC101,"&lt;100%")</f>
        <v>5</v>
      </c>
      <c r="G16" s="612">
        <f>COUNTIF('2.Infor Detallado Desempeño POA'!AC94:AC101,"=No programado")</f>
        <v>0</v>
      </c>
      <c r="H16" s="539">
        <f t="shared" si="1"/>
        <v>8</v>
      </c>
      <c r="I16" s="540">
        <f t="shared" si="0"/>
        <v>0</v>
      </c>
    </row>
    <row r="17" spans="2:9">
      <c r="B17" s="521" t="s">
        <v>733</v>
      </c>
      <c r="C17" s="616">
        <f>+'4.Segto Medición POA 2022 T4'!C72</f>
        <v>8</v>
      </c>
      <c r="D17" s="541">
        <f>COUNTIF('2.Infor Detallado Desempeño POA'!AC107:AC114,"=100%")</f>
        <v>3</v>
      </c>
      <c r="E17" s="542">
        <f>COUNTIF('2.Infor Detallado Desempeño POA'!AC107:AC114,"&gt;100%")</f>
        <v>4</v>
      </c>
      <c r="F17" s="614">
        <f>COUNTIF('2.Infor Detallado Desempeño POA'!AC107:AC114,"&lt;100%")</f>
        <v>1</v>
      </c>
      <c r="G17" s="612">
        <f>COUNTIF('2.Infor Detallado Desempeño POA'!AC107:AC114,"=No programado")</f>
        <v>0</v>
      </c>
      <c r="H17" s="539">
        <f t="shared" si="1"/>
        <v>8</v>
      </c>
      <c r="I17" s="540">
        <f t="shared" si="0"/>
        <v>0</v>
      </c>
    </row>
    <row r="18" spans="2:9" ht="16.5" customHeight="1">
      <c r="B18" s="521" t="s">
        <v>734</v>
      </c>
      <c r="C18" s="616">
        <f>+'4.Segto Medición POA 2022 T4'!C73</f>
        <v>2</v>
      </c>
      <c r="D18" s="541">
        <f>COUNTIF('2.Infor Detallado Desempeño POA'!AC120:AC121,"=100%")</f>
        <v>1</v>
      </c>
      <c r="E18" s="542">
        <f>COUNTIF('2.Infor Detallado Desempeño POA'!AC120:AC121,"&gt;100%")</f>
        <v>1</v>
      </c>
      <c r="F18" s="614">
        <f>COUNTIF('2.Infor Detallado Desempeño POA'!AC120:AC121,"&lt;100%")</f>
        <v>0</v>
      </c>
      <c r="G18" s="612">
        <f>COUNTIF('2.Infor Detallado Desempeño POA'!AC120:AC121,"=No programado")</f>
        <v>0</v>
      </c>
      <c r="H18" s="539">
        <f t="shared" si="1"/>
        <v>2</v>
      </c>
      <c r="I18" s="540">
        <f t="shared" si="0"/>
        <v>0</v>
      </c>
    </row>
    <row r="19" spans="2:9">
      <c r="B19" s="521" t="s">
        <v>735</v>
      </c>
      <c r="C19" s="616">
        <f>+'4.Segto Medición POA 2022 T4'!C74</f>
        <v>3</v>
      </c>
      <c r="D19" s="541">
        <f>COUNTIF('2.Infor Detallado Desempeño POA'!AC127:AC129,"=100%")</f>
        <v>1</v>
      </c>
      <c r="E19" s="542">
        <f>COUNTIF('2.Infor Detallado Desempeño POA'!AC127:AC129,"&gt;100%")</f>
        <v>1</v>
      </c>
      <c r="F19" s="614">
        <f>COUNTIF('2.Infor Detallado Desempeño POA'!AC127:AC129,"&lt;100%")</f>
        <v>1</v>
      </c>
      <c r="G19" s="612">
        <f>COUNTIF('2.Infor Detallado Desempeño POA'!AC127:AC129,"=No programado")</f>
        <v>0</v>
      </c>
      <c r="H19" s="539">
        <f t="shared" si="1"/>
        <v>3</v>
      </c>
      <c r="I19" s="540">
        <f t="shared" si="0"/>
        <v>0</v>
      </c>
    </row>
    <row r="20" spans="2:9">
      <c r="B20" s="521" t="s">
        <v>736</v>
      </c>
      <c r="C20" s="616">
        <f>+'4.Segto Medición POA 2022 T4'!C75</f>
        <v>4</v>
      </c>
      <c r="D20" s="541">
        <f>COUNTIF('2.Infor Detallado Desempeño POA'!AC135:AC138,"=100%")</f>
        <v>1</v>
      </c>
      <c r="E20" s="542">
        <f>COUNTIF('2.Infor Detallado Desempeño POA'!AC135:AC138,"&gt;100%")</f>
        <v>2</v>
      </c>
      <c r="F20" s="614">
        <f>COUNTIF('2.Infor Detallado Desempeño POA'!AC135:AC138,"&lt;100%")</f>
        <v>1</v>
      </c>
      <c r="G20" s="612">
        <f>COUNTIF('2.Infor Detallado Desempeño POA'!AC135:AC138,"=No programado")</f>
        <v>0</v>
      </c>
      <c r="H20" s="539">
        <f t="shared" si="1"/>
        <v>4</v>
      </c>
      <c r="I20" s="540">
        <f t="shared" si="0"/>
        <v>0</v>
      </c>
    </row>
    <row r="21" spans="2:9">
      <c r="B21" s="521" t="s">
        <v>737</v>
      </c>
      <c r="C21" s="616">
        <f>+'4.Segto Medición POA 2022 T4'!C76</f>
        <v>4</v>
      </c>
      <c r="D21" s="541">
        <f>COUNTIF('2.Infor Detallado Desempeño POA'!AC144:AC147,"=100%")</f>
        <v>0</v>
      </c>
      <c r="E21" s="542">
        <f>COUNTIF('2.Infor Detallado Desempeño POA'!AC144:AC147,"&gt;100%")</f>
        <v>3</v>
      </c>
      <c r="F21" s="614">
        <f>COUNTIF('2.Infor Detallado Desempeño POA'!AC144:AC147,"&lt;100%")</f>
        <v>1</v>
      </c>
      <c r="G21" s="612">
        <f>COUNTIF('2.Infor Detallado Desempeño POA'!AC144:AC147,"=No programado")</f>
        <v>0</v>
      </c>
      <c r="H21" s="539">
        <f t="shared" si="1"/>
        <v>4</v>
      </c>
      <c r="I21" s="540">
        <f t="shared" si="0"/>
        <v>0</v>
      </c>
    </row>
    <row r="22" spans="2:9">
      <c r="B22" s="521" t="s">
        <v>738</v>
      </c>
      <c r="C22" s="616">
        <f>+'4.Segto Medición POA 2022 T4'!C77</f>
        <v>5</v>
      </c>
      <c r="D22" s="541">
        <f>COUNTIF('2.Infor Detallado Desempeño POA'!AC153:AC157,"=100%")</f>
        <v>5</v>
      </c>
      <c r="E22" s="542">
        <f>COUNTIF('2.Infor Detallado Desempeño POA'!AC153:AC157,"&gt;100%")</f>
        <v>0</v>
      </c>
      <c r="F22" s="614">
        <f>COUNTIF('2.Infor Detallado Desempeño POA'!AC153:AC157,"&lt;100%")</f>
        <v>0</v>
      </c>
      <c r="G22" s="612">
        <f>COUNTIF('2.Infor Detallado Desempeño POA'!AC153:AC157,"=No programado")</f>
        <v>0</v>
      </c>
      <c r="H22" s="539">
        <f t="shared" si="1"/>
        <v>5</v>
      </c>
      <c r="I22" s="540">
        <f t="shared" si="0"/>
        <v>0</v>
      </c>
    </row>
    <row r="23" spans="2:9">
      <c r="B23" s="521" t="s">
        <v>740</v>
      </c>
      <c r="C23" s="616">
        <f>+'4.Segto Medición POA 2022 T4'!C78</f>
        <v>3</v>
      </c>
      <c r="D23" s="541">
        <f>COUNTIF('2.Infor Detallado Desempeño POA'!AC163:AC165,"=100%")</f>
        <v>0</v>
      </c>
      <c r="E23" s="542">
        <f>COUNTIF('2.Infor Detallado Desempeño POA'!AC163:AC165,"&gt;100%")</f>
        <v>1</v>
      </c>
      <c r="F23" s="614">
        <f>COUNTIF('2.Infor Detallado Desempeño POA'!AC163:AC165,"&lt;100%")</f>
        <v>2</v>
      </c>
      <c r="G23" s="612">
        <f>COUNTIF('2.Infor Detallado Desempeño POA'!AC163:AC165,"=No programado")</f>
        <v>0</v>
      </c>
      <c r="H23" s="539">
        <f t="shared" si="1"/>
        <v>3</v>
      </c>
      <c r="I23" s="540">
        <f t="shared" si="0"/>
        <v>0</v>
      </c>
    </row>
    <row r="24" spans="2:9">
      <c r="B24" s="521" t="s">
        <v>741</v>
      </c>
      <c r="C24" s="616">
        <f>+'4.Segto Medición POA 2022 T4'!C79</f>
        <v>3</v>
      </c>
      <c r="D24" s="541">
        <f>COUNTIF('2.Infor Detallado Desempeño POA'!AC171:AC173,"=100%")</f>
        <v>1</v>
      </c>
      <c r="E24" s="542">
        <f>COUNTIF('2.Infor Detallado Desempeño POA'!AC171:AC173,"&gt;100%")</f>
        <v>0</v>
      </c>
      <c r="F24" s="614">
        <f>COUNTIF('2.Infor Detallado Desempeño POA'!AC171:AC173,"&lt;100%")</f>
        <v>0</v>
      </c>
      <c r="G24" s="612">
        <f>COUNTIF('2.Infor Detallado Desempeño POA'!AC171:AC173,"=No programado")</f>
        <v>2</v>
      </c>
      <c r="H24" s="539">
        <f t="shared" si="1"/>
        <v>3</v>
      </c>
      <c r="I24" s="540">
        <f t="shared" si="0"/>
        <v>0</v>
      </c>
    </row>
    <row r="25" spans="2:9" ht="19.5" customHeight="1">
      <c r="B25" s="554" t="s">
        <v>893</v>
      </c>
      <c r="C25" s="555">
        <f>SUM(C9:C24)</f>
        <v>87</v>
      </c>
      <c r="D25" s="556">
        <f t="shared" ref="D25:E25" si="2">SUM(D9:D24)</f>
        <v>27</v>
      </c>
      <c r="E25" s="557">
        <f t="shared" si="2"/>
        <v>29</v>
      </c>
      <c r="F25" s="615">
        <f>SUM(F9:F24)</f>
        <v>20</v>
      </c>
      <c r="G25" s="613">
        <f>SUM(G9:G24)</f>
        <v>11</v>
      </c>
      <c r="H25" s="539">
        <f>SUM(D25:G25)</f>
        <v>87</v>
      </c>
      <c r="I25" s="540">
        <f t="shared" si="0"/>
        <v>0</v>
      </c>
    </row>
    <row r="27" spans="2:9" s="622" customFormat="1" ht="2.4500000000000002" customHeight="1">
      <c r="C27" s="626"/>
      <c r="D27" s="897" t="str">
        <f>+D8</f>
        <v>No de Indicadores con Meta Cumplida según programación</v>
      </c>
      <c r="E27" s="898">
        <f>+D25</f>
        <v>27</v>
      </c>
      <c r="H27" s="623"/>
    </row>
    <row r="28" spans="2:9" s="622" customFormat="1" ht="2.4500000000000002" customHeight="1">
      <c r="C28" s="626"/>
      <c r="D28" s="897" t="str">
        <f>+E8</f>
        <v xml:space="preserve">No de Indicadores con ejecución superior a la programada </v>
      </c>
      <c r="E28" s="898">
        <f>+E25</f>
        <v>29</v>
      </c>
      <c r="H28" s="623"/>
    </row>
    <row r="29" spans="2:9" s="622" customFormat="1" ht="2.4500000000000002" customHeight="1">
      <c r="C29" s="626"/>
      <c r="D29" s="897" t="str">
        <f>+F8</f>
        <v xml:space="preserve">No de Indicadores con ejecución menor a la programada </v>
      </c>
      <c r="E29" s="898">
        <f>+F25</f>
        <v>20</v>
      </c>
      <c r="H29" s="623"/>
    </row>
    <row r="30" spans="2:9" s="622" customFormat="1" ht="2.4500000000000002" customHeight="1">
      <c r="C30" s="626"/>
      <c r="D30" s="897" t="str">
        <f>+G8</f>
        <v>No de indicadores sin programar en el periodo</v>
      </c>
      <c r="E30" s="898">
        <f>+G25</f>
        <v>11</v>
      </c>
      <c r="H30" s="623"/>
    </row>
    <row r="31" spans="2:9" s="622" customFormat="1">
      <c r="C31" s="623"/>
      <c r="D31" s="623"/>
      <c r="E31" s="623"/>
      <c r="H31" s="623"/>
    </row>
    <row r="32" spans="2:9" s="622" customFormat="1">
      <c r="C32" s="623"/>
      <c r="D32" s="623"/>
      <c r="E32" s="623"/>
      <c r="H32" s="623"/>
    </row>
    <row r="33" spans="2:9" s="622" customFormat="1" hidden="1">
      <c r="C33" s="623"/>
      <c r="D33" s="623"/>
      <c r="E33" s="623"/>
      <c r="H33" s="623"/>
    </row>
    <row r="34" spans="2:9" s="625" customFormat="1" ht="10.15" hidden="1" customHeight="1">
      <c r="C34" s="626"/>
      <c r="D34" s="1481" t="str">
        <f>+C7</f>
        <v>CUMPLIMIENTO PROGRAMACIÓN EN EL PERIODO 
Tercer Trimestre de 2022</v>
      </c>
      <c r="E34" s="1481"/>
      <c r="H34" s="626"/>
    </row>
    <row r="35" spans="2:9" s="625" customFormat="1" ht="28.15" customHeight="1">
      <c r="B35" s="1431" t="s">
        <v>717</v>
      </c>
      <c r="C35" s="1486" t="s">
        <v>1158</v>
      </c>
      <c r="D35" s="1487"/>
      <c r="E35" s="1487"/>
      <c r="F35" s="1487"/>
      <c r="G35" s="1488"/>
      <c r="H35" s="626"/>
    </row>
    <row r="36" spans="2:9" s="625" customFormat="1" ht="29.45" customHeight="1">
      <c r="B36" s="1431"/>
      <c r="C36" s="1565" t="s">
        <v>1177</v>
      </c>
      <c r="D36" s="1566"/>
      <c r="E36" s="1489">
        <f>C5</f>
        <v>44834</v>
      </c>
      <c r="F36" s="1489"/>
      <c r="G36" s="1066"/>
      <c r="H36" s="626"/>
    </row>
    <row r="37" spans="2:9" s="625" customFormat="1" ht="77.25" customHeight="1">
      <c r="B37" s="1431"/>
      <c r="C37" s="611" t="s">
        <v>895</v>
      </c>
      <c r="D37" s="611" t="s">
        <v>896</v>
      </c>
      <c r="E37" s="611" t="s">
        <v>897</v>
      </c>
      <c r="F37" s="611" t="s">
        <v>904</v>
      </c>
      <c r="G37" s="570" t="s">
        <v>923</v>
      </c>
      <c r="H37" s="626"/>
    </row>
    <row r="38" spans="2:9" s="625" customFormat="1" ht="19.899999999999999" customHeight="1">
      <c r="B38" s="521" t="s">
        <v>724</v>
      </c>
      <c r="C38" s="616">
        <f>+C64</f>
        <v>4</v>
      </c>
      <c r="D38" s="541">
        <f>COUNTIF('2.Infor Detallado Desempeño POA'!AD12:AD15,"&gt;=99%")-COUNTIF('2.Infor Detallado Desempeño POA'!AD12:AD15,"&gt;100%")</f>
        <v>3</v>
      </c>
      <c r="E38" s="542">
        <f>COUNTIF('2.Infor Detallado Desempeño POA'!AD12:AD15,"&gt;100%")</f>
        <v>1</v>
      </c>
      <c r="F38" s="614">
        <f>COUNTIF('2.Infor Detallado Desempeño POA'!AD12:AD15,"&lt;99%")</f>
        <v>0</v>
      </c>
      <c r="G38" s="612">
        <f>COUNTIF('2.Infor Detallado Desempeño POA'!AD12:AD15,"=No programado")</f>
        <v>0</v>
      </c>
      <c r="H38" s="539">
        <f>SUM(D38:G38)</f>
        <v>4</v>
      </c>
      <c r="I38" s="540">
        <f t="shared" ref="I38:I54" si="3">C38-H38</f>
        <v>0</v>
      </c>
    </row>
    <row r="39" spans="2:9" s="625" customFormat="1" ht="19.899999999999999" customHeight="1">
      <c r="B39" s="521" t="s">
        <v>726</v>
      </c>
      <c r="C39" s="616">
        <f t="shared" ref="C39:C53" si="4">+C65</f>
        <v>4</v>
      </c>
      <c r="D39" s="541">
        <f>COUNTIF('2.Infor Detallado Desempeño POA'!AD21:AD24,"&gt;=99%")-COUNTIF('2.Infor Detallado Desempeño POA'!AD21:AD24,"&gt;100%")</f>
        <v>1</v>
      </c>
      <c r="E39" s="542">
        <f>COUNTIF('2.Infor Detallado Desempeño POA'!AD21:AD24,"&gt;100%")</f>
        <v>1</v>
      </c>
      <c r="F39" s="614">
        <f>COUNTIF('2.Infor Detallado Desempeño POA'!AD21:AD24,"&lt;99%")</f>
        <v>0</v>
      </c>
      <c r="G39" s="612">
        <f>COUNTIF('2.Infor Detallado Desempeño POA'!AD21:AD24,"=No programado")</f>
        <v>2</v>
      </c>
      <c r="H39" s="539">
        <f t="shared" ref="H39:H40" si="5">SUM(D39:G39)</f>
        <v>4</v>
      </c>
      <c r="I39" s="540">
        <f t="shared" si="3"/>
        <v>0</v>
      </c>
    </row>
    <row r="40" spans="2:9" s="625" customFormat="1" ht="19.899999999999999" customHeight="1">
      <c r="B40" s="521" t="s">
        <v>727</v>
      </c>
      <c r="C40" s="616">
        <f t="shared" si="4"/>
        <v>7</v>
      </c>
      <c r="D40" s="541">
        <f>COUNTIF('2.Infor Detallado Desempeño POA'!AD30:AD36,"&gt;=99%")-COUNTIF('2.Infor Detallado Desempeño POA'!AD30:AD36,"&gt;100%")</f>
        <v>7</v>
      </c>
      <c r="E40" s="542">
        <f>COUNTIF('2.Infor Detallado Desempeño POA'!AD30:AD36,"&gt;100%")</f>
        <v>0</v>
      </c>
      <c r="F40" s="614">
        <f>COUNTIF('2.Infor Detallado Desempeño POA'!AD30:AD36,"&lt;99%")</f>
        <v>0</v>
      </c>
      <c r="G40" s="612">
        <f>COUNTIF('2.Infor Detallado Desempeño POA'!AD30:AD36,"=No programado")</f>
        <v>0</v>
      </c>
      <c r="H40" s="539">
        <f t="shared" si="5"/>
        <v>7</v>
      </c>
      <c r="I40" s="540">
        <f t="shared" si="3"/>
        <v>0</v>
      </c>
    </row>
    <row r="41" spans="2:9" s="625" customFormat="1" ht="19.899999999999999" customHeight="1">
      <c r="B41" s="521" t="s">
        <v>728</v>
      </c>
      <c r="C41" s="616">
        <f t="shared" si="4"/>
        <v>2</v>
      </c>
      <c r="D41" s="541">
        <f>COUNTIF('2.Infor Detallado Desempeño POA'!AD42:AD43,"&gt;=99%")-COUNTIF('2.Infor Detallado Desempeño POA'!AD42:AD43,"&gt;100%")</f>
        <v>2</v>
      </c>
      <c r="E41" s="542">
        <f>COUNTIF('2.Infor Detallado Desempeño POA'!AD42:AD43,"&gt;100%")</f>
        <v>0</v>
      </c>
      <c r="F41" s="614">
        <f>COUNTIF('2.Infor Detallado Desempeño POA'!AD42:AD43,"&lt;99%")</f>
        <v>0</v>
      </c>
      <c r="G41" s="612">
        <f>COUNTIF('2.Infor Detallado Desempeño POA'!AD42:AD43,"=No programado")</f>
        <v>0</v>
      </c>
      <c r="H41" s="539">
        <f>SUM(D41:G41)</f>
        <v>2</v>
      </c>
      <c r="I41" s="540">
        <f t="shared" si="3"/>
        <v>0</v>
      </c>
    </row>
    <row r="42" spans="2:9" s="625" customFormat="1" ht="19.899999999999999" customHeight="1">
      <c r="B42" s="521" t="s">
        <v>739</v>
      </c>
      <c r="C42" s="616">
        <f t="shared" si="4"/>
        <v>3</v>
      </c>
      <c r="D42" s="541">
        <f>COUNTIF('2.Infor Detallado Desempeño POA'!AD49:AD51,"&gt;=99%")-COUNTIF('2.Infor Detallado Desempeño POA'!AD49:AD51,"&gt;100%")</f>
        <v>1</v>
      </c>
      <c r="E42" s="542">
        <f>COUNTIF('2.Infor Detallado Desempeño POA'!AD49:AD51,"&gt;100%")</f>
        <v>1</v>
      </c>
      <c r="F42" s="614">
        <f>COUNTIF('2.Infor Detallado Desempeño POA'!AD49:AD51,"&lt;99%")</f>
        <v>0</v>
      </c>
      <c r="G42" s="612">
        <f>COUNTIF('2.Infor Detallado Desempeño POA'!AD49:AD51,"=No programado")</f>
        <v>1</v>
      </c>
      <c r="H42" s="539">
        <f t="shared" ref="H42:H53" si="6">SUM(D42:G42)</f>
        <v>3</v>
      </c>
      <c r="I42" s="540">
        <f t="shared" si="3"/>
        <v>0</v>
      </c>
    </row>
    <row r="43" spans="2:9" s="625" customFormat="1" ht="19.899999999999999" customHeight="1">
      <c r="B43" s="521" t="s">
        <v>729</v>
      </c>
      <c r="C43" s="616">
        <f t="shared" si="4"/>
        <v>20</v>
      </c>
      <c r="D43" s="541">
        <f>COUNTIF('2.Infor Detallado Desempeño POA'!AD57:AD76,"&gt;=99%")-COUNTIF('2.Infor Detallado Desempeño POA'!AD57:AD76,"&gt;100%")</f>
        <v>0</v>
      </c>
      <c r="E43" s="542">
        <f>COUNTIF('2.Infor Detallado Desempeño POA'!AD57:AD76,"&gt;100%")</f>
        <v>13</v>
      </c>
      <c r="F43" s="614">
        <f>COUNTIF('2.Infor Detallado Desempeño POA'!AD57:AD76,"&lt;99%")</f>
        <v>5</v>
      </c>
      <c r="G43" s="612">
        <f>COUNTIF('2.Infor Detallado Desempeño POA'!AD57:AD76,"=No programado")</f>
        <v>2</v>
      </c>
      <c r="H43" s="539">
        <f t="shared" si="6"/>
        <v>20</v>
      </c>
      <c r="I43" s="540">
        <f t="shared" si="3"/>
        <v>0</v>
      </c>
    </row>
    <row r="44" spans="2:9" s="625" customFormat="1" ht="19.899999999999999" customHeight="1">
      <c r="B44" s="521" t="s">
        <v>864</v>
      </c>
      <c r="C44" s="616">
        <f t="shared" si="4"/>
        <v>7</v>
      </c>
      <c r="D44" s="541">
        <f>COUNTIF('2.Infor Detallado Desempeño POA'!AD82:AD88,"&gt;=99%")-COUNTIF('2.Infor Detallado Desempeño POA'!AD82:AD88,"&gt;100%")</f>
        <v>1</v>
      </c>
      <c r="E44" s="542">
        <f>COUNTIF('2.Infor Detallado Desempeño POA'!AD82:AD88,"&gt;100%")</f>
        <v>1</v>
      </c>
      <c r="F44" s="614">
        <f>COUNTIF('2.Infor Detallado Desempeño POA'!AD82:AD88,"&lt;99%")</f>
        <v>4</v>
      </c>
      <c r="G44" s="612">
        <f>COUNTIF('2.Infor Detallado Desempeño POA'!AD82:AD88,"=No programado")</f>
        <v>1</v>
      </c>
      <c r="H44" s="539">
        <f t="shared" si="6"/>
        <v>7</v>
      </c>
      <c r="I44" s="540">
        <f t="shared" si="3"/>
        <v>0</v>
      </c>
    </row>
    <row r="45" spans="2:9" s="625" customFormat="1" ht="19.899999999999999" customHeight="1">
      <c r="B45" s="521" t="s">
        <v>732</v>
      </c>
      <c r="C45" s="616">
        <f t="shared" si="4"/>
        <v>8</v>
      </c>
      <c r="D45" s="541">
        <f>COUNTIF('2.Infor Detallado Desempeño POA'!AD94:AD101,"&gt;=99%")-COUNTIF('2.Infor Detallado Desempeño POA'!AD94:AD101,"&gt;100%")</f>
        <v>4</v>
      </c>
      <c r="E45" s="542">
        <f>COUNTIF('2.Infor Detallado Desempeño POA'!AD94:AD101,"&gt;100%")</f>
        <v>1</v>
      </c>
      <c r="F45" s="614">
        <f>COUNTIF('2.Infor Detallado Desempeño POA'!AD94:AD101,"&lt;99%")</f>
        <v>3</v>
      </c>
      <c r="G45" s="612">
        <f>COUNTIF('2.Infor Detallado Desempeño POA'!AD94:AD101,"=No programado")</f>
        <v>0</v>
      </c>
      <c r="H45" s="539">
        <f t="shared" si="6"/>
        <v>8</v>
      </c>
      <c r="I45" s="540">
        <f t="shared" si="3"/>
        <v>0</v>
      </c>
    </row>
    <row r="46" spans="2:9" s="625" customFormat="1" ht="19.899999999999999" customHeight="1">
      <c r="B46" s="521" t="s">
        <v>733</v>
      </c>
      <c r="C46" s="616">
        <f t="shared" si="4"/>
        <v>8</v>
      </c>
      <c r="D46" s="541">
        <f>COUNTIF('2.Infor Detallado Desempeño POA'!AD107:AD114,"&gt;=99%")-COUNTIF('2.Infor Detallado Desempeño POA'!AD107:AD114,"&gt;100%")</f>
        <v>4</v>
      </c>
      <c r="E46" s="542">
        <f>COUNTIF('2.Infor Detallado Desempeño POA'!AD107:AD114,"&gt;100%")</f>
        <v>2</v>
      </c>
      <c r="F46" s="614">
        <f>COUNTIF('2.Infor Detallado Desempeño POA'!AD107:AD114,"&lt;99%")</f>
        <v>2</v>
      </c>
      <c r="G46" s="612">
        <f>COUNTIF('2.Infor Detallado Desempeño POA'!AD107:AD114,"=No programado")</f>
        <v>0</v>
      </c>
      <c r="H46" s="539">
        <f t="shared" si="6"/>
        <v>8</v>
      </c>
      <c r="I46" s="540">
        <f t="shared" si="3"/>
        <v>0</v>
      </c>
    </row>
    <row r="47" spans="2:9" s="625" customFormat="1" ht="19.899999999999999" customHeight="1">
      <c r="B47" s="521" t="s">
        <v>734</v>
      </c>
      <c r="C47" s="616">
        <f t="shared" si="4"/>
        <v>2</v>
      </c>
      <c r="D47" s="541">
        <f>COUNTIF('2.Infor Detallado Desempeño POA'!AD120:AD121,"&gt;=99%")-COUNTIF('2.Infor Detallado Desempeño POA'!AD120:AD121,"&gt;100%")</f>
        <v>1</v>
      </c>
      <c r="E47" s="542">
        <f>COUNTIF('2.Infor Detallado Desempeño POA'!AD120:AD121,"&gt;100%")</f>
        <v>1</v>
      </c>
      <c r="F47" s="614">
        <f>COUNTIF('2.Infor Detallado Desempeño POA'!AD120:AD121,"&lt;99%")</f>
        <v>0</v>
      </c>
      <c r="G47" s="612">
        <f>COUNTIF('2.Infor Detallado Desempeño POA'!AD120:AD121,"=No programado")</f>
        <v>0</v>
      </c>
      <c r="H47" s="539">
        <f t="shared" si="6"/>
        <v>2</v>
      </c>
      <c r="I47" s="540">
        <f t="shared" si="3"/>
        <v>0</v>
      </c>
    </row>
    <row r="48" spans="2:9" s="625" customFormat="1" ht="19.899999999999999" customHeight="1">
      <c r="B48" s="521" t="s">
        <v>735</v>
      </c>
      <c r="C48" s="616">
        <f t="shared" si="4"/>
        <v>3</v>
      </c>
      <c r="D48" s="541">
        <f>COUNTIF('2.Infor Detallado Desempeño POA'!AD127:AD129,"&gt;=99%")-COUNTIF('2.Infor Detallado Desempeño POA'!AD127:AD129,"&gt;100%")</f>
        <v>2</v>
      </c>
      <c r="E48" s="542">
        <f>COUNTIF('2.Infor Detallado Desempeño POA'!AD127:AD129,"&gt;100%")</f>
        <v>1</v>
      </c>
      <c r="F48" s="614">
        <f>COUNTIF('2.Infor Detallado Desempeño POA'!AD127:AD129,"&lt;99%")</f>
        <v>0</v>
      </c>
      <c r="G48" s="612">
        <f>COUNTIF('2.Infor Detallado Desempeño POA'!AD127:AD129,"=No programado")</f>
        <v>0</v>
      </c>
      <c r="H48" s="539">
        <f t="shared" si="6"/>
        <v>3</v>
      </c>
      <c r="I48" s="540">
        <f t="shared" si="3"/>
        <v>0</v>
      </c>
    </row>
    <row r="49" spans="2:17" s="625" customFormat="1" ht="19.899999999999999" customHeight="1">
      <c r="B49" s="521" t="s">
        <v>736</v>
      </c>
      <c r="C49" s="616">
        <f t="shared" si="4"/>
        <v>4</v>
      </c>
      <c r="D49" s="541">
        <f>COUNTIF('2.Infor Detallado Desempeño POA'!AD135:AD138,"&gt;=99%")-COUNTIF('2.Infor Detallado Desempeño POA'!AD135:AD138,"&gt;100%")</f>
        <v>0</v>
      </c>
      <c r="E49" s="542">
        <f>COUNTIF('2.Infor Detallado Desempeño POA'!AD135:AD138,"&gt;100%")</f>
        <v>3</v>
      </c>
      <c r="F49" s="614">
        <f>COUNTIF('2.Infor Detallado Desempeño POA'!AD135:AD138,"&lt;99%")</f>
        <v>1</v>
      </c>
      <c r="G49" s="612">
        <f>COUNTIF('2.Infor Detallado Desempeño POA'!AD135:AD138,"=No programado")</f>
        <v>0</v>
      </c>
      <c r="H49" s="539">
        <f t="shared" si="6"/>
        <v>4</v>
      </c>
      <c r="I49" s="540">
        <f t="shared" si="3"/>
        <v>0</v>
      </c>
    </row>
    <row r="50" spans="2:17" s="625" customFormat="1" ht="19.899999999999999" customHeight="1">
      <c r="B50" s="521" t="s">
        <v>737</v>
      </c>
      <c r="C50" s="616">
        <f t="shared" si="4"/>
        <v>4</v>
      </c>
      <c r="D50" s="541">
        <f>COUNTIF('2.Infor Detallado Desempeño POA'!AD144:AD147,"&gt;=99%")-COUNTIF('2.Infor Detallado Desempeño POA'!AD144:AD147,"&gt;100%")</f>
        <v>0</v>
      </c>
      <c r="E50" s="542">
        <f>COUNTIF('2.Infor Detallado Desempeño POA'!AD144:AD147,"&gt;100%")</f>
        <v>4</v>
      </c>
      <c r="F50" s="614">
        <f>COUNTIF('2.Infor Detallado Desempeño POA'!AD144:AD147,"&lt;99%")</f>
        <v>0</v>
      </c>
      <c r="G50" s="612">
        <f>COUNTIF('2.Infor Detallado Desempeño POA'!AD144:AD147,"=No programado")</f>
        <v>0</v>
      </c>
      <c r="H50" s="539">
        <f t="shared" si="6"/>
        <v>4</v>
      </c>
      <c r="I50" s="540">
        <f t="shared" si="3"/>
        <v>0</v>
      </c>
    </row>
    <row r="51" spans="2:17" s="625" customFormat="1" ht="19.899999999999999" customHeight="1">
      <c r="B51" s="521" t="s">
        <v>738</v>
      </c>
      <c r="C51" s="616">
        <f t="shared" si="4"/>
        <v>5</v>
      </c>
      <c r="D51" s="541">
        <f>COUNTIF('2.Infor Detallado Desempeño POA'!AD153:AD157,"&gt;=99%")-COUNTIF('2.Infor Detallado Desempeño POA'!AD153:AD157,"&gt;100%")</f>
        <v>5</v>
      </c>
      <c r="E51" s="542">
        <f>COUNTIF('2.Infor Detallado Desempeño POA'!AD153:AD157,"&gt;100%")</f>
        <v>0</v>
      </c>
      <c r="F51" s="614">
        <f>COUNTIF('2.Infor Detallado Desempeño POA'!AD153:AD157,"&lt;99%")</f>
        <v>0</v>
      </c>
      <c r="G51" s="612">
        <f>COUNTIF('2.Infor Detallado Desempeño POA'!AD153:AD157,"=No programado")</f>
        <v>0</v>
      </c>
      <c r="H51" s="539">
        <f t="shared" si="6"/>
        <v>5</v>
      </c>
      <c r="I51" s="540">
        <f t="shared" si="3"/>
        <v>0</v>
      </c>
    </row>
    <row r="52" spans="2:17" s="625" customFormat="1" ht="19.899999999999999" customHeight="1">
      <c r="B52" s="521" t="s">
        <v>740</v>
      </c>
      <c r="C52" s="616">
        <f t="shared" si="4"/>
        <v>3</v>
      </c>
      <c r="D52" s="541">
        <f>COUNTIF('2.Infor Detallado Desempeño POA'!AD163:AD165,"&gt;=99%")-COUNTIF('2.Infor Detallado Desempeño POA'!AD163:AD165,"&gt;100%")</f>
        <v>0</v>
      </c>
      <c r="E52" s="542">
        <f>COUNTIF('2.Infor Detallado Desempeño POA'!AD163:AD165,"&gt;100%")</f>
        <v>2</v>
      </c>
      <c r="F52" s="614">
        <f>COUNTIF('2.Infor Detallado Desempeño POA'!AD163:AD165,"&lt;99%")</f>
        <v>1</v>
      </c>
      <c r="G52" s="612">
        <f>COUNTIF('2.Infor Detallado Desempeño POA'!AD163:AD165,"=No programado")</f>
        <v>0</v>
      </c>
      <c r="H52" s="539">
        <f t="shared" si="6"/>
        <v>3</v>
      </c>
      <c r="I52" s="540">
        <f t="shared" si="3"/>
        <v>0</v>
      </c>
    </row>
    <row r="53" spans="2:17" s="625" customFormat="1" ht="19.899999999999999" customHeight="1">
      <c r="B53" s="521" t="s">
        <v>741</v>
      </c>
      <c r="C53" s="616">
        <f t="shared" si="4"/>
        <v>3</v>
      </c>
      <c r="D53" s="541">
        <f>COUNTIF('2.Infor Detallado Desempeño POA'!AD171:AD173,"&gt;=99%")-COUNTIF('2.Infor Detallado Desempeño POA'!AD171:AD173,"&gt;100%")</f>
        <v>2</v>
      </c>
      <c r="E53" s="542">
        <f>COUNTIF('2.Infor Detallado Desempeño POA'!AD171:AD173,"&gt;100%")</f>
        <v>0</v>
      </c>
      <c r="F53" s="614">
        <f>COUNTIF('2.Infor Detallado Desempeño POA'!AD171:AD173,"&lt;99%")</f>
        <v>0</v>
      </c>
      <c r="G53" s="612">
        <f>COUNTIF('2.Infor Detallado Desempeño POA'!AD171:AD173,"=No programado")</f>
        <v>1</v>
      </c>
      <c r="H53" s="539">
        <f t="shared" si="6"/>
        <v>3</v>
      </c>
      <c r="I53" s="540">
        <f t="shared" si="3"/>
        <v>0</v>
      </c>
    </row>
    <row r="54" spans="2:17" s="625" customFormat="1" ht="19.899999999999999" customHeight="1">
      <c r="B54" s="554" t="s">
        <v>893</v>
      </c>
      <c r="C54" s="555">
        <f>SUM(C38:C53)</f>
        <v>87</v>
      </c>
      <c r="D54" s="556">
        <f t="shared" ref="D54:E54" si="7">SUM(D38:D53)</f>
        <v>33</v>
      </c>
      <c r="E54" s="557">
        <f t="shared" si="7"/>
        <v>31</v>
      </c>
      <c r="F54" s="615">
        <f>SUM(F38:F53)</f>
        <v>16</v>
      </c>
      <c r="G54" s="613">
        <f>SUM(G38:G53)</f>
        <v>7</v>
      </c>
      <c r="H54" s="539">
        <f>SUM(D54:G54)</f>
        <v>87</v>
      </c>
      <c r="I54" s="540">
        <f t="shared" si="3"/>
        <v>0</v>
      </c>
    </row>
    <row r="55" spans="2:17" s="625" customFormat="1" ht="19.899999999999999" customHeight="1">
      <c r="B55" s="894"/>
      <c r="C55" s="896"/>
      <c r="D55" s="896"/>
      <c r="E55" s="896"/>
      <c r="F55" s="896"/>
      <c r="G55" s="896"/>
      <c r="H55" s="895"/>
      <c r="I55" s="540"/>
    </row>
    <row r="56" spans="2:17" s="625" customFormat="1" ht="3" customHeight="1">
      <c r="C56" s="899"/>
      <c r="D56" s="897" t="str">
        <f>+D37</f>
        <v>No de Indicadores con Meta Cumplida según programación</v>
      </c>
      <c r="E56" s="898">
        <f>+D54</f>
        <v>33</v>
      </c>
      <c r="F56" s="900"/>
      <c r="G56" s="901"/>
      <c r="H56" s="626"/>
    </row>
    <row r="57" spans="2:17" s="625" customFormat="1" ht="3" customHeight="1">
      <c r="C57" s="899"/>
      <c r="D57" s="897" t="str">
        <f>+E37</f>
        <v xml:space="preserve">No de Indicadores con ejecución superior a la programada </v>
      </c>
      <c r="E57" s="898">
        <f>+E54</f>
        <v>31</v>
      </c>
      <c r="F57" s="900"/>
      <c r="G57" s="901"/>
      <c r="H57" s="626"/>
    </row>
    <row r="58" spans="2:17" s="625" customFormat="1" ht="3" customHeight="1">
      <c r="C58" s="899"/>
      <c r="D58" s="897" t="str">
        <f>+F37</f>
        <v xml:space="preserve">No de Indicadores con ejecución menor a la programada </v>
      </c>
      <c r="E58" s="898">
        <f>+F54</f>
        <v>16</v>
      </c>
      <c r="F58" s="900"/>
      <c r="G58" s="901"/>
      <c r="H58" s="626"/>
    </row>
    <row r="59" spans="2:17" s="625" customFormat="1" ht="3" customHeight="1">
      <c r="C59" s="899"/>
      <c r="D59" s="897" t="str">
        <f>+G37</f>
        <v>No de indicadores sin programar en el periodo</v>
      </c>
      <c r="E59" s="898">
        <f>+G54</f>
        <v>7</v>
      </c>
      <c r="F59" s="900"/>
      <c r="G59" s="901"/>
      <c r="H59" s="626"/>
    </row>
    <row r="60" spans="2:17" s="625" customFormat="1" ht="10.15" customHeight="1">
      <c r="C60" s="626"/>
      <c r="D60" s="626"/>
      <c r="E60" s="627">
        <f>SUM(E27:E30)</f>
        <v>87</v>
      </c>
      <c r="F60" s="624"/>
      <c r="H60" s="626"/>
    </row>
    <row r="61" spans="2:17" ht="15.75" thickBot="1"/>
    <row r="62" spans="2:17" s="528" customFormat="1" ht="15.75">
      <c r="B62" s="1474" t="s">
        <v>750</v>
      </c>
      <c r="C62" s="1476" t="s">
        <v>891</v>
      </c>
      <c r="D62" s="1478" t="s">
        <v>892</v>
      </c>
      <c r="E62" s="1479"/>
      <c r="F62" s="1480"/>
      <c r="P62" s="516"/>
      <c r="Q62" s="516"/>
    </row>
    <row r="63" spans="2:17" ht="33" customHeight="1">
      <c r="B63" s="1475"/>
      <c r="C63" s="1477"/>
      <c r="D63" s="1050" t="s">
        <v>759</v>
      </c>
      <c r="E63" s="1050" t="s">
        <v>763</v>
      </c>
      <c r="F63" s="531" t="s">
        <v>767</v>
      </c>
      <c r="H63" s="516"/>
    </row>
    <row r="64" spans="2:17">
      <c r="B64" s="532" t="s">
        <v>724</v>
      </c>
      <c r="C64" s="533">
        <f>+'3.Resum Desemp Procesos POA T1'!C41</f>
        <v>4</v>
      </c>
      <c r="D64" s="533">
        <f>+'Rango indicadores'!E111</f>
        <v>4</v>
      </c>
      <c r="E64" s="533">
        <f>+'Rango indicadores'!F111</f>
        <v>0</v>
      </c>
      <c r="F64" s="534">
        <f>+'Rango indicadores'!G111</f>
        <v>0</v>
      </c>
      <c r="H64" s="516"/>
    </row>
    <row r="65" spans="2:8">
      <c r="B65" s="532" t="s">
        <v>726</v>
      </c>
      <c r="C65" s="533">
        <f>+'3.Resum Desemp Procesos POA T1'!C42</f>
        <v>4</v>
      </c>
      <c r="D65" s="533">
        <f>+'Rango indicadores'!E112</f>
        <v>4</v>
      </c>
      <c r="E65" s="533">
        <f>+'Rango indicadores'!F112</f>
        <v>0</v>
      </c>
      <c r="F65" s="534">
        <f>+'Rango indicadores'!G112</f>
        <v>0</v>
      </c>
      <c r="H65" s="516"/>
    </row>
    <row r="66" spans="2:8">
      <c r="B66" s="532" t="s">
        <v>727</v>
      </c>
      <c r="C66" s="533">
        <f>+'3.Resum Desemp Procesos POA T1'!C43</f>
        <v>7</v>
      </c>
      <c r="D66" s="533">
        <f>+'Rango indicadores'!E113</f>
        <v>7</v>
      </c>
      <c r="E66" s="533">
        <f>+'Rango indicadores'!F113</f>
        <v>0</v>
      </c>
      <c r="F66" s="534">
        <f>+'Rango indicadores'!G113</f>
        <v>0</v>
      </c>
      <c r="H66" s="516"/>
    </row>
    <row r="67" spans="2:8">
      <c r="B67" s="532" t="s">
        <v>728</v>
      </c>
      <c r="C67" s="533">
        <f>+'3.Resum Desemp Procesos POA T1'!C44</f>
        <v>2</v>
      </c>
      <c r="D67" s="533">
        <f>+'Rango indicadores'!E114</f>
        <v>2</v>
      </c>
      <c r="E67" s="533">
        <f>+'Rango indicadores'!F114</f>
        <v>0</v>
      </c>
      <c r="F67" s="534">
        <f>+'Rango indicadores'!G114</f>
        <v>0</v>
      </c>
      <c r="H67" s="516"/>
    </row>
    <row r="68" spans="2:8">
      <c r="B68" s="532" t="s">
        <v>739</v>
      </c>
      <c r="C68" s="533">
        <f>+'3.Resum Desemp Procesos POA T1'!C45</f>
        <v>3</v>
      </c>
      <c r="D68" s="533">
        <f>+'Rango indicadores'!E115</f>
        <v>21</v>
      </c>
      <c r="E68" s="533">
        <f>+'Rango indicadores'!F115</f>
        <v>0</v>
      </c>
      <c r="F68" s="534">
        <f>+'Rango indicadores'!G115</f>
        <v>0</v>
      </c>
      <c r="H68" s="516"/>
    </row>
    <row r="69" spans="2:8">
      <c r="B69" s="532" t="s">
        <v>729</v>
      </c>
      <c r="C69" s="533">
        <f>+'3.Resum Desemp Procesos POA T1'!C47</f>
        <v>20</v>
      </c>
      <c r="D69" s="533">
        <f>+'Rango indicadores'!E116</f>
        <v>7</v>
      </c>
      <c r="E69" s="533">
        <f>+'Rango indicadores'!F116</f>
        <v>0</v>
      </c>
      <c r="F69" s="534">
        <f>+'Rango indicadores'!G116</f>
        <v>0</v>
      </c>
      <c r="H69" s="516"/>
    </row>
    <row r="70" spans="2:8">
      <c r="B70" s="532" t="s">
        <v>864</v>
      </c>
      <c r="C70" s="533">
        <f>+'3.Resum Desemp Procesos POA T1'!C48</f>
        <v>7</v>
      </c>
      <c r="D70" s="533">
        <f>+'Rango indicadores'!E117</f>
        <v>8</v>
      </c>
      <c r="E70" s="533">
        <f>+'Rango indicadores'!F117</f>
        <v>0</v>
      </c>
      <c r="F70" s="534">
        <f>+'Rango indicadores'!G117</f>
        <v>0</v>
      </c>
      <c r="H70" s="516"/>
    </row>
    <row r="71" spans="2:8">
      <c r="B71" s="532" t="s">
        <v>732</v>
      </c>
      <c r="C71" s="533">
        <f>+'3.Resum Desemp Procesos POA T1'!C49</f>
        <v>8</v>
      </c>
      <c r="D71" s="533">
        <f>+'Rango indicadores'!E118</f>
        <v>7</v>
      </c>
      <c r="E71" s="533">
        <f>+'Rango indicadores'!F118</f>
        <v>0</v>
      </c>
      <c r="F71" s="534">
        <f>+'Rango indicadores'!G118</f>
        <v>1</v>
      </c>
      <c r="H71" s="516"/>
    </row>
    <row r="72" spans="2:8">
      <c r="B72" s="532" t="s">
        <v>733</v>
      </c>
      <c r="C72" s="533">
        <f>+'3.Resum Desemp Procesos POA T1'!C51</f>
        <v>8</v>
      </c>
      <c r="D72" s="533">
        <f>+'Rango indicadores'!E119</f>
        <v>2</v>
      </c>
      <c r="E72" s="533">
        <f>+'Rango indicadores'!F119</f>
        <v>0</v>
      </c>
      <c r="F72" s="534">
        <f>+'Rango indicadores'!G119</f>
        <v>0</v>
      </c>
      <c r="H72" s="516"/>
    </row>
    <row r="73" spans="2:8">
      <c r="B73" s="532" t="s">
        <v>734</v>
      </c>
      <c r="C73" s="533">
        <f>+'3.Resum Desemp Procesos POA T1'!C52</f>
        <v>2</v>
      </c>
      <c r="D73" s="533">
        <f>+'Rango indicadores'!E120</f>
        <v>3</v>
      </c>
      <c r="E73" s="533">
        <f>+'Rango indicadores'!F120</f>
        <v>0</v>
      </c>
      <c r="F73" s="534">
        <f>+'Rango indicadores'!G120</f>
        <v>0</v>
      </c>
      <c r="H73" s="516"/>
    </row>
    <row r="74" spans="2:8">
      <c r="B74" s="532" t="s">
        <v>735</v>
      </c>
      <c r="C74" s="533">
        <f>+'3.Resum Desemp Procesos POA T1'!C53</f>
        <v>3</v>
      </c>
      <c r="D74" s="533">
        <f>+'Rango indicadores'!E121</f>
        <v>1</v>
      </c>
      <c r="E74" s="533">
        <f>+'Rango indicadores'!F121</f>
        <v>3</v>
      </c>
      <c r="F74" s="534">
        <f>+'Rango indicadores'!G121</f>
        <v>0</v>
      </c>
      <c r="H74" s="516"/>
    </row>
    <row r="75" spans="2:8">
      <c r="B75" s="532" t="s">
        <v>736</v>
      </c>
      <c r="C75" s="533">
        <f>+'3.Resum Desemp Procesos POA T1'!C54</f>
        <v>4</v>
      </c>
      <c r="D75" s="533">
        <f>+'Rango indicadores'!E122</f>
        <v>3</v>
      </c>
      <c r="E75" s="533">
        <f>+'Rango indicadores'!F122</f>
        <v>1</v>
      </c>
      <c r="F75" s="534">
        <f>+'Rango indicadores'!G122</f>
        <v>0</v>
      </c>
      <c r="H75" s="516"/>
    </row>
    <row r="76" spans="2:8">
      <c r="B76" s="532" t="s">
        <v>737</v>
      </c>
      <c r="C76" s="533">
        <f>+'3.Resum Desemp Procesos POA T1'!C55</f>
        <v>4</v>
      </c>
      <c r="D76" s="533">
        <f>+'Rango indicadores'!E123</f>
        <v>5</v>
      </c>
      <c r="E76" s="533">
        <f>+'Rango indicadores'!F123</f>
        <v>0</v>
      </c>
      <c r="F76" s="534">
        <f>+'Rango indicadores'!G123</f>
        <v>0</v>
      </c>
      <c r="H76" s="516"/>
    </row>
    <row r="77" spans="2:8">
      <c r="B77" s="532" t="s">
        <v>738</v>
      </c>
      <c r="C77" s="533">
        <f>+'3.Resum Desemp Procesos POA T1'!C56</f>
        <v>5</v>
      </c>
      <c r="D77" s="533">
        <f>+'Rango indicadores'!E124</f>
        <v>3</v>
      </c>
      <c r="E77" s="533">
        <f>+'Rango indicadores'!F124</f>
        <v>0</v>
      </c>
      <c r="F77" s="534">
        <f>+'Rango indicadores'!G124</f>
        <v>0</v>
      </c>
      <c r="H77" s="516"/>
    </row>
    <row r="78" spans="2:8">
      <c r="B78" s="532" t="s">
        <v>740</v>
      </c>
      <c r="C78" s="533">
        <f>+'3.Resum Desemp Procesos POA T1'!C58</f>
        <v>3</v>
      </c>
      <c r="D78" s="533">
        <f>+'Rango indicadores'!E125</f>
        <v>3</v>
      </c>
      <c r="E78" s="533">
        <f>+'Rango indicadores'!F125</f>
        <v>0</v>
      </c>
      <c r="F78" s="534">
        <f>+'Rango indicadores'!G125</f>
        <v>0</v>
      </c>
      <c r="H78" s="516"/>
    </row>
    <row r="79" spans="2:8">
      <c r="B79" s="532" t="s">
        <v>741</v>
      </c>
      <c r="C79" s="533">
        <f>+'3.Resum Desemp Procesos POA T1'!C59</f>
        <v>3</v>
      </c>
      <c r="D79" s="533">
        <f>+'Rango indicadores'!E126</f>
        <v>3</v>
      </c>
      <c r="E79" s="533">
        <f>+'Rango indicadores'!F126</f>
        <v>0</v>
      </c>
      <c r="F79" s="534">
        <f>+'Rango indicadores'!G126</f>
        <v>0</v>
      </c>
      <c r="H79" s="516"/>
    </row>
    <row r="80" spans="2:8" ht="16.5" thickBot="1">
      <c r="B80" s="535" t="s">
        <v>893</v>
      </c>
      <c r="C80" s="536">
        <f>SUM(C64:C79)</f>
        <v>87</v>
      </c>
      <c r="D80" s="536">
        <f>SUM(D64:D79)</f>
        <v>83</v>
      </c>
      <c r="E80" s="536">
        <f>SUM(E64:E79)</f>
        <v>4</v>
      </c>
      <c r="F80" s="537">
        <f>SUM(F64:F79)</f>
        <v>1</v>
      </c>
      <c r="H80" s="516"/>
    </row>
    <row r="81" spans="8:8">
      <c r="H81" s="516"/>
    </row>
    <row r="82" spans="8:8">
      <c r="H82" s="516"/>
    </row>
    <row r="84" spans="8:8" ht="15" customHeight="1"/>
  </sheetData>
  <sheetProtection algorithmName="SHA-512" hashValue="U4HXgdV2NQM/b+X1FfzBzQdXAA8yPmLhJwWhbUkkMv08YjxRbE34fs3RIY1wb8LWswM0OIFhC6lGmDfXFZL3cQ==" saltValue="trXrNUpwHefdJvHQBCOtVg==" spinCount="100000" sheet="1" objects="1" scenarios="1"/>
  <mergeCells count="14">
    <mergeCell ref="D34:E34"/>
    <mergeCell ref="B35:B37"/>
    <mergeCell ref="C35:G35"/>
    <mergeCell ref="E36:F36"/>
    <mergeCell ref="B62:B63"/>
    <mergeCell ref="C62:C63"/>
    <mergeCell ref="D62:F62"/>
    <mergeCell ref="C36:D36"/>
    <mergeCell ref="B2:B3"/>
    <mergeCell ref="C2:G2"/>
    <mergeCell ref="C3:G3"/>
    <mergeCell ref="B4:F4"/>
    <mergeCell ref="B7:B8"/>
    <mergeCell ref="C7:G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E2B1-122C-478C-A0A2-84234DA98240}">
  <sheetPr>
    <tabColor rgb="FF00FF99"/>
  </sheetPr>
  <dimension ref="B1:V116"/>
  <sheetViews>
    <sheetView showGridLines="0" topLeftCell="A19" zoomScale="85" zoomScaleNormal="85" workbookViewId="0">
      <selection activeCell="H10" sqref="H10"/>
    </sheetView>
  </sheetViews>
  <sheetFormatPr baseColWidth="10" defaultColWidth="11.42578125" defaultRowHeight="15" customHeight="1" zeroHeight="1"/>
  <cols>
    <col min="1" max="1" width="3.7109375" style="516" customWidth="1"/>
    <col min="2" max="2" width="47.28515625" style="516" customWidth="1"/>
    <col min="3" max="3" width="20.28515625" style="518" customWidth="1"/>
    <col min="4" max="5" width="18.85546875" style="518" customWidth="1"/>
    <col min="6" max="6" width="19.42578125" style="516" customWidth="1"/>
    <col min="7" max="7" width="47" style="516" customWidth="1"/>
    <col min="8" max="15" width="11.42578125" style="516"/>
    <col min="16" max="16" width="62.42578125" style="516" bestFit="1" customWidth="1"/>
    <col min="17" max="17" width="40" style="516" customWidth="1"/>
    <col min="18" max="16355" width="11.42578125" style="516"/>
    <col min="16356" max="16356" width="1.42578125" style="516" customWidth="1"/>
    <col min="16357" max="16384" width="2.85546875" style="516" customWidth="1"/>
  </cols>
  <sheetData>
    <row r="1" spans="2:22" s="455" customFormat="1">
      <c r="D1" s="458"/>
      <c r="E1" s="456"/>
      <c r="F1" s="457"/>
      <c r="G1" s="457"/>
      <c r="H1" s="457"/>
      <c r="I1" s="457"/>
      <c r="J1" s="457"/>
      <c r="K1" s="457"/>
      <c r="L1" s="457"/>
      <c r="V1" s="458"/>
    </row>
    <row r="2" spans="2:22" s="455" customFormat="1" ht="28.9" customHeight="1">
      <c r="B2" s="1467" t="s">
        <v>889</v>
      </c>
      <c r="C2" s="1498" t="s">
        <v>898</v>
      </c>
      <c r="D2" s="1498"/>
      <c r="E2" s="1498"/>
      <c r="F2" s="1498"/>
      <c r="G2" s="1498"/>
      <c r="H2" s="1498"/>
      <c r="I2" s="510"/>
      <c r="J2" s="510"/>
      <c r="K2" s="510"/>
      <c r="L2" s="510"/>
      <c r="M2" s="510"/>
      <c r="N2" s="1057"/>
      <c r="O2" s="1057"/>
      <c r="P2" s="1057"/>
      <c r="Q2" s="1057"/>
      <c r="R2" s="1057"/>
      <c r="S2" s="1057"/>
      <c r="T2" s="1057"/>
      <c r="U2" s="1057"/>
      <c r="V2" s="458"/>
    </row>
    <row r="3" spans="2:22" s="455" customFormat="1" ht="17.45" customHeight="1">
      <c r="B3" s="1467"/>
      <c r="C3" s="1499" t="s">
        <v>1154</v>
      </c>
      <c r="D3" s="1499"/>
      <c r="E3" s="1499"/>
      <c r="F3" s="1499"/>
      <c r="G3" s="1499"/>
      <c r="H3" s="1499"/>
      <c r="I3" s="509"/>
      <c r="J3" s="509"/>
      <c r="K3" s="509"/>
      <c r="L3" s="509"/>
      <c r="M3" s="509"/>
      <c r="N3" s="1056"/>
      <c r="O3" s="1056"/>
      <c r="P3" s="1056"/>
      <c r="Q3" s="1056"/>
      <c r="R3" s="1056"/>
      <c r="S3" s="1056"/>
      <c r="T3" s="1056"/>
      <c r="U3" s="1056"/>
      <c r="V3" s="459"/>
    </row>
    <row r="4" spans="2:22" s="455" customFormat="1" ht="6" customHeight="1">
      <c r="B4" s="543"/>
      <c r="D4" s="1500"/>
      <c r="E4" s="1500"/>
      <c r="F4" s="1500"/>
      <c r="G4" s="1500"/>
      <c r="H4" s="1500"/>
      <c r="I4" s="501"/>
      <c r="J4" s="501"/>
      <c r="K4" s="501"/>
      <c r="L4" s="501"/>
      <c r="M4" s="501"/>
      <c r="N4" s="1054"/>
      <c r="O4" s="1054"/>
      <c r="P4" s="1054"/>
      <c r="Q4" s="1054"/>
      <c r="R4" s="1054"/>
      <c r="S4" s="1054"/>
      <c r="T4" s="1054"/>
      <c r="U4" s="1054"/>
      <c r="V4" s="460"/>
    </row>
    <row r="5" spans="2:22" s="455" customFormat="1" ht="19.5" customHeight="1">
      <c r="B5" s="1023" t="str">
        <f>+'2.Infor Detallado Desempeño POA'!C7</f>
        <v xml:space="preserve">Fecha de corte: </v>
      </c>
      <c r="C5" s="1063">
        <v>44834</v>
      </c>
      <c r="D5" s="502"/>
      <c r="E5" s="462"/>
      <c r="V5" s="458"/>
    </row>
    <row r="6" spans="2:22" ht="1.9" customHeight="1">
      <c r="B6" s="519"/>
    </row>
    <row r="7" spans="2:22" ht="8.4499999999999993" customHeight="1">
      <c r="B7" s="519"/>
    </row>
    <row r="8" spans="2:22" ht="54" customHeight="1">
      <c r="B8" s="1052" t="s">
        <v>750</v>
      </c>
      <c r="C8" s="1051" t="s">
        <v>1155</v>
      </c>
      <c r="D8" s="520"/>
      <c r="E8" s="516"/>
    </row>
    <row r="9" spans="2:22">
      <c r="B9" s="521" t="s">
        <v>724</v>
      </c>
      <c r="C9" s="522">
        <f>+F41</f>
        <v>0.85149999999999992</v>
      </c>
      <c r="D9" s="523"/>
      <c r="E9" s="516"/>
    </row>
    <row r="10" spans="2:22">
      <c r="B10" s="521" t="s">
        <v>726</v>
      </c>
      <c r="C10" s="522">
        <f>+F42</f>
        <v>0.32894736842105265</v>
      </c>
      <c r="D10" s="523"/>
      <c r="E10" s="516"/>
      <c r="H10" s="587"/>
      <c r="I10" s="588" t="s">
        <v>1156</v>
      </c>
    </row>
    <row r="11" spans="2:22">
      <c r="B11" s="521" t="s">
        <v>727</v>
      </c>
      <c r="C11" s="522">
        <f>+F43</f>
        <v>0.82500000000000007</v>
      </c>
      <c r="D11" s="523"/>
      <c r="E11" s="516"/>
      <c r="H11" s="893"/>
      <c r="I11" s="588" t="s">
        <v>905</v>
      </c>
    </row>
    <row r="12" spans="2:22">
      <c r="B12" s="521" t="s">
        <v>728</v>
      </c>
      <c r="C12" s="522">
        <f>+F44</f>
        <v>0.75</v>
      </c>
      <c r="D12" s="523"/>
      <c r="E12" s="516"/>
      <c r="H12" s="589"/>
      <c r="I12" s="588" t="s">
        <v>906</v>
      </c>
    </row>
    <row r="13" spans="2:22">
      <c r="B13" s="521" t="s">
        <v>739</v>
      </c>
      <c r="C13" s="522">
        <f>+F45</f>
        <v>0.57740740740740737</v>
      </c>
      <c r="D13" s="524"/>
      <c r="E13" s="516"/>
      <c r="H13" s="590"/>
      <c r="I13" s="588" t="s">
        <v>907</v>
      </c>
    </row>
    <row r="14" spans="2:22">
      <c r="B14" s="521" t="s">
        <v>729</v>
      </c>
      <c r="C14" s="522">
        <f>+F47</f>
        <v>0.87744668920257796</v>
      </c>
      <c r="D14" s="523"/>
      <c r="E14" s="516"/>
    </row>
    <row r="15" spans="2:22">
      <c r="B15" s="521" t="s">
        <v>864</v>
      </c>
      <c r="C15" s="522">
        <f>+F48</f>
        <v>0.53483211884064763</v>
      </c>
      <c r="D15" s="523"/>
      <c r="E15" s="516"/>
    </row>
    <row r="16" spans="2:22">
      <c r="B16" s="521" t="s">
        <v>732</v>
      </c>
      <c r="C16" s="522">
        <f>+F49</f>
        <v>0.64612132352941176</v>
      </c>
      <c r="D16" s="523"/>
      <c r="E16" s="516"/>
    </row>
    <row r="17" spans="2:17">
      <c r="B17" s="521" t="s">
        <v>733</v>
      </c>
      <c r="C17" s="522">
        <f t="shared" ref="C17:C22" si="0">+F51</f>
        <v>0.70183914221938781</v>
      </c>
      <c r="D17" s="523"/>
      <c r="E17" s="516"/>
    </row>
    <row r="18" spans="2:17">
      <c r="B18" s="521" t="s">
        <v>734</v>
      </c>
      <c r="C18" s="522">
        <f t="shared" si="0"/>
        <v>0.82074742268041234</v>
      </c>
      <c r="D18" s="523"/>
      <c r="E18" s="516"/>
    </row>
    <row r="19" spans="2:17">
      <c r="B19" s="521" t="s">
        <v>735</v>
      </c>
      <c r="C19" s="522">
        <f t="shared" si="0"/>
        <v>0.72045614035087713</v>
      </c>
      <c r="D19" s="523"/>
      <c r="E19" s="516"/>
    </row>
    <row r="20" spans="2:17">
      <c r="B20" s="521" t="s">
        <v>736</v>
      </c>
      <c r="C20" s="522">
        <f t="shared" si="0"/>
        <v>0.82327713815789472</v>
      </c>
      <c r="D20" s="523"/>
      <c r="E20" s="516"/>
    </row>
    <row r="21" spans="2:17">
      <c r="B21" s="521" t="s">
        <v>737</v>
      </c>
      <c r="C21" s="522">
        <f t="shared" si="0"/>
        <v>0.78202713815789471</v>
      </c>
      <c r="D21" s="523"/>
      <c r="E21" s="516"/>
    </row>
    <row r="22" spans="2:17">
      <c r="B22" s="521" t="s">
        <v>738</v>
      </c>
      <c r="C22" s="522">
        <f t="shared" si="0"/>
        <v>0.75</v>
      </c>
      <c r="D22" s="523"/>
      <c r="E22" s="516"/>
    </row>
    <row r="23" spans="2:17">
      <c r="B23" s="521" t="s">
        <v>740</v>
      </c>
      <c r="C23" s="522">
        <f>+F58</f>
        <v>1.0045299145299145</v>
      </c>
      <c r="D23" s="523"/>
      <c r="E23" s="516"/>
    </row>
    <row r="24" spans="2:17" ht="15.75" thickBot="1">
      <c r="B24" s="525" t="s">
        <v>741</v>
      </c>
      <c r="C24" s="522">
        <f>+F59</f>
        <v>0.64666666666666661</v>
      </c>
      <c r="D24" s="523"/>
      <c r="E24" s="516"/>
    </row>
    <row r="25" spans="2:17" ht="16.5" thickBot="1">
      <c r="B25" s="526" t="s">
        <v>890</v>
      </c>
      <c r="C25" s="946">
        <f>+F62</f>
        <v>0.73617344663731821</v>
      </c>
      <c r="D25" s="527"/>
      <c r="E25" s="516"/>
    </row>
    <row r="26" spans="2:17" s="528" customFormat="1">
      <c r="C26" s="529"/>
      <c r="D26" s="529"/>
      <c r="E26" s="529"/>
      <c r="P26" s="516"/>
      <c r="Q26" s="516"/>
    </row>
    <row r="27" spans="2:17" s="528" customFormat="1" ht="56.25" customHeight="1" thickBot="1">
      <c r="B27" s="528" t="s">
        <v>680</v>
      </c>
      <c r="C27" s="529"/>
      <c r="P27" s="516"/>
      <c r="Q27" s="516"/>
    </row>
    <row r="28" spans="2:17" ht="57" customHeight="1">
      <c r="B28" s="1501" t="s">
        <v>930</v>
      </c>
      <c r="C28" s="1503" t="s">
        <v>862</v>
      </c>
      <c r="D28" s="1505" t="s">
        <v>931</v>
      </c>
      <c r="E28" s="1506"/>
      <c r="F28" s="1507"/>
      <c r="H28" s="518"/>
    </row>
    <row r="29" spans="2:17" ht="54.6" customHeight="1" thickBot="1">
      <c r="B29" s="1502"/>
      <c r="C29" s="1504"/>
      <c r="D29" s="659" t="str">
        <f>+D39</f>
        <v>Tercer Trimestre</v>
      </c>
      <c r="E29" s="663" t="s">
        <v>932</v>
      </c>
      <c r="F29" s="665" t="s">
        <v>924</v>
      </c>
      <c r="H29" s="518"/>
    </row>
    <row r="30" spans="2:17" ht="29.45" customHeight="1">
      <c r="B30" s="646" t="s">
        <v>925</v>
      </c>
      <c r="C30" s="629">
        <f>+C46</f>
        <v>20</v>
      </c>
      <c r="D30" s="660">
        <f>IFERROR(AVERAGE(D41:D45),0)</f>
        <v>0.98148148148148151</v>
      </c>
      <c r="E30" s="666">
        <f>IFERROR(AVERAGE(E41:E45),0)</f>
        <v>1.0107069275753486</v>
      </c>
      <c r="F30" s="891">
        <f>IFERROR(AVERAGE(F41:F45),0)</f>
        <v>0.66657095516569198</v>
      </c>
      <c r="H30" s="518"/>
    </row>
    <row r="31" spans="2:17" ht="36.6" customHeight="1">
      <c r="B31" s="631" t="s">
        <v>926</v>
      </c>
      <c r="C31" s="630">
        <f>+C50</f>
        <v>35</v>
      </c>
      <c r="D31" s="661">
        <f>IFERROR(AVERAGE(D47:D49),0)</f>
        <v>1.0221288921048912</v>
      </c>
      <c r="E31" s="666">
        <f>IFERROR(AVERAGE(E47:E49),0)</f>
        <v>0.99755508131285253</v>
      </c>
      <c r="F31" s="891">
        <f>IFERROR(AVERAGE(F47:F49),0)</f>
        <v>0.68613337719087919</v>
      </c>
      <c r="H31" s="518"/>
    </row>
    <row r="32" spans="2:17" ht="41.45" customHeight="1">
      <c r="B32" s="631" t="s">
        <v>927</v>
      </c>
      <c r="C32" s="630">
        <f>+C57</f>
        <v>26</v>
      </c>
      <c r="D32" s="661">
        <f>IFERROR(AVERAGE(D51:D56),0)</f>
        <v>1.0121778702635891</v>
      </c>
      <c r="E32" s="666">
        <f>IFERROR(AVERAGE(E51:E56),0)</f>
        <v>1.0297433090402581</v>
      </c>
      <c r="F32" s="891">
        <f>IFERROR(AVERAGE(F51:F56),0)</f>
        <v>0.76639116359441106</v>
      </c>
      <c r="H32" s="518"/>
    </row>
    <row r="33" spans="2:22" ht="40.5">
      <c r="B33" s="631" t="s">
        <v>928</v>
      </c>
      <c r="C33" s="630">
        <f>+C60</f>
        <v>6</v>
      </c>
      <c r="D33" s="662">
        <f>IFERROR(AVERAGE(D58:D59),0)</f>
        <v>1.0214285714285714</v>
      </c>
      <c r="E33" s="667">
        <f>IFERROR(AVERAGE(E58:E59),0)</f>
        <v>1.1711816964829014</v>
      </c>
      <c r="F33" s="892">
        <f>IFERROR(AVERAGE(F58:F59),0)</f>
        <v>0.8255982905982906</v>
      </c>
      <c r="H33" s="518"/>
    </row>
    <row r="34" spans="2:22" ht="23.25">
      <c r="B34" s="633" t="s">
        <v>929</v>
      </c>
      <c r="C34" s="639">
        <f>SUM(C30:C33)</f>
        <v>87</v>
      </c>
      <c r="D34" s="632">
        <f>AVERAGE(D30:D33)</f>
        <v>1.0093042038196334</v>
      </c>
      <c r="E34" s="664">
        <f>AVERAGE(E30:E33)</f>
        <v>1.0522967536028403</v>
      </c>
      <c r="F34" s="664">
        <f>AVERAGE(F30:F33)</f>
        <v>0.73617344663731821</v>
      </c>
      <c r="H34" s="518"/>
    </row>
    <row r="35" spans="2:22" s="637" customFormat="1" ht="23.25">
      <c r="B35" s="634"/>
      <c r="C35" s="635"/>
      <c r="D35" s="636"/>
      <c r="E35" s="636"/>
      <c r="H35" s="638"/>
    </row>
    <row r="36" spans="2:22" s="528" customFormat="1">
      <c r="C36" s="529"/>
      <c r="P36" s="516"/>
      <c r="Q36" s="516"/>
    </row>
    <row r="37" spans="2:22" s="455" customFormat="1" ht="19.5" customHeight="1" thickBot="1">
      <c r="B37" s="1023" t="str">
        <f>+B5</f>
        <v xml:space="preserve">Fecha de corte: </v>
      </c>
      <c r="C37" s="1063">
        <f>+C5</f>
        <v>44834</v>
      </c>
      <c r="D37" s="462"/>
      <c r="E37" s="462"/>
      <c r="V37" s="458"/>
    </row>
    <row r="38" spans="2:22" s="455" customFormat="1" ht="21" customHeight="1">
      <c r="B38" s="1490" t="s">
        <v>750</v>
      </c>
      <c r="C38" s="1492" t="s">
        <v>862</v>
      </c>
      <c r="D38" s="1492" t="s">
        <v>900</v>
      </c>
      <c r="E38" s="1492"/>
      <c r="F38" s="1494"/>
      <c r="G38" s="456"/>
      <c r="H38" s="456"/>
      <c r="I38" s="456"/>
      <c r="U38" s="458"/>
    </row>
    <row r="39" spans="2:22" s="455" customFormat="1" ht="49.5" customHeight="1" thickBot="1">
      <c r="B39" s="1491"/>
      <c r="C39" s="1493"/>
      <c r="D39" s="1055" t="str">
        <f>+'2.Infor Detallado Desempeño POA'!AC11</f>
        <v>Tercer Trimestre</v>
      </c>
      <c r="E39" s="1055" t="str">
        <f>+'2.Infor Detallado Desempeño POA'!AD11</f>
        <v>Acumulado Corte 
30/09/2022</v>
      </c>
      <c r="F39" s="648" t="str">
        <f>+'2.Infor Detallado Desempeño POA'!AE11</f>
        <v>Anual</v>
      </c>
      <c r="G39" s="544"/>
      <c r="H39" s="456"/>
      <c r="I39" s="456"/>
      <c r="J39" s="456"/>
      <c r="V39" s="458"/>
    </row>
    <row r="40" spans="2:22" s="642" customFormat="1" ht="6" customHeight="1" thickBot="1">
      <c r="B40" s="1495"/>
      <c r="C40" s="1496"/>
      <c r="D40" s="1496"/>
      <c r="E40" s="1496"/>
      <c r="F40" s="1497"/>
      <c r="G40" s="640"/>
      <c r="H40" s="641"/>
      <c r="I40" s="641"/>
      <c r="J40" s="641"/>
      <c r="V40" s="643"/>
    </row>
    <row r="41" spans="2:22" s="455" customFormat="1">
      <c r="B41" s="463" t="s">
        <v>724</v>
      </c>
      <c r="C41" s="464">
        <f>+'Rango indicadores'!D111</f>
        <v>4</v>
      </c>
      <c r="D41" s="465">
        <f>IF(AND('2.Infor Detallado Desempeño POA'!AC16&gt;0),'2.Infor Detallado Desempeño POA'!AC16,"No Programado")</f>
        <v>1.0074074074074075</v>
      </c>
      <c r="E41" s="465">
        <f>IF(AND('2.Infor Detallado Desempeño POA'!AD16&gt;0),'2.Infor Detallado Desempeño POA'!AD16,"No Programado")</f>
        <v>1.003812415654521</v>
      </c>
      <c r="F41" s="465">
        <f>IF(AND('2.Infor Detallado Desempeño POA'!AE16&gt;0),'2.Infor Detallado Desempeño POA'!AE16,"No Programado")</f>
        <v>0.85149999999999992</v>
      </c>
      <c r="G41" s="466"/>
      <c r="H41" s="466"/>
      <c r="I41" s="466"/>
      <c r="J41" s="466"/>
      <c r="V41" s="458"/>
    </row>
    <row r="42" spans="2:22" s="455" customFormat="1">
      <c r="B42" s="467" t="s">
        <v>726</v>
      </c>
      <c r="C42" s="464">
        <f>+'Rango indicadores'!D112</f>
        <v>4</v>
      </c>
      <c r="D42" s="465">
        <f>IF(AND('2.Infor Detallado Desempeño POA'!AC25&gt;0),'2.Infor Detallado Desempeño POA'!AC25,"No Programado")</f>
        <v>0.83333333333333337</v>
      </c>
      <c r="E42" s="465">
        <f>IF(AND('2.Infor Detallado Desempeño POA'!AD25&gt;0),'2.Infor Detallado Desempeño POA'!AD25,"No Programado")</f>
        <v>1.0166666666666666</v>
      </c>
      <c r="F42" s="465">
        <f>IF(AND('2.Infor Detallado Desempeño POA'!AE25&gt;0),'2.Infor Detallado Desempeño POA'!AE25,"No Programado")</f>
        <v>0.32894736842105265</v>
      </c>
      <c r="G42" s="466"/>
      <c r="H42" s="466"/>
      <c r="I42" s="466"/>
      <c r="J42" s="466"/>
      <c r="V42" s="458"/>
    </row>
    <row r="43" spans="2:22" s="455" customFormat="1">
      <c r="B43" s="467" t="s">
        <v>727</v>
      </c>
      <c r="C43" s="464">
        <f>+'Rango indicadores'!D113</f>
        <v>7</v>
      </c>
      <c r="D43" s="465">
        <f>IF(AND('2.Infor Detallado Desempeño POA'!AC37&gt;0),'2.Infor Detallado Desempeño POA'!AC37,"No Programado")</f>
        <v>1</v>
      </c>
      <c r="E43" s="465">
        <f>IF(AND('2.Infor Detallado Desempeño POA'!AD37&gt;0),'2.Infor Detallado Desempeño POA'!AD37,"No Programado")</f>
        <v>1</v>
      </c>
      <c r="F43" s="465">
        <f>IF(AND('2.Infor Detallado Desempeño POA'!AE37&gt;0),'2.Infor Detallado Desempeño POA'!AE37,"No Programado")</f>
        <v>0.82500000000000007</v>
      </c>
      <c r="G43" s="466"/>
      <c r="H43" s="466"/>
      <c r="I43" s="466"/>
      <c r="J43" s="466"/>
      <c r="V43" s="458"/>
    </row>
    <row r="44" spans="2:22" s="455" customFormat="1">
      <c r="B44" s="467" t="s">
        <v>728</v>
      </c>
      <c r="C44" s="464">
        <f>+'Rango indicadores'!D114</f>
        <v>2</v>
      </c>
      <c r="D44" s="465">
        <f>IF(AND('2.Infor Detallado Desempeño POA'!T44&gt;0),'2.Infor Detallado Desempeño POA'!T44,"No Programado")</f>
        <v>1</v>
      </c>
      <c r="E44" s="465">
        <f>IF(AND('2.Infor Detallado Desempeño POA'!AD44&gt;0),'2.Infor Detallado Desempeño POA'!AD44,"No Programado")</f>
        <v>1</v>
      </c>
      <c r="F44" s="465">
        <f>IF(AND('2.Infor Detallado Desempeño POA'!AE44&gt;0),'2.Infor Detallado Desempeño POA'!AE44,"No Programado")</f>
        <v>0.75</v>
      </c>
      <c r="G44" s="466"/>
      <c r="H44" s="466"/>
      <c r="I44" s="466"/>
      <c r="J44" s="466"/>
      <c r="V44" s="458"/>
    </row>
    <row r="45" spans="2:22" s="455" customFormat="1" ht="15.75" thickBot="1">
      <c r="B45" s="468" t="s">
        <v>739</v>
      </c>
      <c r="C45" s="464">
        <f>+'Rango indicadores'!D124</f>
        <v>3</v>
      </c>
      <c r="D45" s="465">
        <f>IF(AND('2.Infor Detallado Desempeño POA'!AC52&gt;0),'2.Infor Detallado Desempeño POA'!AC52,"No Programado")</f>
        <v>1.0666666666666667</v>
      </c>
      <c r="E45" s="465">
        <f>IF(AND('2.Infor Detallado Desempeño POA'!AD52&gt;0),'2.Infor Detallado Desempeño POA'!AD52,"No Programado")</f>
        <v>1.0330555555555554</v>
      </c>
      <c r="F45" s="465">
        <f>IF(AND('2.Infor Detallado Desempeño POA'!AE52&gt;0),'2.Infor Detallado Desempeño POA'!AE52,"No Programado")</f>
        <v>0.57740740740740737</v>
      </c>
      <c r="G45" s="466"/>
      <c r="H45" s="466"/>
      <c r="I45" s="466"/>
      <c r="J45" s="466"/>
      <c r="V45" s="458"/>
    </row>
    <row r="46" spans="2:22" s="455" customFormat="1" ht="34.9" customHeight="1" thickBot="1">
      <c r="B46" s="649" t="s">
        <v>901</v>
      </c>
      <c r="C46" s="650">
        <f>SUM(C41:C45)</f>
        <v>20</v>
      </c>
      <c r="D46" s="651">
        <f>IFERROR(AVERAGE(D41:D45),0)</f>
        <v>0.98148148148148151</v>
      </c>
      <c r="E46" s="651">
        <f>IFERROR(AVERAGE(E41:E45),0)</f>
        <v>1.0107069275753486</v>
      </c>
      <c r="F46" s="651">
        <f>IFERROR(AVERAGE(F41:F45),0)</f>
        <v>0.66657095516569198</v>
      </c>
      <c r="G46" s="469"/>
      <c r="H46" s="466"/>
      <c r="I46" s="466"/>
      <c r="J46" s="466"/>
      <c r="V46" s="458"/>
    </row>
    <row r="47" spans="2:22" s="455" customFormat="1">
      <c r="B47" s="463" t="s">
        <v>729</v>
      </c>
      <c r="C47" s="464">
        <f>+'Rango indicadores'!D115</f>
        <v>20</v>
      </c>
      <c r="D47" s="465">
        <f>IF(AND('2.Infor Detallado Desempeño POA'!AC77&gt;0),'2.Infor Detallado Desempeño POA'!AC77,"No Programado")</f>
        <v>1.2246645973770194</v>
      </c>
      <c r="E47" s="465">
        <f>IF(AND('2.Infor Detallado Desempeño POA'!AD77&gt;0),'2.Infor Detallado Desempeño POA'!AD77,"No Programado")</f>
        <v>1.1975440017005092</v>
      </c>
      <c r="F47" s="465">
        <f>IF(AND('2.Infor Detallado Desempeño POA'!AE77&gt;0),'2.Infor Detallado Desempeño POA'!AE77,"No Programado")</f>
        <v>0.87744668920257796</v>
      </c>
      <c r="G47" s="466"/>
      <c r="H47" s="466"/>
      <c r="I47" s="466"/>
      <c r="J47" s="466"/>
      <c r="V47" s="458"/>
    </row>
    <row r="48" spans="2:22" s="455" customFormat="1">
      <c r="B48" s="467" t="s">
        <v>864</v>
      </c>
      <c r="C48" s="464">
        <f>+'Rango indicadores'!D116</f>
        <v>7</v>
      </c>
      <c r="D48" s="465">
        <f>IF(AND('2.Infor Detallado Desempeño POA'!AC89&gt;0),'2.Infor Detallado Desempeño POA'!AC89,"No Programado")</f>
        <v>1.0513232694138448</v>
      </c>
      <c r="E48" s="465">
        <f>IF(AND('2.Infor Detallado Desempeño POA'!AD89&gt;0),'2.Infor Detallado Desempeño POA'!AD89,"No Programado")</f>
        <v>0.90537273430592391</v>
      </c>
      <c r="F48" s="465">
        <f>IF(AND('2.Infor Detallado Desempeño POA'!AE89&gt;0),'2.Infor Detallado Desempeño POA'!AE89,"No Programado")</f>
        <v>0.53483211884064763</v>
      </c>
      <c r="G48" s="466"/>
      <c r="H48" s="466"/>
      <c r="I48" s="466"/>
      <c r="J48" s="466"/>
      <c r="V48" s="458"/>
    </row>
    <row r="49" spans="2:22" s="455" customFormat="1" ht="15.75" thickBot="1">
      <c r="B49" s="468" t="s">
        <v>732</v>
      </c>
      <c r="C49" s="464">
        <f>+'Rango indicadores'!D117</f>
        <v>8</v>
      </c>
      <c r="D49" s="465">
        <f>IF(AND('2.Infor Detallado Desempeño POA'!AC102&gt;0),'2.Infor Detallado Desempeño POA'!AC102,"No Programado")</f>
        <v>0.79039880952380948</v>
      </c>
      <c r="E49" s="465">
        <f>IF(AND('2.Infor Detallado Desempeño POA'!AD102&gt;0),'2.Infor Detallado Desempeño POA'!AD102,"No Programado")</f>
        <v>0.88974850793212434</v>
      </c>
      <c r="F49" s="465">
        <f>IF(AND('2.Infor Detallado Desempeño POA'!AE102&gt;0),'2.Infor Detallado Desempeño POA'!AE102,"No Programado")</f>
        <v>0.64612132352941176</v>
      </c>
      <c r="G49" s="466"/>
      <c r="H49" s="466"/>
      <c r="I49" s="466"/>
      <c r="J49" s="466"/>
      <c r="V49" s="458"/>
    </row>
    <row r="50" spans="2:22" s="455" customFormat="1" ht="34.9" customHeight="1" thickBot="1">
      <c r="B50" s="649" t="s">
        <v>902</v>
      </c>
      <c r="C50" s="650">
        <f>SUM(C47:C49)</f>
        <v>35</v>
      </c>
      <c r="D50" s="651">
        <f>IFERROR(AVERAGE(D47:D49),0)</f>
        <v>1.0221288921048912</v>
      </c>
      <c r="E50" s="651">
        <f>IFERROR(AVERAGE(E47:E49),0)</f>
        <v>0.99755508131285253</v>
      </c>
      <c r="F50" s="651">
        <f>IFERROR(AVERAGE(F47:F49),0)</f>
        <v>0.68613337719087919</v>
      </c>
      <c r="G50" s="469"/>
      <c r="H50" s="466"/>
      <c r="I50" s="466"/>
      <c r="J50" s="466"/>
      <c r="V50" s="458"/>
    </row>
    <row r="51" spans="2:22" s="455" customFormat="1">
      <c r="B51" s="463" t="s">
        <v>733</v>
      </c>
      <c r="C51" s="464">
        <f>+'Rango indicadores'!D118</f>
        <v>8</v>
      </c>
      <c r="D51" s="465">
        <f>IF(AND('2.Infor Detallado Desempeño POA'!AC115&gt;0),'2.Infor Detallado Desempeño POA'!AC115,"No Programado")</f>
        <v>0.95664233999112303</v>
      </c>
      <c r="E51" s="465">
        <f>IF(AND('2.Infor Detallado Desempeño POA'!AD115&gt;0),'2.Infor Detallado Desempeño POA'!AD115,"No Programado")</f>
        <v>0.97829517380292308</v>
      </c>
      <c r="F51" s="465">
        <f>IF(AND('2.Infor Detallado Desempeño POA'!AE115&gt;0),'2.Infor Detallado Desempeño POA'!AE115,"No Programado")</f>
        <v>0.70183914221938781</v>
      </c>
      <c r="G51" s="466"/>
      <c r="H51" s="466"/>
      <c r="I51" s="466"/>
      <c r="J51" s="466"/>
      <c r="V51" s="458"/>
    </row>
    <row r="52" spans="2:22" s="455" customFormat="1">
      <c r="B52" s="467" t="s">
        <v>734</v>
      </c>
      <c r="C52" s="464">
        <f>+'Rango indicadores'!D119</f>
        <v>2</v>
      </c>
      <c r="D52" s="465">
        <f>IF(AND('2.Infor Detallado Desempeño POA'!AC122),'2.Infor Detallado Desempeño POA'!AC122,"No Programado")</f>
        <v>1.1556701030927834</v>
      </c>
      <c r="E52" s="465">
        <f>IF(AND('2.Infor Detallado Desempeño POA'!AD122),'2.Infor Detallado Desempeño POA'!AD122,"No Programado")</f>
        <v>1.0943298969072166</v>
      </c>
      <c r="F52" s="465">
        <f>IF(AND('2.Infor Detallado Desempeño POA'!AE122),'2.Infor Detallado Desempeño POA'!AE122,"No Programado")</f>
        <v>0.82074742268041234</v>
      </c>
      <c r="G52" s="466"/>
      <c r="H52" s="466"/>
      <c r="I52" s="466"/>
      <c r="J52" s="466"/>
      <c r="V52" s="458"/>
    </row>
    <row r="53" spans="2:22" s="455" customFormat="1">
      <c r="B53" s="467" t="s">
        <v>735</v>
      </c>
      <c r="C53" s="464">
        <f>+'Rango indicadores'!D120</f>
        <v>3</v>
      </c>
      <c r="D53" s="465">
        <f>IF(AND('2.Infor Detallado Desempeño POA'!AC130&gt;0),'2.Infor Detallado Desempeño POA'!AC130,"No Programado")</f>
        <v>0.95524637681159419</v>
      </c>
      <c r="E53" s="465">
        <f>IF(AND('2.Infor Detallado Desempeño POA'!AD130&gt;0),'2.Infor Detallado Desempeño POA'!AD130,"No Programado")</f>
        <v>0.99998207885304657</v>
      </c>
      <c r="F53" s="465">
        <f>IF(AND('2.Infor Detallado Desempeño POA'!AE130&gt;0),'2.Infor Detallado Desempeño POA'!AE130,"No Programado")</f>
        <v>0.72045614035087713</v>
      </c>
      <c r="G53" s="466"/>
      <c r="H53" s="466"/>
      <c r="I53" s="466"/>
      <c r="J53" s="466"/>
      <c r="V53" s="458"/>
    </row>
    <row r="54" spans="2:22" s="455" customFormat="1">
      <c r="B54" s="467" t="s">
        <v>736</v>
      </c>
      <c r="C54" s="464">
        <f>+'Rango indicadores'!D121</f>
        <v>4</v>
      </c>
      <c r="D54" s="465">
        <f>IF(AND('2.Infor Detallado Desempeño POA'!AC139&gt;0),'2.Infor Detallado Desempeño POA'!AC139,"No Programado")</f>
        <v>1.0330965909090908</v>
      </c>
      <c r="E54" s="465">
        <f>IF(AND('2.Infor Detallado Desempeño POA'!AD139&gt;0),'2.Infor Detallado Desempeño POA'!AD139,"No Programado")</f>
        <v>1.0698958333333333</v>
      </c>
      <c r="F54" s="465">
        <f>IF(AND('2.Infor Detallado Desempeño POA'!AE139&gt;0),'2.Infor Detallado Desempeño POA'!AE139,"No Programado")</f>
        <v>0.82327713815789472</v>
      </c>
      <c r="G54" s="466"/>
      <c r="H54" s="466"/>
      <c r="I54" s="466"/>
      <c r="J54" s="466"/>
      <c r="V54" s="458"/>
    </row>
    <row r="55" spans="2:22" s="455" customFormat="1">
      <c r="B55" s="467" t="s">
        <v>737</v>
      </c>
      <c r="C55" s="464">
        <f>+'Rango indicadores'!D122</f>
        <v>4</v>
      </c>
      <c r="D55" s="465">
        <f>IF(AND('2.Infor Detallado Desempeño POA'!AC148&gt;0),'2.Infor Detallado Desempeño POA'!AC148,"No Programado")</f>
        <v>0.97241181077694239</v>
      </c>
      <c r="E55" s="465">
        <f>IF(AND('2.Infor Detallado Desempeño POA'!AD148&gt;0),'2.Infor Detallado Desempeño POA'!AD148,"No Programado")</f>
        <v>1.0359568713450293</v>
      </c>
      <c r="F55" s="465">
        <f>IF(AND('2.Infor Detallado Desempeño POA'!AE148&gt;0),'2.Infor Detallado Desempeño POA'!AE148,"No Programado")</f>
        <v>0.78202713815789471</v>
      </c>
      <c r="G55" s="466"/>
      <c r="H55" s="466"/>
      <c r="I55" s="466"/>
      <c r="J55" s="466"/>
      <c r="V55" s="458"/>
    </row>
    <row r="56" spans="2:22" s="455" customFormat="1" ht="15.75" thickBot="1">
      <c r="B56" s="468" t="s">
        <v>738</v>
      </c>
      <c r="C56" s="464">
        <f>+'Rango indicadores'!D123</f>
        <v>5</v>
      </c>
      <c r="D56" s="465">
        <f>IF(AND('2.Infor Detallado Desempeño POA'!AC158&gt;0),'2.Infor Detallado Desempeño POA'!AC158,"No Programado")</f>
        <v>1</v>
      </c>
      <c r="E56" s="465">
        <f>IF(AND('2.Infor Detallado Desempeño POA'!AD158&gt;0),'2.Infor Detallado Desempeño POA'!AD158,"No Programado")</f>
        <v>1</v>
      </c>
      <c r="F56" s="465">
        <f>IF(AND('2.Infor Detallado Desempeño POA'!AE158&gt;0),'2.Infor Detallado Desempeño POA'!AE158,"No Programado")</f>
        <v>0.75</v>
      </c>
      <c r="G56" s="466"/>
      <c r="H56" s="466"/>
      <c r="I56" s="466"/>
      <c r="J56" s="466"/>
      <c r="V56" s="458"/>
    </row>
    <row r="57" spans="2:22" s="455" customFormat="1" ht="34.9" customHeight="1" thickBot="1">
      <c r="B57" s="649" t="s">
        <v>903</v>
      </c>
      <c r="C57" s="650">
        <f>SUM(C51:C56)</f>
        <v>26</v>
      </c>
      <c r="D57" s="651">
        <f>IFERROR(AVERAGE(D51:D56),0)</f>
        <v>1.0121778702635891</v>
      </c>
      <c r="E57" s="651">
        <f>IFERROR(AVERAGE(E51:E56),0)</f>
        <v>1.0297433090402581</v>
      </c>
      <c r="F57" s="651">
        <f>IFERROR(AVERAGE(F51:F56),0)</f>
        <v>0.76639116359441106</v>
      </c>
      <c r="G57" s="469"/>
      <c r="H57" s="466"/>
      <c r="I57" s="466"/>
      <c r="J57" s="466"/>
      <c r="V57" s="458"/>
    </row>
    <row r="58" spans="2:22" s="455" customFormat="1">
      <c r="B58" s="467" t="s">
        <v>740</v>
      </c>
      <c r="C58" s="464">
        <f>+'Rango indicadores'!D125</f>
        <v>3</v>
      </c>
      <c r="D58" s="465">
        <f>IF(AND('2.Infor Detallado Desempeño POA'!AC166&gt;0),'2.Infor Detallado Desempeño POA'!AC166,"No Programado")</f>
        <v>1.0428571428571427</v>
      </c>
      <c r="E58" s="465">
        <f>IF(AND('2.Infor Detallado Desempeño POA'!AD166&gt;0),'2.Infor Detallado Desempeño POA'!AD166,"No Programado")</f>
        <v>1.3423633929658028</v>
      </c>
      <c r="F58" s="465">
        <f>IF(AND('2.Infor Detallado Desempeño POA'!AE166&gt;0),'2.Infor Detallado Desempeño POA'!AE166,"No Programado")</f>
        <v>1.0045299145299145</v>
      </c>
      <c r="G58" s="466"/>
      <c r="H58" s="466"/>
      <c r="I58" s="466"/>
      <c r="J58" s="466"/>
      <c r="V58" s="458"/>
    </row>
    <row r="59" spans="2:22" s="455" customFormat="1" ht="15.75" thickBot="1">
      <c r="B59" s="552" t="s">
        <v>741</v>
      </c>
      <c r="C59" s="553">
        <f>+'Rango indicadores'!D126</f>
        <v>3</v>
      </c>
      <c r="D59" s="465">
        <f>IF(AND('2.Infor Detallado Desempeño POA'!AC174&gt;0),'2.Infor Detallado Desempeño POA'!AC174,"No Programado")</f>
        <v>1</v>
      </c>
      <c r="E59" s="465">
        <f>IF(AND('2.Infor Detallado Desempeño POA'!AD174&gt;0),'2.Infor Detallado Desempeño POA'!AD174,"No Programado")</f>
        <v>1</v>
      </c>
      <c r="F59" s="465">
        <f>IF(AND('2.Infor Detallado Desempeño POA'!AE174&gt;0),'2.Infor Detallado Desempeño POA'!AE174,"No Programado")</f>
        <v>0.64666666666666661</v>
      </c>
      <c r="G59" s="466"/>
      <c r="H59" s="466"/>
      <c r="I59" s="466"/>
      <c r="J59" s="466"/>
      <c r="V59" s="458"/>
    </row>
    <row r="60" spans="2:22" s="455" customFormat="1" ht="46.9" customHeight="1" thickBot="1">
      <c r="B60" s="652" t="s">
        <v>865</v>
      </c>
      <c r="C60" s="650">
        <f>SUM(C58:C59)</f>
        <v>6</v>
      </c>
      <c r="D60" s="651">
        <f>IFERROR(AVERAGE(D58:D59),0)</f>
        <v>1.0214285714285714</v>
      </c>
      <c r="E60" s="651">
        <f>IFERROR(AVERAGE(E58:E59),0)</f>
        <v>1.1711816964829014</v>
      </c>
      <c r="F60" s="651">
        <f>IFERROR(AVERAGE(F58:F59),0)</f>
        <v>0.8255982905982906</v>
      </c>
      <c r="G60" s="469"/>
      <c r="H60" s="466"/>
      <c r="I60" s="466"/>
      <c r="J60" s="466"/>
      <c r="V60" s="458"/>
    </row>
    <row r="61" spans="2:22" s="642" customFormat="1" ht="6" customHeight="1">
      <c r="B61" s="644"/>
      <c r="C61" s="645"/>
      <c r="D61" s="640"/>
      <c r="E61" s="640"/>
      <c r="F61" s="640"/>
      <c r="G61" s="640"/>
      <c r="H61" s="641"/>
      <c r="I61" s="641"/>
      <c r="J61" s="641"/>
      <c r="V61" s="643"/>
    </row>
    <row r="62" spans="2:22" ht="15" customHeight="1">
      <c r="B62" s="628" t="s">
        <v>929</v>
      </c>
      <c r="C62" s="639">
        <f>+C60+C57+C50+C46</f>
        <v>87</v>
      </c>
      <c r="D62" s="632">
        <f>AVERAGE(D46,D50,D57,D60)</f>
        <v>1.0093042038196334</v>
      </c>
      <c r="E62" s="632">
        <f>AVERAGE(E46,E50,E57,E60)</f>
        <v>1.0522967536028403</v>
      </c>
      <c r="F62" s="632">
        <f>AVERAGE(F46,F50,F57,F60)</f>
        <v>0.73617344663731821</v>
      </c>
      <c r="G62" s="672"/>
    </row>
    <row r="63" spans="2:22" ht="15" customHeight="1"/>
    <row r="64" spans="2:22" ht="15" customHeight="1">
      <c r="D64" s="658"/>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5S5DxJCSREFxS2fT07iV9aIc1Mmkmfo9+SzGRl1eIzVBWKdA6SO4VouvOd3Q9c9YXsCoObz7H7mPbJ1seTihtg==" saltValue="QNp/mf0wmHUauxad8yAqNQ==" spinCount="100000" sheet="1" objects="1" scenarios="1"/>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827" priority="1" operator="equal">
      <formula>"No Programado"</formula>
    </cfRule>
    <cfRule type="cellIs" dxfId="826" priority="2" operator="lessThanOrEqual">
      <formula>0.6</formula>
    </cfRule>
    <cfRule type="cellIs" dxfId="825" priority="3" operator="between">
      <formula>0.6</formula>
      <formula>0.899999999999999</formula>
    </cfRule>
    <cfRule type="cellIs" dxfId="824" priority="4" operator="greaterThan">
      <formula>1</formula>
    </cfRule>
    <cfRule type="cellIs" dxfId="823" priority="5" operator="between">
      <formula>0.9</formula>
      <formula>1</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rgb="FF00FF99"/>
  </sheetPr>
  <dimension ref="B1:BC235"/>
  <sheetViews>
    <sheetView showGridLines="0" tabSelected="1" topLeftCell="D1" zoomScale="90" zoomScaleNormal="90" workbookViewId="0">
      <selection activeCell="AW58" sqref="AW58"/>
    </sheetView>
  </sheetViews>
  <sheetFormatPr baseColWidth="10" defaultColWidth="11.42578125" defaultRowHeight="15" zeroHeight="1"/>
  <cols>
    <col min="1" max="1" width="3.42578125" style="455" customWidth="1"/>
    <col min="2" max="2" width="8.7109375" style="455" customWidth="1"/>
    <col min="3" max="3" width="23.28515625" style="455" customWidth="1"/>
    <col min="4" max="4" width="63.28515625" style="458" customWidth="1"/>
    <col min="5" max="6" width="16" style="462" hidden="1" customWidth="1"/>
    <col min="7" max="11" width="19.28515625" style="462" hidden="1" customWidth="1"/>
    <col min="12" max="12" width="21.5703125" style="462" hidden="1" customWidth="1"/>
    <col min="13" max="14" width="19.28515625" style="462" hidden="1" customWidth="1"/>
    <col min="15" max="22" width="16" style="462" hidden="1" customWidth="1"/>
    <col min="23" max="24" width="16" style="462" customWidth="1"/>
    <col min="25" max="25" width="19.28515625" style="462" customWidth="1"/>
    <col min="26" max="26" width="16" style="462" customWidth="1"/>
    <col min="27" max="28" width="19.5703125" style="462" customWidth="1"/>
    <col min="29" max="29" width="16" style="462" customWidth="1"/>
    <col min="30" max="30" width="22.7109375" style="462" customWidth="1"/>
    <col min="31" max="31" width="16" style="462" customWidth="1"/>
    <col min="32" max="32" width="16" style="462" hidden="1" customWidth="1"/>
    <col min="33" max="33" width="17.85546875" style="455" hidden="1" customWidth="1"/>
    <col min="34" max="34" width="23.28515625" style="455" hidden="1" customWidth="1"/>
    <col min="35" max="35" width="16" style="455" hidden="1" customWidth="1"/>
    <col min="36" max="36" width="22.85546875" style="455" hidden="1" customWidth="1"/>
    <col min="37" max="37" width="16" style="455" hidden="1" customWidth="1"/>
    <col min="38" max="38" width="14.5703125" style="455" hidden="1" customWidth="1"/>
    <col min="39" max="39" width="21" style="455" hidden="1" customWidth="1"/>
    <col min="40" max="40" width="14.140625" style="455" hidden="1" customWidth="1"/>
    <col min="41" max="41" width="19.42578125" style="455" customWidth="1"/>
    <col min="42" max="42" width="10.140625" style="455" customWidth="1"/>
    <col min="43" max="43" width="13.28515625" style="455" customWidth="1"/>
    <col min="44" max="44" width="8.28515625" style="455" customWidth="1"/>
    <col min="45" max="45" width="14" style="455" customWidth="1"/>
    <col min="46" max="46" width="8.28515625" style="455" customWidth="1"/>
    <col min="47" max="47" width="19.42578125" style="455" customWidth="1"/>
    <col min="48" max="48" width="8.28515625" style="455" customWidth="1"/>
    <col min="49" max="49" width="87.28515625" style="458" customWidth="1"/>
    <col min="50" max="50" width="11" style="455" hidden="1" customWidth="1"/>
    <col min="51" max="51" width="10.140625" style="455" hidden="1" customWidth="1"/>
    <col min="52" max="52" width="12.140625" style="455" hidden="1" customWidth="1"/>
    <col min="53" max="53" width="27.42578125" style="455" hidden="1" customWidth="1"/>
    <col min="54" max="16384" width="11.42578125" style="455"/>
  </cols>
  <sheetData>
    <row r="1" spans="2:55">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7"/>
      <c r="AH1" s="457"/>
      <c r="AI1" s="457"/>
      <c r="AJ1" s="457"/>
      <c r="AK1" s="457"/>
      <c r="AL1" s="457"/>
      <c r="AM1" s="457"/>
    </row>
    <row r="2" spans="2:55" ht="18.75" customHeight="1">
      <c r="C2" s="1585" t="s">
        <v>889</v>
      </c>
      <c r="D2" s="1586" t="s">
        <v>680</v>
      </c>
      <c r="E2" s="1587"/>
      <c r="F2" s="1587"/>
      <c r="G2" s="1587"/>
      <c r="H2" s="1587"/>
      <c r="I2" s="1587"/>
      <c r="J2" s="1587"/>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1588"/>
      <c r="AL2" s="510"/>
      <c r="AM2" s="510"/>
      <c r="AN2" s="510"/>
      <c r="AO2" s="563"/>
      <c r="AP2" s="563"/>
      <c r="AQ2" s="563"/>
      <c r="AR2" s="563"/>
      <c r="AS2" s="563"/>
      <c r="AT2" s="563"/>
      <c r="AU2" s="563"/>
      <c r="AV2" s="563"/>
    </row>
    <row r="3" spans="2:55" ht="17.45" customHeight="1">
      <c r="C3" s="1585"/>
      <c r="D3" s="1589" t="s">
        <v>4</v>
      </c>
      <c r="E3" s="1590"/>
      <c r="F3" s="1590"/>
      <c r="G3" s="1590"/>
      <c r="H3" s="1590"/>
      <c r="I3" s="1590"/>
      <c r="J3" s="1590"/>
      <c r="K3" s="1590"/>
      <c r="L3" s="1590"/>
      <c r="M3" s="1590"/>
      <c r="N3" s="1590"/>
      <c r="O3" s="1590"/>
      <c r="P3" s="1590"/>
      <c r="Q3" s="1590"/>
      <c r="R3" s="1590"/>
      <c r="S3" s="1590"/>
      <c r="T3" s="1590"/>
      <c r="U3" s="1590"/>
      <c r="V3" s="1590"/>
      <c r="W3" s="1590"/>
      <c r="X3" s="1590"/>
      <c r="Y3" s="1590"/>
      <c r="Z3" s="1590"/>
      <c r="AA3" s="1590"/>
      <c r="AB3" s="1590"/>
      <c r="AC3" s="1590"/>
      <c r="AD3" s="1590"/>
      <c r="AE3" s="1590"/>
      <c r="AF3" s="1590"/>
      <c r="AG3" s="1590"/>
      <c r="AH3" s="1590"/>
      <c r="AI3" s="1590"/>
      <c r="AJ3" s="1590"/>
      <c r="AK3" s="1591"/>
      <c r="AL3" s="509"/>
      <c r="AM3" s="509"/>
      <c r="AN3" s="509"/>
      <c r="AO3" s="562"/>
      <c r="AP3" s="562"/>
      <c r="AQ3" s="562"/>
      <c r="AR3" s="562"/>
      <c r="AS3" s="562"/>
      <c r="AT3" s="562"/>
      <c r="AU3" s="562"/>
      <c r="AV3" s="562"/>
      <c r="AW3" s="459"/>
    </row>
    <row r="4" spans="2:55" ht="17.45" customHeight="1">
      <c r="C4" s="1585"/>
      <c r="D4" s="1589">
        <v>2022</v>
      </c>
      <c r="E4" s="1590"/>
      <c r="F4" s="1590"/>
      <c r="G4" s="1590"/>
      <c r="H4" s="1590"/>
      <c r="I4" s="1590"/>
      <c r="J4" s="1590"/>
      <c r="K4" s="1590"/>
      <c r="L4" s="1590"/>
      <c r="M4" s="1590"/>
      <c r="N4" s="1590"/>
      <c r="O4" s="1590"/>
      <c r="P4" s="1590"/>
      <c r="Q4" s="1590"/>
      <c r="R4" s="1590"/>
      <c r="S4" s="1590"/>
      <c r="T4" s="1590"/>
      <c r="U4" s="1590"/>
      <c r="V4" s="1590"/>
      <c r="W4" s="1590"/>
      <c r="X4" s="1590"/>
      <c r="Y4" s="1590"/>
      <c r="Z4" s="1590"/>
      <c r="AA4" s="1590"/>
      <c r="AB4" s="1590"/>
      <c r="AC4" s="1590"/>
      <c r="AD4" s="1590"/>
      <c r="AE4" s="1590"/>
      <c r="AF4" s="1590"/>
      <c r="AG4" s="1590"/>
      <c r="AH4" s="1590"/>
      <c r="AI4" s="1590"/>
      <c r="AJ4" s="1590"/>
      <c r="AK4" s="1591"/>
      <c r="AL4" s="509"/>
      <c r="AM4" s="509"/>
      <c r="AN4" s="509"/>
      <c r="AO4" s="952"/>
      <c r="AP4" s="952"/>
      <c r="AQ4" s="952"/>
      <c r="AR4" s="952"/>
      <c r="AS4" s="952"/>
      <c r="AT4" s="952"/>
      <c r="AU4" s="952"/>
      <c r="AV4" s="952"/>
      <c r="AW4" s="459"/>
    </row>
    <row r="5" spans="2:55" ht="15.6" customHeight="1">
      <c r="C5" s="1585"/>
      <c r="D5" s="1592" t="s">
        <v>861</v>
      </c>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4"/>
      <c r="AL5" s="510"/>
      <c r="AM5" s="510"/>
      <c r="AN5" s="510"/>
      <c r="AO5" s="563"/>
      <c r="AP5" s="563"/>
      <c r="AQ5" s="563"/>
      <c r="AR5" s="563"/>
      <c r="AS5" s="563"/>
      <c r="AT5" s="563"/>
      <c r="AU5" s="563"/>
      <c r="AV5" s="563"/>
      <c r="AW5" s="459"/>
    </row>
    <row r="6" spans="2:55" ht="20.45" customHeight="1">
      <c r="C6" s="1585"/>
      <c r="D6" s="1595" t="s">
        <v>1138</v>
      </c>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7"/>
      <c r="AL6" s="501"/>
      <c r="AM6" s="501"/>
      <c r="AN6" s="501"/>
      <c r="AO6" s="564"/>
      <c r="AP6" s="564"/>
      <c r="AQ6" s="564"/>
      <c r="AR6" s="564"/>
      <c r="AS6" s="564"/>
      <c r="AT6" s="564"/>
      <c r="AU6" s="564"/>
      <c r="AV6" s="564"/>
      <c r="AW6" s="460"/>
    </row>
    <row r="7" spans="2:55" ht="19.5" customHeight="1">
      <c r="C7" s="913" t="s">
        <v>1149</v>
      </c>
      <c r="D7" s="1079">
        <v>44834</v>
      </c>
    </row>
    <row r="8" spans="2:55" s="470" customFormat="1" ht="24" customHeight="1" thickBot="1">
      <c r="D8" s="472"/>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1016"/>
      <c r="AJ8" s="1016"/>
      <c r="AM8" s="1016"/>
      <c r="AW8" s="472"/>
      <c r="AY8" s="455"/>
      <c r="AZ8" s="455"/>
    </row>
    <row r="9" spans="2:55" s="470" customFormat="1" ht="16.5" thickBot="1">
      <c r="C9" s="473" t="s">
        <v>866</v>
      </c>
      <c r="D9" s="503"/>
      <c r="E9" s="1577" t="s">
        <v>1136</v>
      </c>
      <c r="F9" s="1578"/>
      <c r="G9" s="1578"/>
      <c r="H9" s="1578"/>
      <c r="I9" s="1578"/>
      <c r="J9" s="1578"/>
      <c r="K9" s="1578"/>
      <c r="L9" s="1578"/>
      <c r="M9" s="1579"/>
      <c r="N9" s="1580" t="s">
        <v>1137</v>
      </c>
      <c r="O9" s="1581"/>
      <c r="P9" s="1581"/>
      <c r="Q9" s="1581"/>
      <c r="R9" s="1581"/>
      <c r="S9" s="1581"/>
      <c r="T9" s="1581"/>
      <c r="U9" s="1581"/>
      <c r="V9" s="1582"/>
      <c r="W9" s="1574" t="s">
        <v>1138</v>
      </c>
      <c r="X9" s="1575"/>
      <c r="Y9" s="1575"/>
      <c r="Z9" s="1575"/>
      <c r="AA9" s="1575"/>
      <c r="AB9" s="1575"/>
      <c r="AC9" s="1575"/>
      <c r="AD9" s="1575"/>
      <c r="AE9" s="1576"/>
      <c r="AF9" s="1580" t="s">
        <v>1052</v>
      </c>
      <c r="AG9" s="1581"/>
      <c r="AH9" s="1581"/>
      <c r="AI9" s="1581"/>
      <c r="AJ9" s="1581"/>
      <c r="AK9" s="1581"/>
      <c r="AL9" s="1581"/>
      <c r="AM9" s="1581"/>
      <c r="AN9" s="1582"/>
      <c r="AW9" s="472"/>
      <c r="AY9" s="455"/>
      <c r="AZ9" s="455"/>
    </row>
    <row r="10" spans="2:55" ht="28.9" customHeight="1">
      <c r="C10" s="1571" t="s">
        <v>1215</v>
      </c>
      <c r="D10" s="1584" t="s">
        <v>867</v>
      </c>
      <c r="E10" s="1567" t="s">
        <v>868</v>
      </c>
      <c r="F10" s="1568"/>
      <c r="G10" s="1569"/>
      <c r="H10" s="1570" t="s">
        <v>1140</v>
      </c>
      <c r="I10" s="1572" t="s">
        <v>1144</v>
      </c>
      <c r="J10" s="1570" t="s">
        <v>869</v>
      </c>
      <c r="K10" s="1570" t="s">
        <v>863</v>
      </c>
      <c r="L10" s="1570"/>
      <c r="M10" s="1570"/>
      <c r="N10" s="1567" t="s">
        <v>868</v>
      </c>
      <c r="O10" s="1568"/>
      <c r="P10" s="1569"/>
      <c r="Q10" s="1570" t="s">
        <v>1150</v>
      </c>
      <c r="R10" s="1572" t="s">
        <v>1141</v>
      </c>
      <c r="S10" s="1570" t="s">
        <v>869</v>
      </c>
      <c r="T10" s="1570" t="s">
        <v>863</v>
      </c>
      <c r="U10" s="1570"/>
      <c r="V10" s="1570"/>
      <c r="W10" s="1567" t="s">
        <v>868</v>
      </c>
      <c r="X10" s="1568"/>
      <c r="Y10" s="1569"/>
      <c r="Z10" s="1570" t="s">
        <v>1151</v>
      </c>
      <c r="AA10" s="1572" t="s">
        <v>1146</v>
      </c>
      <c r="AB10" s="1570" t="s">
        <v>869</v>
      </c>
      <c r="AC10" s="1570" t="s">
        <v>863</v>
      </c>
      <c r="AD10" s="1570"/>
      <c r="AE10" s="1570"/>
      <c r="AF10" s="1567" t="s">
        <v>868</v>
      </c>
      <c r="AG10" s="1568"/>
      <c r="AH10" s="1569"/>
      <c r="AI10" s="1570" t="s">
        <v>1152</v>
      </c>
      <c r="AJ10" s="1572" t="s">
        <v>1148</v>
      </c>
      <c r="AK10" s="1570" t="s">
        <v>869</v>
      </c>
      <c r="AL10" s="1570" t="s">
        <v>863</v>
      </c>
      <c r="AM10" s="1570"/>
      <c r="AN10" s="1570"/>
      <c r="AO10" s="1583" t="s">
        <v>715</v>
      </c>
      <c r="AP10" s="1583"/>
      <c r="AQ10" s="1583"/>
      <c r="AR10" s="1583"/>
      <c r="AS10" s="1583"/>
      <c r="AT10" s="1583"/>
      <c r="AU10" s="1583"/>
      <c r="AV10" s="1583"/>
      <c r="AW10" s="1571" t="s">
        <v>888</v>
      </c>
    </row>
    <row r="11" spans="2:55" ht="55.9" customHeight="1">
      <c r="C11" s="1571"/>
      <c r="D11" s="1584"/>
      <c r="E11" s="560" t="s">
        <v>1153</v>
      </c>
      <c r="F11" s="950" t="str">
        <f>+E9</f>
        <v>Primer Trimestre</v>
      </c>
      <c r="G11" s="951" t="s">
        <v>1143</v>
      </c>
      <c r="H11" s="1571"/>
      <c r="I11" s="1573"/>
      <c r="J11" s="1571"/>
      <c r="K11" s="1013" t="str">
        <f>+$D$6</f>
        <v>Tercer Trimestre</v>
      </c>
      <c r="L11" s="1014" t="str">
        <f>+G11</f>
        <v>Acumulado
Corte 
31/03/2022</v>
      </c>
      <c r="M11" s="1015" t="s">
        <v>760</v>
      </c>
      <c r="N11" s="1021" t="s">
        <v>1153</v>
      </c>
      <c r="O11" s="1013" t="str">
        <f>+N9</f>
        <v>Segundo Trimestre</v>
      </c>
      <c r="P11" s="1014" t="s">
        <v>1142</v>
      </c>
      <c r="Q11" s="1571"/>
      <c r="R11" s="1573"/>
      <c r="S11" s="1571"/>
      <c r="T11" s="1013" t="str">
        <f>+O11</f>
        <v>Segundo Trimestre</v>
      </c>
      <c r="U11" s="1014" t="str">
        <f>+P11</f>
        <v>Acumulado Corte 
30/06/2022</v>
      </c>
      <c r="V11" s="1015" t="s">
        <v>760</v>
      </c>
      <c r="W11" s="1021" t="s">
        <v>1153</v>
      </c>
      <c r="X11" s="1013" t="str">
        <f>+W9</f>
        <v>Tercer Trimestre</v>
      </c>
      <c r="Y11" s="1014" t="s">
        <v>1145</v>
      </c>
      <c r="Z11" s="1571"/>
      <c r="AA11" s="1573"/>
      <c r="AB11" s="1571"/>
      <c r="AC11" s="1013" t="str">
        <f>+X11</f>
        <v>Tercer Trimestre</v>
      </c>
      <c r="AD11" s="1014" t="str">
        <f>+Y11</f>
        <v>Acumulado Corte 
30/09/2022</v>
      </c>
      <c r="AE11" s="1015" t="s">
        <v>760</v>
      </c>
      <c r="AF11" s="1021" t="s">
        <v>1153</v>
      </c>
      <c r="AG11" s="1013" t="str">
        <f>+AF9</f>
        <v>Cuarto Trimestre</v>
      </c>
      <c r="AH11" s="1014" t="s">
        <v>1147</v>
      </c>
      <c r="AI11" s="1571"/>
      <c r="AJ11" s="1573"/>
      <c r="AK11" s="1571"/>
      <c r="AL11" s="1013" t="str">
        <f>+AG11</f>
        <v>Cuarto Trimestre</v>
      </c>
      <c r="AM11" s="1014" t="str">
        <f>+AH11</f>
        <v>Acumulado Corte 
31/12/2022</v>
      </c>
      <c r="AN11" s="1015" t="s">
        <v>760</v>
      </c>
      <c r="AO11" s="1201" t="s">
        <v>870</v>
      </c>
      <c r="AP11" s="1202"/>
      <c r="AQ11" s="1203" t="s">
        <v>871</v>
      </c>
      <c r="AR11" s="1204"/>
      <c r="AS11" s="1204"/>
      <c r="AT11" s="1205"/>
      <c r="AU11" s="1206" t="s">
        <v>723</v>
      </c>
      <c r="AV11" s="1207"/>
      <c r="AW11" s="1571"/>
    </row>
    <row r="12" spans="2:55" ht="96.75" customHeight="1">
      <c r="B12" s="474">
        <f>'[3]01 Direcc Estratégico POA 2020 '!R13</f>
        <v>1</v>
      </c>
      <c r="C12" s="476" t="str">
        <f>+'Rango indicadores'!D5</f>
        <v>01-RI-01</v>
      </c>
      <c r="D12" s="475" t="str">
        <f>+'Rango indicadores'!E5</f>
        <v xml:space="preserve">Porcentaje de acciones implementadas para la sostenibilidad y mejora del SGC </v>
      </c>
      <c r="E12" s="507">
        <f>+'Rango indicadores'!$Q$5</f>
        <v>1</v>
      </c>
      <c r="F12" s="507">
        <f>+'1.Informe Seguimiento POA 2022'!O55</f>
        <v>0.24000000000000002</v>
      </c>
      <c r="G12" s="507">
        <f>+'1.Informe Seguimiento POA 2022'!O55</f>
        <v>0.24000000000000002</v>
      </c>
      <c r="H12" s="507">
        <f>+'1.Informe Seguimiento POA 2022'!P55</f>
        <v>0.24000000000000002</v>
      </c>
      <c r="I12" s="507">
        <f>+'1.Informe Seguimiento POA 2022'!P55</f>
        <v>0.24000000000000002</v>
      </c>
      <c r="J12" s="507">
        <f>I12</f>
        <v>0.24000000000000002</v>
      </c>
      <c r="K12" s="478">
        <f t="shared" ref="K12:K15" si="0">IF(AND(F12&gt;0),H12/F12,"No programado")</f>
        <v>1</v>
      </c>
      <c r="L12" s="478">
        <f>IF(AND(G12&gt;0),J12/G12,"No programado")</f>
        <v>1</v>
      </c>
      <c r="M12" s="478">
        <f>IF(AND(E12&gt;0,$J12&gt;0),J12/$E12,0)</f>
        <v>0.24000000000000002</v>
      </c>
      <c r="N12" s="507">
        <f>+E12</f>
        <v>1</v>
      </c>
      <c r="O12" s="921">
        <f>+'1.Informe Seguimiento POA 2022'!Q55</f>
        <v>0.27</v>
      </c>
      <c r="P12" s="507">
        <f>+'1.Informe Seguimiento POA 2022'!O55+'1.Informe Seguimiento POA 2022'!Q55</f>
        <v>0.51</v>
      </c>
      <c r="Q12" s="921">
        <f>+'1.Informe Seguimiento POA 2022'!R55</f>
        <v>0.27799999999999997</v>
      </c>
      <c r="R12" s="507">
        <f>+'1.Informe Seguimiento POA 2022'!P55+'1.Informe Seguimiento POA 2022'!R55</f>
        <v>0.51800000000000002</v>
      </c>
      <c r="S12" s="507">
        <f>H12+Q12</f>
        <v>0.51800000000000002</v>
      </c>
      <c r="T12" s="478">
        <f t="shared" ref="T12:T15" si="1">IF(AND(O12&gt;0),Q12/O12,"No programado")</f>
        <v>1.0296296296296295</v>
      </c>
      <c r="U12" s="478">
        <f>IF(AND(P12&gt;0),S12/P12,"No programado")</f>
        <v>1.0156862745098039</v>
      </c>
      <c r="V12" s="478">
        <f>IF(AND(N12&gt;0,$S12&gt;0),S12/$N12,0)</f>
        <v>0.51800000000000002</v>
      </c>
      <c r="W12" s="507">
        <f t="shared" ref="W12:W14" si="2">+E12</f>
        <v>1</v>
      </c>
      <c r="X12" s="507">
        <f>+'1.Informe Seguimiento POA 2022'!S55</f>
        <v>0.27</v>
      </c>
      <c r="Y12" s="507">
        <f>+'1.Informe Seguimiento POA 2022'!O55+'1.Informe Seguimiento POA 2022'!Q55+'1.Informe Seguimiento POA 2022'!S55</f>
        <v>0.78</v>
      </c>
      <c r="Z12" s="507">
        <f>+'1.Informe Seguimiento POA 2022'!T55</f>
        <v>0.27800000000000002</v>
      </c>
      <c r="AA12" s="507">
        <f>+'1.Informe Seguimiento POA 2022'!R55+'1.Informe Seguimiento POA 2022'!T55+'1.Informe Seguimiento POA 2022'!P55</f>
        <v>0.79600000000000004</v>
      </c>
      <c r="AB12" s="507">
        <f>H12+Q12+Z12</f>
        <v>0.79600000000000004</v>
      </c>
      <c r="AC12" s="478">
        <f t="shared" ref="AC12:AC15" si="3">IF(AND(X12&gt;0),Z12/X12,"No programado")</f>
        <v>1.0296296296296297</v>
      </c>
      <c r="AD12" s="478">
        <f>IF(AND(Y12&gt;0),AB12/Y12,"No programado")</f>
        <v>1.0205128205128204</v>
      </c>
      <c r="AE12" s="478">
        <f>IF(AND(W12&gt;0,$AB12&gt;0),AB12/$W12,0)</f>
        <v>0.79600000000000004</v>
      </c>
      <c r="AF12" s="507">
        <f>+W12</f>
        <v>1</v>
      </c>
      <c r="AG12" s="507">
        <f>+'1.Informe Seguimiento POA 2022'!U55</f>
        <v>0.22</v>
      </c>
      <c r="AH12" s="507">
        <f>+'1.Informe Seguimiento POA 2022'!O55+'1.Informe Seguimiento POA 2022'!Q55+'1.Informe Seguimiento POA 2022'!S55+'1.Informe Seguimiento POA 2022'!U55</f>
        <v>1</v>
      </c>
      <c r="AI12" s="921">
        <f>+'1.Informe Seguimiento POA 2022'!V55</f>
        <v>0</v>
      </c>
      <c r="AJ12" s="621">
        <f>+'1.Informe Seguimiento POA 2022'!P55+'1.Informe Seguimiento POA 2022'!R55+'1.Informe Seguimiento POA 2022'!T55+'1.Informe Seguimiento POA 2022'!V55</f>
        <v>0.79600000000000004</v>
      </c>
      <c r="AK12" s="620">
        <f>H12+Q12+Z12+AI12</f>
        <v>0.79600000000000004</v>
      </c>
      <c r="AL12" s="478">
        <f t="shared" ref="AL12:AM15" si="4">IF(AND(AG12&gt;0),AI12/AG12,"No programado")</f>
        <v>0</v>
      </c>
      <c r="AM12" s="478">
        <f>IF(AND(AH12&gt;0),AK12/AH12,"No programado")</f>
        <v>0.79600000000000004</v>
      </c>
      <c r="AN12" s="478">
        <f>IF(AND(AF12&gt;0,$J12&gt;0),AK12/$E12,0)</f>
        <v>0.79600000000000004</v>
      </c>
      <c r="AO12" s="478" t="str">
        <f>+'Rango indicadores'!H5</f>
        <v>Mayor A:</v>
      </c>
      <c r="AP12" s="477">
        <f>+'Rango indicadores'!I5</f>
        <v>95</v>
      </c>
      <c r="AQ12" s="477" t="str">
        <f>+'Rango indicadores'!J5</f>
        <v>Desde (&gt;=):</v>
      </c>
      <c r="AR12" s="477">
        <f>+'Rango indicadores'!K5</f>
        <v>80</v>
      </c>
      <c r="AS12" s="477" t="str">
        <f>+'Rango indicadores'!L5</f>
        <v>Hasta (&lt;=):</v>
      </c>
      <c r="AT12" s="477">
        <f>+'Rango indicadores'!M5</f>
        <v>95</v>
      </c>
      <c r="AU12" s="477" t="str">
        <f>+'Rango indicadores'!N5</f>
        <v>Menor A:</v>
      </c>
      <c r="AV12" s="477">
        <f>+'Rango indicadores'!O5</f>
        <v>80</v>
      </c>
      <c r="AW12" s="573" t="s">
        <v>1183</v>
      </c>
      <c r="AY12" s="657"/>
      <c r="BA12" s="657"/>
      <c r="BC12" s="656"/>
    </row>
    <row r="13" spans="2:55" ht="74.45" customHeight="1">
      <c r="B13" s="474">
        <f>1+B12</f>
        <v>2</v>
      </c>
      <c r="C13" s="476" t="str">
        <f>+'Rango indicadores'!D6</f>
        <v>01-RI-02</v>
      </c>
      <c r="D13" s="475" t="str">
        <f>+'Rango indicadores'!E6</f>
        <v>Porcentaje de actividades implementadas para la sostenibilidad  y mejora del MIPG</v>
      </c>
      <c r="E13" s="507">
        <f>+'Rango indicadores'!Q6</f>
        <v>0.14000000000000001</v>
      </c>
      <c r="F13" s="507">
        <f>+'1.Informe Seguimiento POA 2022'!O56</f>
        <v>5.1000000000000004E-2</v>
      </c>
      <c r="G13" s="507">
        <f>+'1.Informe Seguimiento POA 2022'!O56</f>
        <v>5.1000000000000004E-2</v>
      </c>
      <c r="H13" s="507">
        <f>+'1.Informe Seguimiento POA 2022'!P56</f>
        <v>5.1000000000000004E-2</v>
      </c>
      <c r="I13" s="507">
        <f>+'1.Informe Seguimiento POA 2022'!P56</f>
        <v>5.1000000000000004E-2</v>
      </c>
      <c r="J13" s="507">
        <f t="shared" ref="J13:J14" si="5">I13</f>
        <v>5.1000000000000004E-2</v>
      </c>
      <c r="K13" s="478">
        <f t="shared" si="0"/>
        <v>1</v>
      </c>
      <c r="L13" s="478">
        <f t="shared" ref="L13:L15" si="6">IF(AND(G13&gt;0),I13/G13,"No programado")</f>
        <v>1</v>
      </c>
      <c r="M13" s="478">
        <f t="shared" ref="M13:M15" si="7">IF(AND(E13&gt;0,$J13&gt;0),J13/$E13,0)</f>
        <v>0.36428571428571427</v>
      </c>
      <c r="N13" s="507">
        <f t="shared" ref="N13:N15" si="8">+E13</f>
        <v>0.14000000000000001</v>
      </c>
      <c r="O13" s="507">
        <f>+'1.Informe Seguimiento POA 2022'!Q56</f>
        <v>3.5999999999999997E-2</v>
      </c>
      <c r="P13" s="507">
        <f>+'1.Informe Seguimiento POA 2022'!O56+'1.Informe Seguimiento POA 2022'!Q56</f>
        <v>8.6999999999999994E-2</v>
      </c>
      <c r="Q13" s="507">
        <f>+'1.Informe Seguimiento POA 2022'!R56</f>
        <v>3.5400000000000001E-2</v>
      </c>
      <c r="R13" s="507">
        <f>+'1.Informe Seguimiento POA 2022'!P56+'1.Informe Seguimiento POA 2022'!R56</f>
        <v>8.6400000000000005E-2</v>
      </c>
      <c r="S13" s="507">
        <f t="shared" ref="S13:S15" si="9">H13+Q13</f>
        <v>8.6400000000000005E-2</v>
      </c>
      <c r="T13" s="478">
        <f t="shared" si="1"/>
        <v>0.98333333333333339</v>
      </c>
      <c r="U13" s="478">
        <f t="shared" ref="U13:U15" si="10">IF(AND(P13&gt;0),R13/P13,"No programado")</f>
        <v>0.99310344827586217</v>
      </c>
      <c r="V13" s="478">
        <f t="shared" ref="V13:V15" si="11">IF(AND(N13&gt;0,$S13&gt;0),S13/$N13,0)</f>
        <v>0.6171428571428571</v>
      </c>
      <c r="W13" s="507">
        <f t="shared" si="2"/>
        <v>0.14000000000000001</v>
      </c>
      <c r="X13" s="507">
        <f>+'1.Informe Seguimiento POA 2022'!S56</f>
        <v>2.7E-2</v>
      </c>
      <c r="Y13" s="507">
        <f>+'1.Informe Seguimiento POA 2022'!O56+'1.Informe Seguimiento POA 2022'!Q56+'1.Informe Seguimiento POA 2022'!S56</f>
        <v>0.11399999999999999</v>
      </c>
      <c r="Z13" s="507">
        <f>+'1.Informe Seguimiento POA 2022'!T56</f>
        <v>2.7E-2</v>
      </c>
      <c r="AA13" s="507">
        <f>+'1.Informe Seguimiento POA 2022'!R56+'1.Informe Seguimiento POA 2022'!T56+'1.Informe Seguimiento POA 2022'!P56</f>
        <v>0.1134</v>
      </c>
      <c r="AB13" s="507">
        <f t="shared" ref="AB13:AB15" si="12">H13+Q13+Z13</f>
        <v>0.1134</v>
      </c>
      <c r="AC13" s="478">
        <f t="shared" si="3"/>
        <v>1</v>
      </c>
      <c r="AD13" s="478">
        <f t="shared" ref="AD13:AD15" si="13">IF(AND(Y13&gt;0),AA13/Y13,"No programado")</f>
        <v>0.99473684210526325</v>
      </c>
      <c r="AE13" s="478">
        <f t="shared" ref="AE13:AE15" si="14">IF(AND(W13&gt;0,$AB13&gt;0),AB13/$W13,0)</f>
        <v>0.80999999999999994</v>
      </c>
      <c r="AF13" s="507">
        <f t="shared" ref="AF13:AF14" si="15">+W13</f>
        <v>0.14000000000000001</v>
      </c>
      <c r="AG13" s="507">
        <f>+'1.Informe Seguimiento POA 2022'!U56</f>
        <v>2.6000000000000002E-2</v>
      </c>
      <c r="AH13" s="507">
        <f>+'1.Informe Seguimiento POA 2022'!O56+'1.Informe Seguimiento POA 2022'!Q56+'1.Informe Seguimiento POA 2022'!S56+'1.Informe Seguimiento POA 2022'!U56</f>
        <v>0.13999999999999999</v>
      </c>
      <c r="AI13" s="507">
        <f>+'1.Informe Seguimiento POA 2022'!V56</f>
        <v>0</v>
      </c>
      <c r="AJ13" s="621">
        <f>+'1.Informe Seguimiento POA 2022'!P56+'1.Informe Seguimiento POA 2022'!R56+'1.Informe Seguimiento POA 2022'!T56+'1.Informe Seguimiento POA 2022'!V56</f>
        <v>0.1134</v>
      </c>
      <c r="AK13" s="620">
        <f t="shared" ref="AK13:AK15" si="16">H13+Q13+Z13+AI13</f>
        <v>0.1134</v>
      </c>
      <c r="AL13" s="478">
        <f t="shared" si="4"/>
        <v>0</v>
      </c>
      <c r="AM13" s="478">
        <f t="shared" si="4"/>
        <v>0.81</v>
      </c>
      <c r="AN13" s="478">
        <f t="shared" ref="AN13:AN15" si="17">IF(AND(AF13&gt;0,$J13&gt;0),AK13/$E13,0)</f>
        <v>0.80999999999999994</v>
      </c>
      <c r="AO13" s="478" t="str">
        <f>+'Rango indicadores'!H6</f>
        <v>Mayor A:</v>
      </c>
      <c r="AP13" s="477">
        <f>+'Rango indicadores'!I6</f>
        <v>95</v>
      </c>
      <c r="AQ13" s="477" t="str">
        <f>+'Rango indicadores'!J6</f>
        <v>Desde (&gt;=):</v>
      </c>
      <c r="AR13" s="477">
        <f>+'Rango indicadores'!K6</f>
        <v>80</v>
      </c>
      <c r="AS13" s="477" t="str">
        <f>+'Rango indicadores'!L6</f>
        <v>Hasta (&lt;=):</v>
      </c>
      <c r="AT13" s="477">
        <f>+'Rango indicadores'!M6</f>
        <v>95</v>
      </c>
      <c r="AU13" s="477" t="str">
        <f>+'Rango indicadores'!N6</f>
        <v>Menor A:</v>
      </c>
      <c r="AV13" s="477">
        <f>+'Rango indicadores'!O6</f>
        <v>80</v>
      </c>
      <c r="AW13" s="573" t="s">
        <v>1164</v>
      </c>
      <c r="AY13" s="657"/>
      <c r="BA13" s="657"/>
    </row>
    <row r="14" spans="2:55" ht="74.45" customHeight="1">
      <c r="B14" s="474">
        <f>1+B13</f>
        <v>3</v>
      </c>
      <c r="C14" s="476" t="str">
        <f>+'Rango indicadores'!D7</f>
        <v>01-RI-03</v>
      </c>
      <c r="D14" s="475" t="str">
        <f>+'Rango indicadores'!E7</f>
        <v xml:space="preserve">Porcentaje de requisitos del  SGA implementados bajo los estándares de la norma ISO 14001 </v>
      </c>
      <c r="E14" s="507">
        <f>+'Rango indicadores'!Q7</f>
        <v>0.33</v>
      </c>
      <c r="F14" s="507">
        <f>+'1.Informe Seguimiento POA 2022'!O57</f>
        <v>8.7999999999999995E-2</v>
      </c>
      <c r="G14" s="507">
        <f>+'1.Informe Seguimiento POA 2022'!O57</f>
        <v>8.7999999999999995E-2</v>
      </c>
      <c r="H14" s="507">
        <f>+'1.Informe Seguimiento POA 2022'!P57</f>
        <v>8.7999999999999995E-2</v>
      </c>
      <c r="I14" s="507">
        <f>+'1.Informe Seguimiento POA 2022'!P57</f>
        <v>8.7999999999999995E-2</v>
      </c>
      <c r="J14" s="507">
        <f t="shared" si="5"/>
        <v>8.7999999999999995E-2</v>
      </c>
      <c r="K14" s="478">
        <f t="shared" si="0"/>
        <v>1</v>
      </c>
      <c r="L14" s="478">
        <f t="shared" si="6"/>
        <v>1</v>
      </c>
      <c r="M14" s="478">
        <f t="shared" si="7"/>
        <v>0.26666666666666666</v>
      </c>
      <c r="N14" s="507">
        <f t="shared" si="8"/>
        <v>0.33</v>
      </c>
      <c r="O14" s="507">
        <f>+'1.Informe Seguimiento POA 2022'!Q57</f>
        <v>8.7999999999999995E-2</v>
      </c>
      <c r="P14" s="507">
        <f>+'1.Informe Seguimiento POA 2022'!O57+'1.Informe Seguimiento POA 2022'!Q57</f>
        <v>0.17599999999999999</v>
      </c>
      <c r="Q14" s="507">
        <f>+'1.Informe Seguimiento POA 2022'!R57</f>
        <v>8.7999999999999995E-2</v>
      </c>
      <c r="R14" s="507">
        <f>+'1.Informe Seguimiento POA 2022'!P57+'1.Informe Seguimiento POA 2022'!R57</f>
        <v>0.17599999999999999</v>
      </c>
      <c r="S14" s="507">
        <f t="shared" si="9"/>
        <v>0.17599999999999999</v>
      </c>
      <c r="T14" s="478">
        <f t="shared" si="1"/>
        <v>1</v>
      </c>
      <c r="U14" s="478">
        <f t="shared" si="10"/>
        <v>1</v>
      </c>
      <c r="V14" s="478">
        <f t="shared" si="11"/>
        <v>0.53333333333333333</v>
      </c>
      <c r="W14" s="507">
        <f t="shared" si="2"/>
        <v>0.33</v>
      </c>
      <c r="X14" s="507">
        <f>+'1.Informe Seguimiento POA 2022'!S57</f>
        <v>8.7999999999999995E-2</v>
      </c>
      <c r="Y14" s="507">
        <f>+'1.Informe Seguimiento POA 2022'!O57+'1.Informe Seguimiento POA 2022'!Q57+'1.Informe Seguimiento POA 2022'!S57</f>
        <v>0.26400000000000001</v>
      </c>
      <c r="Z14" s="507">
        <f>+'1.Informe Seguimiento POA 2022'!T57</f>
        <v>8.7999999999999995E-2</v>
      </c>
      <c r="AA14" s="507">
        <f>+'1.Informe Seguimiento POA 2022'!R57+'1.Informe Seguimiento POA 2022'!T57+'1.Informe Seguimiento POA 2022'!P57</f>
        <v>0.26400000000000001</v>
      </c>
      <c r="AB14" s="507">
        <f t="shared" si="12"/>
        <v>0.26400000000000001</v>
      </c>
      <c r="AC14" s="478">
        <f t="shared" si="3"/>
        <v>1</v>
      </c>
      <c r="AD14" s="478">
        <f t="shared" si="13"/>
        <v>1</v>
      </c>
      <c r="AE14" s="478">
        <f t="shared" si="14"/>
        <v>0.8</v>
      </c>
      <c r="AF14" s="507">
        <f t="shared" si="15"/>
        <v>0.33</v>
      </c>
      <c r="AG14" s="507">
        <f>+'1.Informe Seguimiento POA 2022'!U57</f>
        <v>6.6000000000000003E-2</v>
      </c>
      <c r="AH14" s="507">
        <f>+'1.Informe Seguimiento POA 2022'!O57+'1.Informe Seguimiento POA 2022'!Q57+'1.Informe Seguimiento POA 2022'!S57+'1.Informe Seguimiento POA 2022'!U57</f>
        <v>0.33</v>
      </c>
      <c r="AI14" s="507">
        <f>+'1.Informe Seguimiento POA 2022'!V57</f>
        <v>0</v>
      </c>
      <c r="AJ14" s="621">
        <f>+'1.Informe Seguimiento POA 2022'!P57+'1.Informe Seguimiento POA 2022'!R57+'1.Informe Seguimiento POA 2022'!T57+'1.Informe Seguimiento POA 2022'!V57</f>
        <v>0.26400000000000001</v>
      </c>
      <c r="AK14" s="620">
        <f t="shared" si="16"/>
        <v>0.26400000000000001</v>
      </c>
      <c r="AL14" s="478">
        <f t="shared" si="4"/>
        <v>0</v>
      </c>
      <c r="AM14" s="478">
        <f t="shared" si="4"/>
        <v>0.8</v>
      </c>
      <c r="AN14" s="478">
        <f t="shared" si="17"/>
        <v>0.8</v>
      </c>
      <c r="AO14" s="478" t="str">
        <f>+'Rango indicadores'!H7</f>
        <v>Mayor o igual A:</v>
      </c>
      <c r="AP14" s="477">
        <f>+'Rango indicadores'!I7</f>
        <v>95</v>
      </c>
      <c r="AQ14" s="477" t="str">
        <f>+'Rango indicadores'!J7</f>
        <v>Desde (&gt;):</v>
      </c>
      <c r="AR14" s="477">
        <f>+'Rango indicadores'!K7</f>
        <v>85</v>
      </c>
      <c r="AS14" s="477" t="str">
        <f>+'Rango indicadores'!L7</f>
        <v>Hasta (&lt;):</v>
      </c>
      <c r="AT14" s="477">
        <f>+'Rango indicadores'!M7</f>
        <v>95</v>
      </c>
      <c r="AU14" s="477" t="str">
        <f>+'Rango indicadores'!N7</f>
        <v>Menor o Igual A:</v>
      </c>
      <c r="AV14" s="477">
        <f>+'Rango indicadores'!O7</f>
        <v>85</v>
      </c>
      <c r="AW14" s="581" t="s">
        <v>1164</v>
      </c>
      <c r="AY14" s="657"/>
      <c r="BA14" s="657"/>
    </row>
    <row r="15" spans="2:55" ht="74.45" customHeight="1">
      <c r="B15" s="474">
        <f>1+B14</f>
        <v>4</v>
      </c>
      <c r="C15" s="476" t="str">
        <f>+'Rango indicadores'!D8</f>
        <v>01-RI-04</v>
      </c>
      <c r="D15" s="475" t="str">
        <f>+'Rango indicadores'!E8</f>
        <v>Acciones de monitoreo y revisión realizadas al PAAC</v>
      </c>
      <c r="E15" s="477">
        <f>+'Rango indicadores'!Q8</f>
        <v>3</v>
      </c>
      <c r="F15" s="477">
        <f>+'1.Informe Seguimiento POA 2022'!O58</f>
        <v>1</v>
      </c>
      <c r="G15" s="477">
        <f>+'1.Informe Seguimiento POA 2022'!O58</f>
        <v>1</v>
      </c>
      <c r="H15" s="477">
        <f>+'1.Informe Seguimiento POA 2022'!P58</f>
        <v>1</v>
      </c>
      <c r="I15" s="477">
        <f>+'1.Informe Seguimiento POA 2022'!P58</f>
        <v>1</v>
      </c>
      <c r="J15" s="477">
        <f>+I15</f>
        <v>1</v>
      </c>
      <c r="K15" s="478">
        <f t="shared" si="0"/>
        <v>1</v>
      </c>
      <c r="L15" s="478">
        <f t="shared" si="6"/>
        <v>1</v>
      </c>
      <c r="M15" s="478">
        <f t="shared" si="7"/>
        <v>0.33333333333333331</v>
      </c>
      <c r="N15" s="477">
        <f t="shared" si="8"/>
        <v>3</v>
      </c>
      <c r="O15" s="477">
        <f>+'1.Informe Seguimiento POA 2022'!Q58</f>
        <v>1</v>
      </c>
      <c r="P15" s="477">
        <f>+'1.Informe Seguimiento POA 2022'!O58+'1.Informe Seguimiento POA 2022'!Q58</f>
        <v>2</v>
      </c>
      <c r="Q15" s="477">
        <f>+'1.Informe Seguimiento POA 2022'!R58</f>
        <v>1</v>
      </c>
      <c r="R15" s="477">
        <f>+'1.Informe Seguimiento POA 2022'!P58+'1.Informe Seguimiento POA 2022'!R58</f>
        <v>2</v>
      </c>
      <c r="S15" s="477">
        <f t="shared" si="9"/>
        <v>2</v>
      </c>
      <c r="T15" s="478">
        <f t="shared" si="1"/>
        <v>1</v>
      </c>
      <c r="U15" s="478">
        <f t="shared" si="10"/>
        <v>1</v>
      </c>
      <c r="V15" s="478">
        <f t="shared" si="11"/>
        <v>0.66666666666666663</v>
      </c>
      <c r="W15" s="477">
        <f>N15</f>
        <v>3</v>
      </c>
      <c r="X15" s="477">
        <f>+'1.Informe Seguimiento POA 2022'!S58</f>
        <v>1</v>
      </c>
      <c r="Y15" s="477">
        <f>+'1.Informe Seguimiento POA 2022'!O58+'1.Informe Seguimiento POA 2022'!Q58+'1.Informe Seguimiento POA 2022'!S58</f>
        <v>3</v>
      </c>
      <c r="Z15" s="477">
        <f>+'1.Informe Seguimiento POA 2022'!T58</f>
        <v>1</v>
      </c>
      <c r="AA15" s="477">
        <f>+'1.Informe Seguimiento POA 2022'!R58+'1.Informe Seguimiento POA 2022'!T58+'1.Informe Seguimiento POA 2022'!P58</f>
        <v>3</v>
      </c>
      <c r="AB15" s="477">
        <f t="shared" si="12"/>
        <v>3</v>
      </c>
      <c r="AC15" s="478">
        <f t="shared" si="3"/>
        <v>1</v>
      </c>
      <c r="AD15" s="478">
        <f t="shared" si="13"/>
        <v>1</v>
      </c>
      <c r="AE15" s="478">
        <f t="shared" si="14"/>
        <v>1</v>
      </c>
      <c r="AF15" s="477">
        <f>+W15</f>
        <v>3</v>
      </c>
      <c r="AG15" s="477">
        <f>+'1.Informe Seguimiento POA 2022'!U58</f>
        <v>0</v>
      </c>
      <c r="AH15" s="477">
        <f>+'1.Informe Seguimiento POA 2022'!O58+'1.Informe Seguimiento POA 2022'!Q58+'1.Informe Seguimiento POA 2022'!S58+'1.Informe Seguimiento POA 2022'!T58</f>
        <v>4</v>
      </c>
      <c r="AI15" s="477">
        <f>+'1.Informe Seguimiento POA 2022'!V58</f>
        <v>0</v>
      </c>
      <c r="AJ15" s="477">
        <f>+'1.Informe Seguimiento POA 2022'!P58+'1.Informe Seguimiento POA 2022'!R58+'1.Informe Seguimiento POA 2022'!T58+'1.Informe Seguimiento POA 2022'!V58</f>
        <v>3</v>
      </c>
      <c r="AK15" s="477">
        <f t="shared" si="16"/>
        <v>3</v>
      </c>
      <c r="AL15" s="478" t="str">
        <f t="shared" si="4"/>
        <v>No programado</v>
      </c>
      <c r="AM15" s="478">
        <f t="shared" si="4"/>
        <v>0.75</v>
      </c>
      <c r="AN15" s="478">
        <f t="shared" si="17"/>
        <v>1</v>
      </c>
      <c r="AO15" s="478" t="str">
        <f>+'Rango indicadores'!H8</f>
        <v>Mayor o igual A:</v>
      </c>
      <c r="AP15" s="477">
        <f>+'Rango indicadores'!I8</f>
        <v>100</v>
      </c>
      <c r="AQ15" s="477" t="str">
        <f>+'Rango indicadores'!J8</f>
        <v>Desde (&gt;):</v>
      </c>
      <c r="AR15" s="477">
        <f>+'Rango indicadores'!K8</f>
        <v>80</v>
      </c>
      <c r="AS15" s="477" t="str">
        <f>+'Rango indicadores'!L8</f>
        <v>Hasta (&lt;):</v>
      </c>
      <c r="AT15" s="477">
        <f>+'Rango indicadores'!M8</f>
        <v>100</v>
      </c>
      <c r="AU15" s="477" t="str">
        <f>+'Rango indicadores'!N8</f>
        <v>Menor o Igual A:</v>
      </c>
      <c r="AV15" s="477">
        <f>+'Rango indicadores'!O8</f>
        <v>80</v>
      </c>
      <c r="AW15" s="581" t="s">
        <v>1164</v>
      </c>
      <c r="AY15" s="654"/>
      <c r="BA15" s="654"/>
    </row>
    <row r="16" spans="2:55" ht="15.75">
      <c r="C16" s="1598" t="s">
        <v>872</v>
      </c>
      <c r="D16" s="1599"/>
      <c r="E16" s="1599"/>
      <c r="F16" s="1599"/>
      <c r="G16" s="1599"/>
      <c r="H16" s="1599"/>
      <c r="I16" s="1599"/>
      <c r="J16" s="1599"/>
      <c r="K16" s="480">
        <f>IFERROR(AVERAGE(K12:K15),0)</f>
        <v>1</v>
      </c>
      <c r="L16" s="480">
        <f>IFERROR(AVERAGE(L12:L15),0)</f>
        <v>1</v>
      </c>
      <c r="M16" s="480">
        <f>IFERROR(AVERAGE(M12:M15),0)</f>
        <v>0.30107142857142855</v>
      </c>
      <c r="N16" s="1060"/>
      <c r="O16" s="1060"/>
      <c r="P16" s="1060"/>
      <c r="Q16" s="1060"/>
      <c r="R16" s="1060"/>
      <c r="S16" s="1060"/>
      <c r="T16" s="480">
        <f>IFERROR(AVERAGE(T12:T15),0)</f>
        <v>1.0032407407407407</v>
      </c>
      <c r="U16" s="480">
        <f>IFERROR(AVERAGE(U12:U15),0)</f>
        <v>1.0021974306964165</v>
      </c>
      <c r="V16" s="480">
        <f>IFERROR(AVERAGE(V12:V15),0)</f>
        <v>0.58378571428571424</v>
      </c>
      <c r="W16" s="1060"/>
      <c r="X16" s="1060"/>
      <c r="Y16" s="1060"/>
      <c r="Z16" s="1060"/>
      <c r="AA16" s="1060"/>
      <c r="AB16" s="1060"/>
      <c r="AC16" s="480">
        <f>IFERROR(AVERAGE(AC12:AC15),0)</f>
        <v>1.0074074074074075</v>
      </c>
      <c r="AD16" s="480">
        <f>IFERROR(AVERAGE(AD12:AD15),0)</f>
        <v>1.003812415654521</v>
      </c>
      <c r="AE16" s="480">
        <f>IFERROR(AVERAGE(AE12:AE15),0)</f>
        <v>0.85149999999999992</v>
      </c>
      <c r="AF16" s="1060"/>
      <c r="AG16" s="1060"/>
      <c r="AH16" s="1060"/>
      <c r="AI16" s="1060"/>
      <c r="AJ16" s="1060"/>
      <c r="AK16" s="1061"/>
      <c r="AL16" s="480">
        <f>IFERROR(AVERAGE(AL12:AL15),0)</f>
        <v>0</v>
      </c>
      <c r="AM16" s="480">
        <f>IFERROR(AVERAGE(AM12:AM15),0)</f>
        <v>0.78900000000000003</v>
      </c>
      <c r="AN16" s="480">
        <f>IFERROR(AVERAGE(AN12:AN15),0)</f>
        <v>0.85149999999999992</v>
      </c>
      <c r="AO16" s="469"/>
      <c r="AP16" s="469"/>
      <c r="AQ16" s="469"/>
      <c r="AR16" s="469"/>
      <c r="AS16" s="469"/>
      <c r="AT16" s="469"/>
      <c r="AU16" s="469"/>
      <c r="AV16" s="469"/>
      <c r="AW16" s="582"/>
    </row>
    <row r="17" spans="2:53" ht="24" customHeight="1" thickBot="1">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row>
    <row r="18" spans="2:53" ht="16.5" thickBot="1">
      <c r="C18" s="481" t="s">
        <v>873</v>
      </c>
      <c r="D18" s="504"/>
      <c r="E18" s="1577" t="s">
        <v>1136</v>
      </c>
      <c r="F18" s="1578"/>
      <c r="G18" s="1578"/>
      <c r="H18" s="1578"/>
      <c r="I18" s="1578"/>
      <c r="J18" s="1578"/>
      <c r="K18" s="1578"/>
      <c r="L18" s="1578"/>
      <c r="M18" s="1579"/>
      <c r="N18" s="1580" t="s">
        <v>1137</v>
      </c>
      <c r="O18" s="1581"/>
      <c r="P18" s="1581"/>
      <c r="Q18" s="1581"/>
      <c r="R18" s="1581"/>
      <c r="S18" s="1581"/>
      <c r="T18" s="1581"/>
      <c r="U18" s="1581"/>
      <c r="V18" s="1582"/>
      <c r="W18" s="1574" t="s">
        <v>1138</v>
      </c>
      <c r="X18" s="1575"/>
      <c r="Y18" s="1575"/>
      <c r="Z18" s="1575"/>
      <c r="AA18" s="1575"/>
      <c r="AB18" s="1575"/>
      <c r="AC18" s="1575"/>
      <c r="AD18" s="1575"/>
      <c r="AE18" s="1576"/>
      <c r="AF18" s="1580" t="s">
        <v>1052</v>
      </c>
      <c r="AG18" s="1581"/>
      <c r="AH18" s="1581"/>
      <c r="AI18" s="1581"/>
      <c r="AJ18" s="1581"/>
      <c r="AK18" s="1581"/>
      <c r="AL18" s="1581"/>
      <c r="AM18" s="1581"/>
      <c r="AN18" s="1582"/>
    </row>
    <row r="19" spans="2:53" ht="24" customHeight="1">
      <c r="C19" s="1571" t="str">
        <f>+$C$10</f>
        <v>Identificación del Indicador</v>
      </c>
      <c r="D19" s="1584" t="s">
        <v>867</v>
      </c>
      <c r="E19" s="1567" t="s">
        <v>868</v>
      </c>
      <c r="F19" s="1568"/>
      <c r="G19" s="1569"/>
      <c r="H19" s="1570" t="s">
        <v>1140</v>
      </c>
      <c r="I19" s="1572" t="s">
        <v>1144</v>
      </c>
      <c r="J19" s="1570" t="s">
        <v>869</v>
      </c>
      <c r="K19" s="1570" t="s">
        <v>863</v>
      </c>
      <c r="L19" s="1570"/>
      <c r="M19" s="1570"/>
      <c r="N19" s="1567" t="s">
        <v>868</v>
      </c>
      <c r="O19" s="1568"/>
      <c r="P19" s="1569"/>
      <c r="Q19" s="1570" t="s">
        <v>1150</v>
      </c>
      <c r="R19" s="1572" t="s">
        <v>1141</v>
      </c>
      <c r="S19" s="1570" t="s">
        <v>869</v>
      </c>
      <c r="T19" s="1570" t="s">
        <v>863</v>
      </c>
      <c r="U19" s="1570"/>
      <c r="V19" s="1570"/>
      <c r="W19" s="1567" t="s">
        <v>868</v>
      </c>
      <c r="X19" s="1568"/>
      <c r="Y19" s="1569"/>
      <c r="Z19" s="1570" t="s">
        <v>1151</v>
      </c>
      <c r="AA19" s="1572" t="s">
        <v>1146</v>
      </c>
      <c r="AB19" s="1570" t="s">
        <v>869</v>
      </c>
      <c r="AC19" s="1570" t="s">
        <v>863</v>
      </c>
      <c r="AD19" s="1570"/>
      <c r="AE19" s="1570"/>
      <c r="AF19" s="1567" t="s">
        <v>868</v>
      </c>
      <c r="AG19" s="1568"/>
      <c r="AH19" s="1569"/>
      <c r="AI19" s="1570" t="s">
        <v>1152</v>
      </c>
      <c r="AJ19" s="1572" t="s">
        <v>1148</v>
      </c>
      <c r="AK19" s="1570" t="s">
        <v>869</v>
      </c>
      <c r="AL19" s="1570" t="s">
        <v>863</v>
      </c>
      <c r="AM19" s="1570"/>
      <c r="AN19" s="1570"/>
      <c r="AO19" s="1583" t="s">
        <v>715</v>
      </c>
      <c r="AP19" s="1583"/>
      <c r="AQ19" s="1583"/>
      <c r="AR19" s="1583"/>
      <c r="AS19" s="1583"/>
      <c r="AT19" s="1583"/>
      <c r="AU19" s="1583"/>
      <c r="AV19" s="1583"/>
      <c r="AW19" s="1571" t="s">
        <v>888</v>
      </c>
    </row>
    <row r="20" spans="2:53" ht="50.25" customHeight="1">
      <c r="C20" s="1571"/>
      <c r="D20" s="1584"/>
      <c r="E20" s="1021" t="s">
        <v>1153</v>
      </c>
      <c r="F20" s="1017" t="str">
        <f>+E18</f>
        <v>Primer Trimestre</v>
      </c>
      <c r="G20" s="1018" t="s">
        <v>1143</v>
      </c>
      <c r="H20" s="1571"/>
      <c r="I20" s="1573"/>
      <c r="J20" s="1571"/>
      <c r="K20" s="1017" t="str">
        <f>+$D$6</f>
        <v>Tercer Trimestre</v>
      </c>
      <c r="L20" s="1018" t="str">
        <f>+G20</f>
        <v>Acumulado
Corte 
31/03/2022</v>
      </c>
      <c r="M20" s="1019" t="s">
        <v>760</v>
      </c>
      <c r="N20" s="1021" t="s">
        <v>1153</v>
      </c>
      <c r="O20" s="1017" t="str">
        <f>+N18</f>
        <v>Segundo Trimestre</v>
      </c>
      <c r="P20" s="1018" t="s">
        <v>1142</v>
      </c>
      <c r="Q20" s="1571"/>
      <c r="R20" s="1573"/>
      <c r="S20" s="1571"/>
      <c r="T20" s="1017" t="str">
        <f>+O20</f>
        <v>Segundo Trimestre</v>
      </c>
      <c r="U20" s="1018" t="str">
        <f>+P20</f>
        <v>Acumulado Corte 
30/06/2022</v>
      </c>
      <c r="V20" s="1019" t="s">
        <v>760</v>
      </c>
      <c r="W20" s="1021" t="s">
        <v>1153</v>
      </c>
      <c r="X20" s="1017" t="str">
        <f>+W18</f>
        <v>Tercer Trimestre</v>
      </c>
      <c r="Y20" s="1018" t="s">
        <v>1145</v>
      </c>
      <c r="Z20" s="1571"/>
      <c r="AA20" s="1573"/>
      <c r="AB20" s="1571"/>
      <c r="AC20" s="1017" t="str">
        <f>+X20</f>
        <v>Tercer Trimestre</v>
      </c>
      <c r="AD20" s="1018" t="str">
        <f>+Y20</f>
        <v>Acumulado Corte 
30/09/2022</v>
      </c>
      <c r="AE20" s="1019" t="s">
        <v>760</v>
      </c>
      <c r="AF20" s="1021" t="s">
        <v>1153</v>
      </c>
      <c r="AG20" s="1017" t="str">
        <f>+AF18</f>
        <v>Cuarto Trimestre</v>
      </c>
      <c r="AH20" s="1018" t="s">
        <v>1147</v>
      </c>
      <c r="AI20" s="1571"/>
      <c r="AJ20" s="1573"/>
      <c r="AK20" s="1571"/>
      <c r="AL20" s="1017" t="str">
        <f>+AG20</f>
        <v>Cuarto Trimestre</v>
      </c>
      <c r="AM20" s="1018" t="str">
        <f>+AH20</f>
        <v>Acumulado Corte 
31/12/2022</v>
      </c>
      <c r="AN20" s="1019" t="s">
        <v>760</v>
      </c>
      <c r="AO20" s="1201" t="s">
        <v>870</v>
      </c>
      <c r="AP20" s="1202"/>
      <c r="AQ20" s="1203" t="s">
        <v>871</v>
      </c>
      <c r="AR20" s="1204"/>
      <c r="AS20" s="1204"/>
      <c r="AT20" s="1205"/>
      <c r="AU20" s="1206" t="s">
        <v>723</v>
      </c>
      <c r="AV20" s="1207"/>
      <c r="AW20" s="1571"/>
    </row>
    <row r="21" spans="2:53" ht="30">
      <c r="B21" s="474">
        <f>+B15+1</f>
        <v>5</v>
      </c>
      <c r="C21" s="476" t="str">
        <f>+'Rango indicadores'!D9</f>
        <v>02-RI-01</v>
      </c>
      <c r="D21" s="475" t="str">
        <f>+'Rango indicadores'!E9</f>
        <v>Proyectos de Investigación, Desarrollo e Innovación (I+D+I) elaborados</v>
      </c>
      <c r="E21" s="477">
        <f>+'Rango indicadores'!Q9</f>
        <v>1</v>
      </c>
      <c r="F21" s="477">
        <f>+'1.Informe Seguimiento POA 2022'!O96</f>
        <v>0</v>
      </c>
      <c r="G21" s="477">
        <f>+'1.Informe Seguimiento POA 2022'!O96</f>
        <v>0</v>
      </c>
      <c r="H21" s="477">
        <f>+'1.Informe Seguimiento POA 2022'!P96</f>
        <v>0</v>
      </c>
      <c r="I21" s="477">
        <f>+'1.Informe Seguimiento POA 2022'!X96</f>
        <v>0</v>
      </c>
      <c r="J21" s="477">
        <f>+I21</f>
        <v>0</v>
      </c>
      <c r="K21" s="483" t="str">
        <f>IF(AND(F21&gt;0),H21/F21,"No programado")</f>
        <v>No programado</v>
      </c>
      <c r="L21" s="483" t="str">
        <f>IF(AND(G21&gt;0),I21/G21,"No programado")</f>
        <v>No programado</v>
      </c>
      <c r="M21" s="478">
        <f t="shared" ref="M21:M24" si="18">IF(AND(E21&gt;0,$J21&gt;0),J21/$E21,0)</f>
        <v>0</v>
      </c>
      <c r="N21" s="477">
        <f t="shared" ref="N21" si="19">+E21</f>
        <v>1</v>
      </c>
      <c r="O21" s="477">
        <f>+'1.Informe Seguimiento POA 2022'!Q96</f>
        <v>0</v>
      </c>
      <c r="P21" s="477">
        <f>+'1.Informe Seguimiento POA 2022'!O96+'1.Informe Seguimiento POA 2022'!Q96</f>
        <v>0</v>
      </c>
      <c r="Q21" s="477">
        <f>+'1.Informe Seguimiento POA 2022'!R96</f>
        <v>0</v>
      </c>
      <c r="R21" s="477">
        <f>+'1.Informe Seguimiento POA 2022'!P96+'1.Informe Seguimiento POA 2022'!R96</f>
        <v>0</v>
      </c>
      <c r="S21" s="477">
        <f t="shared" ref="S21:S24" si="20">H21+Q21</f>
        <v>0</v>
      </c>
      <c r="T21" s="483" t="str">
        <f>IF(AND(O21&gt;0),Q21/O21,"No programado")</f>
        <v>No programado</v>
      </c>
      <c r="U21" s="483" t="str">
        <f>IF(AND(P21&gt;0),R21/P21,"No programado")</f>
        <v>No programado</v>
      </c>
      <c r="V21" s="478">
        <f>IF(AND(N21&gt;0,$S21&gt;0),S21/$N21,0)</f>
        <v>0</v>
      </c>
      <c r="W21" s="477">
        <f t="shared" ref="W21:W24" si="21">N21</f>
        <v>1</v>
      </c>
      <c r="X21" s="477">
        <f>+'1.Informe Seguimiento POA 2022'!S96</f>
        <v>0</v>
      </c>
      <c r="Y21" s="477">
        <f>+'1.Informe Seguimiento POA 2022'!O96+'1.Informe Seguimiento POA 2022'!Q96+'1.Informe Seguimiento POA 2022'!S96</f>
        <v>0</v>
      </c>
      <c r="Z21" s="477">
        <f>+'1.Informe Seguimiento POA 2022'!T96</f>
        <v>0</v>
      </c>
      <c r="AA21" s="477">
        <f>+'1.Informe Seguimiento POA 2022'!R96+'1.Informe Seguimiento POA 2022'!T96+'1.Informe Seguimiento POA 2022'!P96</f>
        <v>0</v>
      </c>
      <c r="AB21" s="477">
        <f t="shared" ref="AB21:AB24" si="22">H21+Q21+Z21</f>
        <v>0</v>
      </c>
      <c r="AC21" s="483" t="str">
        <f>IF(AND(X21&gt;0),Z21/X21,"No programado")</f>
        <v>No programado</v>
      </c>
      <c r="AD21" s="483" t="str">
        <f>IF(AND(Y21&gt;0),AA21/Y21,"No programado")</f>
        <v>No programado</v>
      </c>
      <c r="AE21" s="478">
        <f>IF(AND(W21&gt;0,$AB21&gt;0),AB21/$W21,0)</f>
        <v>0</v>
      </c>
      <c r="AF21" s="477">
        <f>+W21</f>
        <v>1</v>
      </c>
      <c r="AG21" s="477">
        <f>+'1.Informe Seguimiento POA 2022'!U96</f>
        <v>1</v>
      </c>
      <c r="AH21" s="477">
        <f>+'1.Informe Seguimiento POA 2022'!O96+'1.Informe Seguimiento POA 2022'!Q96+'1.Informe Seguimiento POA 2022'!S96+'1.Informe Seguimiento POA 2022'!U96</f>
        <v>1</v>
      </c>
      <c r="AI21" s="477">
        <f>+'1.Informe Seguimiento POA 2022'!V96</f>
        <v>0</v>
      </c>
      <c r="AJ21" s="477">
        <f>+'1.Informe Seguimiento POA 2022'!P96+'1.Informe Seguimiento POA 2022'!R96+'1.Informe Seguimiento POA 2022'!T96+'1.Informe Seguimiento POA 2022'!V96</f>
        <v>0</v>
      </c>
      <c r="AK21" s="477">
        <f t="shared" ref="AK21:AK24" si="23">H21+Q21+Z21+AI21</f>
        <v>0</v>
      </c>
      <c r="AL21" s="483">
        <f>IF(AND(AG21&gt;0),AI21/AG21,"No programado")</f>
        <v>0</v>
      </c>
      <c r="AM21" s="483">
        <f>IF(AND(AH21&gt;0),AJ21/AH21,"No programado")</f>
        <v>0</v>
      </c>
      <c r="AN21" s="478">
        <f t="shared" ref="AN21:AN24" si="24">IF(AND(AF21&gt;0,$J21&gt;0),AK21/$E21,0)</f>
        <v>0</v>
      </c>
      <c r="AO21" s="465" t="str">
        <f>+'Rango indicadores'!H9</f>
        <v>Mayor o igual A:</v>
      </c>
      <c r="AP21" s="477">
        <f>+'Rango indicadores'!I9</f>
        <v>100</v>
      </c>
      <c r="AQ21" s="465" t="str">
        <f>+'Rango indicadores'!J9</f>
        <v>Desde (&gt;):</v>
      </c>
      <c r="AR21" s="477">
        <f>+'Rango indicadores'!K9</f>
        <v>60</v>
      </c>
      <c r="AS21" s="465" t="str">
        <f>+'Rango indicadores'!L9</f>
        <v>Hasta (&lt;):</v>
      </c>
      <c r="AT21" s="477">
        <f>+'Rango indicadores'!M9</f>
        <v>100</v>
      </c>
      <c r="AU21" s="465" t="str">
        <f>+'Rango indicadores'!N9</f>
        <v>Menor o Igual A:</v>
      </c>
      <c r="AV21" s="477">
        <f>+'Rango indicadores'!O9</f>
        <v>60</v>
      </c>
      <c r="AW21" s="581" t="s">
        <v>1165</v>
      </c>
      <c r="BA21" s="654"/>
    </row>
    <row r="22" spans="2:53" ht="30">
      <c r="B22" s="474">
        <f>+B21+1</f>
        <v>6</v>
      </c>
      <c r="C22" s="476" t="str">
        <f>+'Rango indicadores'!D10</f>
        <v>02-RI-04</v>
      </c>
      <c r="D22" s="475" t="str">
        <f>+'Rango indicadores'!E10</f>
        <v>Productos resultado de investigaciones, entregadas para la comunidad</v>
      </c>
      <c r="E22" s="477">
        <f>+'Rango indicadores'!Q10</f>
        <v>1</v>
      </c>
      <c r="F22" s="477">
        <f>+'1.Informe Seguimiento POA 2022'!O97</f>
        <v>0</v>
      </c>
      <c r="G22" s="477">
        <f>+'1.Informe Seguimiento POA 2022'!O97</f>
        <v>0</v>
      </c>
      <c r="H22" s="477">
        <f>+'1.Informe Seguimiento POA 2022'!P97</f>
        <v>0</v>
      </c>
      <c r="I22" s="477">
        <f>+'1.Informe Seguimiento POA 2022'!P97</f>
        <v>0</v>
      </c>
      <c r="J22" s="477">
        <f t="shared" ref="J22:J24" si="25">+I22</f>
        <v>0</v>
      </c>
      <c r="K22" s="483" t="str">
        <f>IF(AND(F22&gt;0),H22/F22,"No programado")</f>
        <v>No programado</v>
      </c>
      <c r="L22" s="483" t="str">
        <f>IF(AND(G22&gt;0),I22/G22,"No programado")</f>
        <v>No programado</v>
      </c>
      <c r="M22" s="478">
        <f t="shared" si="18"/>
        <v>0</v>
      </c>
      <c r="N22" s="477">
        <f t="shared" ref="N22:N24" si="26">+E22</f>
        <v>1</v>
      </c>
      <c r="O22" s="477">
        <f>+'1.Informe Seguimiento POA 2022'!Q97</f>
        <v>0</v>
      </c>
      <c r="P22" s="477">
        <f>+'1.Informe Seguimiento POA 2022'!O97+'1.Informe Seguimiento POA 2022'!Q97</f>
        <v>0</v>
      </c>
      <c r="Q22" s="477">
        <f>+'1.Informe Seguimiento POA 2022'!R97</f>
        <v>0</v>
      </c>
      <c r="R22" s="477">
        <f>+'1.Informe Seguimiento POA 2022'!P97+'1.Informe Seguimiento POA 2022'!R97</f>
        <v>0</v>
      </c>
      <c r="S22" s="477">
        <f t="shared" si="20"/>
        <v>0</v>
      </c>
      <c r="T22" s="483" t="str">
        <f>IF(AND(O22&gt;0),Q22/O22,"No programado")</f>
        <v>No programado</v>
      </c>
      <c r="U22" s="483" t="str">
        <f>IF(AND(P22&gt;0),R22/P22,"No programado")</f>
        <v>No programado</v>
      </c>
      <c r="V22" s="478">
        <f>IF(AND(N22&gt;0,$S22&gt;0),S22/$N22,0)</f>
        <v>0</v>
      </c>
      <c r="W22" s="477">
        <f t="shared" si="21"/>
        <v>1</v>
      </c>
      <c r="X22" s="477">
        <f>+'1.Informe Seguimiento POA 2022'!S97</f>
        <v>0</v>
      </c>
      <c r="Y22" s="477">
        <f>+'1.Informe Seguimiento POA 2022'!O97+'1.Informe Seguimiento POA 2022'!Q97+'1.Informe Seguimiento POA 2022'!S97</f>
        <v>0</v>
      </c>
      <c r="Z22" s="477">
        <f>+'1.Informe Seguimiento POA 2022'!T97</f>
        <v>0</v>
      </c>
      <c r="AA22" s="477">
        <f>+'1.Informe Seguimiento POA 2022'!R97+'1.Informe Seguimiento POA 2022'!T97+'1.Informe Seguimiento POA 2022'!P97</f>
        <v>0</v>
      </c>
      <c r="AB22" s="477">
        <f t="shared" si="22"/>
        <v>0</v>
      </c>
      <c r="AC22" s="483" t="str">
        <f t="shared" ref="AC22:AC23" si="27">IF(AND(X22&gt;0),Z22/X22,"No programado")</f>
        <v>No programado</v>
      </c>
      <c r="AD22" s="483" t="str">
        <f t="shared" ref="AD22:AD23" si="28">IF(AND(Y22&gt;0),AA22/Y22,"No programado")</f>
        <v>No programado</v>
      </c>
      <c r="AE22" s="478">
        <f t="shared" ref="AE22:AE24" si="29">IF(AND(W22&gt;0,$AB22&gt;0),AB22/$W22,0)</f>
        <v>0</v>
      </c>
      <c r="AF22" s="477">
        <f t="shared" ref="AF22:AF24" si="30">+W22</f>
        <v>1</v>
      </c>
      <c r="AG22" s="477">
        <f>+'1.Informe Seguimiento POA 2022'!U97</f>
        <v>1</v>
      </c>
      <c r="AH22" s="477">
        <f>+'1.Informe Seguimiento POA 2022'!O97+'1.Informe Seguimiento POA 2022'!Q97+'1.Informe Seguimiento POA 2022'!S97+'1.Informe Seguimiento POA 2022'!U97</f>
        <v>1</v>
      </c>
      <c r="AI22" s="477">
        <f>+'1.Informe Seguimiento POA 2022'!V97</f>
        <v>0</v>
      </c>
      <c r="AJ22" s="477">
        <f>+'1.Informe Seguimiento POA 2022'!P97+'1.Informe Seguimiento POA 2022'!R97+'1.Informe Seguimiento POA 2022'!T97+'1.Informe Seguimiento POA 2022'!V97</f>
        <v>0</v>
      </c>
      <c r="AK22" s="477">
        <f t="shared" si="23"/>
        <v>0</v>
      </c>
      <c r="AL22" s="483">
        <f>IF(AND(AG22&gt;0),AI22/AG22,"No programado")</f>
        <v>0</v>
      </c>
      <c r="AM22" s="483">
        <f>IF(AND(AH22&gt;0),AJ22/AH22,"No programado")</f>
        <v>0</v>
      </c>
      <c r="AN22" s="478">
        <f t="shared" si="24"/>
        <v>0</v>
      </c>
      <c r="AO22" s="465" t="str">
        <f>+'Rango indicadores'!H10</f>
        <v>Mayor o igual A:</v>
      </c>
      <c r="AP22" s="477">
        <f>+'Rango indicadores'!I10</f>
        <v>100</v>
      </c>
      <c r="AQ22" s="465" t="str">
        <f>+'Rango indicadores'!J10</f>
        <v>Desde (&gt;):</v>
      </c>
      <c r="AR22" s="477">
        <f>+'Rango indicadores'!K10</f>
        <v>60</v>
      </c>
      <c r="AS22" s="465" t="str">
        <f>+'Rango indicadores'!L10</f>
        <v>Hasta (&lt;):</v>
      </c>
      <c r="AT22" s="477">
        <f>+'Rango indicadores'!M10</f>
        <v>100</v>
      </c>
      <c r="AU22" s="465" t="str">
        <f>+'Rango indicadores'!N10</f>
        <v>Menor o Igual A:</v>
      </c>
      <c r="AV22" s="477">
        <f>+'Rango indicadores'!O10</f>
        <v>60</v>
      </c>
      <c r="AW22" s="581" t="s">
        <v>1165</v>
      </c>
      <c r="BA22" s="654"/>
    </row>
    <row r="23" spans="2:53" ht="99.6" customHeight="1">
      <c r="B23" s="474">
        <f>+B22+1</f>
        <v>7</v>
      </c>
      <c r="C23" s="476" t="str">
        <f>+'Rango indicadores'!D11</f>
        <v>02-RI-02</v>
      </c>
      <c r="D23" s="475" t="str">
        <f>+'Rango indicadores'!E11</f>
        <v>Informes de investigación e innovación construidos</v>
      </c>
      <c r="E23" s="477">
        <f>+'Rango indicadores'!Q11</f>
        <v>2</v>
      </c>
      <c r="F23" s="477">
        <f>+'1.Informe Seguimiento POA 2022'!O98</f>
        <v>0</v>
      </c>
      <c r="G23" s="477">
        <f>+'1.Informe Seguimiento POA 2022'!O98</f>
        <v>0</v>
      </c>
      <c r="H23" s="477">
        <f>+'1.Informe Seguimiento POA 2022'!P98</f>
        <v>0</v>
      </c>
      <c r="I23" s="477">
        <f>+'1.Informe Seguimiento POA 2022'!P98</f>
        <v>0</v>
      </c>
      <c r="J23" s="477">
        <f t="shared" si="25"/>
        <v>0</v>
      </c>
      <c r="K23" s="483" t="str">
        <f>IF(AND(F23&gt;0),H23/F23,"No programado")</f>
        <v>No programado</v>
      </c>
      <c r="L23" s="483" t="str">
        <f t="shared" ref="L23:L24" si="31">IF(AND(G23&gt;0),I23/G23,"No programado")</f>
        <v>No programado</v>
      </c>
      <c r="M23" s="478">
        <f t="shared" si="18"/>
        <v>0</v>
      </c>
      <c r="N23" s="477">
        <f t="shared" si="26"/>
        <v>2</v>
      </c>
      <c r="O23" s="477">
        <f>+'1.Informe Seguimiento POA 2022'!Q98</f>
        <v>1</v>
      </c>
      <c r="P23" s="477">
        <f>+'1.Informe Seguimiento POA 2022'!O98+'1.Informe Seguimiento POA 2022'!Q98</f>
        <v>1</v>
      </c>
      <c r="Q23" s="477">
        <f>+'1.Informe Seguimiento POA 2022'!R98</f>
        <v>1</v>
      </c>
      <c r="R23" s="477">
        <f>+'1.Informe Seguimiento POA 2022'!P98+'1.Informe Seguimiento POA 2022'!R98</f>
        <v>1</v>
      </c>
      <c r="S23" s="477">
        <f t="shared" si="20"/>
        <v>1</v>
      </c>
      <c r="T23" s="483">
        <f t="shared" ref="T23:T24" si="32">IF(AND(O23&gt;0),Q23/O23,"No programado")</f>
        <v>1</v>
      </c>
      <c r="U23" s="483">
        <f t="shared" ref="U23:U24" si="33">IF(AND(P23&gt;0),R23/P23,"No programado")</f>
        <v>1</v>
      </c>
      <c r="V23" s="478">
        <f>IF(AND(N23&gt;0,$S23&gt;0),S23/$N23,0)</f>
        <v>0.5</v>
      </c>
      <c r="W23" s="477">
        <f t="shared" si="21"/>
        <v>2</v>
      </c>
      <c r="X23" s="477">
        <f>+'1.Informe Seguimiento POA 2022'!S98</f>
        <v>0</v>
      </c>
      <c r="Y23" s="477">
        <f>+'1.Informe Seguimiento POA 2022'!O98+'1.Informe Seguimiento POA 2022'!Q98+'1.Informe Seguimiento POA 2022'!S98</f>
        <v>1</v>
      </c>
      <c r="Z23" s="477">
        <f>+'1.Informe Seguimiento POA 2022'!T98</f>
        <v>0</v>
      </c>
      <c r="AA23" s="477">
        <f>+'1.Informe Seguimiento POA 2022'!R98+'1.Informe Seguimiento POA 2022'!T98+'1.Informe Seguimiento POA 2022'!P98</f>
        <v>1</v>
      </c>
      <c r="AB23" s="477">
        <f t="shared" si="22"/>
        <v>1</v>
      </c>
      <c r="AC23" s="483" t="str">
        <f t="shared" si="27"/>
        <v>No programado</v>
      </c>
      <c r="AD23" s="483">
        <f t="shared" si="28"/>
        <v>1</v>
      </c>
      <c r="AE23" s="478">
        <f t="shared" si="29"/>
        <v>0.5</v>
      </c>
      <c r="AF23" s="477">
        <f t="shared" si="30"/>
        <v>2</v>
      </c>
      <c r="AG23" s="477">
        <f>+'1.Informe Seguimiento POA 2022'!U98</f>
        <v>1</v>
      </c>
      <c r="AH23" s="477">
        <f>+'1.Informe Seguimiento POA 2022'!O98+'1.Informe Seguimiento POA 2022'!Q98+'1.Informe Seguimiento POA 2022'!S98+'1.Informe Seguimiento POA 2022'!U98</f>
        <v>2</v>
      </c>
      <c r="AI23" s="477">
        <f>+'1.Informe Seguimiento POA 2022'!V98</f>
        <v>0</v>
      </c>
      <c r="AJ23" s="477">
        <f>+'1.Informe Seguimiento POA 2022'!P98+'1.Informe Seguimiento POA 2022'!R98+'1.Informe Seguimiento POA 2022'!T98+'1.Informe Seguimiento POA 2022'!V98</f>
        <v>1</v>
      </c>
      <c r="AK23" s="477">
        <f t="shared" si="23"/>
        <v>1</v>
      </c>
      <c r="AL23" s="483">
        <f>IF(AND(AG23&gt;0),AI23/AG23,"No programado")</f>
        <v>0</v>
      </c>
      <c r="AM23" s="483">
        <f t="shared" ref="AM23:AM24" si="34">IF(AND(AH23&gt;0),AJ23/AH23,"No programado")</f>
        <v>0.5</v>
      </c>
      <c r="AN23" s="478">
        <f t="shared" si="24"/>
        <v>0</v>
      </c>
      <c r="AO23" s="465" t="str">
        <f>+'Rango indicadores'!H11</f>
        <v>Mayor o igual A:</v>
      </c>
      <c r="AP23" s="477">
        <f>+'Rango indicadores'!I11</f>
        <v>100</v>
      </c>
      <c r="AQ23" s="465" t="str">
        <f>+'Rango indicadores'!J11</f>
        <v>Desde (&gt;):</v>
      </c>
      <c r="AR23" s="477">
        <f>+'Rango indicadores'!K11</f>
        <v>60</v>
      </c>
      <c r="AS23" s="465" t="str">
        <f>+'Rango indicadores'!L11</f>
        <v>Hasta (&lt;):</v>
      </c>
      <c r="AT23" s="477">
        <f>+'Rango indicadores'!M11</f>
        <v>100</v>
      </c>
      <c r="AU23" s="465" t="str">
        <f>+'Rango indicadores'!N11</f>
        <v>Menor o Igual A:</v>
      </c>
      <c r="AV23" s="477">
        <f>+'Rango indicadores'!O11</f>
        <v>60</v>
      </c>
      <c r="AW23" s="581" t="s">
        <v>1184</v>
      </c>
      <c r="BA23" s="654"/>
    </row>
    <row r="24" spans="2:53" ht="108" customHeight="1">
      <c r="B24" s="474">
        <f>+B23+1</f>
        <v>8</v>
      </c>
      <c r="C24" s="476" t="str">
        <f>+'Rango indicadores'!D12</f>
        <v>02-RI-03</v>
      </c>
      <c r="D24" s="475" t="str">
        <f>+'Rango indicadores'!E12</f>
        <v>Actividades de apropiación social del conocimiento desarrolladas</v>
      </c>
      <c r="E24" s="477">
        <f>+'Rango indicadores'!Q12</f>
        <v>38</v>
      </c>
      <c r="F24" s="477">
        <f>+'1.Informe Seguimiento POA 2022'!O99</f>
        <v>6</v>
      </c>
      <c r="G24" s="477">
        <f>+'1.Informe Seguimiento POA 2022'!O99</f>
        <v>6</v>
      </c>
      <c r="H24" s="477">
        <f>+'1.Informe Seguimiento POA 2022'!P99</f>
        <v>9</v>
      </c>
      <c r="I24" s="477">
        <f>+'1.Informe Seguimiento POA 2022'!P99</f>
        <v>9</v>
      </c>
      <c r="J24" s="477">
        <f t="shared" si="25"/>
        <v>9</v>
      </c>
      <c r="K24" s="483">
        <f>IF(AND(F24&gt;0),H24/F24,"No programado")</f>
        <v>1.5</v>
      </c>
      <c r="L24" s="483">
        <f t="shared" si="31"/>
        <v>1.5</v>
      </c>
      <c r="M24" s="478">
        <f t="shared" si="18"/>
        <v>0.23684210526315788</v>
      </c>
      <c r="N24" s="477">
        <f t="shared" si="26"/>
        <v>38</v>
      </c>
      <c r="O24" s="477">
        <f>+'1.Informe Seguimiento POA 2022'!Q99</f>
        <v>12</v>
      </c>
      <c r="P24" s="477">
        <f>+'1.Informe Seguimiento POA 2022'!O99+'1.Informe Seguimiento POA 2022'!Q99</f>
        <v>18</v>
      </c>
      <c r="Q24" s="477">
        <f>+'1.Informe Seguimiento POA 2022'!R99</f>
        <v>12</v>
      </c>
      <c r="R24" s="477">
        <f>+'1.Informe Seguimiento POA 2022'!P99+'1.Informe Seguimiento POA 2022'!R99</f>
        <v>21</v>
      </c>
      <c r="S24" s="477">
        <f t="shared" si="20"/>
        <v>21</v>
      </c>
      <c r="T24" s="483">
        <f t="shared" si="32"/>
        <v>1</v>
      </c>
      <c r="U24" s="483">
        <f t="shared" si="33"/>
        <v>1.1666666666666667</v>
      </c>
      <c r="V24" s="478">
        <f>IF(AND(N24&gt;0,$S24&gt;0),S24/$E24,0)</f>
        <v>0.55263157894736847</v>
      </c>
      <c r="W24" s="477">
        <f t="shared" si="21"/>
        <v>38</v>
      </c>
      <c r="X24" s="477">
        <f>+'1.Informe Seguimiento POA 2022'!S99</f>
        <v>12</v>
      </c>
      <c r="Y24" s="477">
        <f>+'1.Informe Seguimiento POA 2022'!O99+'1.Informe Seguimiento POA 2022'!Q99+'1.Informe Seguimiento POA 2022'!S99</f>
        <v>30</v>
      </c>
      <c r="Z24" s="477">
        <f>+'1.Informe Seguimiento POA 2022'!T99</f>
        <v>10</v>
      </c>
      <c r="AA24" s="477">
        <f>+'1.Informe Seguimiento POA 2022'!R99+'1.Informe Seguimiento POA 2022'!T99+'1.Informe Seguimiento POA 2022'!P99</f>
        <v>31</v>
      </c>
      <c r="AB24" s="477">
        <f t="shared" si="22"/>
        <v>31</v>
      </c>
      <c r="AC24" s="483">
        <f>IF(AND(X24&gt;0),Z24/X24,"No programado")</f>
        <v>0.83333333333333337</v>
      </c>
      <c r="AD24" s="483">
        <f t="shared" ref="AD24" si="35">IF(AND(Y24&gt;0),AA24/Y24,"No programado")</f>
        <v>1.0333333333333334</v>
      </c>
      <c r="AE24" s="478">
        <f t="shared" si="29"/>
        <v>0.81578947368421051</v>
      </c>
      <c r="AF24" s="477">
        <f t="shared" si="30"/>
        <v>38</v>
      </c>
      <c r="AG24" s="477">
        <f>+'1.Informe Seguimiento POA 2022'!U99</f>
        <v>8</v>
      </c>
      <c r="AH24" s="477">
        <f>+'1.Informe Seguimiento POA 2022'!O99+'1.Informe Seguimiento POA 2022'!Q99+'1.Informe Seguimiento POA 2022'!S99+'1.Informe Seguimiento POA 2022'!U99</f>
        <v>38</v>
      </c>
      <c r="AI24" s="477">
        <f>+'1.Informe Seguimiento POA 2022'!V99</f>
        <v>0</v>
      </c>
      <c r="AJ24" s="477">
        <f>+'1.Informe Seguimiento POA 2022'!P99+'1.Informe Seguimiento POA 2022'!R99+'1.Informe Seguimiento POA 2022'!T99+'1.Informe Seguimiento POA 2022'!V99</f>
        <v>31</v>
      </c>
      <c r="AK24" s="477">
        <f t="shared" si="23"/>
        <v>31</v>
      </c>
      <c r="AL24" s="483">
        <f>IF(AND(AG24&gt;0),AI24/AG24,"No programado")</f>
        <v>0</v>
      </c>
      <c r="AM24" s="483">
        <f t="shared" si="34"/>
        <v>0.81578947368421051</v>
      </c>
      <c r="AN24" s="478">
        <f t="shared" si="24"/>
        <v>0.81578947368421051</v>
      </c>
      <c r="AO24" s="465" t="str">
        <f>+'Rango indicadores'!H12</f>
        <v>Mayor o igual A:</v>
      </c>
      <c r="AP24" s="477">
        <f>+'Rango indicadores'!I12</f>
        <v>100</v>
      </c>
      <c r="AQ24" s="465" t="str">
        <f>+'Rango indicadores'!J12</f>
        <v>Desde (&gt;):</v>
      </c>
      <c r="AR24" s="477">
        <f>+'Rango indicadores'!K12</f>
        <v>60</v>
      </c>
      <c r="AS24" s="465" t="str">
        <f>+'Rango indicadores'!L12</f>
        <v>Hasta (&lt;):</v>
      </c>
      <c r="AT24" s="477">
        <f>+'Rango indicadores'!M12</f>
        <v>100</v>
      </c>
      <c r="AU24" s="465" t="str">
        <f>+'Rango indicadores'!N12</f>
        <v>Menor o Igual A:</v>
      </c>
      <c r="AV24" s="477">
        <f>+'Rango indicadores'!O12</f>
        <v>60</v>
      </c>
      <c r="AW24" s="581" t="s">
        <v>1209</v>
      </c>
      <c r="BA24" s="655"/>
    </row>
    <row r="25" spans="2:53" ht="15.75">
      <c r="C25" s="1598" t="s">
        <v>872</v>
      </c>
      <c r="D25" s="1599"/>
      <c r="E25" s="1599"/>
      <c r="F25" s="1599"/>
      <c r="G25" s="1599"/>
      <c r="H25" s="1599"/>
      <c r="I25" s="1599"/>
      <c r="J25" s="1599"/>
      <c r="K25" s="480">
        <f>IFERROR(AVERAGE(K21:K24),0)</f>
        <v>1.5</v>
      </c>
      <c r="L25" s="480">
        <f>IFERROR(AVERAGE(L21:L24),0)</f>
        <v>1.5</v>
      </c>
      <c r="M25" s="480">
        <f>IFERROR(AVERAGE(M21:M24),0)</f>
        <v>5.921052631578947E-2</v>
      </c>
      <c r="N25" s="1060"/>
      <c r="O25" s="1060"/>
      <c r="P25" s="1060"/>
      <c r="Q25" s="1060"/>
      <c r="R25" s="1060"/>
      <c r="S25" s="1060"/>
      <c r="T25" s="480">
        <f>IFERROR(AVERAGE(T21:T24),0)</f>
        <v>1</v>
      </c>
      <c r="U25" s="480">
        <f>IFERROR(AVERAGE(U21:U24),0)</f>
        <v>1.0833333333333335</v>
      </c>
      <c r="V25" s="480">
        <f>IFERROR(AVERAGE(V21:V24),0)</f>
        <v>0.26315789473684215</v>
      </c>
      <c r="W25" s="1060"/>
      <c r="X25" s="1060"/>
      <c r="Y25" s="1060"/>
      <c r="Z25" s="1060"/>
      <c r="AA25" s="1060"/>
      <c r="AB25" s="1060"/>
      <c r="AC25" s="480">
        <f>IFERROR(AVERAGE(AC21:AC24),0)</f>
        <v>0.83333333333333337</v>
      </c>
      <c r="AD25" s="480">
        <f>IFERROR(AVERAGE(AD21:AD24),0)</f>
        <v>1.0166666666666666</v>
      </c>
      <c r="AE25" s="480">
        <f>IFERROR(AVERAGE(AE21:AE24),0)</f>
        <v>0.32894736842105265</v>
      </c>
      <c r="AF25" s="1060"/>
      <c r="AG25" s="1060"/>
      <c r="AH25" s="1060"/>
      <c r="AI25" s="1060"/>
      <c r="AJ25" s="1060"/>
      <c r="AK25" s="1061"/>
      <c r="AL25" s="480">
        <f>IFERROR(AVERAGE(AL21:AL24),0)</f>
        <v>0</v>
      </c>
      <c r="AM25" s="480">
        <f>IFERROR(AVERAGE(AM21:AM24),0)</f>
        <v>0.32894736842105265</v>
      </c>
      <c r="AN25" s="480">
        <f>IFERROR(AVERAGE(AN21:AN24),0)</f>
        <v>0.20394736842105263</v>
      </c>
      <c r="AO25" s="469"/>
      <c r="AP25" s="469"/>
      <c r="AQ25" s="469"/>
      <c r="AR25" s="469"/>
      <c r="AS25" s="469"/>
      <c r="AT25" s="469"/>
      <c r="AU25" s="469"/>
      <c r="AV25" s="469"/>
      <c r="AW25" s="582"/>
    </row>
    <row r="26" spans="2:53" s="470" customFormat="1" ht="24" customHeight="1" thickBot="1">
      <c r="C26" s="484"/>
      <c r="D26" s="505"/>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72"/>
      <c r="AY26" s="455"/>
      <c r="AZ26" s="455"/>
    </row>
    <row r="27" spans="2:53" s="470" customFormat="1" ht="16.5" thickBot="1">
      <c r="C27" s="473" t="s">
        <v>874</v>
      </c>
      <c r="D27" s="503"/>
      <c r="E27" s="1577" t="s">
        <v>1136</v>
      </c>
      <c r="F27" s="1578"/>
      <c r="G27" s="1578"/>
      <c r="H27" s="1578"/>
      <c r="I27" s="1578"/>
      <c r="J27" s="1578"/>
      <c r="K27" s="1578"/>
      <c r="L27" s="1578"/>
      <c r="M27" s="1579"/>
      <c r="N27" s="1580" t="s">
        <v>1137</v>
      </c>
      <c r="O27" s="1581"/>
      <c r="P27" s="1581"/>
      <c r="Q27" s="1581"/>
      <c r="R27" s="1581"/>
      <c r="S27" s="1581"/>
      <c r="T27" s="1581"/>
      <c r="U27" s="1581"/>
      <c r="V27" s="1582"/>
      <c r="W27" s="1574" t="s">
        <v>1138</v>
      </c>
      <c r="X27" s="1575"/>
      <c r="Y27" s="1575"/>
      <c r="Z27" s="1575"/>
      <c r="AA27" s="1575"/>
      <c r="AB27" s="1575"/>
      <c r="AC27" s="1575"/>
      <c r="AD27" s="1575"/>
      <c r="AE27" s="1576"/>
      <c r="AF27" s="1580" t="s">
        <v>1052</v>
      </c>
      <c r="AG27" s="1581"/>
      <c r="AH27" s="1581"/>
      <c r="AI27" s="1581"/>
      <c r="AJ27" s="1581"/>
      <c r="AK27" s="1581"/>
      <c r="AL27" s="1581"/>
      <c r="AM27" s="1581"/>
      <c r="AN27" s="1582"/>
      <c r="AO27" s="484"/>
      <c r="AP27" s="484"/>
      <c r="AQ27" s="484"/>
      <c r="AR27" s="484"/>
      <c r="AS27" s="484"/>
      <c r="AT27" s="484"/>
      <c r="AU27" s="484"/>
      <c r="AV27" s="484"/>
      <c r="AW27" s="472"/>
      <c r="AY27" s="455"/>
      <c r="AZ27" s="455"/>
    </row>
    <row r="28" spans="2:53" ht="22.15" customHeight="1">
      <c r="C28" s="1571" t="str">
        <f>+$C$10</f>
        <v>Identificación del Indicador</v>
      </c>
      <c r="D28" s="1584" t="s">
        <v>867</v>
      </c>
      <c r="E28" s="1567" t="s">
        <v>868</v>
      </c>
      <c r="F28" s="1568"/>
      <c r="G28" s="1569"/>
      <c r="H28" s="1570" t="s">
        <v>1140</v>
      </c>
      <c r="I28" s="1572" t="s">
        <v>1144</v>
      </c>
      <c r="J28" s="1570" t="s">
        <v>869</v>
      </c>
      <c r="K28" s="1570" t="s">
        <v>863</v>
      </c>
      <c r="L28" s="1570"/>
      <c r="M28" s="1570"/>
      <c r="N28" s="1567" t="s">
        <v>868</v>
      </c>
      <c r="O28" s="1568"/>
      <c r="P28" s="1569"/>
      <c r="Q28" s="1570" t="s">
        <v>1150</v>
      </c>
      <c r="R28" s="1572" t="s">
        <v>1141</v>
      </c>
      <c r="S28" s="1570" t="s">
        <v>869</v>
      </c>
      <c r="T28" s="1570" t="s">
        <v>863</v>
      </c>
      <c r="U28" s="1570"/>
      <c r="V28" s="1570"/>
      <c r="W28" s="1567" t="s">
        <v>868</v>
      </c>
      <c r="X28" s="1568"/>
      <c r="Y28" s="1569"/>
      <c r="Z28" s="1570" t="s">
        <v>1151</v>
      </c>
      <c r="AA28" s="1572" t="s">
        <v>1146</v>
      </c>
      <c r="AB28" s="1570" t="s">
        <v>869</v>
      </c>
      <c r="AC28" s="1570" t="s">
        <v>863</v>
      </c>
      <c r="AD28" s="1570"/>
      <c r="AE28" s="1570"/>
      <c r="AF28" s="1567" t="s">
        <v>868</v>
      </c>
      <c r="AG28" s="1568"/>
      <c r="AH28" s="1569"/>
      <c r="AI28" s="1570" t="s">
        <v>1152</v>
      </c>
      <c r="AJ28" s="1572" t="s">
        <v>1148</v>
      </c>
      <c r="AK28" s="1570" t="s">
        <v>869</v>
      </c>
      <c r="AL28" s="1570" t="s">
        <v>863</v>
      </c>
      <c r="AM28" s="1570"/>
      <c r="AN28" s="1570"/>
      <c r="AO28" s="1583" t="s">
        <v>715</v>
      </c>
      <c r="AP28" s="1583"/>
      <c r="AQ28" s="1583"/>
      <c r="AR28" s="1583"/>
      <c r="AS28" s="1583"/>
      <c r="AT28" s="1583"/>
      <c r="AU28" s="1583"/>
      <c r="AV28" s="1583"/>
      <c r="AW28" s="1571" t="s">
        <v>888</v>
      </c>
    </row>
    <row r="29" spans="2:53" ht="53.45" customHeight="1">
      <c r="C29" s="1571"/>
      <c r="D29" s="1584"/>
      <c r="E29" s="1022" t="s">
        <v>1153</v>
      </c>
      <c r="F29" s="1017" t="str">
        <f>+E27</f>
        <v>Primer Trimestre</v>
      </c>
      <c r="G29" s="1018" t="s">
        <v>1143</v>
      </c>
      <c r="H29" s="1571"/>
      <c r="I29" s="1573"/>
      <c r="J29" s="1571"/>
      <c r="K29" s="1017" t="str">
        <f>+$D$6</f>
        <v>Tercer Trimestre</v>
      </c>
      <c r="L29" s="1018" t="str">
        <f>+G29</f>
        <v>Acumulado
Corte 
31/03/2022</v>
      </c>
      <c r="M29" s="1019" t="s">
        <v>760</v>
      </c>
      <c r="N29" s="1022" t="s">
        <v>1153</v>
      </c>
      <c r="O29" s="1017" t="str">
        <f>+N27</f>
        <v>Segundo Trimestre</v>
      </c>
      <c r="P29" s="1018" t="s">
        <v>1142</v>
      </c>
      <c r="Q29" s="1571"/>
      <c r="R29" s="1573"/>
      <c r="S29" s="1571"/>
      <c r="T29" s="1017" t="str">
        <f>+O29</f>
        <v>Segundo Trimestre</v>
      </c>
      <c r="U29" s="1018" t="str">
        <f>+P29</f>
        <v>Acumulado Corte 
30/06/2022</v>
      </c>
      <c r="V29" s="1019" t="s">
        <v>760</v>
      </c>
      <c r="W29" s="1022" t="s">
        <v>1153</v>
      </c>
      <c r="X29" s="1017" t="str">
        <f>+W27</f>
        <v>Tercer Trimestre</v>
      </c>
      <c r="Y29" s="1018" t="s">
        <v>1145</v>
      </c>
      <c r="Z29" s="1571"/>
      <c r="AA29" s="1573"/>
      <c r="AB29" s="1571"/>
      <c r="AC29" s="1017" t="str">
        <f>+X29</f>
        <v>Tercer Trimestre</v>
      </c>
      <c r="AD29" s="1018" t="str">
        <f>+Y29</f>
        <v>Acumulado Corte 
30/09/2022</v>
      </c>
      <c r="AE29" s="1019" t="s">
        <v>760</v>
      </c>
      <c r="AF29" s="1022" t="s">
        <v>1153</v>
      </c>
      <c r="AG29" s="1017" t="str">
        <f>+AF27</f>
        <v>Cuarto Trimestre</v>
      </c>
      <c r="AH29" s="1018" t="s">
        <v>1147</v>
      </c>
      <c r="AI29" s="1571"/>
      <c r="AJ29" s="1573"/>
      <c r="AK29" s="1571"/>
      <c r="AL29" s="1017" t="str">
        <f>+AG29</f>
        <v>Cuarto Trimestre</v>
      </c>
      <c r="AM29" s="1018" t="str">
        <f>+AH29</f>
        <v>Acumulado Corte 
31/12/2022</v>
      </c>
      <c r="AN29" s="1019" t="s">
        <v>760</v>
      </c>
      <c r="AO29" s="1201" t="s">
        <v>870</v>
      </c>
      <c r="AP29" s="1202"/>
      <c r="AQ29" s="1203" t="s">
        <v>871</v>
      </c>
      <c r="AR29" s="1204"/>
      <c r="AS29" s="1204"/>
      <c r="AT29" s="1205"/>
      <c r="AU29" s="1206" t="s">
        <v>723</v>
      </c>
      <c r="AV29" s="1207"/>
      <c r="AW29" s="1571"/>
    </row>
    <row r="30" spans="2:53" ht="85.9" customHeight="1">
      <c r="B30" s="474">
        <f>+B24+1</f>
        <v>9</v>
      </c>
      <c r="C30" s="475" t="str">
        <f>+'Rango indicadores'!D13</f>
        <v>03-RI-01</v>
      </c>
      <c r="D30" s="475" t="str">
        <f>+'Rango indicadores'!E13</f>
        <v>Porcentaje de proyectos implementados de acuerdo al plan de tecnologías de la Información</v>
      </c>
      <c r="E30" s="479">
        <f>+'Rango indicadores'!Q13</f>
        <v>0.4</v>
      </c>
      <c r="F30" s="507">
        <f>+'1.Informe Seguimiento POA 2022'!O48</f>
        <v>7.0000000000000007E-2</v>
      </c>
      <c r="G30" s="507">
        <f>+'1.Informe Seguimiento POA 2022'!O48</f>
        <v>7.0000000000000007E-2</v>
      </c>
      <c r="H30" s="507">
        <f>+'1.Informe Seguimiento POA 2022'!P48</f>
        <v>7.0000000000000007E-2</v>
      </c>
      <c r="I30" s="507">
        <f>+'1.Informe Seguimiento POA 2022'!P48</f>
        <v>7.0000000000000007E-2</v>
      </c>
      <c r="J30" s="507">
        <f>+I30</f>
        <v>7.0000000000000007E-2</v>
      </c>
      <c r="K30" s="485">
        <f t="shared" ref="K30:K36" si="36">IF(AND(F30&gt;0),H30/F30,"No programado")</f>
        <v>1</v>
      </c>
      <c r="L30" s="485">
        <f>IF(AND(G30&gt;0),I30/G30,"No programado")</f>
        <v>1</v>
      </c>
      <c r="M30" s="478">
        <f>IF(AND(E30&gt;0,$J30&gt;0),J30/$E30,0)</f>
        <v>0.17500000000000002</v>
      </c>
      <c r="N30" s="507">
        <f t="shared" ref="N30" si="37">+E30</f>
        <v>0.4</v>
      </c>
      <c r="O30" s="507">
        <f>+'1.Informe Seguimiento POA 2022'!Q48</f>
        <v>0.13</v>
      </c>
      <c r="P30" s="507">
        <f>+'1.Informe Seguimiento POA 2022'!O48+'1.Informe Seguimiento POA 2022'!Q48</f>
        <v>0.2</v>
      </c>
      <c r="Q30" s="507">
        <f>+'1.Informe Seguimiento POA 2022'!R48</f>
        <v>0.13</v>
      </c>
      <c r="R30" s="507">
        <f>+'1.Informe Seguimiento POA 2022'!P48+'1.Informe Seguimiento POA 2022'!R48</f>
        <v>0.2</v>
      </c>
      <c r="S30" s="507">
        <f>H30+Q30</f>
        <v>0.2</v>
      </c>
      <c r="T30" s="485">
        <f t="shared" ref="T30:T36" si="38">IF(AND(O30&gt;0),Q30/O30,"No programado")</f>
        <v>1</v>
      </c>
      <c r="U30" s="485">
        <f>IF(AND(P30&gt;0),R30/P30,"No programado")</f>
        <v>1</v>
      </c>
      <c r="V30" s="478">
        <f t="shared" ref="V30:V36" si="39">IF(AND(N30&gt;0,$S30&gt;0),S30/$N30,0)</f>
        <v>0.5</v>
      </c>
      <c r="W30" s="507">
        <f t="shared" ref="W30" si="40">+E30</f>
        <v>0.4</v>
      </c>
      <c r="X30" s="507">
        <f>+'1.Informe Seguimiento POA 2022'!S48</f>
        <v>0.13</v>
      </c>
      <c r="Y30" s="507">
        <f>+'1.Informe Seguimiento POA 2022'!O48+'1.Informe Seguimiento POA 2022'!Q48+'1.Informe Seguimiento POA 2022'!S48</f>
        <v>0.33</v>
      </c>
      <c r="Z30" s="507">
        <f>+'1.Informe Seguimiento POA 2022'!T48</f>
        <v>0.13</v>
      </c>
      <c r="AA30" s="507">
        <f>+'1.Informe Seguimiento POA 2022'!R48+'1.Informe Seguimiento POA 2022'!T48+'1.Informe Seguimiento POA 2022'!P48</f>
        <v>0.33</v>
      </c>
      <c r="AB30" s="507">
        <f t="shared" ref="AB30:AB36" si="41">H30+Q30+Z30</f>
        <v>0.33</v>
      </c>
      <c r="AC30" s="485">
        <f t="shared" ref="AC30" si="42">IF(AND(X30&gt;0),Z30/X30,"No programado")</f>
        <v>1</v>
      </c>
      <c r="AD30" s="485">
        <f>IF(AND(Y30&gt;0),AA30/Y30,"No programado")</f>
        <v>1</v>
      </c>
      <c r="AE30" s="478">
        <f t="shared" ref="AE30:AE36" si="43">IF(AND(W30&gt;0,$AB30&gt;0),AB30/$W30,0)</f>
        <v>0.82499999999999996</v>
      </c>
      <c r="AF30" s="479">
        <f>+W30</f>
        <v>0.4</v>
      </c>
      <c r="AG30" s="479">
        <f>+'1.Informe Seguimiento POA 2022'!U48</f>
        <v>7.0000000000000007E-2</v>
      </c>
      <c r="AH30" s="479">
        <f>+'1.Informe Seguimiento POA 2022'!O48+'1.Informe Seguimiento POA 2022'!Q48+'1.Informe Seguimiento POA 2022'!S48+'1.Informe Seguimiento POA 2022'!U48</f>
        <v>0.4</v>
      </c>
      <c r="AI30" s="479">
        <f>+'1.Informe Seguimiento POA 2022'!V48</f>
        <v>0</v>
      </c>
      <c r="AJ30" s="479">
        <f>+'1.Informe Seguimiento POA 2022'!P48+'1.Informe Seguimiento POA 2022'!R48+'1.Informe Seguimiento POA 2022'!T48+'1.Informe Seguimiento POA 2022'!V48</f>
        <v>0.33</v>
      </c>
      <c r="AK30" s="620">
        <f>H30+Q30+Z30+AI30</f>
        <v>0.33</v>
      </c>
      <c r="AL30" s="485">
        <f t="shared" ref="AL30:AM35" si="44">IF(AND(AG30&gt;0),AI30/AG30,"No programado")</f>
        <v>0</v>
      </c>
      <c r="AM30" s="485">
        <f>IF(AND(AH30&gt;0),AJ30/AH30,"No programado")</f>
        <v>0.82499999999999996</v>
      </c>
      <c r="AN30" s="478">
        <f>IF(AND(AF30&gt;0,$J30&gt;0),AK30/$E30,0)</f>
        <v>0.82499999999999996</v>
      </c>
      <c r="AO30" s="482" t="str">
        <f>+'Rango indicadores'!H13</f>
        <v>Mayor o igual A:</v>
      </c>
      <c r="AP30" s="477">
        <f>+'Rango indicadores'!I13</f>
        <v>90</v>
      </c>
      <c r="AQ30" s="477" t="str">
        <f>+'Rango indicadores'!J13</f>
        <v>Desde (&gt;):</v>
      </c>
      <c r="AR30" s="477">
        <f>+'Rango indicadores'!K13</f>
        <v>85</v>
      </c>
      <c r="AS30" s="477" t="str">
        <f>+'Rango indicadores'!L13</f>
        <v>Hasta (&lt;):</v>
      </c>
      <c r="AT30" s="477">
        <f>+'Rango indicadores'!M13</f>
        <v>90</v>
      </c>
      <c r="AU30" s="477" t="str">
        <f>+'Rango indicadores'!N13</f>
        <v>Menor o Igual A:</v>
      </c>
      <c r="AV30" s="477">
        <f>+'Rango indicadores'!O13</f>
        <v>85</v>
      </c>
      <c r="AW30" s="573" t="s">
        <v>1185</v>
      </c>
    </row>
    <row r="31" spans="2:53" ht="85.9" customHeight="1">
      <c r="B31" s="474">
        <f t="shared" ref="B31:B36" si="45">+B30+1</f>
        <v>10</v>
      </c>
      <c r="C31" s="475" t="str">
        <f>+'Rango indicadores'!D14</f>
        <v>03-RI-02</v>
      </c>
      <c r="D31" s="475" t="str">
        <f>+'Rango indicadores'!E14</f>
        <v>Porcentaje de actividades ejecutadas de acuerdo al plan de Seguridad de información</v>
      </c>
      <c r="E31" s="479">
        <f>+'Rango indicadores'!Q14</f>
        <v>0.4</v>
      </c>
      <c r="F31" s="507">
        <f>+'1.Informe Seguimiento POA 2022'!O49</f>
        <v>7.0000000000000007E-2</v>
      </c>
      <c r="G31" s="507">
        <f>+'1.Informe Seguimiento POA 2022'!O49</f>
        <v>7.0000000000000007E-2</v>
      </c>
      <c r="H31" s="507">
        <f>+'1.Informe Seguimiento POA 2022'!P49</f>
        <v>7.0000000000000007E-2</v>
      </c>
      <c r="I31" s="507">
        <f>+'1.Informe Seguimiento POA 2022'!P49</f>
        <v>7.0000000000000007E-2</v>
      </c>
      <c r="J31" s="507">
        <f t="shared" ref="J31:J36" si="46">+I31</f>
        <v>7.0000000000000007E-2</v>
      </c>
      <c r="K31" s="485">
        <f t="shared" si="36"/>
        <v>1</v>
      </c>
      <c r="L31" s="485">
        <f t="shared" ref="L31" si="47">IF(AND(G31&gt;0),I31/G31,"No programado")</f>
        <v>1</v>
      </c>
      <c r="M31" s="478">
        <f t="shared" ref="M31:M36" si="48">IF(AND(E31&gt;0,$J31&gt;0),J31/$E31,0)</f>
        <v>0.17500000000000002</v>
      </c>
      <c r="N31" s="507">
        <f t="shared" ref="N31:N36" si="49">+E31</f>
        <v>0.4</v>
      </c>
      <c r="O31" s="507">
        <f>+'1.Informe Seguimiento POA 2022'!Q49</f>
        <v>0.13</v>
      </c>
      <c r="P31" s="507">
        <f>+'1.Informe Seguimiento POA 2022'!O49+'1.Informe Seguimiento POA 2022'!Q49</f>
        <v>0.2</v>
      </c>
      <c r="Q31" s="507">
        <f>+'1.Informe Seguimiento POA 2022'!R49</f>
        <v>0.13</v>
      </c>
      <c r="R31" s="507">
        <f>+'1.Informe Seguimiento POA 2022'!P49+'1.Informe Seguimiento POA 2022'!R49</f>
        <v>0.2</v>
      </c>
      <c r="S31" s="507">
        <f t="shared" ref="S31:S36" si="50">H31+Q31</f>
        <v>0.2</v>
      </c>
      <c r="T31" s="485">
        <f t="shared" si="38"/>
        <v>1</v>
      </c>
      <c r="U31" s="485">
        <f t="shared" ref="U31" si="51">IF(AND(P31&gt;0),R31/P31,"No programado")</f>
        <v>1</v>
      </c>
      <c r="V31" s="478">
        <f t="shared" si="39"/>
        <v>0.5</v>
      </c>
      <c r="W31" s="507">
        <f t="shared" ref="W31:W36" si="52">+E31</f>
        <v>0.4</v>
      </c>
      <c r="X31" s="507">
        <f>+'1.Informe Seguimiento POA 2022'!S49</f>
        <v>0.13</v>
      </c>
      <c r="Y31" s="507">
        <f>+'1.Informe Seguimiento POA 2022'!O49+'1.Informe Seguimiento POA 2022'!Q49+'1.Informe Seguimiento POA 2022'!S49</f>
        <v>0.33</v>
      </c>
      <c r="Z31" s="507">
        <f>+'1.Informe Seguimiento POA 2022'!T49</f>
        <v>0.13</v>
      </c>
      <c r="AA31" s="507">
        <f>+'1.Informe Seguimiento POA 2022'!R49+'1.Informe Seguimiento POA 2022'!T49+'1.Informe Seguimiento POA 2022'!P49</f>
        <v>0.33</v>
      </c>
      <c r="AB31" s="507">
        <f t="shared" si="41"/>
        <v>0.33</v>
      </c>
      <c r="AC31" s="485">
        <f t="shared" ref="AC31:AC36" si="53">IF(AND(X31&gt;0),Z31/X31,"No programado")</f>
        <v>1</v>
      </c>
      <c r="AD31" s="485">
        <f t="shared" ref="AD31:AD36" si="54">IF(AND(Y31&gt;0),AA31/Y31,"No programado")</f>
        <v>1</v>
      </c>
      <c r="AE31" s="478">
        <f t="shared" si="43"/>
        <v>0.82499999999999996</v>
      </c>
      <c r="AF31" s="479">
        <f t="shared" ref="AF31:AF36" si="55">+W31</f>
        <v>0.4</v>
      </c>
      <c r="AG31" s="479">
        <f>+'1.Informe Seguimiento POA 2022'!U49</f>
        <v>7.0000000000000007E-2</v>
      </c>
      <c r="AH31" s="479">
        <f>+'1.Informe Seguimiento POA 2022'!O49+'1.Informe Seguimiento POA 2022'!Q49+'1.Informe Seguimiento POA 2022'!S49+'1.Informe Seguimiento POA 2022'!U49</f>
        <v>0.4</v>
      </c>
      <c r="AI31" s="479">
        <f>+'1.Informe Seguimiento POA 2022'!V49</f>
        <v>0</v>
      </c>
      <c r="AJ31" s="479">
        <f>+'1.Informe Seguimiento POA 2022'!P49+'1.Informe Seguimiento POA 2022'!R49+'1.Informe Seguimiento POA 2022'!T49+'1.Informe Seguimiento POA 2022'!V49</f>
        <v>0.33</v>
      </c>
      <c r="AK31" s="620">
        <f t="shared" ref="AK31:AK36" si="56">H31+Q31+Z31+AI31</f>
        <v>0.33</v>
      </c>
      <c r="AL31" s="485">
        <f t="shared" si="44"/>
        <v>0</v>
      </c>
      <c r="AM31" s="485">
        <f t="shared" si="44"/>
        <v>0.82499999999999996</v>
      </c>
      <c r="AN31" s="478">
        <f t="shared" ref="AN31:AN36" si="57">IF(AND(AF31&gt;0,$J31&gt;0),AK31/$E31,0)</f>
        <v>0.82499999999999996</v>
      </c>
      <c r="AO31" s="482" t="str">
        <f>+'Rango indicadores'!H14</f>
        <v>Mayor o igual A:</v>
      </c>
      <c r="AP31" s="477">
        <f>+'Rango indicadores'!I14</f>
        <v>90</v>
      </c>
      <c r="AQ31" s="477" t="str">
        <f>+'Rango indicadores'!J14</f>
        <v>Desde (&gt;):</v>
      </c>
      <c r="AR31" s="477">
        <f>+'Rango indicadores'!K14</f>
        <v>85</v>
      </c>
      <c r="AS31" s="477" t="str">
        <f>+'Rango indicadores'!L14</f>
        <v>Hasta (&lt;):</v>
      </c>
      <c r="AT31" s="477">
        <f>+'Rango indicadores'!M14</f>
        <v>90</v>
      </c>
      <c r="AU31" s="477" t="str">
        <f>+'Rango indicadores'!N14</f>
        <v>Menor o Igual A:</v>
      </c>
      <c r="AV31" s="477">
        <f>+'Rango indicadores'!O14</f>
        <v>85</v>
      </c>
      <c r="AW31" s="573" t="s">
        <v>1185</v>
      </c>
      <c r="AX31" s="486"/>
      <c r="AY31" s="486"/>
      <c r="AZ31" s="486"/>
    </row>
    <row r="32" spans="2:53" ht="85.9" customHeight="1">
      <c r="B32" s="474">
        <f t="shared" si="45"/>
        <v>11</v>
      </c>
      <c r="C32" s="475" t="str">
        <f>+'Rango indicadores'!D15</f>
        <v>03-RI-03</v>
      </c>
      <c r="D32" s="475" t="str">
        <f>+'Rango indicadores'!E15</f>
        <v xml:space="preserve">Porcentaje de actividades ejecutadas  en la estrategia de servicios ciudadanos digitales </v>
      </c>
      <c r="E32" s="479">
        <f>+'Rango indicadores'!Q15</f>
        <v>0.4</v>
      </c>
      <c r="F32" s="507">
        <f>+'1.Informe Seguimiento POA 2022'!O50</f>
        <v>7.0000000000000007E-2</v>
      </c>
      <c r="G32" s="507">
        <f>+'1.Informe Seguimiento POA 2022'!O50</f>
        <v>7.0000000000000007E-2</v>
      </c>
      <c r="H32" s="507">
        <f>+'1.Informe Seguimiento POA 2022'!P50</f>
        <v>7.0000000000000007E-2</v>
      </c>
      <c r="I32" s="507">
        <f>+'1.Informe Seguimiento POA 2022'!P50</f>
        <v>7.0000000000000007E-2</v>
      </c>
      <c r="J32" s="507">
        <f t="shared" si="46"/>
        <v>7.0000000000000007E-2</v>
      </c>
      <c r="K32" s="485">
        <f t="shared" si="36"/>
        <v>1</v>
      </c>
      <c r="L32" s="485">
        <f>IF(AND(G32&gt;0),I32/G32,"No programado")</f>
        <v>1</v>
      </c>
      <c r="M32" s="478">
        <f t="shared" si="48"/>
        <v>0.17500000000000002</v>
      </c>
      <c r="N32" s="507">
        <f t="shared" si="49"/>
        <v>0.4</v>
      </c>
      <c r="O32" s="507">
        <f>+'1.Informe Seguimiento POA 2022'!Q50</f>
        <v>0.13</v>
      </c>
      <c r="P32" s="507">
        <f>+'1.Informe Seguimiento POA 2022'!O50+'1.Informe Seguimiento POA 2022'!Q50</f>
        <v>0.2</v>
      </c>
      <c r="Q32" s="507">
        <f>+'1.Informe Seguimiento POA 2022'!R50</f>
        <v>0.13</v>
      </c>
      <c r="R32" s="507">
        <f>+'1.Informe Seguimiento POA 2022'!P50+'1.Informe Seguimiento POA 2022'!R50</f>
        <v>0.2</v>
      </c>
      <c r="S32" s="507">
        <f t="shared" si="50"/>
        <v>0.2</v>
      </c>
      <c r="T32" s="485">
        <f t="shared" si="38"/>
        <v>1</v>
      </c>
      <c r="U32" s="485">
        <f>IF(AND(P32&gt;0),R32/P32,"No programado")</f>
        <v>1</v>
      </c>
      <c r="V32" s="478">
        <f t="shared" si="39"/>
        <v>0.5</v>
      </c>
      <c r="W32" s="507">
        <f t="shared" si="52"/>
        <v>0.4</v>
      </c>
      <c r="X32" s="507">
        <f>+'1.Informe Seguimiento POA 2022'!S50</f>
        <v>0.13</v>
      </c>
      <c r="Y32" s="507">
        <f>+'1.Informe Seguimiento POA 2022'!O50+'1.Informe Seguimiento POA 2022'!Q50+'1.Informe Seguimiento POA 2022'!S50</f>
        <v>0.33</v>
      </c>
      <c r="Z32" s="507">
        <f>+'1.Informe Seguimiento POA 2022'!T50</f>
        <v>0.13</v>
      </c>
      <c r="AA32" s="507">
        <f>+'1.Informe Seguimiento POA 2022'!R50+'1.Informe Seguimiento POA 2022'!T50+'1.Informe Seguimiento POA 2022'!P50</f>
        <v>0.33</v>
      </c>
      <c r="AB32" s="507">
        <f t="shared" si="41"/>
        <v>0.33</v>
      </c>
      <c r="AC32" s="485">
        <f t="shared" si="53"/>
        <v>1</v>
      </c>
      <c r="AD32" s="485">
        <f t="shared" si="54"/>
        <v>1</v>
      </c>
      <c r="AE32" s="478">
        <f t="shared" si="43"/>
        <v>0.82499999999999996</v>
      </c>
      <c r="AF32" s="479">
        <f t="shared" si="55"/>
        <v>0.4</v>
      </c>
      <c r="AG32" s="479">
        <f>+'1.Informe Seguimiento POA 2022'!U50</f>
        <v>7.0000000000000007E-2</v>
      </c>
      <c r="AH32" s="479">
        <f>+'1.Informe Seguimiento POA 2022'!O50+'1.Informe Seguimiento POA 2022'!Q50+'1.Informe Seguimiento POA 2022'!S50+'1.Informe Seguimiento POA 2022'!U50</f>
        <v>0.4</v>
      </c>
      <c r="AI32" s="479">
        <f>+'1.Informe Seguimiento POA 2022'!V50</f>
        <v>0</v>
      </c>
      <c r="AJ32" s="479">
        <f>+'1.Informe Seguimiento POA 2022'!P50+'1.Informe Seguimiento POA 2022'!R50+'1.Informe Seguimiento POA 2022'!T50+'1.Informe Seguimiento POA 2022'!V50</f>
        <v>0.33</v>
      </c>
      <c r="AK32" s="620">
        <f t="shared" si="56"/>
        <v>0.33</v>
      </c>
      <c r="AL32" s="485">
        <f t="shared" si="44"/>
        <v>0</v>
      </c>
      <c r="AM32" s="485">
        <f>IF(AND(AH32&gt;0),AJ32/AH32,"No programado")</f>
        <v>0.82499999999999996</v>
      </c>
      <c r="AN32" s="478">
        <f t="shared" si="57"/>
        <v>0.82499999999999996</v>
      </c>
      <c r="AO32" s="482" t="str">
        <f>+'Rango indicadores'!H15</f>
        <v>Mayor o igual A:</v>
      </c>
      <c r="AP32" s="477">
        <f>+'Rango indicadores'!I15</f>
        <v>90</v>
      </c>
      <c r="AQ32" s="477" t="str">
        <f>+'Rango indicadores'!J15</f>
        <v>Desde (&gt;):</v>
      </c>
      <c r="AR32" s="477">
        <f>+'Rango indicadores'!K15</f>
        <v>85</v>
      </c>
      <c r="AS32" s="477" t="str">
        <f>+'Rango indicadores'!L15</f>
        <v>Hasta (&lt;):</v>
      </c>
      <c r="AT32" s="477">
        <f>+'Rango indicadores'!M15</f>
        <v>90</v>
      </c>
      <c r="AU32" s="477" t="str">
        <f>+'Rango indicadores'!N15</f>
        <v>Menor o Igual A:</v>
      </c>
      <c r="AV32" s="477">
        <f>+'Rango indicadores'!O15</f>
        <v>85</v>
      </c>
      <c r="AW32" s="573" t="s">
        <v>1185</v>
      </c>
    </row>
    <row r="33" spans="2:52" ht="85.9" customHeight="1">
      <c r="B33" s="474">
        <f t="shared" si="45"/>
        <v>12</v>
      </c>
      <c r="C33" s="475" t="str">
        <f>+'Rango indicadores'!D16</f>
        <v>03-RI-04</v>
      </c>
      <c r="D33" s="475" t="str">
        <f>+'Rango indicadores'!E16</f>
        <v>Porcentaje de lineamientos adoptados  en la estrategia de gestión de datos</v>
      </c>
      <c r="E33" s="479">
        <f>+'Rango indicadores'!Q16</f>
        <v>0.4</v>
      </c>
      <c r="F33" s="507">
        <f>+'1.Informe Seguimiento POA 2022'!O51</f>
        <v>7.0000000000000007E-2</v>
      </c>
      <c r="G33" s="507">
        <f>+'1.Informe Seguimiento POA 2022'!O51</f>
        <v>7.0000000000000007E-2</v>
      </c>
      <c r="H33" s="507">
        <f>+'1.Informe Seguimiento POA 2022'!P51</f>
        <v>7.0000000000000007E-2</v>
      </c>
      <c r="I33" s="507">
        <f>+'1.Informe Seguimiento POA 2022'!P51</f>
        <v>7.0000000000000007E-2</v>
      </c>
      <c r="J33" s="507">
        <f t="shared" si="46"/>
        <v>7.0000000000000007E-2</v>
      </c>
      <c r="K33" s="485">
        <f t="shared" si="36"/>
        <v>1</v>
      </c>
      <c r="L33" s="485">
        <f>IF(AND(G33&gt;0),I33/G33,"No programado")</f>
        <v>1</v>
      </c>
      <c r="M33" s="478">
        <f t="shared" si="48"/>
        <v>0.17500000000000002</v>
      </c>
      <c r="N33" s="507">
        <f t="shared" si="49"/>
        <v>0.4</v>
      </c>
      <c r="O33" s="507">
        <f>+'1.Informe Seguimiento POA 2022'!Q51</f>
        <v>0.13</v>
      </c>
      <c r="P33" s="507">
        <f>+'1.Informe Seguimiento POA 2022'!O51+'1.Informe Seguimiento POA 2022'!Q51</f>
        <v>0.2</v>
      </c>
      <c r="Q33" s="507">
        <f>+'1.Informe Seguimiento POA 2022'!R51</f>
        <v>0.13</v>
      </c>
      <c r="R33" s="507">
        <f>+'1.Informe Seguimiento POA 2022'!P51+'1.Informe Seguimiento POA 2022'!R51</f>
        <v>0.2</v>
      </c>
      <c r="S33" s="507">
        <f t="shared" si="50"/>
        <v>0.2</v>
      </c>
      <c r="T33" s="485">
        <f t="shared" si="38"/>
        <v>1</v>
      </c>
      <c r="U33" s="485">
        <f>IF(AND(P33&gt;0),R33/P33,"No programado")</f>
        <v>1</v>
      </c>
      <c r="V33" s="478">
        <f t="shared" si="39"/>
        <v>0.5</v>
      </c>
      <c r="W33" s="507">
        <f t="shared" si="52"/>
        <v>0.4</v>
      </c>
      <c r="X33" s="507">
        <f>+'1.Informe Seguimiento POA 2022'!S51</f>
        <v>0.13</v>
      </c>
      <c r="Y33" s="507">
        <f>+'1.Informe Seguimiento POA 2022'!O51+'1.Informe Seguimiento POA 2022'!Q51+'1.Informe Seguimiento POA 2022'!S51</f>
        <v>0.33</v>
      </c>
      <c r="Z33" s="507">
        <f>+'1.Informe Seguimiento POA 2022'!T51</f>
        <v>0.13</v>
      </c>
      <c r="AA33" s="507">
        <f>+'1.Informe Seguimiento POA 2022'!R51+'1.Informe Seguimiento POA 2022'!T51+'1.Informe Seguimiento POA 2022'!P51</f>
        <v>0.33</v>
      </c>
      <c r="AB33" s="507">
        <f t="shared" si="41"/>
        <v>0.33</v>
      </c>
      <c r="AC33" s="485">
        <f t="shared" si="53"/>
        <v>1</v>
      </c>
      <c r="AD33" s="485">
        <f t="shared" si="54"/>
        <v>1</v>
      </c>
      <c r="AE33" s="478">
        <f t="shared" si="43"/>
        <v>0.82499999999999996</v>
      </c>
      <c r="AF33" s="479">
        <f t="shared" si="55"/>
        <v>0.4</v>
      </c>
      <c r="AG33" s="479">
        <f>+'1.Informe Seguimiento POA 2022'!U51</f>
        <v>7.0000000000000007E-2</v>
      </c>
      <c r="AH33" s="479">
        <f>+'1.Informe Seguimiento POA 2022'!O51+'1.Informe Seguimiento POA 2022'!Q51+'1.Informe Seguimiento POA 2022'!S51+'1.Informe Seguimiento POA 2022'!U51</f>
        <v>0.4</v>
      </c>
      <c r="AI33" s="479">
        <f>+'1.Informe Seguimiento POA 2022'!V51</f>
        <v>0</v>
      </c>
      <c r="AJ33" s="479">
        <f>+'1.Informe Seguimiento POA 2022'!P51+'1.Informe Seguimiento POA 2022'!R51+'1.Informe Seguimiento POA 2022'!T51+'1.Informe Seguimiento POA 2022'!V51</f>
        <v>0.33</v>
      </c>
      <c r="AK33" s="620">
        <f t="shared" si="56"/>
        <v>0.33</v>
      </c>
      <c r="AL33" s="485">
        <f t="shared" si="44"/>
        <v>0</v>
      </c>
      <c r="AM33" s="485">
        <f>IF(AND(AH33&gt;0),AJ33/AH33,"No programado")</f>
        <v>0.82499999999999996</v>
      </c>
      <c r="AN33" s="478">
        <f t="shared" si="57"/>
        <v>0.82499999999999996</v>
      </c>
      <c r="AO33" s="482" t="str">
        <f>+'Rango indicadores'!H16</f>
        <v>Mayor o igual A:</v>
      </c>
      <c r="AP33" s="477">
        <f>+'Rango indicadores'!I16</f>
        <v>90</v>
      </c>
      <c r="AQ33" s="477" t="str">
        <f>+'Rango indicadores'!J16</f>
        <v>Desde (&gt;):</v>
      </c>
      <c r="AR33" s="477">
        <f>+'Rango indicadores'!K16</f>
        <v>85</v>
      </c>
      <c r="AS33" s="477" t="str">
        <f>+'Rango indicadores'!L16</f>
        <v>Hasta (&lt;):</v>
      </c>
      <c r="AT33" s="477">
        <f>+'Rango indicadores'!M16</f>
        <v>90</v>
      </c>
      <c r="AU33" s="477" t="str">
        <f>+'Rango indicadores'!N16</f>
        <v>Menor o Igual A:</v>
      </c>
      <c r="AV33" s="477">
        <f>+'Rango indicadores'!O16</f>
        <v>85</v>
      </c>
      <c r="AW33" s="573" t="s">
        <v>1185</v>
      </c>
    </row>
    <row r="34" spans="2:52" ht="85.9" customHeight="1">
      <c r="B34" s="474">
        <f t="shared" si="45"/>
        <v>13</v>
      </c>
      <c r="C34" s="475" t="str">
        <f>+'Rango indicadores'!D17</f>
        <v>03-RI-05</v>
      </c>
      <c r="D34" s="475" t="str">
        <f>+'Rango indicadores'!E17</f>
        <v>Cantidad de requerimientos prioritarios desarrollados para los sistemas información</v>
      </c>
      <c r="E34" s="479">
        <f>+'Rango indicadores'!Q17</f>
        <v>0.4</v>
      </c>
      <c r="F34" s="507">
        <f>+'1.Informe Seguimiento POA 2022'!O52</f>
        <v>7.0000000000000007E-2</v>
      </c>
      <c r="G34" s="507">
        <f>+'1.Informe Seguimiento POA 2022'!O52</f>
        <v>7.0000000000000007E-2</v>
      </c>
      <c r="H34" s="507">
        <f>+'1.Informe Seguimiento POA 2022'!P52</f>
        <v>7.0000000000000007E-2</v>
      </c>
      <c r="I34" s="507">
        <f>+'1.Informe Seguimiento POA 2022'!P52</f>
        <v>7.0000000000000007E-2</v>
      </c>
      <c r="J34" s="507">
        <f t="shared" si="46"/>
        <v>7.0000000000000007E-2</v>
      </c>
      <c r="K34" s="485">
        <f t="shared" si="36"/>
        <v>1</v>
      </c>
      <c r="L34" s="485">
        <f>IF(AND(G34&gt;0),I34/G34,"No programado")</f>
        <v>1</v>
      </c>
      <c r="M34" s="478">
        <f t="shared" si="48"/>
        <v>0.17500000000000002</v>
      </c>
      <c r="N34" s="507">
        <f t="shared" si="49"/>
        <v>0.4</v>
      </c>
      <c r="O34" s="507">
        <f>+'1.Informe Seguimiento POA 2022'!Q52</f>
        <v>0.13</v>
      </c>
      <c r="P34" s="507">
        <f>+'1.Informe Seguimiento POA 2022'!O52+'1.Informe Seguimiento POA 2022'!Q52</f>
        <v>0.2</v>
      </c>
      <c r="Q34" s="507">
        <f>+'1.Informe Seguimiento POA 2022'!R52</f>
        <v>0.13</v>
      </c>
      <c r="R34" s="507">
        <f>+'1.Informe Seguimiento POA 2022'!P52+'1.Informe Seguimiento POA 2022'!R52</f>
        <v>0.2</v>
      </c>
      <c r="S34" s="507">
        <f t="shared" si="50"/>
        <v>0.2</v>
      </c>
      <c r="T34" s="485">
        <f t="shared" si="38"/>
        <v>1</v>
      </c>
      <c r="U34" s="485">
        <f>IF(AND(P34&gt;0),R34/P34,"No programado")</f>
        <v>1</v>
      </c>
      <c r="V34" s="478">
        <f t="shared" si="39"/>
        <v>0.5</v>
      </c>
      <c r="W34" s="507">
        <f t="shared" si="52"/>
        <v>0.4</v>
      </c>
      <c r="X34" s="507">
        <f>+'1.Informe Seguimiento POA 2022'!S52</f>
        <v>0.13</v>
      </c>
      <c r="Y34" s="507">
        <f>+'1.Informe Seguimiento POA 2022'!O52+'1.Informe Seguimiento POA 2022'!Q52+'1.Informe Seguimiento POA 2022'!S52</f>
        <v>0.33</v>
      </c>
      <c r="Z34" s="507">
        <f>+'1.Informe Seguimiento POA 2022'!T52</f>
        <v>0.13</v>
      </c>
      <c r="AA34" s="507">
        <f>+'1.Informe Seguimiento POA 2022'!R52+'1.Informe Seguimiento POA 2022'!T52+'1.Informe Seguimiento POA 2022'!P52</f>
        <v>0.33</v>
      </c>
      <c r="AB34" s="507">
        <f t="shared" si="41"/>
        <v>0.33</v>
      </c>
      <c r="AC34" s="485">
        <f t="shared" si="53"/>
        <v>1</v>
      </c>
      <c r="AD34" s="485">
        <f t="shared" si="54"/>
        <v>1</v>
      </c>
      <c r="AE34" s="478">
        <f t="shared" si="43"/>
        <v>0.82499999999999996</v>
      </c>
      <c r="AF34" s="479">
        <f t="shared" si="55"/>
        <v>0.4</v>
      </c>
      <c r="AG34" s="479">
        <f>+'1.Informe Seguimiento POA 2022'!U52</f>
        <v>7.0000000000000007E-2</v>
      </c>
      <c r="AH34" s="479">
        <f>+'1.Informe Seguimiento POA 2022'!O52+'1.Informe Seguimiento POA 2022'!Q52+'1.Informe Seguimiento POA 2022'!S52+'1.Informe Seguimiento POA 2022'!U52</f>
        <v>0.4</v>
      </c>
      <c r="AI34" s="479">
        <f>+'1.Informe Seguimiento POA 2022'!V52</f>
        <v>0</v>
      </c>
      <c r="AJ34" s="479">
        <f>+'1.Informe Seguimiento POA 2022'!P52+'1.Informe Seguimiento POA 2022'!R52+'1.Informe Seguimiento POA 2022'!T52+'1.Informe Seguimiento POA 2022'!V52</f>
        <v>0.33</v>
      </c>
      <c r="AK34" s="620">
        <f t="shared" si="56"/>
        <v>0.33</v>
      </c>
      <c r="AL34" s="485">
        <f t="shared" si="44"/>
        <v>0</v>
      </c>
      <c r="AM34" s="485">
        <f>IF(AND(AH34&gt;0),AJ34/AH34,"No programado")</f>
        <v>0.82499999999999996</v>
      </c>
      <c r="AN34" s="478">
        <f t="shared" si="57"/>
        <v>0.82499999999999996</v>
      </c>
      <c r="AO34" s="482" t="str">
        <f>+'Rango indicadores'!H17</f>
        <v>Mayor o igual A:</v>
      </c>
      <c r="AP34" s="477">
        <f>+'Rango indicadores'!I17</f>
        <v>90</v>
      </c>
      <c r="AQ34" s="477" t="str">
        <f>+'Rango indicadores'!J17</f>
        <v>Desde (&gt;):</v>
      </c>
      <c r="AR34" s="477">
        <f>+'Rango indicadores'!K17</f>
        <v>85</v>
      </c>
      <c r="AS34" s="477" t="str">
        <f>+'Rango indicadores'!L17</f>
        <v>Hasta (&lt;):</v>
      </c>
      <c r="AT34" s="477">
        <f>+'Rango indicadores'!M17</f>
        <v>90</v>
      </c>
      <c r="AU34" s="477" t="str">
        <f>+'Rango indicadores'!N17</f>
        <v>Menor o Igual A:</v>
      </c>
      <c r="AV34" s="477">
        <f>+'Rango indicadores'!O17</f>
        <v>85</v>
      </c>
      <c r="AW34" s="573" t="s">
        <v>1185</v>
      </c>
    </row>
    <row r="35" spans="2:52" ht="85.9" customHeight="1">
      <c r="B35" s="474">
        <f t="shared" si="45"/>
        <v>14</v>
      </c>
      <c r="C35" s="475" t="str">
        <f>+'Rango indicadores'!D18</f>
        <v>03-RI-06</v>
      </c>
      <c r="D35" s="475" t="str">
        <f>+'Rango indicadores'!E18</f>
        <v>Porcentaje de actividades ejecutadas del plan de uso y apropiación</v>
      </c>
      <c r="E35" s="479">
        <f>+'Rango indicadores'!Q18</f>
        <v>0.4</v>
      </c>
      <c r="F35" s="507">
        <f>+'1.Informe Seguimiento POA 2022'!O53</f>
        <v>7.0000000000000007E-2</v>
      </c>
      <c r="G35" s="507">
        <f>+'1.Informe Seguimiento POA 2022'!O53</f>
        <v>7.0000000000000007E-2</v>
      </c>
      <c r="H35" s="507">
        <f>+'1.Informe Seguimiento POA 2022'!P53</f>
        <v>7.0000000000000007E-2</v>
      </c>
      <c r="I35" s="507">
        <f>+'1.Informe Seguimiento POA 2022'!P53</f>
        <v>7.0000000000000007E-2</v>
      </c>
      <c r="J35" s="507">
        <f t="shared" si="46"/>
        <v>7.0000000000000007E-2</v>
      </c>
      <c r="K35" s="485">
        <f t="shared" si="36"/>
        <v>1</v>
      </c>
      <c r="L35" s="485">
        <f>IF(AND(G35&gt;0),I35/G35,"No programado")</f>
        <v>1</v>
      </c>
      <c r="M35" s="478">
        <f t="shared" si="48"/>
        <v>0.17500000000000002</v>
      </c>
      <c r="N35" s="507">
        <f t="shared" si="49"/>
        <v>0.4</v>
      </c>
      <c r="O35" s="507">
        <f>+'1.Informe Seguimiento POA 2022'!Q53</f>
        <v>0.13</v>
      </c>
      <c r="P35" s="507">
        <f>+'1.Informe Seguimiento POA 2022'!O53+'1.Informe Seguimiento POA 2022'!Q53</f>
        <v>0.2</v>
      </c>
      <c r="Q35" s="507">
        <f>+'1.Informe Seguimiento POA 2022'!R53</f>
        <v>0.13</v>
      </c>
      <c r="R35" s="507">
        <f>+'1.Informe Seguimiento POA 2022'!P53+'1.Informe Seguimiento POA 2022'!R53</f>
        <v>0.2</v>
      </c>
      <c r="S35" s="507">
        <f t="shared" si="50"/>
        <v>0.2</v>
      </c>
      <c r="T35" s="485">
        <f t="shared" si="38"/>
        <v>1</v>
      </c>
      <c r="U35" s="485">
        <f>IF(AND(P35&gt;0),R35/P35,"No programado")</f>
        <v>1</v>
      </c>
      <c r="V35" s="478">
        <f t="shared" si="39"/>
        <v>0.5</v>
      </c>
      <c r="W35" s="507">
        <f t="shared" si="52"/>
        <v>0.4</v>
      </c>
      <c r="X35" s="507">
        <f>+'1.Informe Seguimiento POA 2022'!S53</f>
        <v>0.13</v>
      </c>
      <c r="Y35" s="507">
        <f>+'1.Informe Seguimiento POA 2022'!O53+'1.Informe Seguimiento POA 2022'!Q53+'1.Informe Seguimiento POA 2022'!S53</f>
        <v>0.33</v>
      </c>
      <c r="Z35" s="507">
        <f>+'1.Informe Seguimiento POA 2022'!T53</f>
        <v>0.13</v>
      </c>
      <c r="AA35" s="507">
        <f>+'1.Informe Seguimiento POA 2022'!R53+'1.Informe Seguimiento POA 2022'!T53+'1.Informe Seguimiento POA 2022'!P53</f>
        <v>0.33</v>
      </c>
      <c r="AB35" s="507">
        <f t="shared" si="41"/>
        <v>0.33</v>
      </c>
      <c r="AC35" s="485">
        <f t="shared" si="53"/>
        <v>1</v>
      </c>
      <c r="AD35" s="485">
        <f t="shared" si="54"/>
        <v>1</v>
      </c>
      <c r="AE35" s="478">
        <f t="shared" si="43"/>
        <v>0.82499999999999996</v>
      </c>
      <c r="AF35" s="479">
        <f t="shared" si="55"/>
        <v>0.4</v>
      </c>
      <c r="AG35" s="479">
        <f>+'1.Informe Seguimiento POA 2022'!U53</f>
        <v>7.0000000000000007E-2</v>
      </c>
      <c r="AH35" s="479">
        <f>+'1.Informe Seguimiento POA 2022'!O53+'1.Informe Seguimiento POA 2022'!Q53+'1.Informe Seguimiento POA 2022'!S53+'1.Informe Seguimiento POA 2022'!U53</f>
        <v>0.4</v>
      </c>
      <c r="AI35" s="479">
        <f>+'1.Informe Seguimiento POA 2022'!V53</f>
        <v>0</v>
      </c>
      <c r="AJ35" s="479">
        <f>+'1.Informe Seguimiento POA 2022'!P53+'1.Informe Seguimiento POA 2022'!R53+'1.Informe Seguimiento POA 2022'!T53+'1.Informe Seguimiento POA 2022'!V53</f>
        <v>0.33</v>
      </c>
      <c r="AK35" s="620">
        <f t="shared" si="56"/>
        <v>0.33</v>
      </c>
      <c r="AL35" s="485">
        <f t="shared" si="44"/>
        <v>0</v>
      </c>
      <c r="AM35" s="485">
        <f>IF(AND(AH35&gt;0),AJ35/AH35,"No programado")</f>
        <v>0.82499999999999996</v>
      </c>
      <c r="AN35" s="478">
        <f t="shared" si="57"/>
        <v>0.82499999999999996</v>
      </c>
      <c r="AO35" s="482" t="str">
        <f>+'Rango indicadores'!H18</f>
        <v>Mayor o igual A:</v>
      </c>
      <c r="AP35" s="477">
        <f>+'Rango indicadores'!I18</f>
        <v>90</v>
      </c>
      <c r="AQ35" s="477" t="str">
        <f>+'Rango indicadores'!J18</f>
        <v>Desde (&gt;):</v>
      </c>
      <c r="AR35" s="477">
        <f>+'Rango indicadores'!K18</f>
        <v>85</v>
      </c>
      <c r="AS35" s="477" t="str">
        <f>+'Rango indicadores'!L18</f>
        <v>Hasta (&lt;):</v>
      </c>
      <c r="AT35" s="477">
        <f>+'Rango indicadores'!M18</f>
        <v>90</v>
      </c>
      <c r="AU35" s="477" t="str">
        <f>+'Rango indicadores'!N18</f>
        <v>Menor o Igual A:</v>
      </c>
      <c r="AV35" s="477">
        <f>+'Rango indicadores'!O18</f>
        <v>85</v>
      </c>
      <c r="AW35" s="573" t="s">
        <v>1185</v>
      </c>
    </row>
    <row r="36" spans="2:52" ht="85.9" customHeight="1">
      <c r="B36" s="474">
        <f t="shared" si="45"/>
        <v>15</v>
      </c>
      <c r="C36" s="475" t="str">
        <f>+'Rango indicadores'!D19</f>
        <v>03-RI-07</v>
      </c>
      <c r="D36" s="475" t="str">
        <f>+'Rango indicadores'!E19</f>
        <v>Porcentaje de actividades ejecutadas de la hoja de ruta de optimización tecnológica</v>
      </c>
      <c r="E36" s="479">
        <f>+'Rango indicadores'!Q19</f>
        <v>0.4</v>
      </c>
      <c r="F36" s="507">
        <f>+'1.Informe Seguimiento POA 2022'!O54</f>
        <v>7.0000000000000007E-2</v>
      </c>
      <c r="G36" s="507">
        <f>+'1.Informe Seguimiento POA 2022'!O54</f>
        <v>7.0000000000000007E-2</v>
      </c>
      <c r="H36" s="507">
        <f>+'1.Informe Seguimiento POA 2022'!P54</f>
        <v>7.0000000000000007E-2</v>
      </c>
      <c r="I36" s="507">
        <f>+'1.Informe Seguimiento POA 2022'!P54</f>
        <v>7.0000000000000007E-2</v>
      </c>
      <c r="J36" s="507">
        <f t="shared" si="46"/>
        <v>7.0000000000000007E-2</v>
      </c>
      <c r="K36" s="485">
        <f t="shared" si="36"/>
        <v>1</v>
      </c>
      <c r="L36" s="485">
        <f>IF(AND(G36&gt;0),I36/G36,"No programado")</f>
        <v>1</v>
      </c>
      <c r="M36" s="478">
        <f t="shared" si="48"/>
        <v>0.17500000000000002</v>
      </c>
      <c r="N36" s="507">
        <f t="shared" si="49"/>
        <v>0.4</v>
      </c>
      <c r="O36" s="507">
        <f>+'1.Informe Seguimiento POA 2022'!Q54</f>
        <v>0.13</v>
      </c>
      <c r="P36" s="507">
        <f>+'1.Informe Seguimiento POA 2022'!O54+'1.Informe Seguimiento POA 2022'!Q54</f>
        <v>0.2</v>
      </c>
      <c r="Q36" s="507">
        <f>+'1.Informe Seguimiento POA 2022'!R54</f>
        <v>0.13</v>
      </c>
      <c r="R36" s="507">
        <f>+'1.Informe Seguimiento POA 2022'!P54+'1.Informe Seguimiento POA 2022'!R54</f>
        <v>0.2</v>
      </c>
      <c r="S36" s="507">
        <f t="shared" si="50"/>
        <v>0.2</v>
      </c>
      <c r="T36" s="485">
        <f t="shared" si="38"/>
        <v>1</v>
      </c>
      <c r="U36" s="485">
        <f>IF(AND(P36&gt;0),R36/P36,"No programado")</f>
        <v>1</v>
      </c>
      <c r="V36" s="478">
        <f t="shared" si="39"/>
        <v>0.5</v>
      </c>
      <c r="W36" s="507">
        <f t="shared" si="52"/>
        <v>0.4</v>
      </c>
      <c r="X36" s="507">
        <f>+'1.Informe Seguimiento POA 2022'!S54</f>
        <v>0.13</v>
      </c>
      <c r="Y36" s="507">
        <f>+'1.Informe Seguimiento POA 2022'!O54+'1.Informe Seguimiento POA 2022'!Q54+'1.Informe Seguimiento POA 2022'!S54</f>
        <v>0.33</v>
      </c>
      <c r="Z36" s="507">
        <f>+'1.Informe Seguimiento POA 2022'!T54</f>
        <v>0.13</v>
      </c>
      <c r="AA36" s="507">
        <f>+'1.Informe Seguimiento POA 2022'!R54+'1.Informe Seguimiento POA 2022'!T54+'1.Informe Seguimiento POA 2022'!P54</f>
        <v>0.33</v>
      </c>
      <c r="AB36" s="507">
        <f t="shared" si="41"/>
        <v>0.33</v>
      </c>
      <c r="AC36" s="485">
        <f t="shared" si="53"/>
        <v>1</v>
      </c>
      <c r="AD36" s="485">
        <f t="shared" si="54"/>
        <v>1</v>
      </c>
      <c r="AE36" s="478">
        <f t="shared" si="43"/>
        <v>0.82499999999999996</v>
      </c>
      <c r="AF36" s="479">
        <f t="shared" si="55"/>
        <v>0.4</v>
      </c>
      <c r="AG36" s="479">
        <f>+'1.Informe Seguimiento POA 2022'!U54</f>
        <v>7.0000000000000007E-2</v>
      </c>
      <c r="AH36" s="479">
        <f>+'1.Informe Seguimiento POA 2022'!O54+'1.Informe Seguimiento POA 2022'!Q54+'1.Informe Seguimiento POA 2022'!S54+'1.Informe Seguimiento POA 2022'!U54</f>
        <v>0.4</v>
      </c>
      <c r="AI36" s="479">
        <f>+'1.Informe Seguimiento POA 2022'!V54</f>
        <v>0</v>
      </c>
      <c r="AJ36" s="479">
        <f>+'1.Informe Seguimiento POA 2022'!P54+'1.Informe Seguimiento POA 2022'!R54+'1.Informe Seguimiento POA 2022'!T54+'1.Informe Seguimiento POA 2022'!V54</f>
        <v>0.33</v>
      </c>
      <c r="AK36" s="620">
        <f t="shared" si="56"/>
        <v>0.33</v>
      </c>
      <c r="AL36" s="485">
        <f t="shared" ref="AL36" si="58">IF(AND(AG36&gt;0),AI36/AG36,"No programado")</f>
        <v>0</v>
      </c>
      <c r="AM36" s="485">
        <f>IF(AND(AH36&gt;0),AJ36/AH36,"No programado")</f>
        <v>0.82499999999999996</v>
      </c>
      <c r="AN36" s="478">
        <f t="shared" si="57"/>
        <v>0.82499999999999996</v>
      </c>
      <c r="AO36" s="482" t="str">
        <f>+'Rango indicadores'!H19</f>
        <v>Mayor o igual A:</v>
      </c>
      <c r="AP36" s="477">
        <f>+'Rango indicadores'!I19</f>
        <v>90</v>
      </c>
      <c r="AQ36" s="477" t="str">
        <f>+'Rango indicadores'!J19</f>
        <v>Desde (&gt;):</v>
      </c>
      <c r="AR36" s="477">
        <f>+'Rango indicadores'!K19</f>
        <v>85</v>
      </c>
      <c r="AS36" s="477" t="str">
        <f>+'Rango indicadores'!L19</f>
        <v>Hasta (&lt;):</v>
      </c>
      <c r="AT36" s="477">
        <f>+'Rango indicadores'!M19</f>
        <v>90</v>
      </c>
      <c r="AU36" s="477" t="str">
        <f>+'Rango indicadores'!N19</f>
        <v>Menor o Igual A:</v>
      </c>
      <c r="AV36" s="477">
        <f>+'Rango indicadores'!O19</f>
        <v>85</v>
      </c>
      <c r="AW36" s="573" t="s">
        <v>1185</v>
      </c>
    </row>
    <row r="37" spans="2:52" ht="15.75">
      <c r="C37" s="1598" t="s">
        <v>872</v>
      </c>
      <c r="D37" s="1599"/>
      <c r="E37" s="1599"/>
      <c r="F37" s="1599"/>
      <c r="G37" s="1599"/>
      <c r="H37" s="1599"/>
      <c r="I37" s="1599"/>
      <c r="J37" s="1599"/>
      <c r="K37" s="480">
        <f>IFERROR(AVERAGE(K30:K36),0)</f>
        <v>1</v>
      </c>
      <c r="L37" s="480">
        <f t="shared" ref="L37" si="59">IFERROR(AVERAGE(L30:L36),0)</f>
        <v>1</v>
      </c>
      <c r="M37" s="480">
        <f>IFERROR(AVERAGE(M30:M36),0)</f>
        <v>0.17500000000000002</v>
      </c>
      <c r="N37" s="1060"/>
      <c r="O37" s="1060"/>
      <c r="P37" s="1060"/>
      <c r="Q37" s="1060"/>
      <c r="R37" s="1060"/>
      <c r="S37" s="1060"/>
      <c r="T37" s="480">
        <f>IFERROR(AVERAGE(T30:T36),0)</f>
        <v>1</v>
      </c>
      <c r="U37" s="480">
        <f t="shared" ref="U37" si="60">IFERROR(AVERAGE(U30:U36),0)</f>
        <v>1</v>
      </c>
      <c r="V37" s="480">
        <f>IFERROR(AVERAGE(V30:V36),0)</f>
        <v>0.5</v>
      </c>
      <c r="W37" s="1060"/>
      <c r="X37" s="1060"/>
      <c r="Y37" s="1060"/>
      <c r="Z37" s="1060"/>
      <c r="AA37" s="1060"/>
      <c r="AB37" s="1060"/>
      <c r="AC37" s="480">
        <f>IFERROR(AVERAGE(AC30:AC36),0)</f>
        <v>1</v>
      </c>
      <c r="AD37" s="480">
        <f t="shared" ref="AD37" si="61">IFERROR(AVERAGE(AD30:AD36),0)</f>
        <v>1</v>
      </c>
      <c r="AE37" s="480">
        <f>IFERROR(AVERAGE(AE30:AE36),0)</f>
        <v>0.82500000000000007</v>
      </c>
      <c r="AF37" s="1060"/>
      <c r="AG37" s="1060"/>
      <c r="AH37" s="1060"/>
      <c r="AI37" s="1060"/>
      <c r="AJ37" s="1060"/>
      <c r="AK37" s="1061"/>
      <c r="AL37" s="480">
        <f>IFERROR(AVERAGE(AL30:AL36),0)</f>
        <v>0</v>
      </c>
      <c r="AM37" s="480">
        <f t="shared" ref="AM37" si="62">IFERROR(AVERAGE(AM30:AM36),0)</f>
        <v>0.82500000000000007</v>
      </c>
      <c r="AN37" s="480">
        <f>IFERROR(AVERAGE(AN30:AN36),0)</f>
        <v>0.82500000000000007</v>
      </c>
      <c r="AO37" s="469"/>
      <c r="AP37" s="469"/>
      <c r="AQ37" s="469"/>
      <c r="AR37" s="469"/>
      <c r="AS37" s="469"/>
      <c r="AT37" s="469"/>
      <c r="AU37" s="469"/>
      <c r="AV37" s="469"/>
      <c r="AW37" s="582"/>
    </row>
    <row r="38" spans="2:52" s="470" customFormat="1" ht="24" customHeight="1" thickBot="1">
      <c r="D38" s="472"/>
      <c r="AW38" s="472"/>
      <c r="AY38" s="455"/>
      <c r="AZ38" s="455"/>
    </row>
    <row r="39" spans="2:52" s="470" customFormat="1" ht="16.5" thickBot="1">
      <c r="C39" s="473" t="s">
        <v>875</v>
      </c>
      <c r="D39" s="503"/>
      <c r="E39" s="1577" t="s">
        <v>1136</v>
      </c>
      <c r="F39" s="1578"/>
      <c r="G39" s="1578"/>
      <c r="H39" s="1578"/>
      <c r="I39" s="1578"/>
      <c r="J39" s="1578"/>
      <c r="K39" s="1578"/>
      <c r="L39" s="1578"/>
      <c r="M39" s="1579"/>
      <c r="N39" s="1580" t="s">
        <v>1137</v>
      </c>
      <c r="O39" s="1581"/>
      <c r="P39" s="1581"/>
      <c r="Q39" s="1581"/>
      <c r="R39" s="1581"/>
      <c r="S39" s="1581"/>
      <c r="T39" s="1581"/>
      <c r="U39" s="1581"/>
      <c r="V39" s="1582"/>
      <c r="W39" s="1574" t="s">
        <v>1138</v>
      </c>
      <c r="X39" s="1575"/>
      <c r="Y39" s="1575"/>
      <c r="Z39" s="1575"/>
      <c r="AA39" s="1575"/>
      <c r="AB39" s="1575"/>
      <c r="AC39" s="1575"/>
      <c r="AD39" s="1575"/>
      <c r="AE39" s="1576"/>
      <c r="AF39" s="1580" t="s">
        <v>1052</v>
      </c>
      <c r="AG39" s="1581"/>
      <c r="AH39" s="1581"/>
      <c r="AI39" s="1581"/>
      <c r="AJ39" s="1581"/>
      <c r="AK39" s="1581"/>
      <c r="AL39" s="1581"/>
      <c r="AM39" s="1581"/>
      <c r="AN39" s="1582"/>
      <c r="AW39" s="472"/>
      <c r="AY39" s="455"/>
      <c r="AZ39" s="455"/>
    </row>
    <row r="40" spans="2:52" ht="34.5" customHeight="1">
      <c r="C40" s="1571" t="str">
        <f>+$C$10</f>
        <v>Identificación del Indicador</v>
      </c>
      <c r="D40" s="1584" t="s">
        <v>867</v>
      </c>
      <c r="E40" s="1567" t="s">
        <v>868</v>
      </c>
      <c r="F40" s="1568"/>
      <c r="G40" s="1569"/>
      <c r="H40" s="1570" t="s">
        <v>1140</v>
      </c>
      <c r="I40" s="1572" t="s">
        <v>1144</v>
      </c>
      <c r="J40" s="1570" t="s">
        <v>869</v>
      </c>
      <c r="K40" s="1570" t="s">
        <v>863</v>
      </c>
      <c r="L40" s="1570"/>
      <c r="M40" s="1570"/>
      <c r="N40" s="1567" t="s">
        <v>868</v>
      </c>
      <c r="O40" s="1568"/>
      <c r="P40" s="1569"/>
      <c r="Q40" s="1570" t="s">
        <v>1150</v>
      </c>
      <c r="R40" s="1572" t="s">
        <v>1141</v>
      </c>
      <c r="S40" s="1570" t="s">
        <v>869</v>
      </c>
      <c r="T40" s="1570" t="s">
        <v>863</v>
      </c>
      <c r="U40" s="1570"/>
      <c r="V40" s="1570"/>
      <c r="W40" s="1567" t="s">
        <v>868</v>
      </c>
      <c r="X40" s="1568"/>
      <c r="Y40" s="1569"/>
      <c r="Z40" s="1570" t="s">
        <v>1151</v>
      </c>
      <c r="AA40" s="1572" t="s">
        <v>1146</v>
      </c>
      <c r="AB40" s="1570" t="s">
        <v>869</v>
      </c>
      <c r="AC40" s="1570" t="s">
        <v>863</v>
      </c>
      <c r="AD40" s="1570"/>
      <c r="AE40" s="1570"/>
      <c r="AF40" s="1567" t="s">
        <v>868</v>
      </c>
      <c r="AG40" s="1568"/>
      <c r="AH40" s="1569"/>
      <c r="AI40" s="1570" t="s">
        <v>1152</v>
      </c>
      <c r="AJ40" s="1572" t="s">
        <v>1148</v>
      </c>
      <c r="AK40" s="1570" t="s">
        <v>869</v>
      </c>
      <c r="AL40" s="1570" t="s">
        <v>863</v>
      </c>
      <c r="AM40" s="1570"/>
      <c r="AN40" s="1570"/>
      <c r="AO40" s="1583" t="s">
        <v>715</v>
      </c>
      <c r="AP40" s="1583"/>
      <c r="AQ40" s="1583"/>
      <c r="AR40" s="1583"/>
      <c r="AS40" s="1583"/>
      <c r="AT40" s="1583"/>
      <c r="AU40" s="1583"/>
      <c r="AV40" s="1583"/>
      <c r="AW40" s="1571" t="s">
        <v>888</v>
      </c>
    </row>
    <row r="41" spans="2:52" ht="47.45" customHeight="1">
      <c r="C41" s="1571"/>
      <c r="D41" s="1584"/>
      <c r="E41" s="1022" t="s">
        <v>1153</v>
      </c>
      <c r="F41" s="1017" t="str">
        <f>+E39</f>
        <v>Primer Trimestre</v>
      </c>
      <c r="G41" s="1018" t="s">
        <v>1143</v>
      </c>
      <c r="H41" s="1571"/>
      <c r="I41" s="1573"/>
      <c r="J41" s="1571"/>
      <c r="K41" s="1017" t="str">
        <f>+$D$6</f>
        <v>Tercer Trimestre</v>
      </c>
      <c r="L41" s="1018" t="str">
        <f>+G41</f>
        <v>Acumulado
Corte 
31/03/2022</v>
      </c>
      <c r="M41" s="1019" t="s">
        <v>760</v>
      </c>
      <c r="N41" s="1022" t="s">
        <v>1153</v>
      </c>
      <c r="O41" s="1017" t="str">
        <f>+N39</f>
        <v>Segundo Trimestre</v>
      </c>
      <c r="P41" s="1018" t="s">
        <v>1142</v>
      </c>
      <c r="Q41" s="1571"/>
      <c r="R41" s="1573"/>
      <c r="S41" s="1571"/>
      <c r="T41" s="1017" t="str">
        <f>+O41</f>
        <v>Segundo Trimestre</v>
      </c>
      <c r="U41" s="1018" t="str">
        <f>+P41</f>
        <v>Acumulado Corte 
30/06/2022</v>
      </c>
      <c r="V41" s="1019" t="s">
        <v>760</v>
      </c>
      <c r="W41" s="1022" t="s">
        <v>1153</v>
      </c>
      <c r="X41" s="1017" t="str">
        <f>+W39</f>
        <v>Tercer Trimestre</v>
      </c>
      <c r="Y41" s="1018" t="s">
        <v>1145</v>
      </c>
      <c r="Z41" s="1571"/>
      <c r="AA41" s="1573"/>
      <c r="AB41" s="1571"/>
      <c r="AC41" s="1017" t="str">
        <f>+X41</f>
        <v>Tercer Trimestre</v>
      </c>
      <c r="AD41" s="1018" t="str">
        <f>+Y41</f>
        <v>Acumulado Corte 
30/09/2022</v>
      </c>
      <c r="AE41" s="1019" t="s">
        <v>760</v>
      </c>
      <c r="AF41" s="1022" t="s">
        <v>1153</v>
      </c>
      <c r="AG41" s="1017" t="str">
        <f>+AF39</f>
        <v>Cuarto Trimestre</v>
      </c>
      <c r="AH41" s="1018" t="s">
        <v>1147</v>
      </c>
      <c r="AI41" s="1571"/>
      <c r="AJ41" s="1573"/>
      <c r="AK41" s="1571"/>
      <c r="AL41" s="1017" t="str">
        <f>+AG41</f>
        <v>Cuarto Trimestre</v>
      </c>
      <c r="AM41" s="1018" t="str">
        <f>+AH41</f>
        <v>Acumulado Corte 
31/12/2022</v>
      </c>
      <c r="AN41" s="1019" t="s">
        <v>760</v>
      </c>
      <c r="AO41" s="1201" t="s">
        <v>870</v>
      </c>
      <c r="AP41" s="1202"/>
      <c r="AQ41" s="1203" t="s">
        <v>871</v>
      </c>
      <c r="AR41" s="1204"/>
      <c r="AS41" s="1204"/>
      <c r="AT41" s="1205"/>
      <c r="AU41" s="1206" t="s">
        <v>723</v>
      </c>
      <c r="AV41" s="1207"/>
      <c r="AW41" s="1571"/>
    </row>
    <row r="42" spans="2:52" ht="100.15" customHeight="1">
      <c r="B42" s="474">
        <f>1+B36</f>
        <v>16</v>
      </c>
      <c r="C42" s="475" t="str">
        <f>+'Rango indicadores'!D20</f>
        <v>04-RI-01</v>
      </c>
      <c r="D42" s="475" t="str">
        <f>+'Rango indicadores'!E20</f>
        <v>Productos de comunicación externa desarrollados</v>
      </c>
      <c r="E42" s="479">
        <f>+'Rango indicadores'!Q20</f>
        <v>1</v>
      </c>
      <c r="F42" s="479">
        <f>+'1.Informe Seguimiento POA 2022'!O93</f>
        <v>1</v>
      </c>
      <c r="G42" s="479">
        <f>IFERROR(AVERAGE('1.Informe Seguimiento POA 2022'!O93),0)</f>
        <v>1</v>
      </c>
      <c r="H42" s="479">
        <f>+'1.Informe Seguimiento POA 2022'!P93</f>
        <v>1</v>
      </c>
      <c r="I42" s="479">
        <f>IFERROR(AVERAGE('1.Informe Seguimiento POA 2022'!P93),0)</f>
        <v>1</v>
      </c>
      <c r="J42" s="479">
        <f>+I42</f>
        <v>1</v>
      </c>
      <c r="K42" s="511">
        <f>IF(AND(F42&gt;0),H42/F42,"No programado")</f>
        <v>1</v>
      </c>
      <c r="L42" s="511">
        <f>IF(AND(G42&gt;0),I42/G42,"No programado")</f>
        <v>1</v>
      </c>
      <c r="M42" s="478">
        <f>IF(AND(E42&gt;0,$J42&gt;0),J42/$E42,0)*0.25</f>
        <v>0.25</v>
      </c>
      <c r="N42" s="479">
        <f>+E42</f>
        <v>1</v>
      </c>
      <c r="O42" s="479">
        <f>+'1.Informe Seguimiento POA 2022'!Q93</f>
        <v>1</v>
      </c>
      <c r="P42" s="479">
        <f>IFERROR(AVERAGE('1.Informe Seguimiento POA 2022'!O93,'1.Informe Seguimiento POA 2022'!Q93),0)</f>
        <v>1</v>
      </c>
      <c r="Q42" s="479">
        <f>+'1.Informe Seguimiento POA 2022'!R93</f>
        <v>1</v>
      </c>
      <c r="R42" s="479">
        <f>IFERROR(AVERAGE('1.Informe Seguimiento POA 2022'!P93,'1.Informe Seguimiento POA 2022'!R93),0)</f>
        <v>1</v>
      </c>
      <c r="S42" s="479">
        <f>IFERROR(IF(OR($N42="",$N42=0),0,ROUNDDOWN(AVERAGE($H42,Q42),3)),0)</f>
        <v>1</v>
      </c>
      <c r="T42" s="511">
        <f>IF(AND(O42&gt;0),Q42/O42,"No programado")</f>
        <v>1</v>
      </c>
      <c r="U42" s="511">
        <f>IF(AND(P42&gt;0),R42/P42,"No programado")</f>
        <v>1</v>
      </c>
      <c r="V42" s="478">
        <f>IF(AND(N42&gt;0,$S42&gt;0),S42/$N42,0)*0.5</f>
        <v>0.5</v>
      </c>
      <c r="W42" s="479">
        <f>+N42</f>
        <v>1</v>
      </c>
      <c r="X42" s="479">
        <f>+'1.Informe Seguimiento POA 2022'!S93</f>
        <v>1</v>
      </c>
      <c r="Y42" s="479">
        <f>IFERROR(AVERAGE('1.Informe Seguimiento POA 2022'!O93,'1.Informe Seguimiento POA 2022'!Q93,'1.Informe Seguimiento POA 2022'!S93),0)</f>
        <v>1</v>
      </c>
      <c r="Z42" s="479">
        <f>+'1.Informe Seguimiento POA 2022'!T93</f>
        <v>1</v>
      </c>
      <c r="AA42" s="479">
        <f>IFERROR(AVERAGE('1.Informe Seguimiento POA 2022'!R93,'1.Informe Seguimiento POA 2022'!P93,'1.Informe Seguimiento POA 2022'!T93),0)</f>
        <v>1</v>
      </c>
      <c r="AB42" s="479">
        <f>IFERROR(IF(OR($W42="",$W42=0),0,ROUNDDOWN(AVERAGE($H42,Q42,Z42),3)),0)</f>
        <v>1</v>
      </c>
      <c r="AC42" s="511">
        <f>IF(AND(X42&gt;0),Z42/X42,"No programado")</f>
        <v>1</v>
      </c>
      <c r="AD42" s="511">
        <f>IF(AND(Y42&gt;0),AA42/Y42,"No programado")</f>
        <v>1</v>
      </c>
      <c r="AE42" s="478">
        <f>IF(AND(W42&gt;0,$AB42&gt;0),AB42/$W42,0)*0.75</f>
        <v>0.75</v>
      </c>
      <c r="AF42" s="479">
        <f>+W42</f>
        <v>1</v>
      </c>
      <c r="AG42" s="479">
        <f>+'1.Informe Seguimiento POA 2022'!U93</f>
        <v>1</v>
      </c>
      <c r="AH42" s="479">
        <f>IFERROR(AVERAGE('1.Informe Seguimiento POA 2022'!O93,'1.Informe Seguimiento POA 2022'!Q93,'1.Informe Seguimiento POA 2022'!S93,'1.Informe Seguimiento POA 2022'!U93),0)</f>
        <v>1</v>
      </c>
      <c r="AI42" s="479">
        <f>+'1.Informe Seguimiento POA 2022'!V93</f>
        <v>0</v>
      </c>
      <c r="AJ42" s="479">
        <f>IFERROR(AVERAGE('1.Informe Seguimiento POA 2022'!P93,'1.Informe Seguimiento POA 2022'!R93,'1.Informe Seguimiento POA 2022'!T93,'1.Informe Seguimiento POA 2022'!V93),0)</f>
        <v>0.75</v>
      </c>
      <c r="AK42" s="479">
        <f>IFERROR(IF(OR($AF42="",$AF42=0),0,ROUNDDOWN(AVERAGE($H42,Q42,Z42,AI42),3)),0)</f>
        <v>0.75</v>
      </c>
      <c r="AL42" s="511">
        <f>IF(AND(AG42&gt;0),AI42/AG42,"No programado")</f>
        <v>0</v>
      </c>
      <c r="AM42" s="511">
        <f>IF(AND(AH42&gt;0),AJ42/AH42,"No programado")</f>
        <v>0.75</v>
      </c>
      <c r="AN42" s="478">
        <f t="shared" ref="AN42:AN43" si="63">IF(AND(AF42&gt;0,$J42&gt;0),AK42/$E42,0)</f>
        <v>0.75</v>
      </c>
      <c r="AO42" s="482" t="str">
        <f>+'Rango indicadores'!H20</f>
        <v>Mayor A:</v>
      </c>
      <c r="AP42" s="477">
        <f>+'Rango indicadores'!I20</f>
        <v>90</v>
      </c>
      <c r="AQ42" s="477" t="str">
        <f>+'Rango indicadores'!J20</f>
        <v>Desde (&gt;=):</v>
      </c>
      <c r="AR42" s="477">
        <f>+'Rango indicadores'!K20</f>
        <v>75</v>
      </c>
      <c r="AS42" s="477" t="str">
        <f>+'Rango indicadores'!L20</f>
        <v>Hasta (&lt;=):</v>
      </c>
      <c r="AT42" s="477">
        <f>+'Rango indicadores'!M20</f>
        <v>90</v>
      </c>
      <c r="AU42" s="477" t="str">
        <f>+'Rango indicadores'!N20</f>
        <v>Menor A:</v>
      </c>
      <c r="AV42" s="477">
        <f>+'Rango indicadores'!O20</f>
        <v>75</v>
      </c>
      <c r="AW42" s="581" t="s">
        <v>1166</v>
      </c>
    </row>
    <row r="43" spans="2:52" ht="100.15" customHeight="1">
      <c r="B43" s="474">
        <f>+B42+1</f>
        <v>17</v>
      </c>
      <c r="C43" s="475" t="str">
        <f>+'Rango indicadores'!D21</f>
        <v>04-RI-02</v>
      </c>
      <c r="D43" s="475" t="str">
        <f>+'Rango indicadores'!E21</f>
        <v>Productos  de comunicación interna
desarrollados</v>
      </c>
      <c r="E43" s="479">
        <f>+'Rango indicadores'!Q21</f>
        <v>1</v>
      </c>
      <c r="F43" s="479">
        <f>+'1.Informe Seguimiento POA 2022'!O94</f>
        <v>1</v>
      </c>
      <c r="G43" s="479">
        <f>IFERROR(AVERAGE('1.Informe Seguimiento POA 2022'!O94),0)</f>
        <v>1</v>
      </c>
      <c r="H43" s="479">
        <f>+'1.Informe Seguimiento POA 2022'!P94</f>
        <v>1</v>
      </c>
      <c r="I43" s="479">
        <f>IFERROR(AVERAGE('1.Informe Seguimiento POA 2022'!P94),0)</f>
        <v>1</v>
      </c>
      <c r="J43" s="479">
        <f>+I43</f>
        <v>1</v>
      </c>
      <c r="K43" s="511">
        <f>IF(AND(F43&gt;0),H43/F43,"No programado")</f>
        <v>1</v>
      </c>
      <c r="L43" s="511">
        <f t="shared" ref="L43" si="64">IF(AND(G43&gt;0),I43/G43,"No programado")</f>
        <v>1</v>
      </c>
      <c r="M43" s="478">
        <f>IF(AND(E43&gt;0,$J43&gt;0),J43/$E43,0)*0.25</f>
        <v>0.25</v>
      </c>
      <c r="N43" s="479">
        <f>+E43</f>
        <v>1</v>
      </c>
      <c r="O43" s="479">
        <f>+'1.Informe Seguimiento POA 2022'!Q94</f>
        <v>1</v>
      </c>
      <c r="P43" s="479">
        <f>IFERROR(AVERAGE('1.Informe Seguimiento POA 2022'!O94,'1.Informe Seguimiento POA 2022'!Q94),0)</f>
        <v>1</v>
      </c>
      <c r="Q43" s="479">
        <f>+'1.Informe Seguimiento POA 2022'!R94</f>
        <v>1</v>
      </c>
      <c r="R43" s="479">
        <f>IFERROR(AVERAGE('1.Informe Seguimiento POA 2022'!P94,'1.Informe Seguimiento POA 2022'!R94),0)</f>
        <v>1</v>
      </c>
      <c r="S43" s="479">
        <f>IFERROR(IF(OR($N43="",$N43=0),0,ROUNDDOWN(AVERAGE($H43,Q43),3)),0)</f>
        <v>1</v>
      </c>
      <c r="T43" s="511">
        <f>IF(AND(O43&gt;0),Q43/O43,"No programado")</f>
        <v>1</v>
      </c>
      <c r="U43" s="511">
        <f t="shared" ref="U43" si="65">IF(AND(P43&gt;0),R43/P43,"No programado")</f>
        <v>1</v>
      </c>
      <c r="V43" s="478">
        <f>IF(AND(N43&gt;0,$S43&gt;0),S43/$N43,0)*0.5</f>
        <v>0.5</v>
      </c>
      <c r="W43" s="479">
        <f>+N43</f>
        <v>1</v>
      </c>
      <c r="X43" s="479">
        <f>+'1.Informe Seguimiento POA 2022'!S94</f>
        <v>1</v>
      </c>
      <c r="Y43" s="479">
        <f>IFERROR(AVERAGE('1.Informe Seguimiento POA 2022'!O94,'1.Informe Seguimiento POA 2022'!Q94,'1.Informe Seguimiento POA 2022'!S94),0)</f>
        <v>1</v>
      </c>
      <c r="Z43" s="479">
        <f>+'1.Informe Seguimiento POA 2022'!T94</f>
        <v>1</v>
      </c>
      <c r="AA43" s="479">
        <f>IFERROR(AVERAGE('1.Informe Seguimiento POA 2022'!R94,'1.Informe Seguimiento POA 2022'!P94,'1.Informe Seguimiento POA 2022'!T94),0)</f>
        <v>1</v>
      </c>
      <c r="AB43" s="479">
        <f>IFERROR(IF(OR($W43="",$W43=0),0,ROUNDDOWN(AVERAGE($H43,Q43,Z43),3)),0)</f>
        <v>1</v>
      </c>
      <c r="AC43" s="511">
        <f>IF(AND(X43&gt;0),Z43/X43,"No programado")</f>
        <v>1</v>
      </c>
      <c r="AD43" s="511">
        <f t="shared" ref="AD43" si="66">IF(AND(Y43&gt;0),AA43/Y43,"No programado")</f>
        <v>1</v>
      </c>
      <c r="AE43" s="478">
        <f>IF(AND(W43&gt;0,$AB43&gt;0),AB43/$W43,0)*0.75</f>
        <v>0.75</v>
      </c>
      <c r="AF43" s="479">
        <f>+W43</f>
        <v>1</v>
      </c>
      <c r="AG43" s="479">
        <f>+'1.Informe Seguimiento POA 2022'!U94</f>
        <v>1</v>
      </c>
      <c r="AH43" s="479">
        <f>IFERROR(AVERAGE('1.Informe Seguimiento POA 2022'!O94,'1.Informe Seguimiento POA 2022'!Q94,'1.Informe Seguimiento POA 2022'!S94,'1.Informe Seguimiento POA 2022'!U94),0)</f>
        <v>1</v>
      </c>
      <c r="AI43" s="479">
        <f>+'1.Informe Seguimiento POA 2022'!V94</f>
        <v>0</v>
      </c>
      <c r="AJ43" s="479">
        <f>IFERROR(AVERAGE('1.Informe Seguimiento POA 2022'!P94,'1.Informe Seguimiento POA 2022'!R94,'1.Informe Seguimiento POA 2022'!T94,'1.Informe Seguimiento POA 2022'!V94),0)</f>
        <v>0.75</v>
      </c>
      <c r="AK43" s="479">
        <f>IFERROR(IF(OR($AF43="",$AF43=0),0,ROUNDDOWN(AVERAGE($H43,Q43,Z43,AI43),3)),0)</f>
        <v>0.75</v>
      </c>
      <c r="AL43" s="511">
        <f>IF(AND(AG43&gt;0),AI43/AG43,"No programado")</f>
        <v>0</v>
      </c>
      <c r="AM43" s="511">
        <f t="shared" ref="AM43" si="67">IF(AND(AH43&gt;0),AJ43/AH43,"No programado")</f>
        <v>0.75</v>
      </c>
      <c r="AN43" s="478">
        <f t="shared" si="63"/>
        <v>0.75</v>
      </c>
      <c r="AO43" s="482" t="str">
        <f>+'Rango indicadores'!H21</f>
        <v>Mayor A:</v>
      </c>
      <c r="AP43" s="477">
        <f>+'Rango indicadores'!I21</f>
        <v>90</v>
      </c>
      <c r="AQ43" s="477" t="str">
        <f>+'Rango indicadores'!J21</f>
        <v>Desde (&gt;=):</v>
      </c>
      <c r="AR43" s="477">
        <f>+'Rango indicadores'!K21</f>
        <v>75</v>
      </c>
      <c r="AS43" s="477" t="str">
        <f>+'Rango indicadores'!L21</f>
        <v>Hasta (&lt;=):</v>
      </c>
      <c r="AT43" s="477">
        <f>+'Rango indicadores'!M21</f>
        <v>90</v>
      </c>
      <c r="AU43" s="477" t="str">
        <f>+'Rango indicadores'!N21</f>
        <v>Menor A:</v>
      </c>
      <c r="AV43" s="477">
        <f>+'Rango indicadores'!O21</f>
        <v>75</v>
      </c>
      <c r="AW43" s="581" t="s">
        <v>1166</v>
      </c>
    </row>
    <row r="44" spans="2:52" ht="15.75">
      <c r="C44" s="1598" t="s">
        <v>872</v>
      </c>
      <c r="D44" s="1599"/>
      <c r="E44" s="1599"/>
      <c r="F44" s="1599"/>
      <c r="G44" s="1599"/>
      <c r="H44" s="1599"/>
      <c r="I44" s="1599"/>
      <c r="J44" s="1599"/>
      <c r="K44" s="480">
        <f>IFERROR(AVERAGE(K42:K43),0)</f>
        <v>1</v>
      </c>
      <c r="L44" s="480">
        <f>IFERROR(AVERAGE(L42:L43),0)</f>
        <v>1</v>
      </c>
      <c r="M44" s="480">
        <f>IFERROR(AVERAGE(M42:M43),0)</f>
        <v>0.25</v>
      </c>
      <c r="N44" s="1060"/>
      <c r="O44" s="1060"/>
      <c r="P44" s="1060"/>
      <c r="Q44" s="1060"/>
      <c r="R44" s="1060"/>
      <c r="S44" s="1060"/>
      <c r="T44" s="480">
        <f>IFERROR(AVERAGE(T42:T43),0)</f>
        <v>1</v>
      </c>
      <c r="U44" s="480">
        <f>IFERROR(AVERAGE(U42:U43),0)</f>
        <v>1</v>
      </c>
      <c r="V44" s="480">
        <f>IFERROR(AVERAGE(V42:V43),0)</f>
        <v>0.5</v>
      </c>
      <c r="W44" s="1060"/>
      <c r="X44" s="1060"/>
      <c r="Y44" s="1060"/>
      <c r="Z44" s="1060"/>
      <c r="AA44" s="1060"/>
      <c r="AB44" s="1060"/>
      <c r="AC44" s="480">
        <f>IFERROR(AVERAGE(AC42:AC43),0)</f>
        <v>1</v>
      </c>
      <c r="AD44" s="480">
        <f>IFERROR(AVERAGE(AD42:AD43),0)</f>
        <v>1</v>
      </c>
      <c r="AE44" s="480">
        <f>IFERROR(AVERAGE(AE42:AE43),0)</f>
        <v>0.75</v>
      </c>
      <c r="AF44" s="1060"/>
      <c r="AG44" s="1060"/>
      <c r="AH44" s="1060"/>
      <c r="AI44" s="1060"/>
      <c r="AJ44" s="1060"/>
      <c r="AK44" s="1061"/>
      <c r="AL44" s="480">
        <f>IFERROR(AVERAGE(AL42:AL43),0)</f>
        <v>0</v>
      </c>
      <c r="AM44" s="480">
        <f>IFERROR(AVERAGE(AM42:AM43),0)</f>
        <v>0.75</v>
      </c>
      <c r="AN44" s="480">
        <f>IFERROR(AVERAGE(AN42:AN43),0)</f>
        <v>0.75</v>
      </c>
      <c r="AO44" s="487"/>
      <c r="AP44" s="487"/>
      <c r="AQ44" s="487"/>
      <c r="AR44" s="487"/>
      <c r="AS44" s="487"/>
      <c r="AT44" s="487"/>
      <c r="AU44" s="487"/>
      <c r="AV44" s="487"/>
      <c r="AW44" s="582"/>
    </row>
    <row r="45" spans="2:52" s="470" customFormat="1" ht="24" customHeight="1" thickBot="1">
      <c r="D45" s="472"/>
      <c r="AW45" s="472"/>
      <c r="AY45" s="455"/>
      <c r="AZ45" s="455"/>
    </row>
    <row r="46" spans="2:52" s="470" customFormat="1" ht="16.5" thickBot="1">
      <c r="C46" s="473" t="s">
        <v>876</v>
      </c>
      <c r="D46" s="503"/>
      <c r="E46" s="1577" t="s">
        <v>1136</v>
      </c>
      <c r="F46" s="1578"/>
      <c r="G46" s="1578"/>
      <c r="H46" s="1578"/>
      <c r="I46" s="1578"/>
      <c r="J46" s="1578"/>
      <c r="K46" s="1578"/>
      <c r="L46" s="1578"/>
      <c r="M46" s="1579"/>
      <c r="N46" s="1580" t="s">
        <v>1137</v>
      </c>
      <c r="O46" s="1581"/>
      <c r="P46" s="1581"/>
      <c r="Q46" s="1581"/>
      <c r="R46" s="1581"/>
      <c r="S46" s="1581"/>
      <c r="T46" s="1581"/>
      <c r="U46" s="1581"/>
      <c r="V46" s="1582"/>
      <c r="W46" s="1574" t="s">
        <v>1138</v>
      </c>
      <c r="X46" s="1575"/>
      <c r="Y46" s="1575"/>
      <c r="Z46" s="1575"/>
      <c r="AA46" s="1575"/>
      <c r="AB46" s="1575"/>
      <c r="AC46" s="1575"/>
      <c r="AD46" s="1575"/>
      <c r="AE46" s="1576"/>
      <c r="AF46" s="1580" t="s">
        <v>1052</v>
      </c>
      <c r="AG46" s="1581"/>
      <c r="AH46" s="1581"/>
      <c r="AI46" s="1581"/>
      <c r="AJ46" s="1581"/>
      <c r="AK46" s="1581"/>
      <c r="AL46" s="1581"/>
      <c r="AM46" s="1581"/>
      <c r="AN46" s="1582"/>
      <c r="AW46" s="472"/>
      <c r="AY46" s="455"/>
      <c r="AZ46" s="455"/>
    </row>
    <row r="47" spans="2:52" ht="28.15" customHeight="1">
      <c r="C47" s="1571" t="str">
        <f>+$C$10</f>
        <v>Identificación del Indicador</v>
      </c>
      <c r="D47" s="1584" t="s">
        <v>867</v>
      </c>
      <c r="E47" s="1567" t="s">
        <v>868</v>
      </c>
      <c r="F47" s="1568"/>
      <c r="G47" s="1569"/>
      <c r="H47" s="1570" t="s">
        <v>1140</v>
      </c>
      <c r="I47" s="1572" t="s">
        <v>1144</v>
      </c>
      <c r="J47" s="1570" t="s">
        <v>869</v>
      </c>
      <c r="K47" s="1570" t="s">
        <v>863</v>
      </c>
      <c r="L47" s="1570"/>
      <c r="M47" s="1570"/>
      <c r="N47" s="1567" t="s">
        <v>868</v>
      </c>
      <c r="O47" s="1568"/>
      <c r="P47" s="1569"/>
      <c r="Q47" s="1570" t="s">
        <v>1150</v>
      </c>
      <c r="R47" s="1572" t="s">
        <v>1141</v>
      </c>
      <c r="S47" s="1570" t="s">
        <v>869</v>
      </c>
      <c r="T47" s="1570" t="s">
        <v>863</v>
      </c>
      <c r="U47" s="1570"/>
      <c r="V47" s="1570"/>
      <c r="W47" s="1567" t="s">
        <v>868</v>
      </c>
      <c r="X47" s="1568"/>
      <c r="Y47" s="1569"/>
      <c r="Z47" s="1570" t="s">
        <v>1151</v>
      </c>
      <c r="AA47" s="1572" t="s">
        <v>1146</v>
      </c>
      <c r="AB47" s="1570" t="s">
        <v>869</v>
      </c>
      <c r="AC47" s="1570" t="s">
        <v>863</v>
      </c>
      <c r="AD47" s="1570"/>
      <c r="AE47" s="1570"/>
      <c r="AF47" s="1567" t="s">
        <v>868</v>
      </c>
      <c r="AG47" s="1568"/>
      <c r="AH47" s="1569"/>
      <c r="AI47" s="1570" t="s">
        <v>1152</v>
      </c>
      <c r="AJ47" s="1572" t="s">
        <v>1148</v>
      </c>
      <c r="AK47" s="1570" t="s">
        <v>869</v>
      </c>
      <c r="AL47" s="1570" t="s">
        <v>863</v>
      </c>
      <c r="AM47" s="1570"/>
      <c r="AN47" s="1570"/>
      <c r="AO47" s="1583" t="s">
        <v>715</v>
      </c>
      <c r="AP47" s="1583"/>
      <c r="AQ47" s="1583"/>
      <c r="AR47" s="1583"/>
      <c r="AS47" s="1583"/>
      <c r="AT47" s="1583"/>
      <c r="AU47" s="1583"/>
      <c r="AV47" s="1583"/>
      <c r="AW47" s="1571" t="s">
        <v>888</v>
      </c>
    </row>
    <row r="48" spans="2:52" ht="46.15" customHeight="1">
      <c r="C48" s="1571"/>
      <c r="D48" s="1584"/>
      <c r="E48" s="1022" t="s">
        <v>1153</v>
      </c>
      <c r="F48" s="1017" t="str">
        <f>+E46</f>
        <v>Primer Trimestre</v>
      </c>
      <c r="G48" s="1018" t="s">
        <v>1143</v>
      </c>
      <c r="H48" s="1571"/>
      <c r="I48" s="1573"/>
      <c r="J48" s="1571"/>
      <c r="K48" s="1017" t="str">
        <f>+$D$6</f>
        <v>Tercer Trimestre</v>
      </c>
      <c r="L48" s="1018" t="str">
        <f>+G48</f>
        <v>Acumulado
Corte 
31/03/2022</v>
      </c>
      <c r="M48" s="1019" t="s">
        <v>760</v>
      </c>
      <c r="N48" s="1022" t="s">
        <v>1153</v>
      </c>
      <c r="O48" s="1017" t="str">
        <f>+N46</f>
        <v>Segundo Trimestre</v>
      </c>
      <c r="P48" s="1018" t="s">
        <v>1142</v>
      </c>
      <c r="Q48" s="1571"/>
      <c r="R48" s="1573"/>
      <c r="S48" s="1571"/>
      <c r="T48" s="1017" t="str">
        <f>+O48</f>
        <v>Segundo Trimestre</v>
      </c>
      <c r="U48" s="1018" t="str">
        <f>+P48</f>
        <v>Acumulado Corte 
30/06/2022</v>
      </c>
      <c r="V48" s="1019" t="s">
        <v>760</v>
      </c>
      <c r="W48" s="1022" t="s">
        <v>1153</v>
      </c>
      <c r="X48" s="1017" t="str">
        <f>+W46</f>
        <v>Tercer Trimestre</v>
      </c>
      <c r="Y48" s="1018" t="s">
        <v>1145</v>
      </c>
      <c r="Z48" s="1571"/>
      <c r="AA48" s="1573"/>
      <c r="AB48" s="1571"/>
      <c r="AC48" s="1017" t="str">
        <f>+X48</f>
        <v>Tercer Trimestre</v>
      </c>
      <c r="AD48" s="1018" t="str">
        <f>+Y48</f>
        <v>Acumulado Corte 
30/09/2022</v>
      </c>
      <c r="AE48" s="1019" t="s">
        <v>760</v>
      </c>
      <c r="AF48" s="1022" t="s">
        <v>1153</v>
      </c>
      <c r="AG48" s="1017" t="str">
        <f>+AF46</f>
        <v>Cuarto Trimestre</v>
      </c>
      <c r="AH48" s="1018" t="s">
        <v>1147</v>
      </c>
      <c r="AI48" s="1571"/>
      <c r="AJ48" s="1573"/>
      <c r="AK48" s="1571"/>
      <c r="AL48" s="1017" t="str">
        <f>+AG48</f>
        <v>Cuarto Trimestre</v>
      </c>
      <c r="AM48" s="1018" t="str">
        <f>+AH48</f>
        <v>Acumulado Corte 
31/12/2022</v>
      </c>
      <c r="AN48" s="1019" t="s">
        <v>760</v>
      </c>
      <c r="AO48" s="1201" t="s">
        <v>870</v>
      </c>
      <c r="AP48" s="1202"/>
      <c r="AQ48" s="1203" t="s">
        <v>871</v>
      </c>
      <c r="AR48" s="1204"/>
      <c r="AS48" s="1204"/>
      <c r="AT48" s="1205"/>
      <c r="AU48" s="1206" t="s">
        <v>723</v>
      </c>
      <c r="AV48" s="1207"/>
      <c r="AW48" s="1571"/>
    </row>
    <row r="49" spans="2:53" ht="129" customHeight="1">
      <c r="B49" s="474">
        <f>+B43+1</f>
        <v>18</v>
      </c>
      <c r="C49" s="475" t="str">
        <f>+'Rango indicadores'!D83</f>
        <v>14-RI-01</v>
      </c>
      <c r="D49" s="475" t="str">
        <f>+'Rango indicadores'!E83</f>
        <v>Porcentaje de Percepción de los usuarios en calificación excelente y bueno incrementado</v>
      </c>
      <c r="E49" s="479">
        <f>+'Rango indicadores'!Q83</f>
        <v>0.9</v>
      </c>
      <c r="F49" s="507">
        <f>+'1.Informe Seguimiento POA 2022'!O59</f>
        <v>0.9</v>
      </c>
      <c r="G49" s="507">
        <f>+'1.Informe Seguimiento POA 2022'!O59</f>
        <v>0.9</v>
      </c>
      <c r="H49" s="921">
        <f>+'1.Informe Seguimiento POA 2022'!P59</f>
        <v>0.95899999999999996</v>
      </c>
      <c r="I49" s="507">
        <f>+'1.Informe Seguimiento POA 2022'!P59</f>
        <v>0.95899999999999996</v>
      </c>
      <c r="J49" s="507">
        <f>+I49</f>
        <v>0.95899999999999996</v>
      </c>
      <c r="K49" s="465">
        <f>IF(AND(F49&gt;0),H49/F49,"No programado")</f>
        <v>1.0655555555555556</v>
      </c>
      <c r="L49" s="465">
        <f>IF(AND(G49&gt;0),I49/G49,"No programado")</f>
        <v>1.0655555555555556</v>
      </c>
      <c r="M49" s="478">
        <f>IF(AND(E49&gt;0,$J49&gt;0),J49/$E49,0)*0.25</f>
        <v>0.2663888888888889</v>
      </c>
      <c r="N49" s="479">
        <f>+E49</f>
        <v>0.9</v>
      </c>
      <c r="O49" s="479">
        <f>+'1.Informe Seguimiento POA 2022'!Q59</f>
        <v>0</v>
      </c>
      <c r="P49" s="479">
        <f>+'1.Informe Seguimiento POA 2022'!O59</f>
        <v>0.9</v>
      </c>
      <c r="Q49" s="479">
        <f>+'1.Informe Seguimiento POA 2022'!R59</f>
        <v>0</v>
      </c>
      <c r="R49" s="507">
        <f>+'1.Informe Seguimiento POA 2022'!P59</f>
        <v>0.95899999999999996</v>
      </c>
      <c r="S49" s="507">
        <f>J49</f>
        <v>0.95899999999999996</v>
      </c>
      <c r="T49" s="465" t="str">
        <f>IF(AND(O49&gt;0),Q49/O49,"No programado")</f>
        <v>No programado</v>
      </c>
      <c r="U49" s="465">
        <f>IF(AND(P49&gt;0),R49/P49,"No programado")</f>
        <v>1.0655555555555556</v>
      </c>
      <c r="V49" s="478">
        <f>IF(AND(N49&gt;0,$S49&gt;0),S49/$N49,0)</f>
        <v>1.0655555555555556</v>
      </c>
      <c r="W49" s="479">
        <f>+N49</f>
        <v>0.9</v>
      </c>
      <c r="X49" s="479">
        <f>+'1.Informe Seguimiento POA 2022'!S59</f>
        <v>0.9</v>
      </c>
      <c r="Y49" s="479">
        <f>IFERROR(AVERAGE('1.Informe Seguimiento POA 2022'!O59,'1.Informe Seguimiento POA 2022'!S59),0)</f>
        <v>0.9</v>
      </c>
      <c r="Z49" s="479">
        <f>+'1.Informe Seguimiento POA 2022'!T59</f>
        <v>0.96</v>
      </c>
      <c r="AA49" s="1149">
        <f>IFERROR(AVERAGE('1.Informe Seguimiento POA 2022'!P59,'1.Informe Seguimiento POA 2022'!T59),0)</f>
        <v>0.95950000000000002</v>
      </c>
      <c r="AB49" s="1149">
        <f>IFERROR(IF(OR($W49="",$W49=0),0,ROUNDDOWN(AVERAGE($H49,Z49),3)),0)</f>
        <v>0.95899999999999996</v>
      </c>
      <c r="AC49" s="465">
        <f>IF(AND(X49&gt;0),Z49/X49,"No programado")</f>
        <v>1.0666666666666667</v>
      </c>
      <c r="AD49" s="465">
        <f>IF(AND(Y49&gt;0),AA49/Y49,"No programado")</f>
        <v>1.066111111111111</v>
      </c>
      <c r="AE49" s="478">
        <f>IF(AND(W49&gt;0,$AB49&gt;0),AB49/$W49,0)</f>
        <v>1.0655555555555556</v>
      </c>
      <c r="AF49" s="479">
        <f>+W49</f>
        <v>0.9</v>
      </c>
      <c r="AG49" s="479">
        <f>+'1.Informe Seguimiento POA 2022'!U59</f>
        <v>0</v>
      </c>
      <c r="AH49" s="479">
        <f>+'1.Informe Seguimiento POA 2022'!S59</f>
        <v>0.9</v>
      </c>
      <c r="AI49" s="479">
        <f>+'1.Informe Seguimiento POA 2022'!V59</f>
        <v>0</v>
      </c>
      <c r="AJ49" s="479">
        <f>+'1.Informe Seguimiento POA 2022'!T59</f>
        <v>0.96</v>
      </c>
      <c r="AK49" s="479">
        <f>+AB49</f>
        <v>0.95899999999999996</v>
      </c>
      <c r="AL49" s="465" t="str">
        <f>IF(AND(AG49&gt;0),AI49/AG49,"No programado")</f>
        <v>No programado</v>
      </c>
      <c r="AM49" s="465">
        <f>IF(AND(AH49&gt;0),AJ49/AH49,"No programado")</f>
        <v>1.0666666666666667</v>
      </c>
      <c r="AN49" s="478">
        <f t="shared" ref="AN49:AN51" si="68">IF(AND(AF49&gt;0,$J49&gt;0),AK49/$E49,0)</f>
        <v>1.0655555555555556</v>
      </c>
      <c r="AO49" s="488" t="str">
        <f>+'Rango indicadores'!H83</f>
        <v>Mayor A:</v>
      </c>
      <c r="AP49" s="477">
        <f>+'Rango indicadores'!I83</f>
        <v>90</v>
      </c>
      <c r="AQ49" s="477" t="str">
        <f>+'Rango indicadores'!J83</f>
        <v>Desde (&gt;=):</v>
      </c>
      <c r="AR49" s="477">
        <f>+'Rango indicadores'!K83</f>
        <v>70</v>
      </c>
      <c r="AS49" s="477" t="str">
        <f>+'Rango indicadores'!L83</f>
        <v>Hasta (&lt;=):</v>
      </c>
      <c r="AT49" s="477">
        <f>+'Rango indicadores'!M83</f>
        <v>90</v>
      </c>
      <c r="AU49" s="477" t="str">
        <f>+'Rango indicadores'!N83</f>
        <v>Menor A:</v>
      </c>
      <c r="AV49" s="477">
        <f>+'Rango indicadores'!O83</f>
        <v>70</v>
      </c>
      <c r="AW49" s="581" t="s">
        <v>1210</v>
      </c>
    </row>
    <row r="50" spans="2:53" ht="89.45" customHeight="1">
      <c r="B50" s="474">
        <f>+B49+1</f>
        <v>19</v>
      </c>
      <c r="C50" s="475" t="str">
        <f>+'Rango indicadores'!D84</f>
        <v>14-RI-02</v>
      </c>
      <c r="D50" s="475" t="str">
        <f>+'Rango indicadores'!E84</f>
        <v>Lineamientos implementados</v>
      </c>
      <c r="E50" s="477">
        <f>+'Rango indicadores'!Q84</f>
        <v>3</v>
      </c>
      <c r="F50" s="477">
        <f>+'1.Informe Seguimiento POA 2022'!O60</f>
        <v>1</v>
      </c>
      <c r="G50" s="477">
        <f>+'1.Informe Seguimiento POA 2022'!O60</f>
        <v>1</v>
      </c>
      <c r="H50" s="477">
        <f>+'1.Informe Seguimiento POA 2022'!P60</f>
        <v>1</v>
      </c>
      <c r="I50" s="477">
        <f>+'1.Informe Seguimiento POA 2022'!P60</f>
        <v>1</v>
      </c>
      <c r="J50" s="477">
        <f t="shared" ref="J50:J51" si="69">+I50</f>
        <v>1</v>
      </c>
      <c r="K50" s="465">
        <f>IF(AND(F50&gt;0),H50/F50,"No programado")</f>
        <v>1</v>
      </c>
      <c r="L50" s="465">
        <f t="shared" ref="L50:L51" si="70">IF(AND(G50&gt;0),I50/G50,"No programado")</f>
        <v>1</v>
      </c>
      <c r="M50" s="478">
        <f t="shared" ref="M50:M51" si="71">IF(AND(E50&gt;0,$J50&gt;0),J50/$E50,0)</f>
        <v>0.33333333333333331</v>
      </c>
      <c r="N50" s="477">
        <f>+E50</f>
        <v>3</v>
      </c>
      <c r="O50" s="477">
        <f>+'1.Informe Seguimiento POA 2022'!Q60</f>
        <v>1</v>
      </c>
      <c r="P50" s="477">
        <f>+'1.Informe Seguimiento POA 2022'!O60+'1.Informe Seguimiento POA 2022'!Q60</f>
        <v>2</v>
      </c>
      <c r="Q50" s="477">
        <f>'1.Informe Seguimiento POA 2022'!R60</f>
        <v>1</v>
      </c>
      <c r="R50" s="477">
        <f>+'1.Informe Seguimiento POA 2022'!P60+'1.Informe Seguimiento POA 2022'!R60</f>
        <v>2</v>
      </c>
      <c r="S50" s="477">
        <f>H50+Q50</f>
        <v>2</v>
      </c>
      <c r="T50" s="465">
        <f>IF(AND(O50&gt;0),Q50/O50,"No programado")</f>
        <v>1</v>
      </c>
      <c r="U50" s="465">
        <f t="shared" ref="U50:U51" si="72">IF(AND(P50&gt;0),R50/P50,"No programado")</f>
        <v>1</v>
      </c>
      <c r="V50" s="478">
        <f>IF(AND(N50&gt;0,$S50&gt;0),S50/$N50,0)</f>
        <v>0.66666666666666663</v>
      </c>
      <c r="W50" s="477">
        <f>+N50</f>
        <v>3</v>
      </c>
      <c r="X50" s="477">
        <f>+'1.Informe Seguimiento POA 2022'!S60</f>
        <v>0</v>
      </c>
      <c r="Y50" s="477">
        <f>+'1.Informe Seguimiento POA 2022'!O60+'1.Informe Seguimiento POA 2022'!Q60+'1.Informe Seguimiento POA 2022'!S60</f>
        <v>2</v>
      </c>
      <c r="Z50" s="477">
        <f>+'1.Informe Seguimiento POA 2022'!T60</f>
        <v>0</v>
      </c>
      <c r="AA50" s="477">
        <f>+'1.Informe Seguimiento POA 2022'!R60+'1.Informe Seguimiento POA 2022'!T60+'1.Informe Seguimiento POA 2022'!P60</f>
        <v>2</v>
      </c>
      <c r="AB50" s="1058">
        <f>H50+Q50+Z50</f>
        <v>2</v>
      </c>
      <c r="AC50" s="465" t="str">
        <f>IF(AND(X50&gt;0),Z50/X50,"No programado")</f>
        <v>No programado</v>
      </c>
      <c r="AD50" s="465">
        <f t="shared" ref="AD50:AD51" si="73">IF(AND(Y50&gt;0),AA50/Y50,"No programado")</f>
        <v>1</v>
      </c>
      <c r="AE50" s="478">
        <f>IF(AND(W50&gt;0,$AB50&gt;0),AB50/$W50,0)</f>
        <v>0.66666666666666663</v>
      </c>
      <c r="AF50" s="477">
        <f>+W50</f>
        <v>3</v>
      </c>
      <c r="AG50" s="477">
        <f>+'1.Informe Seguimiento POA 2022'!U60</f>
        <v>1</v>
      </c>
      <c r="AH50" s="477">
        <f>+'1.Informe Seguimiento POA 2022'!O60+'1.Informe Seguimiento POA 2022'!Q60+'1.Informe Seguimiento POA 2022'!S60+'1.Informe Seguimiento POA 2022'!U60</f>
        <v>3</v>
      </c>
      <c r="AI50" s="477">
        <f>+'1.Informe Seguimiento POA 2022'!V60</f>
        <v>0</v>
      </c>
      <c r="AJ50" s="477">
        <f>+'1.Informe Seguimiento POA 2022'!P60+'1.Informe Seguimiento POA 2022'!R60+'1.Informe Seguimiento POA 2022'!T60+'1.Informe Seguimiento POA 2022'!V60</f>
        <v>2</v>
      </c>
      <c r="AK50" s="477">
        <f>H50+Q50+Z50+AI50</f>
        <v>2</v>
      </c>
      <c r="AL50" s="465">
        <f>IF(AND(AG50&gt;0),AI50/AG50,"No programado")</f>
        <v>0</v>
      </c>
      <c r="AM50" s="465">
        <f t="shared" ref="AM50:AM51" si="74">IF(AND(AH50&gt;0),AJ50/AH50,"No programado")</f>
        <v>0.66666666666666663</v>
      </c>
      <c r="AN50" s="478">
        <f t="shared" si="68"/>
        <v>0.66666666666666663</v>
      </c>
      <c r="AO50" s="488" t="str">
        <f>+'Rango indicadores'!H84</f>
        <v>Mayor A:</v>
      </c>
      <c r="AP50" s="477">
        <f>+'Rango indicadores'!I84</f>
        <v>90</v>
      </c>
      <c r="AQ50" s="477" t="str">
        <f>+'Rango indicadores'!J84</f>
        <v>Desde (&gt;=):</v>
      </c>
      <c r="AR50" s="477">
        <f>+'Rango indicadores'!K84</f>
        <v>70</v>
      </c>
      <c r="AS50" s="477" t="str">
        <f>+'Rango indicadores'!L84</f>
        <v>Hasta (&lt;=):</v>
      </c>
      <c r="AT50" s="477">
        <f>+'Rango indicadores'!M84</f>
        <v>90</v>
      </c>
      <c r="AU50" s="477" t="str">
        <f>+'Rango indicadores'!N84</f>
        <v>Menor A:</v>
      </c>
      <c r="AV50" s="477">
        <f>+'Rango indicadores'!O84</f>
        <v>70</v>
      </c>
      <c r="AW50" s="573" t="s">
        <v>1184</v>
      </c>
    </row>
    <row r="51" spans="2:53" ht="51" customHeight="1">
      <c r="B51" s="474">
        <f>+B50+1</f>
        <v>20</v>
      </c>
      <c r="C51" s="475" t="str">
        <f>+'Rango indicadores'!D85</f>
        <v>14-RI-03</v>
      </c>
      <c r="D51" s="475" t="str">
        <f>+'Rango indicadores'!E85</f>
        <v>Acuerdos interinstitucionales gestionados</v>
      </c>
      <c r="E51" s="477">
        <f>+'Rango indicadores'!Q85</f>
        <v>1</v>
      </c>
      <c r="F51" s="477">
        <f>+'1.Informe Seguimiento POA 2022'!O95</f>
        <v>0</v>
      </c>
      <c r="G51" s="477">
        <f>+'1.Informe Seguimiento POA 2022'!O95</f>
        <v>0</v>
      </c>
      <c r="H51" s="477">
        <f>+'1.Informe Seguimiento POA 2022'!P95</f>
        <v>0</v>
      </c>
      <c r="I51" s="477">
        <f>+'1.Informe Seguimiento POA 2022'!P95</f>
        <v>0</v>
      </c>
      <c r="J51" s="477">
        <f t="shared" si="69"/>
        <v>0</v>
      </c>
      <c r="K51" s="493" t="str">
        <f>IF(AND(F51&gt;0),H51/F51,"No programado")</f>
        <v>No programado</v>
      </c>
      <c r="L51" s="493" t="str">
        <f t="shared" si="70"/>
        <v>No programado</v>
      </c>
      <c r="M51" s="478">
        <f t="shared" si="71"/>
        <v>0</v>
      </c>
      <c r="N51" s="477">
        <f>+E51</f>
        <v>1</v>
      </c>
      <c r="O51" s="477">
        <f>+'1.Informe Seguimiento POA 2022'!Q95</f>
        <v>0</v>
      </c>
      <c r="P51" s="477">
        <f>+'1.Informe Seguimiento POA 2022'!O95+'1.Informe Seguimiento POA 2022'!Q95</f>
        <v>0</v>
      </c>
      <c r="Q51" s="477">
        <f>'1.Informe Seguimiento POA 2022'!R95</f>
        <v>0</v>
      </c>
      <c r="R51" s="477">
        <f>+'1.Informe Seguimiento POA 2022'!P95+'1.Informe Seguimiento POA 2022'!R95</f>
        <v>0</v>
      </c>
      <c r="S51" s="477">
        <f>H51+Q51</f>
        <v>0</v>
      </c>
      <c r="T51" s="493" t="str">
        <f>IF(AND(O51&gt;0),Q51/O51,"No programado")</f>
        <v>No programado</v>
      </c>
      <c r="U51" s="493" t="str">
        <f t="shared" si="72"/>
        <v>No programado</v>
      </c>
      <c r="V51" s="478">
        <f>IF(AND(N51&gt;0,$S51&gt;0),S51/$N51,0)</f>
        <v>0</v>
      </c>
      <c r="W51" s="477">
        <f>+N51</f>
        <v>1</v>
      </c>
      <c r="X51" s="477">
        <f>+'1.Informe Seguimiento POA 2022'!S95</f>
        <v>0</v>
      </c>
      <c r="Y51" s="477">
        <f>+'1.Informe Seguimiento POA 2022'!O95+'1.Informe Seguimiento POA 2022'!Q95+'1.Informe Seguimiento POA 2022'!S95</f>
        <v>0</v>
      </c>
      <c r="Z51" s="477">
        <f>+'1.Informe Seguimiento POA 2022'!T95</f>
        <v>0</v>
      </c>
      <c r="AA51" s="477">
        <f>+'1.Informe Seguimiento POA 2022'!R95+'1.Informe Seguimiento POA 2022'!T95+'1.Informe Seguimiento POA 2022'!P95</f>
        <v>0</v>
      </c>
      <c r="AB51" s="1058">
        <f>H51+Q51+Z51</f>
        <v>0</v>
      </c>
      <c r="AC51" s="465" t="str">
        <f>IF(AND(X51&gt;0),Z51/X51,"No programado")</f>
        <v>No programado</v>
      </c>
      <c r="AD51" s="493" t="str">
        <f t="shared" si="73"/>
        <v>No programado</v>
      </c>
      <c r="AE51" s="478">
        <f>IF(AND(W51&gt;0,$AB51&gt;0),AB51/$W51,0)</f>
        <v>0</v>
      </c>
      <c r="AF51" s="477">
        <f>+W51</f>
        <v>1</v>
      </c>
      <c r="AG51" s="477">
        <f>+'1.Informe Seguimiento POA 2022'!U95</f>
        <v>1</v>
      </c>
      <c r="AH51" s="477">
        <f>+'1.Informe Seguimiento POA 2022'!O95+'1.Informe Seguimiento POA 2022'!Q95+'1.Informe Seguimiento POA 2022'!S95+'1.Informe Seguimiento POA 2022'!U95</f>
        <v>1</v>
      </c>
      <c r="AI51" s="477">
        <f>+'1.Informe Seguimiento POA 2022'!V95</f>
        <v>0</v>
      </c>
      <c r="AJ51" s="477">
        <f>+'1.Informe Seguimiento POA 2022'!P95+'1.Informe Seguimiento POA 2022'!R95+'1.Informe Seguimiento POA 2022'!T95+'1.Informe Seguimiento POA 2022'!V95</f>
        <v>0</v>
      </c>
      <c r="AK51" s="477">
        <f>H51+Q51+Z51+AI51</f>
        <v>0</v>
      </c>
      <c r="AL51" s="493">
        <f>IF(AND(AG51&gt;0),AI51/AG51,"No programado")</f>
        <v>0</v>
      </c>
      <c r="AM51" s="493">
        <f t="shared" si="74"/>
        <v>0</v>
      </c>
      <c r="AN51" s="478">
        <f t="shared" si="68"/>
        <v>0</v>
      </c>
      <c r="AO51" s="488" t="str">
        <f>+'Rango indicadores'!H85</f>
        <v>Mayor A:</v>
      </c>
      <c r="AP51" s="477">
        <f>+'Rango indicadores'!I85</f>
        <v>90</v>
      </c>
      <c r="AQ51" s="477" t="str">
        <f>+'Rango indicadores'!J85</f>
        <v>Desde (&gt;=):</v>
      </c>
      <c r="AR51" s="477">
        <f>+'Rango indicadores'!K85</f>
        <v>70</v>
      </c>
      <c r="AS51" s="477" t="str">
        <f>+'Rango indicadores'!L85</f>
        <v>Hasta (&lt;=):</v>
      </c>
      <c r="AT51" s="477">
        <f>+'Rango indicadores'!M85</f>
        <v>90</v>
      </c>
      <c r="AU51" s="477" t="str">
        <f>+'Rango indicadores'!N85</f>
        <v>Menor A:</v>
      </c>
      <c r="AV51" s="477">
        <f>+'Rango indicadores'!O85</f>
        <v>70</v>
      </c>
      <c r="AW51" s="581" t="s">
        <v>1165</v>
      </c>
    </row>
    <row r="52" spans="2:53" ht="15.75">
      <c r="C52" s="1598" t="s">
        <v>872</v>
      </c>
      <c r="D52" s="1599"/>
      <c r="E52" s="1599"/>
      <c r="F52" s="1599"/>
      <c r="G52" s="1599"/>
      <c r="H52" s="1599"/>
      <c r="I52" s="1599"/>
      <c r="J52" s="1599"/>
      <c r="K52" s="480">
        <f t="shared" ref="K52:L52" si="75">IFERROR(AVERAGE(K49:K51),0)</f>
        <v>1.0327777777777778</v>
      </c>
      <c r="L52" s="480">
        <f t="shared" si="75"/>
        <v>1.0327777777777778</v>
      </c>
      <c r="M52" s="480">
        <f>IFERROR(AVERAGE(M49:M51),0)</f>
        <v>0.19990740740740742</v>
      </c>
      <c r="N52" s="1060"/>
      <c r="O52" s="1060"/>
      <c r="P52" s="1060"/>
      <c r="Q52" s="1060"/>
      <c r="R52" s="1060"/>
      <c r="S52" s="1060"/>
      <c r="T52" s="480">
        <f t="shared" ref="T52:U52" si="76">IFERROR(AVERAGE(T49:T51),0)</f>
        <v>1</v>
      </c>
      <c r="U52" s="480">
        <f t="shared" si="76"/>
        <v>1.0327777777777778</v>
      </c>
      <c r="V52" s="480">
        <f>IFERROR(AVERAGE(V49:V51),0)</f>
        <v>0.57740740740740737</v>
      </c>
      <c r="W52" s="1060"/>
      <c r="X52" s="1060"/>
      <c r="Y52" s="1060"/>
      <c r="Z52" s="1060"/>
      <c r="AA52" s="1060"/>
      <c r="AB52" s="1060"/>
      <c r="AC52" s="480">
        <f t="shared" ref="AC52:AD52" si="77">IFERROR(AVERAGE(AC49:AC51),0)</f>
        <v>1.0666666666666667</v>
      </c>
      <c r="AD52" s="480">
        <f t="shared" si="77"/>
        <v>1.0330555555555554</v>
      </c>
      <c r="AE52" s="480">
        <f>IFERROR(AVERAGE(AE49:AE51),0)</f>
        <v>0.57740740740740737</v>
      </c>
      <c r="AF52" s="1060"/>
      <c r="AG52" s="1060"/>
      <c r="AH52" s="1060"/>
      <c r="AI52" s="1060"/>
      <c r="AJ52" s="1060"/>
      <c r="AK52" s="1061"/>
      <c r="AL52" s="480">
        <f t="shared" ref="AL52:AM52" si="78">IFERROR(AVERAGE(AL49:AL51),0)</f>
        <v>0</v>
      </c>
      <c r="AM52" s="480">
        <f t="shared" si="78"/>
        <v>0.57777777777777783</v>
      </c>
      <c r="AN52" s="480">
        <f>IFERROR(AVERAGE(AN49:AN51),0)</f>
        <v>0.57740740740740737</v>
      </c>
      <c r="AO52" s="487"/>
      <c r="AP52" s="487"/>
      <c r="AQ52" s="487"/>
      <c r="AR52" s="487"/>
      <c r="AS52" s="487"/>
      <c r="AT52" s="487"/>
      <c r="AU52" s="487"/>
      <c r="AV52" s="487"/>
      <c r="AW52" s="582"/>
    </row>
    <row r="53" spans="2:53" s="470" customFormat="1" ht="23.45" customHeight="1" thickBot="1">
      <c r="D53" s="472"/>
      <c r="AW53" s="472"/>
      <c r="AY53" s="455"/>
      <c r="AZ53" s="455"/>
    </row>
    <row r="54" spans="2:53" s="470" customFormat="1" ht="16.5" thickBot="1">
      <c r="C54" s="473" t="s">
        <v>877</v>
      </c>
      <c r="D54" s="503"/>
      <c r="E54" s="1577" t="s">
        <v>1136</v>
      </c>
      <c r="F54" s="1578"/>
      <c r="G54" s="1578"/>
      <c r="H54" s="1578"/>
      <c r="I54" s="1578"/>
      <c r="J54" s="1578"/>
      <c r="K54" s="1578"/>
      <c r="L54" s="1578"/>
      <c r="M54" s="1579"/>
      <c r="N54" s="1580" t="s">
        <v>1137</v>
      </c>
      <c r="O54" s="1581"/>
      <c r="P54" s="1581"/>
      <c r="Q54" s="1581"/>
      <c r="R54" s="1581"/>
      <c r="S54" s="1581"/>
      <c r="T54" s="1581"/>
      <c r="U54" s="1581"/>
      <c r="V54" s="1582"/>
      <c r="W54" s="1574" t="s">
        <v>1138</v>
      </c>
      <c r="X54" s="1575"/>
      <c r="Y54" s="1575"/>
      <c r="Z54" s="1575"/>
      <c r="AA54" s="1575"/>
      <c r="AB54" s="1575"/>
      <c r="AC54" s="1575"/>
      <c r="AD54" s="1575"/>
      <c r="AE54" s="1576"/>
      <c r="AF54" s="1580" t="s">
        <v>1052</v>
      </c>
      <c r="AG54" s="1581"/>
      <c r="AH54" s="1581"/>
      <c r="AI54" s="1581"/>
      <c r="AJ54" s="1581"/>
      <c r="AK54" s="1581"/>
      <c r="AL54" s="1581"/>
      <c r="AM54" s="1581"/>
      <c r="AN54" s="1582"/>
      <c r="AW54" s="472"/>
      <c r="AY54" s="455"/>
      <c r="AZ54" s="455"/>
    </row>
    <row r="55" spans="2:53" ht="27" customHeight="1">
      <c r="C55" s="1571" t="str">
        <f>+$C$10</f>
        <v>Identificación del Indicador</v>
      </c>
      <c r="D55" s="1584" t="s">
        <v>867</v>
      </c>
      <c r="E55" s="1567" t="s">
        <v>868</v>
      </c>
      <c r="F55" s="1568"/>
      <c r="G55" s="1569"/>
      <c r="H55" s="1570" t="s">
        <v>1140</v>
      </c>
      <c r="I55" s="1572" t="s">
        <v>1144</v>
      </c>
      <c r="J55" s="1570" t="s">
        <v>869</v>
      </c>
      <c r="K55" s="1570" t="s">
        <v>863</v>
      </c>
      <c r="L55" s="1570"/>
      <c r="M55" s="1570"/>
      <c r="N55" s="1567" t="s">
        <v>868</v>
      </c>
      <c r="O55" s="1568"/>
      <c r="P55" s="1569"/>
      <c r="Q55" s="1570" t="s">
        <v>1150</v>
      </c>
      <c r="R55" s="1572" t="s">
        <v>1141</v>
      </c>
      <c r="S55" s="1570" t="s">
        <v>869</v>
      </c>
      <c r="T55" s="1570" t="s">
        <v>863</v>
      </c>
      <c r="U55" s="1570"/>
      <c r="V55" s="1570"/>
      <c r="W55" s="1567" t="s">
        <v>868</v>
      </c>
      <c r="X55" s="1568"/>
      <c r="Y55" s="1569"/>
      <c r="Z55" s="1570" t="s">
        <v>1151</v>
      </c>
      <c r="AA55" s="1572" t="s">
        <v>1146</v>
      </c>
      <c r="AB55" s="1570" t="s">
        <v>869</v>
      </c>
      <c r="AC55" s="1570" t="s">
        <v>863</v>
      </c>
      <c r="AD55" s="1570"/>
      <c r="AE55" s="1570"/>
      <c r="AF55" s="1567" t="s">
        <v>868</v>
      </c>
      <c r="AG55" s="1568"/>
      <c r="AH55" s="1569"/>
      <c r="AI55" s="1570" t="s">
        <v>1152</v>
      </c>
      <c r="AJ55" s="1572" t="s">
        <v>1148</v>
      </c>
      <c r="AK55" s="1570" t="s">
        <v>869</v>
      </c>
      <c r="AL55" s="1570" t="s">
        <v>863</v>
      </c>
      <c r="AM55" s="1570"/>
      <c r="AN55" s="1570"/>
      <c r="AO55" s="1583" t="s">
        <v>715</v>
      </c>
      <c r="AP55" s="1583"/>
      <c r="AQ55" s="1583"/>
      <c r="AR55" s="1583"/>
      <c r="AS55" s="1583"/>
      <c r="AT55" s="1583"/>
      <c r="AU55" s="1583"/>
      <c r="AV55" s="1583"/>
      <c r="AW55" s="1571" t="s">
        <v>888</v>
      </c>
    </row>
    <row r="56" spans="2:53" ht="53.45" customHeight="1">
      <c r="C56" s="1571"/>
      <c r="D56" s="1584"/>
      <c r="E56" s="1017" t="s">
        <v>1153</v>
      </c>
      <c r="F56" s="1017" t="str">
        <f>+E54</f>
        <v>Primer Trimestre</v>
      </c>
      <c r="G56" s="1018" t="s">
        <v>1143</v>
      </c>
      <c r="H56" s="1571"/>
      <c r="I56" s="1573"/>
      <c r="J56" s="1571"/>
      <c r="K56" s="1017" t="str">
        <f>+$D$6</f>
        <v>Tercer Trimestre</v>
      </c>
      <c r="L56" s="1018" t="str">
        <f>+G56</f>
        <v>Acumulado
Corte 
31/03/2022</v>
      </c>
      <c r="M56" s="1019" t="s">
        <v>760</v>
      </c>
      <c r="N56" s="1017" t="s">
        <v>1153</v>
      </c>
      <c r="O56" s="1017" t="str">
        <f>+N54</f>
        <v>Segundo Trimestre</v>
      </c>
      <c r="P56" s="1018" t="s">
        <v>1142</v>
      </c>
      <c r="Q56" s="1571"/>
      <c r="R56" s="1573"/>
      <c r="S56" s="1571"/>
      <c r="T56" s="1017" t="str">
        <f>+O56</f>
        <v>Segundo Trimestre</v>
      </c>
      <c r="U56" s="1018" t="str">
        <f>+P56</f>
        <v>Acumulado Corte 
30/06/2022</v>
      </c>
      <c r="V56" s="1019" t="s">
        <v>760</v>
      </c>
      <c r="W56" s="1017" t="s">
        <v>1153</v>
      </c>
      <c r="X56" s="1017" t="str">
        <f>+W54</f>
        <v>Tercer Trimestre</v>
      </c>
      <c r="Y56" s="1018" t="s">
        <v>1145</v>
      </c>
      <c r="Z56" s="1571"/>
      <c r="AA56" s="1573"/>
      <c r="AB56" s="1571"/>
      <c r="AC56" s="1017" t="str">
        <f>+X56</f>
        <v>Tercer Trimestre</v>
      </c>
      <c r="AD56" s="1018" t="str">
        <f>+Y56</f>
        <v>Acumulado Corte 
30/09/2022</v>
      </c>
      <c r="AE56" s="1019" t="s">
        <v>760</v>
      </c>
      <c r="AF56" s="1017" t="s">
        <v>1153</v>
      </c>
      <c r="AG56" s="1017" t="str">
        <f>+AF54</f>
        <v>Cuarto Trimestre</v>
      </c>
      <c r="AH56" s="1018" t="s">
        <v>1147</v>
      </c>
      <c r="AI56" s="1571"/>
      <c r="AJ56" s="1573"/>
      <c r="AK56" s="1571"/>
      <c r="AL56" s="1017" t="str">
        <f>+AG56</f>
        <v>Cuarto Trimestre</v>
      </c>
      <c r="AM56" s="1018" t="str">
        <f>+AH56</f>
        <v>Acumulado Corte 
31/12/2022</v>
      </c>
      <c r="AN56" s="1019" t="s">
        <v>760</v>
      </c>
      <c r="AO56" s="1201" t="s">
        <v>870</v>
      </c>
      <c r="AP56" s="1202"/>
      <c r="AQ56" s="1203" t="s">
        <v>871</v>
      </c>
      <c r="AR56" s="1204"/>
      <c r="AS56" s="1204"/>
      <c r="AT56" s="1205"/>
      <c r="AU56" s="1206" t="s">
        <v>723</v>
      </c>
      <c r="AV56" s="1207"/>
      <c r="AW56" s="1571"/>
    </row>
    <row r="57" spans="2:53" ht="195" customHeight="1">
      <c r="B57" s="474">
        <f>+B51+1</f>
        <v>21</v>
      </c>
      <c r="C57" s="475" t="str">
        <f>+'Rango indicadores'!D22</f>
        <v>05-RI-01</v>
      </c>
      <c r="D57" s="475" t="str">
        <f>+'Rango indicadores'!E22</f>
        <v>Intervenciones realizadas en defensa de los derechos</v>
      </c>
      <c r="E57" s="489">
        <f>+'Rango indicadores'!Q22</f>
        <v>106660</v>
      </c>
      <c r="F57" s="489">
        <f>'1.Informe Seguimiento POA 2022'!O13</f>
        <v>25305</v>
      </c>
      <c r="G57" s="489">
        <f>'1.Informe Seguimiento POA 2022'!O13</f>
        <v>25305</v>
      </c>
      <c r="H57" s="489">
        <f>'1.Informe Seguimiento POA 2022'!P13</f>
        <v>29145</v>
      </c>
      <c r="I57" s="489">
        <f>'1.Informe Seguimiento POA 2022'!P13</f>
        <v>29145</v>
      </c>
      <c r="J57" s="489">
        <f>I57</f>
        <v>29145</v>
      </c>
      <c r="K57" s="478">
        <f t="shared" ref="K57:K76" si="79">IF(AND(F57&gt;0),H57/F57,"No programado")</f>
        <v>1.1517486662714878</v>
      </c>
      <c r="L57" s="478">
        <f>IF(AND(G57&gt;0),I57/G57,"No programado")</f>
        <v>1.1517486662714878</v>
      </c>
      <c r="M57" s="478">
        <f t="shared" ref="M57:M76" si="80">IF(AND(E57&gt;0,$J57&gt;0),J57/$E57,0)</f>
        <v>0.273251453215826</v>
      </c>
      <c r="N57" s="489">
        <f>+E57</f>
        <v>106660</v>
      </c>
      <c r="O57" s="477">
        <f>+'1.Informe Seguimiento POA 2022'!Q13</f>
        <v>28020</v>
      </c>
      <c r="P57" s="489">
        <f>F57+O57</f>
        <v>53325</v>
      </c>
      <c r="Q57" s="477">
        <f>'1.Informe Seguimiento POA 2022'!R13</f>
        <v>33363</v>
      </c>
      <c r="R57" s="477">
        <f>+'1.Informe Seguimiento POA 2022'!P13+'1.Informe Seguimiento POA 2022'!R13</f>
        <v>62508</v>
      </c>
      <c r="S57" s="489">
        <f>H57+Q57</f>
        <v>62508</v>
      </c>
      <c r="T57" s="478">
        <f t="shared" ref="T57:T76" si="81">IF(AND(O57&gt;0),Q57/O57,"No programado")</f>
        <v>1.1906852248394004</v>
      </c>
      <c r="U57" s="478">
        <f>IF(AND(P57&gt;0),R57/P57,"No programado")</f>
        <v>1.1722081575246133</v>
      </c>
      <c r="V57" s="478">
        <f t="shared" ref="V57:V62" si="82">IF(AND(N57&gt;0,$S57&gt;0),S57/$N57,0)</f>
        <v>0.58604912807050435</v>
      </c>
      <c r="W57" s="489">
        <f>+N57</f>
        <v>106660</v>
      </c>
      <c r="X57" s="477">
        <f>+'1.Informe Seguimiento POA 2022'!S13</f>
        <v>28020</v>
      </c>
      <c r="Y57" s="477">
        <f>+'1.Informe Seguimiento POA 2022'!O13+'1.Informe Seguimiento POA 2022'!Q13+'1.Informe Seguimiento POA 2022'!S13</f>
        <v>81345</v>
      </c>
      <c r="Z57" s="477">
        <f>+'1.Informe Seguimiento POA 2022'!T13</f>
        <v>36093</v>
      </c>
      <c r="AA57" s="477">
        <f>+'1.Informe Seguimiento POA 2022'!R13+'1.Informe Seguimiento POA 2022'!T13+'1.Informe Seguimiento POA 2022'!P13</f>
        <v>98601</v>
      </c>
      <c r="AB57" s="1058">
        <f>H57+Q57+Z57</f>
        <v>98601</v>
      </c>
      <c r="AC57" s="1150">
        <f t="shared" ref="AC57:AC76" si="83">IF(AND(X57&gt;0),Z57/X57,"No programado")</f>
        <v>1.2881156316916489</v>
      </c>
      <c r="AD57" s="478">
        <f>IF(AND(Y57&gt;0),AA57/Y57,"No programado")</f>
        <v>1.2121335054397935</v>
      </c>
      <c r="AE57" s="478">
        <f t="shared" ref="AE57:AE62" si="84">IF(AND(W57&gt;0,$AB57&gt;0),AB57/$W57,0)</f>
        <v>0.92444215263453966</v>
      </c>
      <c r="AF57" s="489">
        <f>+W57</f>
        <v>106660</v>
      </c>
      <c r="AG57" s="489">
        <f>+'1.Informe Seguimiento POA 2022'!U13</f>
        <v>25315</v>
      </c>
      <c r="AH57" s="489">
        <f>+'1.Informe Seguimiento POA 2022'!O13+'1.Informe Seguimiento POA 2022'!Q13+'1.Informe Seguimiento POA 2022'!S13+'1.Informe Seguimiento POA 2022'!U13</f>
        <v>106660</v>
      </c>
      <c r="AI57" s="489">
        <f>+'1.Informe Seguimiento POA 2022'!V13</f>
        <v>0</v>
      </c>
      <c r="AJ57" s="489">
        <f>+'1.Informe Seguimiento POA 2022'!P13+'1.Informe Seguimiento POA 2022'!R13+'1.Informe Seguimiento POA 2022'!T13+'1.Informe Seguimiento POA 2022'!V13</f>
        <v>98601</v>
      </c>
      <c r="AK57" s="489">
        <f>H57+Q57+Z57+AI57</f>
        <v>98601</v>
      </c>
      <c r="AL57" s="478">
        <f t="shared" ref="AL57:AL76" si="85">IF(AND(AG57&gt;0),AI57/AG57,"No programado")</f>
        <v>0</v>
      </c>
      <c r="AM57" s="478">
        <f>IF(AND(AH57&gt;0),AJ57/AH57,"No programado")</f>
        <v>0.92444215263453966</v>
      </c>
      <c r="AN57" s="478">
        <f t="shared" ref="AN57:AN62" si="86">IF(AND(AF57&gt;0,$J57&gt;0),AK57/$E57,0)</f>
        <v>0.92444215263453966</v>
      </c>
      <c r="AO57" s="482" t="str">
        <f>+'Rango indicadores'!H22</f>
        <v>Mayor A:</v>
      </c>
      <c r="AP57" s="477">
        <f>+'Rango indicadores'!I22</f>
        <v>85</v>
      </c>
      <c r="AQ57" s="477" t="str">
        <f>+'Rango indicadores'!J22</f>
        <v>Desde (&gt;=):</v>
      </c>
      <c r="AR57" s="477">
        <f>+'Rango indicadores'!K22</f>
        <v>80</v>
      </c>
      <c r="AS57" s="477" t="str">
        <f>+'Rango indicadores'!L22</f>
        <v>Hasta (&lt;=):</v>
      </c>
      <c r="AT57" s="477">
        <f>+'Rango indicadores'!M22</f>
        <v>85</v>
      </c>
      <c r="AU57" s="477" t="str">
        <f>+'Rango indicadores'!N22</f>
        <v>Menor A:</v>
      </c>
      <c r="AV57" s="1058">
        <f>+'Rango indicadores'!O22</f>
        <v>80</v>
      </c>
      <c r="AW57" s="1078" t="s">
        <v>1224</v>
      </c>
      <c r="AX57" s="654"/>
      <c r="AY57" s="654">
        <f>+X57-Z57</f>
        <v>-8073</v>
      </c>
      <c r="AZ57" s="654"/>
      <c r="BA57" s="654"/>
    </row>
    <row r="58" spans="2:53" ht="171" customHeight="1">
      <c r="B58" s="474">
        <f t="shared" ref="B58:B63" si="87">+B57+1</f>
        <v>22</v>
      </c>
      <c r="C58" s="475" t="str">
        <f>+'Rango indicadores'!D23</f>
        <v>05-RI-02</v>
      </c>
      <c r="D58" s="475" t="str">
        <f>+'Rango indicadores'!E23</f>
        <v>Personas orientadas en garantía de derechos</v>
      </c>
      <c r="E58" s="489">
        <f>+'Rango indicadores'!Q23</f>
        <v>97105</v>
      </c>
      <c r="F58" s="489">
        <f>'1.Informe Seguimiento POA 2022'!O14</f>
        <v>21621</v>
      </c>
      <c r="G58" s="489">
        <f>'1.Informe Seguimiento POA 2022'!O14</f>
        <v>21621</v>
      </c>
      <c r="H58" s="489">
        <f>'1.Informe Seguimiento POA 2022'!P14</f>
        <v>26507</v>
      </c>
      <c r="I58" s="489">
        <f>'1.Informe Seguimiento POA 2022'!P14</f>
        <v>26507</v>
      </c>
      <c r="J58" s="489">
        <f t="shared" ref="J58:J76" si="88">I58</f>
        <v>26507</v>
      </c>
      <c r="K58" s="478">
        <f t="shared" si="79"/>
        <v>1.2259839970399149</v>
      </c>
      <c r="L58" s="478">
        <f>IF(AND(G58&gt;0),I58/G58,"No programado")</f>
        <v>1.2259839970399149</v>
      </c>
      <c r="M58" s="478">
        <f t="shared" si="80"/>
        <v>0.27297255548118016</v>
      </c>
      <c r="N58" s="489">
        <f t="shared" ref="N58:N76" si="89">+E58</f>
        <v>97105</v>
      </c>
      <c r="O58" s="477">
        <f>+'1.Informe Seguimiento POA 2022'!Q14</f>
        <v>25997</v>
      </c>
      <c r="P58" s="489">
        <f t="shared" ref="P58:P76" si="90">F58+O58</f>
        <v>47618</v>
      </c>
      <c r="Q58" s="477">
        <f>'1.Informe Seguimiento POA 2022'!R14</f>
        <v>27698</v>
      </c>
      <c r="R58" s="477">
        <f>+'1.Informe Seguimiento POA 2022'!P14+'1.Informe Seguimiento POA 2022'!R14</f>
        <v>54205</v>
      </c>
      <c r="S58" s="489">
        <f t="shared" ref="S58:S76" si="91">H58+Q58</f>
        <v>54205</v>
      </c>
      <c r="T58" s="478">
        <f t="shared" si="81"/>
        <v>1.0654306266107627</v>
      </c>
      <c r="U58" s="478">
        <f>IF(AND(P58&gt;0),R58/P58,"No programado")</f>
        <v>1.1383300432609518</v>
      </c>
      <c r="V58" s="478">
        <f t="shared" si="82"/>
        <v>0.55821018485144946</v>
      </c>
      <c r="W58" s="489">
        <f t="shared" ref="W58:W76" si="92">+N58</f>
        <v>97105</v>
      </c>
      <c r="X58" s="477">
        <f>+'1.Informe Seguimiento POA 2022'!S14</f>
        <v>26645</v>
      </c>
      <c r="Y58" s="477">
        <f>+'1.Informe Seguimiento POA 2022'!O14+'1.Informe Seguimiento POA 2022'!Q14+'1.Informe Seguimiento POA 2022'!S14</f>
        <v>74263</v>
      </c>
      <c r="Z58" s="477">
        <f>+'1.Informe Seguimiento POA 2022'!T14</f>
        <v>30355</v>
      </c>
      <c r="AA58" s="477">
        <f>+'1.Informe Seguimiento POA 2022'!R14+'1.Informe Seguimiento POA 2022'!T14+'1.Informe Seguimiento POA 2022'!P14</f>
        <v>84560</v>
      </c>
      <c r="AB58" s="1058">
        <f t="shared" ref="AB58:AB76" si="93">H58+Q58+Z58</f>
        <v>84560</v>
      </c>
      <c r="AC58" s="478">
        <f t="shared" si="83"/>
        <v>1.1392381309814223</v>
      </c>
      <c r="AD58" s="478">
        <f>IF(AND(Y58&gt;0),AA58/Y58,"No programado")</f>
        <v>1.1386558582335753</v>
      </c>
      <c r="AE58" s="478">
        <f t="shared" si="84"/>
        <v>0.870809947994439</v>
      </c>
      <c r="AF58" s="489">
        <f t="shared" ref="AF58:AF76" si="94">+W58</f>
        <v>97105</v>
      </c>
      <c r="AG58" s="489">
        <f>+'1.Informe Seguimiento POA 2022'!U14</f>
        <v>22842</v>
      </c>
      <c r="AH58" s="489">
        <f>+'1.Informe Seguimiento POA 2022'!O14+'1.Informe Seguimiento POA 2022'!Q14+'1.Informe Seguimiento POA 2022'!S14+'1.Informe Seguimiento POA 2022'!U14</f>
        <v>97105</v>
      </c>
      <c r="AI58" s="489">
        <f>+'1.Informe Seguimiento POA 2022'!V14</f>
        <v>0</v>
      </c>
      <c r="AJ58" s="489">
        <f>+'1.Informe Seguimiento POA 2022'!P14+'1.Informe Seguimiento POA 2022'!R14+'1.Informe Seguimiento POA 2022'!T14+'1.Informe Seguimiento POA 2022'!V14</f>
        <v>84560</v>
      </c>
      <c r="AK58" s="489">
        <f t="shared" ref="AK58:AK76" si="95">H58+Q58+Z58+AI58</f>
        <v>84560</v>
      </c>
      <c r="AL58" s="478">
        <f t="shared" si="85"/>
        <v>0</v>
      </c>
      <c r="AM58" s="478">
        <f>IF(AND(AH58&gt;0),AJ58/AH58,"No programado")</f>
        <v>0.870809947994439</v>
      </c>
      <c r="AN58" s="478">
        <f t="shared" si="86"/>
        <v>0.870809947994439</v>
      </c>
      <c r="AO58" s="482" t="str">
        <f>+'Rango indicadores'!H23</f>
        <v>Mayor A:</v>
      </c>
      <c r="AP58" s="477">
        <f>+'Rango indicadores'!I23</f>
        <v>85</v>
      </c>
      <c r="AQ58" s="477" t="str">
        <f>+'Rango indicadores'!J23</f>
        <v>Desde (&gt;=):</v>
      </c>
      <c r="AR58" s="477">
        <f>+'Rango indicadores'!K23</f>
        <v>80</v>
      </c>
      <c r="AS58" s="477" t="str">
        <f>+'Rango indicadores'!L23</f>
        <v>Hasta (&lt;=):</v>
      </c>
      <c r="AT58" s="477">
        <f>+'Rango indicadores'!M23</f>
        <v>85</v>
      </c>
      <c r="AU58" s="477" t="str">
        <f>+'Rango indicadores'!N23</f>
        <v>Menor A:</v>
      </c>
      <c r="AV58" s="1058">
        <f>+'Rango indicadores'!O23</f>
        <v>80</v>
      </c>
      <c r="AW58" s="1078" t="s">
        <v>1205</v>
      </c>
      <c r="AX58" s="654"/>
      <c r="AY58" s="654">
        <f>+X58-Z58</f>
        <v>-3710</v>
      </c>
      <c r="AZ58" s="654"/>
      <c r="BA58" s="654"/>
    </row>
    <row r="59" spans="2:53" ht="233.25" customHeight="1">
      <c r="B59" s="508">
        <f t="shared" si="87"/>
        <v>23</v>
      </c>
      <c r="C59" s="475" t="str">
        <f>+'Rango indicadores'!D24</f>
        <v>05-RI-03</v>
      </c>
      <c r="D59" s="475" t="str">
        <f>+'Rango indicadores'!E24</f>
        <v>Personas asistidas en garantía de derechos</v>
      </c>
      <c r="E59" s="489">
        <f>+'Rango indicadores'!Q24</f>
        <v>26115</v>
      </c>
      <c r="F59" s="489">
        <f>'1.Informe Seguimiento POA 2022'!O15</f>
        <v>6670</v>
      </c>
      <c r="G59" s="489">
        <f>'1.Informe Seguimiento POA 2022'!O15</f>
        <v>6670</v>
      </c>
      <c r="H59" s="489">
        <f>'1.Informe Seguimiento POA 2022'!P15</f>
        <v>9518</v>
      </c>
      <c r="I59" s="489">
        <f>'1.Informe Seguimiento POA 2022'!P15</f>
        <v>9518</v>
      </c>
      <c r="J59" s="489">
        <f t="shared" si="88"/>
        <v>9518</v>
      </c>
      <c r="K59" s="478">
        <f t="shared" si="79"/>
        <v>1.4269865067466267</v>
      </c>
      <c r="L59" s="478">
        <f>IF(AND(G59&gt;0),I59/G59,"No programado")</f>
        <v>1.4269865067466267</v>
      </c>
      <c r="M59" s="478">
        <f t="shared" si="80"/>
        <v>0.36446486693471186</v>
      </c>
      <c r="N59" s="489">
        <f t="shared" si="89"/>
        <v>26115</v>
      </c>
      <c r="O59" s="477">
        <f>+'1.Informe Seguimiento POA 2022'!Q15</f>
        <v>8165</v>
      </c>
      <c r="P59" s="489">
        <f t="shared" si="90"/>
        <v>14835</v>
      </c>
      <c r="Q59" s="477">
        <f>'1.Informe Seguimiento POA 2022'!R15</f>
        <v>10298</v>
      </c>
      <c r="R59" s="477">
        <f>+'1.Informe Seguimiento POA 2022'!P15+'1.Informe Seguimiento POA 2022'!R15</f>
        <v>19816</v>
      </c>
      <c r="S59" s="489">
        <f t="shared" si="91"/>
        <v>19816</v>
      </c>
      <c r="T59" s="478">
        <f t="shared" si="81"/>
        <v>1.2612369871402327</v>
      </c>
      <c r="U59" s="478">
        <f>IF(AND(P59&gt;0),R59/P59,"No programado")</f>
        <v>1.3357600269632626</v>
      </c>
      <c r="V59" s="478">
        <f t="shared" si="82"/>
        <v>0.75879762588550637</v>
      </c>
      <c r="W59" s="489">
        <f t="shared" si="92"/>
        <v>26115</v>
      </c>
      <c r="X59" s="477">
        <f>+'1.Informe Seguimiento POA 2022'!S15</f>
        <v>6765</v>
      </c>
      <c r="Y59" s="477">
        <f>+'1.Informe Seguimiento POA 2022'!O15+'1.Informe Seguimiento POA 2022'!Q15+'1.Informe Seguimiento POA 2022'!S15</f>
        <v>21600</v>
      </c>
      <c r="Z59" s="477">
        <f>+'1.Informe Seguimiento POA 2022'!T15</f>
        <v>10102</v>
      </c>
      <c r="AA59" s="477">
        <f>+'1.Informe Seguimiento POA 2022'!R15+'1.Informe Seguimiento POA 2022'!T15+'1.Informe Seguimiento POA 2022'!P15</f>
        <v>29918</v>
      </c>
      <c r="AB59" s="1058">
        <f t="shared" si="93"/>
        <v>29918</v>
      </c>
      <c r="AC59" s="478">
        <f t="shared" si="83"/>
        <v>1.4932742054693273</v>
      </c>
      <c r="AD59" s="478">
        <f>IF(AND(Y59&gt;0),AA59/Y59,"No programado")</f>
        <v>1.3850925925925925</v>
      </c>
      <c r="AE59" s="478">
        <f t="shared" si="84"/>
        <v>1.1456251196630289</v>
      </c>
      <c r="AF59" s="489">
        <f t="shared" si="94"/>
        <v>26115</v>
      </c>
      <c r="AG59" s="489">
        <f>+'1.Informe Seguimiento POA 2022'!U15</f>
        <v>4515</v>
      </c>
      <c r="AH59" s="489">
        <f>+'1.Informe Seguimiento POA 2022'!O15+'1.Informe Seguimiento POA 2022'!Q15+'1.Informe Seguimiento POA 2022'!S15+'1.Informe Seguimiento POA 2022'!U15</f>
        <v>26115</v>
      </c>
      <c r="AI59" s="489">
        <f>+'1.Informe Seguimiento POA 2022'!V15</f>
        <v>0</v>
      </c>
      <c r="AJ59" s="489">
        <f>+'1.Informe Seguimiento POA 2022'!P15+'1.Informe Seguimiento POA 2022'!R15+'1.Informe Seguimiento POA 2022'!T15+'1.Informe Seguimiento POA 2022'!V15</f>
        <v>29918</v>
      </c>
      <c r="AK59" s="489">
        <f t="shared" si="95"/>
        <v>29918</v>
      </c>
      <c r="AL59" s="478">
        <f t="shared" si="85"/>
        <v>0</v>
      </c>
      <c r="AM59" s="478">
        <f>IF(AND(AH59&gt;0),AJ59/AH59,"No programado")</f>
        <v>1.1456251196630289</v>
      </c>
      <c r="AN59" s="478">
        <f t="shared" si="86"/>
        <v>1.1456251196630289</v>
      </c>
      <c r="AO59" s="482" t="str">
        <f>+'Rango indicadores'!H24</f>
        <v>Mayor A:</v>
      </c>
      <c r="AP59" s="477">
        <f>+'Rango indicadores'!I24</f>
        <v>80</v>
      </c>
      <c r="AQ59" s="477" t="str">
        <f>+'Rango indicadores'!J24</f>
        <v>Desde (&gt;=):</v>
      </c>
      <c r="AR59" s="477">
        <f>+'Rango indicadores'!K24</f>
        <v>70</v>
      </c>
      <c r="AS59" s="477" t="str">
        <f>+'Rango indicadores'!L24</f>
        <v>Hasta (&lt;=):</v>
      </c>
      <c r="AT59" s="477">
        <f>+'Rango indicadores'!M24</f>
        <v>80</v>
      </c>
      <c r="AU59" s="477" t="str">
        <f>+'Rango indicadores'!N24</f>
        <v>Menor A:</v>
      </c>
      <c r="AV59" s="1058">
        <f>+'Rango indicadores'!O24</f>
        <v>70</v>
      </c>
      <c r="AW59" s="573" t="s">
        <v>1223</v>
      </c>
      <c r="AX59" s="654"/>
      <c r="AY59" s="654">
        <f t="shared" ref="AY59:AZ76" si="96">+X59-Z59</f>
        <v>-3337</v>
      </c>
      <c r="AZ59" s="654">
        <f t="shared" si="96"/>
        <v>-8318</v>
      </c>
      <c r="BA59" s="490"/>
    </row>
    <row r="60" spans="2:53" ht="200.25" customHeight="1">
      <c r="B60" s="474">
        <f t="shared" si="87"/>
        <v>24</v>
      </c>
      <c r="C60" s="475" t="str">
        <f>+'Rango indicadores'!D25</f>
        <v>05-RI-04</v>
      </c>
      <c r="D60" s="475" t="str">
        <f>+'Rango indicadores'!E25</f>
        <v>Personas asistidas en Mecanismos Alternativos de Solución de Conflictos</v>
      </c>
      <c r="E60" s="489">
        <f>+'Rango indicadores'!Q25</f>
        <v>6900</v>
      </c>
      <c r="F60" s="489">
        <f>'1.Informe Seguimiento POA 2022'!O16</f>
        <v>900</v>
      </c>
      <c r="G60" s="489">
        <f>'1.Informe Seguimiento POA 2022'!O16</f>
        <v>900</v>
      </c>
      <c r="H60" s="489">
        <f>'1.Informe Seguimiento POA 2022'!P16</f>
        <v>3289</v>
      </c>
      <c r="I60" s="489">
        <f>'1.Informe Seguimiento POA 2022'!P16</f>
        <v>3289</v>
      </c>
      <c r="J60" s="489">
        <f t="shared" si="88"/>
        <v>3289</v>
      </c>
      <c r="K60" s="478">
        <f t="shared" si="79"/>
        <v>3.6544444444444446</v>
      </c>
      <c r="L60" s="478">
        <f t="shared" ref="L60:L62" si="97">IF(AND(G60&gt;0),I60/G60,"No programado")</f>
        <v>3.6544444444444446</v>
      </c>
      <c r="M60" s="478">
        <f t="shared" si="80"/>
        <v>0.47666666666666668</v>
      </c>
      <c r="N60" s="489">
        <f t="shared" si="89"/>
        <v>6900</v>
      </c>
      <c r="O60" s="477">
        <f>+'1.Informe Seguimiento POA 2022'!Q16</f>
        <v>1500</v>
      </c>
      <c r="P60" s="489">
        <f t="shared" si="90"/>
        <v>2400</v>
      </c>
      <c r="Q60" s="477">
        <f>'1.Informe Seguimiento POA 2022'!R16</f>
        <v>3199</v>
      </c>
      <c r="R60" s="477">
        <f>+'1.Informe Seguimiento POA 2022'!P16+'1.Informe Seguimiento POA 2022'!R16</f>
        <v>6488</v>
      </c>
      <c r="S60" s="489">
        <f t="shared" si="91"/>
        <v>6488</v>
      </c>
      <c r="T60" s="478">
        <f t="shared" si="81"/>
        <v>2.1326666666666667</v>
      </c>
      <c r="U60" s="478">
        <f t="shared" ref="U60:U62" si="98">IF(AND(P60&gt;0),R60/P60,"No programado")</f>
        <v>2.7033333333333331</v>
      </c>
      <c r="V60" s="478">
        <f t="shared" si="82"/>
        <v>0.94028985507246376</v>
      </c>
      <c r="W60" s="489">
        <f t="shared" si="92"/>
        <v>6900</v>
      </c>
      <c r="X60" s="477">
        <f>+'1.Informe Seguimiento POA 2022'!S16</f>
        <v>2100</v>
      </c>
      <c r="Y60" s="477">
        <f>+'1.Informe Seguimiento POA 2022'!O16+'1.Informe Seguimiento POA 2022'!Q16+'1.Informe Seguimiento POA 2022'!S16</f>
        <v>4500</v>
      </c>
      <c r="Z60" s="477">
        <f>+'1.Informe Seguimiento POA 2022'!T16</f>
        <v>3709</v>
      </c>
      <c r="AA60" s="477">
        <f>+'1.Informe Seguimiento POA 2022'!R16+'1.Informe Seguimiento POA 2022'!T16+'1.Informe Seguimiento POA 2022'!P16</f>
        <v>10197</v>
      </c>
      <c r="AB60" s="1058">
        <f t="shared" si="93"/>
        <v>10197</v>
      </c>
      <c r="AC60" s="478">
        <f t="shared" si="83"/>
        <v>1.7661904761904761</v>
      </c>
      <c r="AD60" s="478">
        <f t="shared" ref="AD60:AD62" si="99">IF(AND(Y60&gt;0),AA60/Y60,"No programado")</f>
        <v>2.266</v>
      </c>
      <c r="AE60" s="478">
        <f t="shared" si="84"/>
        <v>1.4778260869565218</v>
      </c>
      <c r="AF60" s="489">
        <f t="shared" si="94"/>
        <v>6900</v>
      </c>
      <c r="AG60" s="489">
        <f>+'1.Informe Seguimiento POA 2022'!U16</f>
        <v>2400</v>
      </c>
      <c r="AH60" s="489">
        <f>+'1.Informe Seguimiento POA 2022'!O16+'1.Informe Seguimiento POA 2022'!Q16+'1.Informe Seguimiento POA 2022'!S16+'1.Informe Seguimiento POA 2022'!U16</f>
        <v>6900</v>
      </c>
      <c r="AI60" s="489">
        <f>+'1.Informe Seguimiento POA 2022'!V16</f>
        <v>0</v>
      </c>
      <c r="AJ60" s="489">
        <f>+'1.Informe Seguimiento POA 2022'!P16+'1.Informe Seguimiento POA 2022'!R16+'1.Informe Seguimiento POA 2022'!T16+'1.Informe Seguimiento POA 2022'!V16</f>
        <v>10197</v>
      </c>
      <c r="AK60" s="489">
        <f t="shared" si="95"/>
        <v>10197</v>
      </c>
      <c r="AL60" s="478">
        <f t="shared" si="85"/>
        <v>0</v>
      </c>
      <c r="AM60" s="478">
        <f t="shared" ref="AM60:AM62" si="100">IF(AND(AH60&gt;0),AJ60/AH60,"No programado")</f>
        <v>1.4778260869565218</v>
      </c>
      <c r="AN60" s="478">
        <f t="shared" si="86"/>
        <v>1.4778260869565218</v>
      </c>
      <c r="AO60" s="482" t="str">
        <f>+'Rango indicadores'!H25</f>
        <v>Mayor A:</v>
      </c>
      <c r="AP60" s="477">
        <f>+'Rango indicadores'!I25</f>
        <v>85</v>
      </c>
      <c r="AQ60" s="477" t="str">
        <f>+'Rango indicadores'!J25</f>
        <v>Desde (&gt;=):</v>
      </c>
      <c r="AR60" s="477">
        <f>+'Rango indicadores'!K25</f>
        <v>80</v>
      </c>
      <c r="AS60" s="477" t="str">
        <f>+'Rango indicadores'!L25</f>
        <v>Hasta (&lt;=):</v>
      </c>
      <c r="AT60" s="477">
        <f>+'Rango indicadores'!M25</f>
        <v>85</v>
      </c>
      <c r="AU60" s="477" t="str">
        <f>+'Rango indicadores'!N25</f>
        <v>Menor A:</v>
      </c>
      <c r="AV60" s="1058">
        <f>+'Rango indicadores'!O25</f>
        <v>80</v>
      </c>
      <c r="AW60" s="573" t="s">
        <v>1221</v>
      </c>
      <c r="AX60" s="654"/>
      <c r="AY60" s="654">
        <f t="shared" si="96"/>
        <v>-1609</v>
      </c>
      <c r="AZ60" s="654">
        <f t="shared" si="96"/>
        <v>-5697</v>
      </c>
      <c r="BA60" s="490"/>
    </row>
    <row r="61" spans="2:53" ht="250.5" customHeight="1">
      <c r="B61" s="508">
        <f t="shared" si="87"/>
        <v>25</v>
      </c>
      <c r="C61" s="475" t="str">
        <f>+'Rango indicadores'!D26</f>
        <v>05-RI-05</v>
      </c>
      <c r="D61" s="475" t="str">
        <f>+'Rango indicadores'!E26</f>
        <v>Peticiones o requerimientos ciudadanos atendidos en garantía de derechos</v>
      </c>
      <c r="E61" s="489">
        <f>+'Rango indicadores'!Q26</f>
        <v>16115</v>
      </c>
      <c r="F61" s="489">
        <f>'1.Informe Seguimiento POA 2022'!O17</f>
        <v>3408</v>
      </c>
      <c r="G61" s="489">
        <f>'1.Informe Seguimiento POA 2022'!O17</f>
        <v>3408</v>
      </c>
      <c r="H61" s="489">
        <f>'1.Informe Seguimiento POA 2022'!P17</f>
        <v>5102</v>
      </c>
      <c r="I61" s="489">
        <f>'1.Informe Seguimiento POA 2022'!P17</f>
        <v>5102</v>
      </c>
      <c r="J61" s="489">
        <f t="shared" si="88"/>
        <v>5102</v>
      </c>
      <c r="K61" s="478">
        <f t="shared" si="79"/>
        <v>1.4970657276995305</v>
      </c>
      <c r="L61" s="478">
        <f t="shared" si="97"/>
        <v>1.4970657276995305</v>
      </c>
      <c r="M61" s="478">
        <f t="shared" si="80"/>
        <v>0.31659944151411729</v>
      </c>
      <c r="N61" s="489">
        <f t="shared" si="89"/>
        <v>16115</v>
      </c>
      <c r="O61" s="477">
        <f>+'1.Informe Seguimiento POA 2022'!Q17</f>
        <v>4265</v>
      </c>
      <c r="P61" s="489">
        <f t="shared" si="90"/>
        <v>7673</v>
      </c>
      <c r="Q61" s="477">
        <f>'1.Informe Seguimiento POA 2022'!R17</f>
        <v>5964</v>
      </c>
      <c r="R61" s="477">
        <f>+'1.Informe Seguimiento POA 2022'!P17+'1.Informe Seguimiento POA 2022'!R17</f>
        <v>11066</v>
      </c>
      <c r="S61" s="489">
        <f t="shared" si="91"/>
        <v>11066</v>
      </c>
      <c r="T61" s="478">
        <f t="shared" si="81"/>
        <v>1.398358733880422</v>
      </c>
      <c r="U61" s="478">
        <f t="shared" si="98"/>
        <v>1.4421999218037274</v>
      </c>
      <c r="V61" s="478">
        <f t="shared" si="82"/>
        <v>0.6866894197952218</v>
      </c>
      <c r="W61" s="489">
        <f t="shared" si="92"/>
        <v>16115</v>
      </c>
      <c r="X61" s="477">
        <f>+'1.Informe Seguimiento POA 2022'!S17</f>
        <v>4275</v>
      </c>
      <c r="Y61" s="477">
        <f>+'1.Informe Seguimiento POA 2022'!O17+'1.Informe Seguimiento POA 2022'!Q17+'1.Informe Seguimiento POA 2022'!S17</f>
        <v>11948</v>
      </c>
      <c r="Z61" s="477">
        <f>+'1.Informe Seguimiento POA 2022'!T17</f>
        <v>6560</v>
      </c>
      <c r="AA61" s="477">
        <f>+'1.Informe Seguimiento POA 2022'!R17+'1.Informe Seguimiento POA 2022'!T17+'1.Informe Seguimiento POA 2022'!P17</f>
        <v>17626</v>
      </c>
      <c r="AB61" s="1058">
        <f t="shared" si="93"/>
        <v>17626</v>
      </c>
      <c r="AC61" s="478">
        <f t="shared" si="83"/>
        <v>1.5345029239766081</v>
      </c>
      <c r="AD61" s="478">
        <f t="shared" si="99"/>
        <v>1.4752259792433879</v>
      </c>
      <c r="AE61" s="478">
        <f t="shared" si="84"/>
        <v>1.0937635743096494</v>
      </c>
      <c r="AF61" s="489">
        <f t="shared" si="94"/>
        <v>16115</v>
      </c>
      <c r="AG61" s="489">
        <f>+'1.Informe Seguimiento POA 2022'!U17</f>
        <v>4167</v>
      </c>
      <c r="AH61" s="489">
        <f>+'1.Informe Seguimiento POA 2022'!O17+'1.Informe Seguimiento POA 2022'!Q17+'1.Informe Seguimiento POA 2022'!S17+'1.Informe Seguimiento POA 2022'!U17</f>
        <v>16115</v>
      </c>
      <c r="AI61" s="489">
        <f>+'1.Informe Seguimiento POA 2022'!V17</f>
        <v>0</v>
      </c>
      <c r="AJ61" s="489">
        <f>+'1.Informe Seguimiento POA 2022'!P17+'1.Informe Seguimiento POA 2022'!R17+'1.Informe Seguimiento POA 2022'!T17+'1.Informe Seguimiento POA 2022'!V17</f>
        <v>17626</v>
      </c>
      <c r="AK61" s="489">
        <f t="shared" si="95"/>
        <v>17626</v>
      </c>
      <c r="AL61" s="478">
        <f t="shared" si="85"/>
        <v>0</v>
      </c>
      <c r="AM61" s="478">
        <f t="shared" si="100"/>
        <v>1.0937635743096494</v>
      </c>
      <c r="AN61" s="478">
        <f t="shared" si="86"/>
        <v>1.0937635743096494</v>
      </c>
      <c r="AO61" s="482" t="str">
        <f>+'Rango indicadores'!H26</f>
        <v>Mayor A:</v>
      </c>
      <c r="AP61" s="477">
        <f>+'Rango indicadores'!I26</f>
        <v>85</v>
      </c>
      <c r="AQ61" s="477" t="str">
        <f>+'Rango indicadores'!J26</f>
        <v>Desde (&gt;=):</v>
      </c>
      <c r="AR61" s="477">
        <f>+'Rango indicadores'!K26</f>
        <v>80</v>
      </c>
      <c r="AS61" s="477" t="str">
        <f>+'Rango indicadores'!L26</f>
        <v>Hasta (&lt;=):</v>
      </c>
      <c r="AT61" s="477">
        <f>+'Rango indicadores'!M26</f>
        <v>85</v>
      </c>
      <c r="AU61" s="477" t="str">
        <f>+'Rango indicadores'!N26</f>
        <v>Menor A:</v>
      </c>
      <c r="AV61" s="1058">
        <f>+'Rango indicadores'!O26</f>
        <v>80</v>
      </c>
      <c r="AW61" s="573" t="s">
        <v>1242</v>
      </c>
      <c r="AX61" s="654"/>
      <c r="AY61" s="654">
        <f t="shared" si="96"/>
        <v>-2285</v>
      </c>
      <c r="AZ61" s="654"/>
      <c r="BA61" s="490"/>
    </row>
    <row r="62" spans="2:53" ht="169.5" customHeight="1">
      <c r="B62" s="474">
        <f t="shared" si="87"/>
        <v>26</v>
      </c>
      <c r="C62" s="475" t="str">
        <f>+'Rango indicadores'!D27</f>
        <v>05-RI-06</v>
      </c>
      <c r="D62" s="475" t="str">
        <f>+'Rango indicadores'!E27</f>
        <v>Espacios de mejora y transferencia de conocimiento realizados</v>
      </c>
      <c r="E62" s="489">
        <f>+'Rango indicadores'!Q27</f>
        <v>20</v>
      </c>
      <c r="F62" s="489">
        <f>'1.Informe Seguimiento POA 2022'!O18</f>
        <v>2</v>
      </c>
      <c r="G62" s="489">
        <f>'1.Informe Seguimiento POA 2022'!O18</f>
        <v>2</v>
      </c>
      <c r="H62" s="489">
        <f>'1.Informe Seguimiento POA 2022'!P18</f>
        <v>0</v>
      </c>
      <c r="I62" s="489">
        <f>'1.Informe Seguimiento POA 2022'!P18</f>
        <v>0</v>
      </c>
      <c r="J62" s="489">
        <f t="shared" si="88"/>
        <v>0</v>
      </c>
      <c r="K62" s="478">
        <f t="shared" si="79"/>
        <v>0</v>
      </c>
      <c r="L62" s="478">
        <f t="shared" si="97"/>
        <v>0</v>
      </c>
      <c r="M62" s="478">
        <f t="shared" si="80"/>
        <v>0</v>
      </c>
      <c r="N62" s="489">
        <f t="shared" si="89"/>
        <v>20</v>
      </c>
      <c r="O62" s="477">
        <f>+'1.Informe Seguimiento POA 2022'!Q18</f>
        <v>11</v>
      </c>
      <c r="P62" s="489">
        <f t="shared" si="90"/>
        <v>13</v>
      </c>
      <c r="Q62" s="477">
        <f>'1.Informe Seguimiento POA 2022'!R18</f>
        <v>11</v>
      </c>
      <c r="R62" s="477">
        <f>+'1.Informe Seguimiento POA 2022'!P18+'1.Informe Seguimiento POA 2022'!R18</f>
        <v>11</v>
      </c>
      <c r="S62" s="489">
        <f t="shared" si="91"/>
        <v>11</v>
      </c>
      <c r="T62" s="478">
        <f t="shared" si="81"/>
        <v>1</v>
      </c>
      <c r="U62" s="478">
        <f t="shared" si="98"/>
        <v>0.84615384615384615</v>
      </c>
      <c r="V62" s="478">
        <f t="shared" si="82"/>
        <v>0.55000000000000004</v>
      </c>
      <c r="W62" s="489">
        <f t="shared" si="92"/>
        <v>20</v>
      </c>
      <c r="X62" s="477">
        <f>+'1.Informe Seguimiento POA 2022'!S18</f>
        <v>6</v>
      </c>
      <c r="Y62" s="477">
        <f>+'1.Informe Seguimiento POA 2022'!O18+'1.Informe Seguimiento POA 2022'!Q18+'1.Informe Seguimiento POA 2022'!S18</f>
        <v>19</v>
      </c>
      <c r="Z62" s="477">
        <f>+'1.Informe Seguimiento POA 2022'!T18</f>
        <v>4</v>
      </c>
      <c r="AA62" s="477">
        <f>+'1.Informe Seguimiento POA 2022'!R18+'1.Informe Seguimiento POA 2022'!T18+'1.Informe Seguimiento POA 2022'!P18</f>
        <v>15</v>
      </c>
      <c r="AB62" s="1058">
        <f t="shared" si="93"/>
        <v>15</v>
      </c>
      <c r="AC62" s="478">
        <f t="shared" si="83"/>
        <v>0.66666666666666663</v>
      </c>
      <c r="AD62" s="478">
        <f t="shared" si="99"/>
        <v>0.78947368421052633</v>
      </c>
      <c r="AE62" s="478">
        <f t="shared" si="84"/>
        <v>0.75</v>
      </c>
      <c r="AF62" s="489">
        <f t="shared" si="94"/>
        <v>20</v>
      </c>
      <c r="AG62" s="489">
        <f>+'1.Informe Seguimiento POA 2022'!U18</f>
        <v>1</v>
      </c>
      <c r="AH62" s="489">
        <f>+'1.Informe Seguimiento POA 2022'!O18+'1.Informe Seguimiento POA 2022'!Q18+'1.Informe Seguimiento POA 2022'!S18+'1.Informe Seguimiento POA 2022'!U18</f>
        <v>20</v>
      </c>
      <c r="AI62" s="489">
        <f>+'1.Informe Seguimiento POA 2022'!V18</f>
        <v>0</v>
      </c>
      <c r="AJ62" s="489">
        <f>+'1.Informe Seguimiento POA 2022'!P18+'1.Informe Seguimiento POA 2022'!R18+'1.Informe Seguimiento POA 2022'!T18+'1.Informe Seguimiento POA 2022'!V18</f>
        <v>15</v>
      </c>
      <c r="AK62" s="489">
        <f t="shared" si="95"/>
        <v>15</v>
      </c>
      <c r="AL62" s="478">
        <f t="shared" si="85"/>
        <v>0</v>
      </c>
      <c r="AM62" s="478">
        <f t="shared" si="100"/>
        <v>0.75</v>
      </c>
      <c r="AN62" s="478">
        <f t="shared" si="86"/>
        <v>0</v>
      </c>
      <c r="AO62" s="482" t="str">
        <f>+'Rango indicadores'!H27</f>
        <v>Mayor A:</v>
      </c>
      <c r="AP62" s="477">
        <f>+'Rango indicadores'!I27</f>
        <v>85</v>
      </c>
      <c r="AQ62" s="477" t="str">
        <f>+'Rango indicadores'!J27</f>
        <v>Desde (&gt;=):</v>
      </c>
      <c r="AR62" s="477">
        <f>+'Rango indicadores'!K27</f>
        <v>80</v>
      </c>
      <c r="AS62" s="477" t="str">
        <f>+'Rango indicadores'!L27</f>
        <v>Hasta (&lt;=):</v>
      </c>
      <c r="AT62" s="477">
        <f>+'Rango indicadores'!M27</f>
        <v>85</v>
      </c>
      <c r="AU62" s="477" t="str">
        <f>+'Rango indicadores'!N27</f>
        <v>Menor A:</v>
      </c>
      <c r="AV62" s="1058">
        <f>+'Rango indicadores'!O27</f>
        <v>80</v>
      </c>
      <c r="AW62" s="1080" t="s">
        <v>1239</v>
      </c>
      <c r="AX62" s="654"/>
      <c r="AY62" s="654">
        <f t="shared" si="96"/>
        <v>2</v>
      </c>
      <c r="AZ62" s="654">
        <f t="shared" si="96"/>
        <v>4</v>
      </c>
      <c r="BA62" s="490"/>
    </row>
    <row r="63" spans="2:53" ht="144" customHeight="1">
      <c r="B63" s="474">
        <f t="shared" si="87"/>
        <v>27</v>
      </c>
      <c r="C63" s="475" t="str">
        <f>+'Rango indicadores'!D28</f>
        <v>05-RI-07</v>
      </c>
      <c r="D63" s="475" t="str">
        <f>+'Rango indicadores'!E28</f>
        <v>Porcentaje de Acciones de Tutela, Desacatos e Impugnaciones Entregadas en un Termino Menor a Cinco (5) Días Hábiles</v>
      </c>
      <c r="E63" s="489" t="str">
        <f>+'Rango indicadores'!Q28</f>
        <v>&gt;=95%</v>
      </c>
      <c r="F63" s="507">
        <f>'1.Informe Seguimiento POA 2022'!O19</f>
        <v>0.94999999999999984</v>
      </c>
      <c r="G63" s="507">
        <f>'1.Informe Seguimiento POA 2022'!O19</f>
        <v>0.94999999999999984</v>
      </c>
      <c r="H63" s="921">
        <f>'1.Informe Seguimiento POA 2022'!P19</f>
        <v>1</v>
      </c>
      <c r="I63" s="921">
        <f>'1.Informe Seguimiento POA 2022'!P19</f>
        <v>1</v>
      </c>
      <c r="J63" s="921">
        <f t="shared" si="88"/>
        <v>1</v>
      </c>
      <c r="K63" s="478">
        <f t="shared" si="79"/>
        <v>1.0526315789473686</v>
      </c>
      <c r="L63" s="478">
        <f>(IF(AND(G63&gt;0),I63/G63,"No programado"))</f>
        <v>1.0526315789473686</v>
      </c>
      <c r="M63" s="478">
        <f>IF(AND(E63&gt;0,$J63&gt;0),J63/95%,0)*0.25</f>
        <v>0.26315789473684209</v>
      </c>
      <c r="N63" s="489" t="str">
        <f t="shared" si="89"/>
        <v>&gt;=95%</v>
      </c>
      <c r="O63" s="921">
        <f>+'1.Informe Seguimiento POA 2022'!Q19</f>
        <v>0.94999999999999984</v>
      </c>
      <c r="P63" s="1059">
        <f>IFERROR(AVERAGE(F63,O63),0)</f>
        <v>0.94999999999999984</v>
      </c>
      <c r="Q63" s="921">
        <f>'1.Informe Seguimiento POA 2022'!R19</f>
        <v>1</v>
      </c>
      <c r="R63" s="479">
        <f>IFERROR(AVERAGE('1.Informe Seguimiento POA 2022'!P19,'1.Informe Seguimiento POA 2022'!R19),0)</f>
        <v>1</v>
      </c>
      <c r="S63" s="479">
        <f>IFERROR(IF(OR($N63="",$N63=0),0,ROUNDDOWN(AVERAGE($H63,Q63),3)),0)</f>
        <v>1</v>
      </c>
      <c r="T63" s="478">
        <f t="shared" si="81"/>
        <v>1.0526315789473686</v>
      </c>
      <c r="U63" s="478">
        <f>(IF(AND(P63&gt;0),R63/P63,"No programado"))</f>
        <v>1.0526315789473686</v>
      </c>
      <c r="V63" s="478">
        <f>IF(AND(N63&gt;0,$S63&gt;0),S63/95%,0)*0.5</f>
        <v>0.52631578947368418</v>
      </c>
      <c r="W63" s="489" t="str">
        <f t="shared" si="92"/>
        <v>&gt;=95%</v>
      </c>
      <c r="X63" s="507">
        <f>+'1.Informe Seguimiento POA 2022'!S19</f>
        <v>0.94999999999999984</v>
      </c>
      <c r="Y63" s="479">
        <f>IFERROR(AVERAGE('1.Informe Seguimiento POA 2022'!O19,'1.Informe Seguimiento POA 2022'!Q19,,'1.Informe Seguimiento POA 2022'!S19),0)</f>
        <v>0.71249999999999991</v>
      </c>
      <c r="Z63" s="479">
        <f>+'1.Informe Seguimiento POA 2022'!T19</f>
        <v>0.99933333333333341</v>
      </c>
      <c r="AA63" s="479">
        <f>IFERROR(AVERAGE('1.Informe Seguimiento POA 2022'!R19,'1.Informe Seguimiento POA 2022'!P19,'1.Informe Seguimiento POA 2022'!T19),0)</f>
        <v>0.99977777777777777</v>
      </c>
      <c r="AB63" s="479">
        <f>IFERROR(IF(OR($W63="",$W63=0),0,ROUNDDOWN(AVERAGE($H63,Q63,Z63),3)),0)</f>
        <v>0.999</v>
      </c>
      <c r="AC63" s="478">
        <f t="shared" si="83"/>
        <v>1.0519298245614037</v>
      </c>
      <c r="AD63" s="478">
        <f>(IF(AND(Y63&gt;0),AA63/Y63,"No programado"))</f>
        <v>1.403196881091618</v>
      </c>
      <c r="AE63" s="478">
        <f>IF(AND(W63&gt;0,$AB63&gt;0),AB63/95%,0)*0.75</f>
        <v>0.78868421052631588</v>
      </c>
      <c r="AF63" s="489" t="str">
        <f t="shared" si="94"/>
        <v>&gt;=95%</v>
      </c>
      <c r="AG63" s="574">
        <f>'1.Informe Seguimiento POA 2022'!U19</f>
        <v>0.94999999999999984</v>
      </c>
      <c r="AH63" s="574">
        <f>IFERROR(AVERAGE('1.Informe Seguimiento POA 2022'!O19,'1.Informe Seguimiento POA 2022'!Q19,'1.Informe Seguimiento POA 2022'!S19,'1.Informe Seguimiento POA 2022'!U19),0)</f>
        <v>0.94999999999999984</v>
      </c>
      <c r="AI63" s="574">
        <f>+'1.Informe Seguimiento POA 2022'!V19</f>
        <v>0</v>
      </c>
      <c r="AJ63" s="574">
        <f>IFERROR(AVERAGE('1.Informe Seguimiento POA 2022'!P19,'1.Informe Seguimiento POA 2022'!R19,'1.Informe Seguimiento POA 2022'!T19,'1.Informe Seguimiento POA 2022'!V19),0)</f>
        <v>0.74983333333333335</v>
      </c>
      <c r="AK63" s="574">
        <f>IFERROR(IF(OR($AF63="",$AF63=0),0,ROUNDDOWN(AVERAGE($H63,Q63,Z63,AI63),3)),0)</f>
        <v>0.749</v>
      </c>
      <c r="AL63" s="478">
        <f t="shared" si="85"/>
        <v>0</v>
      </c>
      <c r="AM63" s="478">
        <f>(IF(AND(AH63&gt;0),AJ63/AH63,"No programado"))</f>
        <v>0.78929824561403528</v>
      </c>
      <c r="AN63" s="478">
        <f>IF(AND(AF63&gt;0,$J63&gt;0),AK63/95%,0)</f>
        <v>0.78842105263157902</v>
      </c>
      <c r="AO63" s="482" t="str">
        <f>+'Rango indicadores'!H28</f>
        <v>Mayor o igual A:</v>
      </c>
      <c r="AP63" s="477">
        <f>+'Rango indicadores'!I28</f>
        <v>95</v>
      </c>
      <c r="AQ63" s="477" t="str">
        <f>+'Rango indicadores'!J28</f>
        <v>Desde (&gt;):</v>
      </c>
      <c r="AR63" s="477">
        <f>+'Rango indicadores'!K28</f>
        <v>90</v>
      </c>
      <c r="AS63" s="477" t="str">
        <f>+'Rango indicadores'!L28</f>
        <v>Hasta (&lt;):</v>
      </c>
      <c r="AT63" s="477">
        <f>+'Rango indicadores'!M28</f>
        <v>95</v>
      </c>
      <c r="AU63" s="477" t="str">
        <f>+'Rango indicadores'!N28</f>
        <v>Menor o Igual A:</v>
      </c>
      <c r="AV63" s="1058">
        <f>+'Rango indicadores'!O28</f>
        <v>90</v>
      </c>
      <c r="AW63" s="1078" t="s">
        <v>1206</v>
      </c>
      <c r="AX63" s="887"/>
      <c r="AY63" s="654">
        <f t="shared" si="96"/>
        <v>-4.9333333333333562E-2</v>
      </c>
      <c r="AZ63" s="654"/>
      <c r="BA63" s="490"/>
    </row>
    <row r="64" spans="2:53" ht="189.75" customHeight="1">
      <c r="B64" s="474">
        <f t="shared" ref="B64:B76" si="101">+B63+1</f>
        <v>28</v>
      </c>
      <c r="C64" s="475" t="str">
        <f>+'Rango indicadores'!D29</f>
        <v>05-RI-08</v>
      </c>
      <c r="D64" s="475" t="str">
        <f>+'Rango indicadores'!E29</f>
        <v>Audiencias Publicas Realizadas con Asistencia del Ministerio Público</v>
      </c>
      <c r="E64" s="489">
        <f>+'Rango indicadores'!Q29</f>
        <v>6000</v>
      </c>
      <c r="F64" s="489">
        <f>'1.Informe Seguimiento POA 2022'!O20</f>
        <v>1200</v>
      </c>
      <c r="G64" s="489">
        <f>'1.Informe Seguimiento POA 2022'!O20</f>
        <v>1200</v>
      </c>
      <c r="H64" s="489">
        <f>'1.Informe Seguimiento POA 2022'!P20</f>
        <v>1452</v>
      </c>
      <c r="I64" s="489">
        <f>'1.Informe Seguimiento POA 2022'!P20</f>
        <v>1452</v>
      </c>
      <c r="J64" s="489">
        <f t="shared" si="88"/>
        <v>1452</v>
      </c>
      <c r="K64" s="478">
        <f t="shared" si="79"/>
        <v>1.21</v>
      </c>
      <c r="L64" s="478">
        <f t="shared" ref="L64:L76" si="102">IF(AND(G64&gt;0),I64/G64,"No programado")</f>
        <v>1.21</v>
      </c>
      <c r="M64" s="478">
        <f t="shared" si="80"/>
        <v>0.24199999999999999</v>
      </c>
      <c r="N64" s="489">
        <f t="shared" si="89"/>
        <v>6000</v>
      </c>
      <c r="O64" s="477">
        <f>+'1.Informe Seguimiento POA 2022'!Q20</f>
        <v>1800</v>
      </c>
      <c r="P64" s="489">
        <f t="shared" si="90"/>
        <v>3000</v>
      </c>
      <c r="Q64" s="477">
        <f>'1.Informe Seguimiento POA 2022'!R20</f>
        <v>1952</v>
      </c>
      <c r="R64" s="477">
        <f>+'1.Informe Seguimiento POA 2022'!P20+'1.Informe Seguimiento POA 2022'!R20</f>
        <v>3404</v>
      </c>
      <c r="S64" s="489">
        <f t="shared" si="91"/>
        <v>3404</v>
      </c>
      <c r="T64" s="478">
        <f t="shared" si="81"/>
        <v>1.0844444444444445</v>
      </c>
      <c r="U64" s="478">
        <f t="shared" ref="U64:U76" si="103">IF(AND(P64&gt;0),R64/P64,"No programado")</f>
        <v>1.1346666666666667</v>
      </c>
      <c r="V64" s="478">
        <f>IF(AND(N64&gt;0,$S64&gt;0),S64/$N64,0)</f>
        <v>0.56733333333333336</v>
      </c>
      <c r="W64" s="489">
        <f t="shared" si="92"/>
        <v>6000</v>
      </c>
      <c r="X64" s="477">
        <f>+'1.Informe Seguimiento POA 2022'!S20</f>
        <v>1800</v>
      </c>
      <c r="Y64" s="477">
        <f>+'1.Informe Seguimiento POA 2022'!O20+'1.Informe Seguimiento POA 2022'!Q20+'1.Informe Seguimiento POA 2022'!S20</f>
        <v>4800</v>
      </c>
      <c r="Z64" s="477">
        <f>+'1.Informe Seguimiento POA 2022'!T20</f>
        <v>2402</v>
      </c>
      <c r="AA64" s="477">
        <f>+'1.Informe Seguimiento POA 2022'!R20+'1.Informe Seguimiento POA 2022'!T20+'1.Informe Seguimiento POA 2022'!P20</f>
        <v>5806</v>
      </c>
      <c r="AB64" s="1058">
        <f t="shared" si="93"/>
        <v>5806</v>
      </c>
      <c r="AC64" s="478">
        <f t="shared" si="83"/>
        <v>1.3344444444444445</v>
      </c>
      <c r="AD64" s="478">
        <f t="shared" ref="AD64:AD76" si="104">IF(AND(Y64&gt;0),AA64/Y64,"No programado")</f>
        <v>1.2095833333333332</v>
      </c>
      <c r="AE64" s="478">
        <f>IF(AND(W64&gt;0,$AB64&gt;0),AB64/$W64,0)</f>
        <v>0.96766666666666667</v>
      </c>
      <c r="AF64" s="489">
        <f t="shared" si="94"/>
        <v>6000</v>
      </c>
      <c r="AG64" s="489">
        <f>+'1.Informe Seguimiento POA 2022'!U20</f>
        <v>1200</v>
      </c>
      <c r="AH64" s="489">
        <f>+'1.Informe Seguimiento POA 2022'!O20+'1.Informe Seguimiento POA 2022'!Q20+'1.Informe Seguimiento POA 2022'!S20+'1.Informe Seguimiento POA 2022'!U20</f>
        <v>6000</v>
      </c>
      <c r="AI64" s="489">
        <f>+'1.Informe Seguimiento POA 2022'!V20</f>
        <v>0</v>
      </c>
      <c r="AJ64" s="489">
        <f>+'1.Informe Seguimiento POA 2022'!P20+'1.Informe Seguimiento POA 2022'!R20+'1.Informe Seguimiento POA 2022'!T20+'1.Informe Seguimiento POA 2022'!V20</f>
        <v>5806</v>
      </c>
      <c r="AK64" s="489">
        <f t="shared" si="95"/>
        <v>5806</v>
      </c>
      <c r="AL64" s="478">
        <f t="shared" si="85"/>
        <v>0</v>
      </c>
      <c r="AM64" s="478">
        <f t="shared" ref="AM64:AM76" si="105">IF(AND(AH64&gt;0),AJ64/AH64,"No programado")</f>
        <v>0.96766666666666667</v>
      </c>
      <c r="AN64" s="478">
        <f t="shared" ref="AN64:AN66" si="106">IF(AND(AF64&gt;0,$J64&gt;0),AK64/$E64,0)</f>
        <v>0.96766666666666667</v>
      </c>
      <c r="AO64" s="482" t="str">
        <f>+'Rango indicadores'!H29</f>
        <v>Mayor o igual A:</v>
      </c>
      <c r="AP64" s="477">
        <f>+'Rango indicadores'!I29</f>
        <v>95</v>
      </c>
      <c r="AQ64" s="477" t="str">
        <f>+'Rango indicadores'!J29</f>
        <v>Desde (&gt;):</v>
      </c>
      <c r="AR64" s="477">
        <f>+'Rango indicadores'!K29</f>
        <v>90</v>
      </c>
      <c r="AS64" s="477" t="str">
        <f>+'Rango indicadores'!L29</f>
        <v>Hasta (&lt;):</v>
      </c>
      <c r="AT64" s="477">
        <f>+'Rango indicadores'!M29</f>
        <v>95</v>
      </c>
      <c r="AU64" s="477" t="str">
        <f>+'Rango indicadores'!N29</f>
        <v>Menor o Igual A:</v>
      </c>
      <c r="AV64" s="1058">
        <f>+'Rango indicadores'!O29</f>
        <v>90</v>
      </c>
      <c r="AW64" s="1078" t="s">
        <v>1225</v>
      </c>
      <c r="AX64" s="654"/>
      <c r="AY64" s="654">
        <f t="shared" si="96"/>
        <v>-602</v>
      </c>
      <c r="AZ64" s="654"/>
    </row>
    <row r="65" spans="2:53" ht="167.25" customHeight="1">
      <c r="B65" s="474">
        <f t="shared" si="101"/>
        <v>29</v>
      </c>
      <c r="C65" s="475" t="str">
        <f>+'Rango indicadores'!D30</f>
        <v>05-RI-09</v>
      </c>
      <c r="D65" s="475" t="str">
        <f>+'Rango indicadores'!E30</f>
        <v>Intervenciones realizadas oportunamente para evitar la caducidad y perdida de fuerza ejecutoria (Impulsos procesales)</v>
      </c>
      <c r="E65" s="489">
        <f>+'Rango indicadores'!Q30</f>
        <v>3000</v>
      </c>
      <c r="F65" s="489">
        <f>'1.Informe Seguimiento POA 2022'!O21</f>
        <v>600</v>
      </c>
      <c r="G65" s="489">
        <f>'1.Informe Seguimiento POA 2022'!O21</f>
        <v>600</v>
      </c>
      <c r="H65" s="489">
        <f>'1.Informe Seguimiento POA 2022'!P21</f>
        <v>438</v>
      </c>
      <c r="I65" s="489">
        <f>'1.Informe Seguimiento POA 2022'!P21</f>
        <v>438</v>
      </c>
      <c r="J65" s="489">
        <f t="shared" si="88"/>
        <v>438</v>
      </c>
      <c r="K65" s="478">
        <f t="shared" si="79"/>
        <v>0.73</v>
      </c>
      <c r="L65" s="478">
        <f t="shared" si="102"/>
        <v>0.73</v>
      </c>
      <c r="M65" s="478">
        <f t="shared" si="80"/>
        <v>0.14599999999999999</v>
      </c>
      <c r="N65" s="489">
        <f t="shared" si="89"/>
        <v>3000</v>
      </c>
      <c r="O65" s="477">
        <f>+'1.Informe Seguimiento POA 2022'!Q21</f>
        <v>900</v>
      </c>
      <c r="P65" s="489">
        <f t="shared" si="90"/>
        <v>1500</v>
      </c>
      <c r="Q65" s="477">
        <f>'1.Informe Seguimiento POA 2022'!R21</f>
        <v>727</v>
      </c>
      <c r="R65" s="477">
        <f>+'1.Informe Seguimiento POA 2022'!P21+'1.Informe Seguimiento POA 2022'!R21</f>
        <v>1165</v>
      </c>
      <c r="S65" s="489">
        <f t="shared" si="91"/>
        <v>1165</v>
      </c>
      <c r="T65" s="478">
        <f t="shared" si="81"/>
        <v>0.80777777777777782</v>
      </c>
      <c r="U65" s="478">
        <f t="shared" si="103"/>
        <v>0.77666666666666662</v>
      </c>
      <c r="V65" s="478">
        <f>IF(AND(N65&gt;0,$S65&gt;0),S65/$N65,0)</f>
        <v>0.38833333333333331</v>
      </c>
      <c r="W65" s="489">
        <f t="shared" si="92"/>
        <v>3000</v>
      </c>
      <c r="X65" s="477">
        <f>+'1.Informe Seguimiento POA 2022'!S21</f>
        <v>900</v>
      </c>
      <c r="Y65" s="477">
        <f>+'1.Informe Seguimiento POA 2022'!O21+'1.Informe Seguimiento POA 2022'!Q21+'1.Informe Seguimiento POA 2022'!S21</f>
        <v>2400</v>
      </c>
      <c r="Z65" s="477">
        <f>+'1.Informe Seguimiento POA 2022'!T21</f>
        <v>817</v>
      </c>
      <c r="AA65" s="477">
        <f>+'1.Informe Seguimiento POA 2022'!R21+'1.Informe Seguimiento POA 2022'!T21+'1.Informe Seguimiento POA 2022'!P21</f>
        <v>1982</v>
      </c>
      <c r="AB65" s="1058">
        <f t="shared" si="93"/>
        <v>1982</v>
      </c>
      <c r="AC65" s="478">
        <f t="shared" si="83"/>
        <v>0.90777777777777779</v>
      </c>
      <c r="AD65" s="478">
        <f t="shared" si="104"/>
        <v>0.82583333333333331</v>
      </c>
      <c r="AE65" s="478">
        <f>IF(AND(W65&gt;0,$AB65&gt;0),AB65/$W65,0)</f>
        <v>0.66066666666666662</v>
      </c>
      <c r="AF65" s="489">
        <f t="shared" si="94"/>
        <v>3000</v>
      </c>
      <c r="AG65" s="489">
        <f>+'1.Informe Seguimiento POA 2022'!U21</f>
        <v>600</v>
      </c>
      <c r="AH65" s="489">
        <f>+'1.Informe Seguimiento POA 2022'!O21+'1.Informe Seguimiento POA 2022'!Q21+'1.Informe Seguimiento POA 2022'!S21+'1.Informe Seguimiento POA 2022'!U21</f>
        <v>3000</v>
      </c>
      <c r="AI65" s="489">
        <f>+'1.Informe Seguimiento POA 2022'!V21</f>
        <v>0</v>
      </c>
      <c r="AJ65" s="489">
        <f>+'1.Informe Seguimiento POA 2022'!P21+'1.Informe Seguimiento POA 2022'!R21+'1.Informe Seguimiento POA 2022'!T21+'1.Informe Seguimiento POA 2022'!V21</f>
        <v>1982</v>
      </c>
      <c r="AK65" s="489">
        <f t="shared" si="95"/>
        <v>1982</v>
      </c>
      <c r="AL65" s="478">
        <f t="shared" si="85"/>
        <v>0</v>
      </c>
      <c r="AM65" s="478">
        <f t="shared" si="105"/>
        <v>0.66066666666666662</v>
      </c>
      <c r="AN65" s="478">
        <f t="shared" si="106"/>
        <v>0.66066666666666662</v>
      </c>
      <c r="AO65" s="482" t="str">
        <f>+'Rango indicadores'!H30</f>
        <v>Mayor o igual A:</v>
      </c>
      <c r="AP65" s="477">
        <f>+'Rango indicadores'!I30</f>
        <v>95</v>
      </c>
      <c r="AQ65" s="477" t="str">
        <f>+'Rango indicadores'!J30</f>
        <v>Desde (&gt;):</v>
      </c>
      <c r="AR65" s="477">
        <f>+'Rango indicadores'!K30</f>
        <v>90</v>
      </c>
      <c r="AS65" s="477" t="str">
        <f>+'Rango indicadores'!L30</f>
        <v>Hasta (&lt;):</v>
      </c>
      <c r="AT65" s="477">
        <f>+'Rango indicadores'!M30</f>
        <v>95</v>
      </c>
      <c r="AU65" s="477" t="str">
        <f>+'Rango indicadores'!N30</f>
        <v>Menor o Igual A:</v>
      </c>
      <c r="AV65" s="1058">
        <f>+'Rango indicadores'!O30</f>
        <v>90</v>
      </c>
      <c r="AW65" s="1078" t="s">
        <v>1230</v>
      </c>
      <c r="AX65" s="654"/>
      <c r="AY65" s="654">
        <f t="shared" si="96"/>
        <v>83</v>
      </c>
      <c r="AZ65" s="654"/>
    </row>
    <row r="66" spans="2:53" ht="165.75" customHeight="1">
      <c r="B66" s="474">
        <f t="shared" si="101"/>
        <v>30</v>
      </c>
      <c r="C66" s="475" t="str">
        <f>+'Rango indicadores'!D31</f>
        <v>05-RI-10</v>
      </c>
      <c r="D66" s="475" t="str">
        <f>+'Rango indicadores'!E31</f>
        <v>Expedientes con impulso procesal para la gestión de multas</v>
      </c>
      <c r="E66" s="489">
        <f>+'Rango indicadores'!Q31</f>
        <v>500</v>
      </c>
      <c r="F66" s="489">
        <f>'1.Informe Seguimiento POA 2022'!O22</f>
        <v>100</v>
      </c>
      <c r="G66" s="489">
        <f>'1.Informe Seguimiento POA 2022'!O22</f>
        <v>100</v>
      </c>
      <c r="H66" s="489">
        <f>'1.Informe Seguimiento POA 2022'!P22</f>
        <v>82</v>
      </c>
      <c r="I66" s="489">
        <f>'1.Informe Seguimiento POA 2022'!P22</f>
        <v>82</v>
      </c>
      <c r="J66" s="489">
        <f t="shared" si="88"/>
        <v>82</v>
      </c>
      <c r="K66" s="478">
        <f t="shared" si="79"/>
        <v>0.82</v>
      </c>
      <c r="L66" s="478">
        <f t="shared" si="102"/>
        <v>0.82</v>
      </c>
      <c r="M66" s="478">
        <f t="shared" si="80"/>
        <v>0.16400000000000001</v>
      </c>
      <c r="N66" s="489">
        <f t="shared" si="89"/>
        <v>500</v>
      </c>
      <c r="O66" s="477">
        <f>+'1.Informe Seguimiento POA 2022'!Q22</f>
        <v>150</v>
      </c>
      <c r="P66" s="489">
        <f t="shared" si="90"/>
        <v>250</v>
      </c>
      <c r="Q66" s="477">
        <f>'1.Informe Seguimiento POA 2022'!R22</f>
        <v>74</v>
      </c>
      <c r="R66" s="477">
        <f>+'1.Informe Seguimiento POA 2022'!P22+'1.Informe Seguimiento POA 2022'!R22</f>
        <v>156</v>
      </c>
      <c r="S66" s="489">
        <f t="shared" si="91"/>
        <v>156</v>
      </c>
      <c r="T66" s="478">
        <f t="shared" si="81"/>
        <v>0.49333333333333335</v>
      </c>
      <c r="U66" s="478">
        <f t="shared" si="103"/>
        <v>0.624</v>
      </c>
      <c r="V66" s="478">
        <f>IF(AND(N66&gt;0,$S66&gt;0),S66/$N66,0)</f>
        <v>0.312</v>
      </c>
      <c r="W66" s="489">
        <f t="shared" si="92"/>
        <v>500</v>
      </c>
      <c r="X66" s="477">
        <f>+'1.Informe Seguimiento POA 2022'!S22</f>
        <v>150</v>
      </c>
      <c r="Y66" s="477">
        <f>+'1.Informe Seguimiento POA 2022'!O22+'1.Informe Seguimiento POA 2022'!Q22+'1.Informe Seguimiento POA 2022'!S22</f>
        <v>400</v>
      </c>
      <c r="Z66" s="477">
        <f>+'1.Informe Seguimiento POA 2022'!T22</f>
        <v>150</v>
      </c>
      <c r="AA66" s="477">
        <f>+'1.Informe Seguimiento POA 2022'!R22+'1.Informe Seguimiento POA 2022'!T22+'1.Informe Seguimiento POA 2022'!P22</f>
        <v>306</v>
      </c>
      <c r="AB66" s="1058">
        <f t="shared" si="93"/>
        <v>306</v>
      </c>
      <c r="AC66" s="478">
        <f t="shared" si="83"/>
        <v>1</v>
      </c>
      <c r="AD66" s="478">
        <f t="shared" si="104"/>
        <v>0.76500000000000001</v>
      </c>
      <c r="AE66" s="478">
        <f>IF(AND(W66&gt;0,$AB66&gt;0),AB66/$W66,0)</f>
        <v>0.61199999999999999</v>
      </c>
      <c r="AF66" s="489">
        <f t="shared" si="94"/>
        <v>500</v>
      </c>
      <c r="AG66" s="489">
        <f>+'1.Informe Seguimiento POA 2022'!U22</f>
        <v>100</v>
      </c>
      <c r="AH66" s="489">
        <f>+'1.Informe Seguimiento POA 2022'!O22+'1.Informe Seguimiento POA 2022'!Q22+'1.Informe Seguimiento POA 2022'!S22+'1.Informe Seguimiento POA 2022'!U22</f>
        <v>500</v>
      </c>
      <c r="AI66" s="489">
        <f>+'1.Informe Seguimiento POA 2022'!V22</f>
        <v>0</v>
      </c>
      <c r="AJ66" s="489">
        <f>+'1.Informe Seguimiento POA 2022'!P22+'1.Informe Seguimiento POA 2022'!R22+'1.Informe Seguimiento POA 2022'!T22+'1.Informe Seguimiento POA 2022'!V22</f>
        <v>306</v>
      </c>
      <c r="AK66" s="489">
        <f t="shared" si="95"/>
        <v>306</v>
      </c>
      <c r="AL66" s="478">
        <f t="shared" si="85"/>
        <v>0</v>
      </c>
      <c r="AM66" s="478">
        <f t="shared" si="105"/>
        <v>0.61199999999999999</v>
      </c>
      <c r="AN66" s="478">
        <f t="shared" si="106"/>
        <v>0.61199999999999999</v>
      </c>
      <c r="AO66" s="482" t="str">
        <f>+'Rango indicadores'!H31</f>
        <v>Mayor o igual A:</v>
      </c>
      <c r="AP66" s="477">
        <f>+'Rango indicadores'!I31</f>
        <v>95</v>
      </c>
      <c r="AQ66" s="477" t="str">
        <f>+'Rango indicadores'!J31</f>
        <v>Desde (&gt;):</v>
      </c>
      <c r="AR66" s="477">
        <f>+'Rango indicadores'!K31</f>
        <v>90</v>
      </c>
      <c r="AS66" s="477" t="str">
        <f>+'Rango indicadores'!L31</f>
        <v>Hasta (&lt;):</v>
      </c>
      <c r="AT66" s="477">
        <f>+'Rango indicadores'!M31</f>
        <v>95</v>
      </c>
      <c r="AU66" s="477" t="str">
        <f>+'Rango indicadores'!N31</f>
        <v>Menor o Igual A:</v>
      </c>
      <c r="AV66" s="1058">
        <f>+'Rango indicadores'!O31</f>
        <v>90</v>
      </c>
      <c r="AW66" s="1078" t="s">
        <v>1231</v>
      </c>
      <c r="AX66" s="654"/>
      <c r="AY66" s="654">
        <f t="shared" si="96"/>
        <v>0</v>
      </c>
      <c r="AZ66" s="654">
        <f t="shared" si="96"/>
        <v>94</v>
      </c>
    </row>
    <row r="67" spans="2:53" ht="30">
      <c r="B67" s="474">
        <f t="shared" si="101"/>
        <v>31</v>
      </c>
      <c r="C67" s="475" t="str">
        <f>+'Rango indicadores'!D32</f>
        <v>05-RI-11</v>
      </c>
      <c r="D67" s="475" t="str">
        <f>+'Rango indicadores'!E32</f>
        <v>Estados de vulneración establecidos</v>
      </c>
      <c r="E67" s="489">
        <f>+'Rango indicadores'!Q32</f>
        <v>0</v>
      </c>
      <c r="F67" s="489">
        <f>'1.Informe Seguimiento POA 2022'!O23</f>
        <v>0</v>
      </c>
      <c r="G67" s="489">
        <f>'1.Informe Seguimiento POA 2022'!O23</f>
        <v>0</v>
      </c>
      <c r="H67" s="489">
        <f>'1.Informe Seguimiento POA 2022'!P23</f>
        <v>0</v>
      </c>
      <c r="I67" s="489">
        <f>'1.Informe Seguimiento POA 2022'!P23</f>
        <v>0</v>
      </c>
      <c r="J67" s="489">
        <f t="shared" si="88"/>
        <v>0</v>
      </c>
      <c r="K67" s="491" t="str">
        <f t="shared" si="79"/>
        <v>No programado</v>
      </c>
      <c r="L67" s="491" t="str">
        <f t="shared" si="102"/>
        <v>No programado</v>
      </c>
      <c r="M67" s="478" t="str">
        <f>IF(AND(E67&gt;0,$J67&gt;0),J67/$E67,"No programado")</f>
        <v>No programado</v>
      </c>
      <c r="N67" s="489">
        <f t="shared" si="89"/>
        <v>0</v>
      </c>
      <c r="O67" s="477">
        <f>+'1.Informe Seguimiento POA 2022'!Q23</f>
        <v>0</v>
      </c>
      <c r="P67" s="489">
        <f t="shared" si="90"/>
        <v>0</v>
      </c>
      <c r="Q67" s="477">
        <f>'1.Informe Seguimiento POA 2022'!R23</f>
        <v>0</v>
      </c>
      <c r="R67" s="477">
        <f>+'1.Informe Seguimiento POA 2022'!P23+'1.Informe Seguimiento POA 2022'!R23</f>
        <v>0</v>
      </c>
      <c r="S67" s="489">
        <f t="shared" si="91"/>
        <v>0</v>
      </c>
      <c r="T67" s="491" t="str">
        <f t="shared" si="81"/>
        <v>No programado</v>
      </c>
      <c r="U67" s="491" t="str">
        <f t="shared" si="103"/>
        <v>No programado</v>
      </c>
      <c r="V67" s="478" t="str">
        <f>IF(AND(N67&gt;0,$S67&gt;0),S67/$N67,"No programado")</f>
        <v>No programado</v>
      </c>
      <c r="W67" s="489">
        <f t="shared" si="92"/>
        <v>0</v>
      </c>
      <c r="X67" s="477">
        <f>+'1.Informe Seguimiento POA 2022'!S23</f>
        <v>0</v>
      </c>
      <c r="Y67" s="477">
        <f>+'1.Informe Seguimiento POA 2022'!O23+'1.Informe Seguimiento POA 2022'!Q23+'1.Informe Seguimiento POA 2022'!S23</f>
        <v>0</v>
      </c>
      <c r="Z67" s="477">
        <f>+'1.Informe Seguimiento POA 2022'!T23</f>
        <v>0</v>
      </c>
      <c r="AA67" s="477">
        <f>+'1.Informe Seguimiento POA 2022'!R23+'1.Informe Seguimiento POA 2022'!T23+'1.Informe Seguimiento POA 2022'!P23</f>
        <v>0</v>
      </c>
      <c r="AB67" s="1058">
        <f t="shared" si="93"/>
        <v>0</v>
      </c>
      <c r="AC67" s="491" t="str">
        <f t="shared" si="83"/>
        <v>No programado</v>
      </c>
      <c r="AD67" s="491" t="str">
        <f t="shared" si="104"/>
        <v>No programado</v>
      </c>
      <c r="AE67" s="478" t="str">
        <f>IF(AND(W67&gt;0,$AB67&gt;0),AB67/$W67,"No programado")</f>
        <v>No programado</v>
      </c>
      <c r="AF67" s="489">
        <f t="shared" si="94"/>
        <v>0</v>
      </c>
      <c r="AG67" s="489">
        <f>+'1.Informe Seguimiento POA 2022'!U23</f>
        <v>0</v>
      </c>
      <c r="AH67" s="489">
        <f>+'1.Informe Seguimiento POA 2022'!O23+'1.Informe Seguimiento POA 2022'!Q23+'1.Informe Seguimiento POA 2022'!S23+'1.Informe Seguimiento POA 2022'!U23</f>
        <v>0</v>
      </c>
      <c r="AI67" s="489">
        <f>+'1.Informe Seguimiento POA 2022'!V23</f>
        <v>0</v>
      </c>
      <c r="AJ67" s="489">
        <f>+'1.Informe Seguimiento POA 2022'!P23+'1.Informe Seguimiento POA 2022'!R23+'1.Informe Seguimiento POA 2022'!T23+'1.Informe Seguimiento POA 2022'!V23</f>
        <v>0</v>
      </c>
      <c r="AK67" s="489">
        <f t="shared" si="95"/>
        <v>0</v>
      </c>
      <c r="AL67" s="491" t="str">
        <f t="shared" si="85"/>
        <v>No programado</v>
      </c>
      <c r="AM67" s="491" t="str">
        <f t="shared" si="105"/>
        <v>No programado</v>
      </c>
      <c r="AN67" s="478" t="str">
        <f>IF(AND(AF67&gt;0,$J67&gt;0),AK67/$E67,"No programado")</f>
        <v>No programado</v>
      </c>
      <c r="AO67" s="482" t="str">
        <f>+'Rango indicadores'!H32</f>
        <v>Mayor o igual A:</v>
      </c>
      <c r="AP67" s="477">
        <f>+'Rango indicadores'!I32</f>
        <v>95</v>
      </c>
      <c r="AQ67" s="477" t="str">
        <f>+'Rango indicadores'!J32</f>
        <v>Desde (&gt;):</v>
      </c>
      <c r="AR67" s="477">
        <f>+'Rango indicadores'!K32</f>
        <v>90</v>
      </c>
      <c r="AS67" s="477" t="str">
        <f>+'Rango indicadores'!L32</f>
        <v>Hasta (&lt;):</v>
      </c>
      <c r="AT67" s="477">
        <f>+'Rango indicadores'!M32</f>
        <v>95</v>
      </c>
      <c r="AU67" s="477" t="str">
        <f>+'Rango indicadores'!N32</f>
        <v>Menor o Igual A:</v>
      </c>
      <c r="AV67" s="1058">
        <f>+'Rango indicadores'!O32</f>
        <v>90</v>
      </c>
      <c r="AW67" s="581" t="s">
        <v>1167</v>
      </c>
      <c r="AX67" s="654"/>
      <c r="AY67" s="654">
        <f t="shared" si="96"/>
        <v>0</v>
      </c>
      <c r="AZ67" s="654"/>
      <c r="BA67" s="490"/>
    </row>
    <row r="68" spans="2:53" ht="267.60000000000002" customHeight="1">
      <c r="B68" s="474">
        <f t="shared" si="101"/>
        <v>32</v>
      </c>
      <c r="C68" s="475" t="str">
        <f>+'Rango indicadores'!D33</f>
        <v>05-RI-12</v>
      </c>
      <c r="D68" s="475" t="str">
        <f>+'Rango indicadores'!E33</f>
        <v>Personas sensibilizadas en el Distrito Capital</v>
      </c>
      <c r="E68" s="489">
        <f>+'Rango indicadores'!Q33</f>
        <v>71570</v>
      </c>
      <c r="F68" s="489">
        <f>'1.Informe Seguimiento POA 2022'!O24</f>
        <v>10700</v>
      </c>
      <c r="G68" s="489">
        <f>'1.Informe Seguimiento POA 2022'!O24</f>
        <v>10700</v>
      </c>
      <c r="H68" s="489">
        <f>'1.Informe Seguimiento POA 2022'!P24</f>
        <v>16789</v>
      </c>
      <c r="I68" s="489">
        <f>'1.Informe Seguimiento POA 2022'!P24</f>
        <v>16789</v>
      </c>
      <c r="J68" s="489">
        <f t="shared" si="88"/>
        <v>16789</v>
      </c>
      <c r="K68" s="478">
        <f t="shared" si="79"/>
        <v>1.5690654205607477</v>
      </c>
      <c r="L68" s="478">
        <f t="shared" si="102"/>
        <v>1.5690654205607477</v>
      </c>
      <c r="M68" s="478">
        <f t="shared" si="80"/>
        <v>0.23458152857342462</v>
      </c>
      <c r="N68" s="489">
        <f t="shared" si="89"/>
        <v>71570</v>
      </c>
      <c r="O68" s="477">
        <f>+'1.Informe Seguimiento POA 2022'!Q24</f>
        <v>21400</v>
      </c>
      <c r="P68" s="489">
        <f t="shared" si="90"/>
        <v>32100</v>
      </c>
      <c r="Q68" s="477">
        <f>'1.Informe Seguimiento POA 2022'!R24</f>
        <v>27872</v>
      </c>
      <c r="R68" s="477">
        <f>+'1.Informe Seguimiento POA 2022'!P24+'1.Informe Seguimiento POA 2022'!R24</f>
        <v>44661</v>
      </c>
      <c r="S68" s="489">
        <f t="shared" si="91"/>
        <v>44661</v>
      </c>
      <c r="T68" s="478">
        <f t="shared" si="81"/>
        <v>1.3024299065420561</v>
      </c>
      <c r="U68" s="478">
        <f t="shared" si="103"/>
        <v>1.3913084112149532</v>
      </c>
      <c r="V68" s="478">
        <f t="shared" ref="V68:V76" si="107">IF(AND(N68&gt;0,$S68&gt;0),S68/$N68,0)</f>
        <v>0.62401844348190583</v>
      </c>
      <c r="W68" s="489">
        <f t="shared" si="92"/>
        <v>71570</v>
      </c>
      <c r="X68" s="477">
        <f>+'1.Informe Seguimiento POA 2022'!S24</f>
        <v>23550</v>
      </c>
      <c r="Y68" s="477">
        <f>+'1.Informe Seguimiento POA 2022'!O24+'1.Informe Seguimiento POA 2022'!Q24+'1.Informe Seguimiento POA 2022'!S24</f>
        <v>55650</v>
      </c>
      <c r="Z68" s="477">
        <f>+'1.Informe Seguimiento POA 2022'!T24</f>
        <v>22710</v>
      </c>
      <c r="AA68" s="477">
        <f>+'1.Informe Seguimiento POA 2022'!R24+'1.Informe Seguimiento POA 2022'!T24+'1.Informe Seguimiento POA 2022'!P24</f>
        <v>67371</v>
      </c>
      <c r="AB68" s="1058">
        <f t="shared" si="93"/>
        <v>67371</v>
      </c>
      <c r="AC68" s="478">
        <f t="shared" si="83"/>
        <v>0.96433121019108281</v>
      </c>
      <c r="AD68" s="478">
        <f t="shared" si="104"/>
        <v>1.2106199460916443</v>
      </c>
      <c r="AE68" s="478">
        <f t="shared" ref="AE68:AE76" si="108">IF(AND(W68&gt;0,$AB68&gt;0),AB68/$W68,0)</f>
        <v>0.94133016627078381</v>
      </c>
      <c r="AF68" s="489">
        <f t="shared" si="94"/>
        <v>71570</v>
      </c>
      <c r="AG68" s="489">
        <f>+'1.Informe Seguimiento POA 2022'!U24</f>
        <v>15920</v>
      </c>
      <c r="AH68" s="489">
        <f>+'1.Informe Seguimiento POA 2022'!O24+'1.Informe Seguimiento POA 2022'!Q24+'1.Informe Seguimiento POA 2022'!S24+'1.Informe Seguimiento POA 2022'!U24</f>
        <v>71570</v>
      </c>
      <c r="AI68" s="489">
        <f>+'1.Informe Seguimiento POA 2022'!V24</f>
        <v>0</v>
      </c>
      <c r="AJ68" s="489">
        <f>+'1.Informe Seguimiento POA 2022'!P24+'1.Informe Seguimiento POA 2022'!R24+'1.Informe Seguimiento POA 2022'!T24+'1.Informe Seguimiento POA 2022'!V24</f>
        <v>67371</v>
      </c>
      <c r="AK68" s="489">
        <f t="shared" si="95"/>
        <v>67371</v>
      </c>
      <c r="AL68" s="478">
        <f t="shared" si="85"/>
        <v>0</v>
      </c>
      <c r="AM68" s="478">
        <f t="shared" si="105"/>
        <v>0.94133016627078381</v>
      </c>
      <c r="AN68" s="478">
        <f t="shared" ref="AN68:AN76" si="109">IF(AND(AF68&gt;0,$J68&gt;0),AK68/$E68,0)</f>
        <v>0.94133016627078381</v>
      </c>
      <c r="AO68" s="482" t="str">
        <f>+'Rango indicadores'!H33</f>
        <v>Mayor A:</v>
      </c>
      <c r="AP68" s="477">
        <f>+'Rango indicadores'!I33</f>
        <v>85</v>
      </c>
      <c r="AQ68" s="477" t="str">
        <f>+'Rango indicadores'!J33</f>
        <v>Desde (&gt;=):</v>
      </c>
      <c r="AR68" s="477">
        <f>+'Rango indicadores'!K33</f>
        <v>80</v>
      </c>
      <c r="AS68" s="477" t="str">
        <f>+'Rango indicadores'!L33</f>
        <v>Hasta (&lt;=):</v>
      </c>
      <c r="AT68" s="477">
        <f>+'Rango indicadores'!M33</f>
        <v>85</v>
      </c>
      <c r="AU68" s="477" t="str">
        <f>+'Rango indicadores'!N33</f>
        <v>Menor A:</v>
      </c>
      <c r="AV68" s="1058">
        <f>+'Rango indicadores'!O33</f>
        <v>80</v>
      </c>
      <c r="AW68" s="573" t="s">
        <v>1243</v>
      </c>
      <c r="AX68" s="654"/>
      <c r="AY68" s="654">
        <f t="shared" si="96"/>
        <v>840</v>
      </c>
      <c r="AZ68" s="654">
        <f t="shared" si="96"/>
        <v>-11721</v>
      </c>
      <c r="BA68" s="490"/>
    </row>
    <row r="69" spans="2:53" ht="258.75" customHeight="1">
      <c r="B69" s="474">
        <f t="shared" si="101"/>
        <v>33</v>
      </c>
      <c r="C69" s="475" t="str">
        <f>+'Rango indicadores'!D34</f>
        <v>05-RI-13</v>
      </c>
      <c r="D69" s="475" t="str">
        <f>+'Rango indicadores'!E34</f>
        <v>Acciones en favor de las víctimas del conflicto armado interno adelantadas</v>
      </c>
      <c r="E69" s="489">
        <f>+'Rango indicadores'!Q34</f>
        <v>5480</v>
      </c>
      <c r="F69" s="489">
        <f>'1.Informe Seguimiento POA 2022'!O25</f>
        <v>920</v>
      </c>
      <c r="G69" s="489">
        <f>'1.Informe Seguimiento POA 2022'!O25</f>
        <v>920</v>
      </c>
      <c r="H69" s="489">
        <f>'1.Informe Seguimiento POA 2022'!P25</f>
        <v>2701</v>
      </c>
      <c r="I69" s="489">
        <f>'1.Informe Seguimiento POA 2022'!P25</f>
        <v>2701</v>
      </c>
      <c r="J69" s="489">
        <f t="shared" si="88"/>
        <v>2701</v>
      </c>
      <c r="K69" s="478">
        <f t="shared" si="79"/>
        <v>2.9358695652173914</v>
      </c>
      <c r="L69" s="478">
        <f t="shared" si="102"/>
        <v>2.9358695652173914</v>
      </c>
      <c r="M69" s="478">
        <f t="shared" si="80"/>
        <v>0.49288321167883209</v>
      </c>
      <c r="N69" s="489">
        <f t="shared" si="89"/>
        <v>5480</v>
      </c>
      <c r="O69" s="477">
        <f>+'1.Informe Seguimiento POA 2022'!Q25</f>
        <v>1760</v>
      </c>
      <c r="P69" s="489">
        <f t="shared" si="90"/>
        <v>2680</v>
      </c>
      <c r="Q69" s="477">
        <f>'1.Informe Seguimiento POA 2022'!R25</f>
        <v>2810</v>
      </c>
      <c r="R69" s="477">
        <f>+'1.Informe Seguimiento POA 2022'!P25+'1.Informe Seguimiento POA 2022'!R25</f>
        <v>5511</v>
      </c>
      <c r="S69" s="489">
        <f t="shared" si="91"/>
        <v>5511</v>
      </c>
      <c r="T69" s="478">
        <f t="shared" si="81"/>
        <v>1.5965909090909092</v>
      </c>
      <c r="U69" s="478">
        <f t="shared" si="103"/>
        <v>2.0563432835820894</v>
      </c>
      <c r="V69" s="478">
        <f t="shared" si="107"/>
        <v>1.0056569343065693</v>
      </c>
      <c r="W69" s="489">
        <f t="shared" si="92"/>
        <v>5480</v>
      </c>
      <c r="X69" s="477">
        <f>+'1.Informe Seguimiento POA 2022'!S25</f>
        <v>1680</v>
      </c>
      <c r="Y69" s="477">
        <f>+'1.Informe Seguimiento POA 2022'!O25+'1.Informe Seguimiento POA 2022'!Q25+'1.Informe Seguimiento POA 2022'!S25</f>
        <v>4360</v>
      </c>
      <c r="Z69" s="477">
        <f>+'1.Informe Seguimiento POA 2022'!T25</f>
        <v>2279</v>
      </c>
      <c r="AA69" s="477">
        <f>+'1.Informe Seguimiento POA 2022'!R25+'1.Informe Seguimiento POA 2022'!T25+'1.Informe Seguimiento POA 2022'!P25</f>
        <v>7790</v>
      </c>
      <c r="AB69" s="1058">
        <f t="shared" si="93"/>
        <v>7790</v>
      </c>
      <c r="AC69" s="478">
        <f t="shared" si="83"/>
        <v>1.3565476190476191</v>
      </c>
      <c r="AD69" s="478">
        <f t="shared" si="104"/>
        <v>1.786697247706422</v>
      </c>
      <c r="AE69" s="478">
        <f t="shared" si="108"/>
        <v>1.4215328467153285</v>
      </c>
      <c r="AF69" s="489">
        <f t="shared" si="94"/>
        <v>5480</v>
      </c>
      <c r="AG69" s="489">
        <f>+'1.Informe Seguimiento POA 2022'!U25</f>
        <v>1120</v>
      </c>
      <c r="AH69" s="489">
        <f>+'1.Informe Seguimiento POA 2022'!O25+'1.Informe Seguimiento POA 2022'!Q25+'1.Informe Seguimiento POA 2022'!S25+'1.Informe Seguimiento POA 2022'!U25</f>
        <v>5480</v>
      </c>
      <c r="AI69" s="489">
        <f>+'1.Informe Seguimiento POA 2022'!V25</f>
        <v>0</v>
      </c>
      <c r="AJ69" s="489">
        <f>+'1.Informe Seguimiento POA 2022'!P25+'1.Informe Seguimiento POA 2022'!R25+'1.Informe Seguimiento POA 2022'!T25+'1.Informe Seguimiento POA 2022'!V25</f>
        <v>7790</v>
      </c>
      <c r="AK69" s="489">
        <f t="shared" si="95"/>
        <v>7790</v>
      </c>
      <c r="AL69" s="478">
        <f t="shared" si="85"/>
        <v>0</v>
      </c>
      <c r="AM69" s="478">
        <f t="shared" si="105"/>
        <v>1.4215328467153285</v>
      </c>
      <c r="AN69" s="478">
        <f t="shared" si="109"/>
        <v>1.4215328467153285</v>
      </c>
      <c r="AO69" s="482" t="str">
        <f>+'Rango indicadores'!H34</f>
        <v>Mayor A:</v>
      </c>
      <c r="AP69" s="477">
        <f>+'Rango indicadores'!I34</f>
        <v>85</v>
      </c>
      <c r="AQ69" s="477" t="str">
        <f>+'Rango indicadores'!J34</f>
        <v>Desde (&gt;=):</v>
      </c>
      <c r="AR69" s="477">
        <f>+'Rango indicadores'!K34</f>
        <v>80</v>
      </c>
      <c r="AS69" s="477" t="str">
        <f>+'Rango indicadores'!L34</f>
        <v>Hasta (&lt;=):</v>
      </c>
      <c r="AT69" s="477">
        <f>+'Rango indicadores'!M34</f>
        <v>85</v>
      </c>
      <c r="AU69" s="477" t="str">
        <f>+'Rango indicadores'!N34</f>
        <v>Menor A:</v>
      </c>
      <c r="AV69" s="1058">
        <f>+'Rango indicadores'!O34</f>
        <v>80</v>
      </c>
      <c r="AW69" s="573" t="s">
        <v>1219</v>
      </c>
      <c r="AX69" s="654"/>
      <c r="AY69" s="654">
        <f t="shared" si="96"/>
        <v>-599</v>
      </c>
      <c r="AZ69" s="654">
        <f t="shared" si="96"/>
        <v>-3430</v>
      </c>
      <c r="BA69" s="490"/>
    </row>
    <row r="70" spans="2:53" ht="221.25" customHeight="1">
      <c r="B70" s="474">
        <f t="shared" si="101"/>
        <v>34</v>
      </c>
      <c r="C70" s="475" t="str">
        <f>+'Rango indicadores'!D35</f>
        <v>05-RI-14</v>
      </c>
      <c r="D70" s="475" t="str">
        <f>+'Rango indicadores'!E35</f>
        <v>Acciones constitucionales elaboradas para prevenir vulneración de derechos</v>
      </c>
      <c r="E70" s="489">
        <f>+'Rango indicadores'!Q35</f>
        <v>4790</v>
      </c>
      <c r="F70" s="489">
        <f>'1.Informe Seguimiento POA 2022'!O26</f>
        <v>1311</v>
      </c>
      <c r="G70" s="489">
        <f>'1.Informe Seguimiento POA 2022'!O26</f>
        <v>1311</v>
      </c>
      <c r="H70" s="489">
        <f>'1.Informe Seguimiento POA 2022'!P26</f>
        <v>1473</v>
      </c>
      <c r="I70" s="489">
        <f>'1.Informe Seguimiento POA 2022'!P26</f>
        <v>1473</v>
      </c>
      <c r="J70" s="489">
        <f t="shared" si="88"/>
        <v>1473</v>
      </c>
      <c r="K70" s="478">
        <f t="shared" si="79"/>
        <v>1.1235697940503433</v>
      </c>
      <c r="L70" s="478">
        <f t="shared" si="102"/>
        <v>1.1235697940503433</v>
      </c>
      <c r="M70" s="478">
        <f t="shared" si="80"/>
        <v>0.30751565762004174</v>
      </c>
      <c r="N70" s="489">
        <f t="shared" si="89"/>
        <v>4790</v>
      </c>
      <c r="O70" s="477">
        <f>+'1.Informe Seguimiento POA 2022'!Q26</f>
        <v>1674</v>
      </c>
      <c r="P70" s="489">
        <f t="shared" si="90"/>
        <v>2985</v>
      </c>
      <c r="Q70" s="477">
        <f>'1.Informe Seguimiento POA 2022'!R26</f>
        <v>1824</v>
      </c>
      <c r="R70" s="477">
        <f>+'1.Informe Seguimiento POA 2022'!P26+'1.Informe Seguimiento POA 2022'!R26</f>
        <v>3297</v>
      </c>
      <c r="S70" s="489">
        <f t="shared" si="91"/>
        <v>3297</v>
      </c>
      <c r="T70" s="478">
        <f t="shared" si="81"/>
        <v>1.0896057347670252</v>
      </c>
      <c r="U70" s="478">
        <f t="shared" si="103"/>
        <v>1.1045226130653267</v>
      </c>
      <c r="V70" s="478">
        <f t="shared" si="107"/>
        <v>0.68830897703549065</v>
      </c>
      <c r="W70" s="489">
        <f t="shared" si="92"/>
        <v>4790</v>
      </c>
      <c r="X70" s="477">
        <f>+'1.Informe Seguimiento POA 2022'!S26</f>
        <v>1107</v>
      </c>
      <c r="Y70" s="477">
        <f>+'1.Informe Seguimiento POA 2022'!O26+'1.Informe Seguimiento POA 2022'!Q26+'1.Informe Seguimiento POA 2022'!S26</f>
        <v>4092</v>
      </c>
      <c r="Z70" s="477">
        <f>+'1.Informe Seguimiento POA 2022'!T26</f>
        <v>2201</v>
      </c>
      <c r="AA70" s="477">
        <f>+'1.Informe Seguimiento POA 2022'!R26+'1.Informe Seguimiento POA 2022'!T26+'1.Informe Seguimiento POA 2022'!P26</f>
        <v>5498</v>
      </c>
      <c r="AB70" s="1058">
        <f t="shared" si="93"/>
        <v>5498</v>
      </c>
      <c r="AC70" s="478">
        <f t="shared" si="83"/>
        <v>1.9882565492321589</v>
      </c>
      <c r="AD70" s="478">
        <f t="shared" si="104"/>
        <v>1.3435972629521016</v>
      </c>
      <c r="AE70" s="478">
        <f t="shared" si="108"/>
        <v>1.1478079331941544</v>
      </c>
      <c r="AF70" s="489">
        <f t="shared" si="94"/>
        <v>4790</v>
      </c>
      <c r="AG70" s="489">
        <f>+'1.Informe Seguimiento POA 2022'!U26</f>
        <v>698</v>
      </c>
      <c r="AH70" s="489">
        <f>+'1.Informe Seguimiento POA 2022'!O26+'1.Informe Seguimiento POA 2022'!Q26+'1.Informe Seguimiento POA 2022'!S26+'1.Informe Seguimiento POA 2022'!U26</f>
        <v>4790</v>
      </c>
      <c r="AI70" s="489">
        <f>+'1.Informe Seguimiento POA 2022'!V26</f>
        <v>0</v>
      </c>
      <c r="AJ70" s="489">
        <f>+'1.Informe Seguimiento POA 2022'!P26+'1.Informe Seguimiento POA 2022'!R26+'1.Informe Seguimiento POA 2022'!T26+'1.Informe Seguimiento POA 2022'!V26</f>
        <v>5498</v>
      </c>
      <c r="AK70" s="489">
        <f t="shared" si="95"/>
        <v>5498</v>
      </c>
      <c r="AL70" s="478">
        <f t="shared" si="85"/>
        <v>0</v>
      </c>
      <c r="AM70" s="478">
        <f t="shared" si="105"/>
        <v>1.1478079331941544</v>
      </c>
      <c r="AN70" s="478">
        <f t="shared" si="109"/>
        <v>1.1478079331941544</v>
      </c>
      <c r="AO70" s="482" t="str">
        <f>+'Rango indicadores'!H35</f>
        <v>Mayor A:</v>
      </c>
      <c r="AP70" s="477">
        <f>+'Rango indicadores'!I35</f>
        <v>85</v>
      </c>
      <c r="AQ70" s="477" t="str">
        <f>+'Rango indicadores'!J35</f>
        <v>Desde (&gt;=):</v>
      </c>
      <c r="AR70" s="477">
        <f>+'Rango indicadores'!K35</f>
        <v>80</v>
      </c>
      <c r="AS70" s="477" t="str">
        <f>+'Rango indicadores'!L35</f>
        <v>Hasta (&lt;=):</v>
      </c>
      <c r="AT70" s="477">
        <f>+'Rango indicadores'!M35</f>
        <v>85</v>
      </c>
      <c r="AU70" s="477" t="str">
        <f>+'Rango indicadores'!N35</f>
        <v>Menor A:</v>
      </c>
      <c r="AV70" s="1058">
        <f>+'Rango indicadores'!O35</f>
        <v>80</v>
      </c>
      <c r="AW70" s="1078" t="s">
        <v>1220</v>
      </c>
      <c r="AX70" s="654"/>
      <c r="AY70" s="654">
        <f t="shared" si="96"/>
        <v>-1094</v>
      </c>
      <c r="AZ70" s="654">
        <f t="shared" si="96"/>
        <v>-1406</v>
      </c>
      <c r="BA70" s="490"/>
    </row>
    <row r="71" spans="2:53" ht="124.9" customHeight="1">
      <c r="B71" s="474">
        <f t="shared" si="101"/>
        <v>35</v>
      </c>
      <c r="C71" s="475" t="str">
        <f>+'Rango indicadores'!D36</f>
        <v>05-RI-15</v>
      </c>
      <c r="D71" s="475" t="str">
        <f>+'Rango indicadores'!E36</f>
        <v>Verificaciones de cumplimiento realizadas por el Ministerio Público a las medidas de protección impuestas por las Comisarías de Familia</v>
      </c>
      <c r="E71" s="489">
        <f>+'Rango indicadores'!Q36</f>
        <v>800</v>
      </c>
      <c r="F71" s="489">
        <f>'1.Informe Seguimiento POA 2022'!O27</f>
        <v>140</v>
      </c>
      <c r="G71" s="489">
        <f>'1.Informe Seguimiento POA 2022'!O27</f>
        <v>140</v>
      </c>
      <c r="H71" s="489">
        <f>'1.Informe Seguimiento POA 2022'!P27</f>
        <v>53</v>
      </c>
      <c r="I71" s="489">
        <f>'1.Informe Seguimiento POA 2022'!P27</f>
        <v>53</v>
      </c>
      <c r="J71" s="489">
        <f t="shared" si="88"/>
        <v>53</v>
      </c>
      <c r="K71" s="478">
        <f t="shared" si="79"/>
        <v>0.37857142857142856</v>
      </c>
      <c r="L71" s="478">
        <f t="shared" si="102"/>
        <v>0.37857142857142856</v>
      </c>
      <c r="M71" s="478">
        <f t="shared" si="80"/>
        <v>6.6250000000000003E-2</v>
      </c>
      <c r="N71" s="489">
        <f t="shared" si="89"/>
        <v>800</v>
      </c>
      <c r="O71" s="477">
        <f>+'1.Informe Seguimiento POA 2022'!Q27</f>
        <v>270</v>
      </c>
      <c r="P71" s="489">
        <f t="shared" si="90"/>
        <v>410</v>
      </c>
      <c r="Q71" s="477">
        <f>'1.Informe Seguimiento POA 2022'!R27</f>
        <v>144</v>
      </c>
      <c r="R71" s="477">
        <f>+'1.Informe Seguimiento POA 2022'!P27+'1.Informe Seguimiento POA 2022'!R27</f>
        <v>197</v>
      </c>
      <c r="S71" s="489">
        <f t="shared" si="91"/>
        <v>197</v>
      </c>
      <c r="T71" s="478">
        <f t="shared" si="81"/>
        <v>0.53333333333333333</v>
      </c>
      <c r="U71" s="478">
        <f t="shared" si="103"/>
        <v>0.48048780487804876</v>
      </c>
      <c r="V71" s="478">
        <f t="shared" si="107"/>
        <v>0.24625</v>
      </c>
      <c r="W71" s="489">
        <f t="shared" si="92"/>
        <v>800</v>
      </c>
      <c r="X71" s="477">
        <f>+'1.Informe Seguimiento POA 2022'!S27</f>
        <v>240</v>
      </c>
      <c r="Y71" s="477">
        <f>+'1.Informe Seguimiento POA 2022'!O27+'1.Informe Seguimiento POA 2022'!Q27+'1.Informe Seguimiento POA 2022'!S27</f>
        <v>650</v>
      </c>
      <c r="Z71" s="477">
        <f>+'1.Informe Seguimiento POA 2022'!T27</f>
        <v>485</v>
      </c>
      <c r="AA71" s="477">
        <f>+'1.Informe Seguimiento POA 2022'!R27+'1.Informe Seguimiento POA 2022'!T27+'1.Informe Seguimiento POA 2022'!P27</f>
        <v>682</v>
      </c>
      <c r="AB71" s="1058">
        <f t="shared" si="93"/>
        <v>682</v>
      </c>
      <c r="AC71" s="478">
        <f t="shared" si="83"/>
        <v>2.0208333333333335</v>
      </c>
      <c r="AD71" s="478">
        <f t="shared" si="104"/>
        <v>1.0492307692307692</v>
      </c>
      <c r="AE71" s="478">
        <f t="shared" si="108"/>
        <v>0.85250000000000004</v>
      </c>
      <c r="AF71" s="489">
        <f t="shared" si="94"/>
        <v>800</v>
      </c>
      <c r="AG71" s="489">
        <f>+'1.Informe Seguimiento POA 2022'!U27</f>
        <v>150</v>
      </c>
      <c r="AH71" s="489">
        <f>+'1.Informe Seguimiento POA 2022'!O27+'1.Informe Seguimiento POA 2022'!Q27+'1.Informe Seguimiento POA 2022'!S27+'1.Informe Seguimiento POA 2022'!U27</f>
        <v>800</v>
      </c>
      <c r="AI71" s="489">
        <f>+'1.Informe Seguimiento POA 2022'!V27</f>
        <v>0</v>
      </c>
      <c r="AJ71" s="489">
        <f>+'1.Informe Seguimiento POA 2022'!P27+'1.Informe Seguimiento POA 2022'!R27+'1.Informe Seguimiento POA 2022'!T27+'1.Informe Seguimiento POA 2022'!V27</f>
        <v>682</v>
      </c>
      <c r="AK71" s="489">
        <f t="shared" si="95"/>
        <v>682</v>
      </c>
      <c r="AL71" s="478">
        <f t="shared" si="85"/>
        <v>0</v>
      </c>
      <c r="AM71" s="478">
        <f t="shared" si="105"/>
        <v>0.85250000000000004</v>
      </c>
      <c r="AN71" s="478">
        <f t="shared" si="109"/>
        <v>0.85250000000000004</v>
      </c>
      <c r="AO71" s="482" t="str">
        <f>+'Rango indicadores'!H36</f>
        <v>Mayor A:</v>
      </c>
      <c r="AP71" s="477">
        <f>+'Rango indicadores'!I36</f>
        <v>85</v>
      </c>
      <c r="AQ71" s="477" t="str">
        <f>+'Rango indicadores'!J36</f>
        <v>Desde (&gt;=):</v>
      </c>
      <c r="AR71" s="477">
        <f>+'Rango indicadores'!K36</f>
        <v>80</v>
      </c>
      <c r="AS71" s="477" t="str">
        <f>+'Rango indicadores'!L36</f>
        <v>Hasta (&lt;=):</v>
      </c>
      <c r="AT71" s="477">
        <f>+'Rango indicadores'!M36</f>
        <v>85</v>
      </c>
      <c r="AU71" s="477" t="str">
        <f>+'Rango indicadores'!N36</f>
        <v>Menor A:</v>
      </c>
      <c r="AV71" s="1058">
        <f>+'Rango indicadores'!O36</f>
        <v>80</v>
      </c>
      <c r="AW71" s="1080" t="s">
        <v>1207</v>
      </c>
      <c r="AX71" s="654"/>
      <c r="AY71" s="654">
        <f t="shared" si="96"/>
        <v>-245</v>
      </c>
      <c r="AZ71" s="654">
        <f t="shared" si="96"/>
        <v>-32</v>
      </c>
      <c r="BA71" s="490"/>
    </row>
    <row r="72" spans="2:53" ht="190.9" customHeight="1">
      <c r="B72" s="474">
        <f t="shared" si="101"/>
        <v>36</v>
      </c>
      <c r="C72" s="475" t="str">
        <f>+'Rango indicadores'!D37</f>
        <v>05-RI-16</v>
      </c>
      <c r="D72" s="475" t="str">
        <f>+'Rango indicadores'!E37</f>
        <v>Espacios Interinstitucionales con participación</v>
      </c>
      <c r="E72" s="489">
        <f>+'Rango indicadores'!Q37</f>
        <v>2771</v>
      </c>
      <c r="F72" s="489">
        <f>'1.Informe Seguimiento POA 2022'!O28</f>
        <v>678</v>
      </c>
      <c r="G72" s="489">
        <f>'1.Informe Seguimiento POA 2022'!O28</f>
        <v>678</v>
      </c>
      <c r="H72" s="489">
        <f>'1.Informe Seguimiento POA 2022'!P28</f>
        <v>602</v>
      </c>
      <c r="I72" s="489">
        <f>'1.Informe Seguimiento POA 2022'!P28</f>
        <v>602</v>
      </c>
      <c r="J72" s="489">
        <f t="shared" si="88"/>
        <v>602</v>
      </c>
      <c r="K72" s="478">
        <f t="shared" si="79"/>
        <v>0.88790560471976399</v>
      </c>
      <c r="L72" s="478">
        <f t="shared" si="102"/>
        <v>0.88790560471976399</v>
      </c>
      <c r="M72" s="478">
        <f t="shared" si="80"/>
        <v>0.21725009022013714</v>
      </c>
      <c r="N72" s="489">
        <f t="shared" si="89"/>
        <v>2771</v>
      </c>
      <c r="O72" s="477">
        <f>+'1.Informe Seguimiento POA 2022'!Q28</f>
        <v>702</v>
      </c>
      <c r="P72" s="489">
        <f t="shared" si="90"/>
        <v>1380</v>
      </c>
      <c r="Q72" s="477">
        <f>'1.Informe Seguimiento POA 2022'!R28</f>
        <v>847</v>
      </c>
      <c r="R72" s="477">
        <f>+'1.Informe Seguimiento POA 2022'!P28+'1.Informe Seguimiento POA 2022'!R28</f>
        <v>1449</v>
      </c>
      <c r="S72" s="489">
        <f t="shared" si="91"/>
        <v>1449</v>
      </c>
      <c r="T72" s="478">
        <f t="shared" si="81"/>
        <v>1.2065527065527066</v>
      </c>
      <c r="U72" s="478">
        <f t="shared" si="103"/>
        <v>1.05</v>
      </c>
      <c r="V72" s="478">
        <f t="shared" si="107"/>
        <v>0.52291591483219058</v>
      </c>
      <c r="W72" s="489">
        <f t="shared" si="92"/>
        <v>2771</v>
      </c>
      <c r="X72" s="477">
        <f>+'1.Informe Seguimiento POA 2022'!S28</f>
        <v>703</v>
      </c>
      <c r="Y72" s="477">
        <f>+'1.Informe Seguimiento POA 2022'!O28+'1.Informe Seguimiento POA 2022'!Q28+'1.Informe Seguimiento POA 2022'!S28</f>
        <v>2083</v>
      </c>
      <c r="Z72" s="477">
        <f>+'1.Informe Seguimiento POA 2022'!T28</f>
        <v>810</v>
      </c>
      <c r="AA72" s="477">
        <f>+'1.Informe Seguimiento POA 2022'!R28+'1.Informe Seguimiento POA 2022'!T28+'1.Informe Seguimiento POA 2022'!P28</f>
        <v>2259</v>
      </c>
      <c r="AB72" s="1058">
        <f t="shared" si="93"/>
        <v>2259</v>
      </c>
      <c r="AC72" s="478">
        <f t="shared" si="83"/>
        <v>1.1522048364153628</v>
      </c>
      <c r="AD72" s="478">
        <f t="shared" si="104"/>
        <v>1.084493518963034</v>
      </c>
      <c r="AE72" s="478">
        <f t="shared" si="108"/>
        <v>0.81522915914832195</v>
      </c>
      <c r="AF72" s="489">
        <f t="shared" si="94"/>
        <v>2771</v>
      </c>
      <c r="AG72" s="489">
        <f>+'1.Informe Seguimiento POA 2022'!U28</f>
        <v>688</v>
      </c>
      <c r="AH72" s="489">
        <f>+'1.Informe Seguimiento POA 2022'!O28+'1.Informe Seguimiento POA 2022'!Q28+'1.Informe Seguimiento POA 2022'!S28+'1.Informe Seguimiento POA 2022'!U28</f>
        <v>2771</v>
      </c>
      <c r="AI72" s="489">
        <f>+'1.Informe Seguimiento POA 2022'!V28</f>
        <v>0</v>
      </c>
      <c r="AJ72" s="489">
        <f>+'1.Informe Seguimiento POA 2022'!P28+'1.Informe Seguimiento POA 2022'!R28+'1.Informe Seguimiento POA 2022'!T28+'1.Informe Seguimiento POA 2022'!V28</f>
        <v>2259</v>
      </c>
      <c r="AK72" s="489">
        <f t="shared" si="95"/>
        <v>2259</v>
      </c>
      <c r="AL72" s="478">
        <f t="shared" si="85"/>
        <v>0</v>
      </c>
      <c r="AM72" s="478">
        <f t="shared" si="105"/>
        <v>0.81522915914832195</v>
      </c>
      <c r="AN72" s="478">
        <f t="shared" si="109"/>
        <v>0.81522915914832195</v>
      </c>
      <c r="AO72" s="482" t="str">
        <f>+'Rango indicadores'!H37</f>
        <v>Mayor A:</v>
      </c>
      <c r="AP72" s="477">
        <f>+'Rango indicadores'!I37</f>
        <v>85</v>
      </c>
      <c r="AQ72" s="477" t="str">
        <f>+'Rango indicadores'!J37</f>
        <v>Desde (&gt;=):</v>
      </c>
      <c r="AR72" s="477">
        <f>+'Rango indicadores'!K37</f>
        <v>80</v>
      </c>
      <c r="AS72" s="477" t="str">
        <f>+'Rango indicadores'!L37</f>
        <v>Hasta (&lt;=):</v>
      </c>
      <c r="AT72" s="477">
        <f>+'Rango indicadores'!M37</f>
        <v>85</v>
      </c>
      <c r="AU72" s="477" t="str">
        <f>+'Rango indicadores'!N37</f>
        <v>Menor A:</v>
      </c>
      <c r="AV72" s="1058">
        <f>+'Rango indicadores'!O37</f>
        <v>80</v>
      </c>
      <c r="AW72" s="573" t="s">
        <v>1208</v>
      </c>
      <c r="AX72" s="654"/>
      <c r="AY72" s="654">
        <f t="shared" si="96"/>
        <v>-107</v>
      </c>
      <c r="AZ72" s="654">
        <f t="shared" si="96"/>
        <v>-176</v>
      </c>
      <c r="BA72" s="490"/>
    </row>
    <row r="73" spans="2:53" ht="203.25" customHeight="1">
      <c r="B73" s="474">
        <f t="shared" si="101"/>
        <v>37</v>
      </c>
      <c r="C73" s="475" t="str">
        <f>+'Rango indicadores'!D38</f>
        <v>05-RI-17</v>
      </c>
      <c r="D73" s="475" t="str">
        <f>+'Rango indicadores'!E38</f>
        <v>Seguimientos a la Amenaza y Vulneración de los Derechos Realizados</v>
      </c>
      <c r="E73" s="489">
        <f>+'Rango indicadores'!Q38</f>
        <v>208</v>
      </c>
      <c r="F73" s="489">
        <f>'1.Informe Seguimiento POA 2022'!O29</f>
        <v>45</v>
      </c>
      <c r="G73" s="489">
        <f>'1.Informe Seguimiento POA 2022'!O29</f>
        <v>45</v>
      </c>
      <c r="H73" s="489">
        <f>'1.Informe Seguimiento POA 2022'!P29</f>
        <v>88</v>
      </c>
      <c r="I73" s="489">
        <f>'1.Informe Seguimiento POA 2022'!P29</f>
        <v>88</v>
      </c>
      <c r="J73" s="489">
        <f t="shared" si="88"/>
        <v>88</v>
      </c>
      <c r="K73" s="478">
        <f t="shared" si="79"/>
        <v>1.9555555555555555</v>
      </c>
      <c r="L73" s="478">
        <f t="shared" si="102"/>
        <v>1.9555555555555555</v>
      </c>
      <c r="M73" s="478">
        <f t="shared" si="80"/>
        <v>0.42307692307692307</v>
      </c>
      <c r="N73" s="489">
        <f t="shared" si="89"/>
        <v>208</v>
      </c>
      <c r="O73" s="477">
        <f>+'1.Informe Seguimiento POA 2022'!Q29</f>
        <v>64</v>
      </c>
      <c r="P73" s="489">
        <f t="shared" si="90"/>
        <v>109</v>
      </c>
      <c r="Q73" s="477">
        <f>'1.Informe Seguimiento POA 2022'!R29</f>
        <v>94</v>
      </c>
      <c r="R73" s="477">
        <f>+'1.Informe Seguimiento POA 2022'!P29+'1.Informe Seguimiento POA 2022'!R29</f>
        <v>182</v>
      </c>
      <c r="S73" s="489">
        <f t="shared" si="91"/>
        <v>182</v>
      </c>
      <c r="T73" s="478">
        <f t="shared" si="81"/>
        <v>1.46875</v>
      </c>
      <c r="U73" s="478">
        <f t="shared" si="103"/>
        <v>1.6697247706422018</v>
      </c>
      <c r="V73" s="478">
        <f t="shared" si="107"/>
        <v>0.875</v>
      </c>
      <c r="W73" s="489">
        <f t="shared" si="92"/>
        <v>208</v>
      </c>
      <c r="X73" s="477">
        <f>+'1.Informe Seguimiento POA 2022'!S29</f>
        <v>57</v>
      </c>
      <c r="Y73" s="477">
        <f>+'1.Informe Seguimiento POA 2022'!O29+'1.Informe Seguimiento POA 2022'!Q29+'1.Informe Seguimiento POA 2022'!S29</f>
        <v>166</v>
      </c>
      <c r="Z73" s="477">
        <f>+'1.Informe Seguimiento POA 2022'!T29</f>
        <v>87</v>
      </c>
      <c r="AA73" s="477">
        <f>+'1.Informe Seguimiento POA 2022'!R29+'1.Informe Seguimiento POA 2022'!T29+'1.Informe Seguimiento POA 2022'!P29</f>
        <v>269</v>
      </c>
      <c r="AB73" s="1058">
        <f t="shared" si="93"/>
        <v>269</v>
      </c>
      <c r="AC73" s="478">
        <f t="shared" si="83"/>
        <v>1.5263157894736843</v>
      </c>
      <c r="AD73" s="478">
        <f t="shared" si="104"/>
        <v>1.6204819277108433</v>
      </c>
      <c r="AE73" s="478">
        <f t="shared" si="108"/>
        <v>1.2932692307692308</v>
      </c>
      <c r="AF73" s="489">
        <f t="shared" si="94"/>
        <v>208</v>
      </c>
      <c r="AG73" s="489">
        <f>+'1.Informe Seguimiento POA 2022'!U29</f>
        <v>42</v>
      </c>
      <c r="AH73" s="489">
        <f>+'1.Informe Seguimiento POA 2022'!O29+'1.Informe Seguimiento POA 2022'!Q29+'1.Informe Seguimiento POA 2022'!S29+'1.Informe Seguimiento POA 2022'!U29</f>
        <v>208</v>
      </c>
      <c r="AI73" s="489">
        <f>+'1.Informe Seguimiento POA 2022'!V29</f>
        <v>0</v>
      </c>
      <c r="AJ73" s="489">
        <f>+'1.Informe Seguimiento POA 2022'!P29+'1.Informe Seguimiento POA 2022'!R29+'1.Informe Seguimiento POA 2022'!T29+'1.Informe Seguimiento POA 2022'!V29</f>
        <v>269</v>
      </c>
      <c r="AK73" s="489">
        <f t="shared" si="95"/>
        <v>269</v>
      </c>
      <c r="AL73" s="478">
        <f t="shared" si="85"/>
        <v>0</v>
      </c>
      <c r="AM73" s="478">
        <f t="shared" si="105"/>
        <v>1.2932692307692308</v>
      </c>
      <c r="AN73" s="478">
        <f t="shared" si="109"/>
        <v>1.2932692307692308</v>
      </c>
      <c r="AO73" s="482" t="str">
        <f>+'Rango indicadores'!H38</f>
        <v>Mayor A:</v>
      </c>
      <c r="AP73" s="477">
        <f>+'Rango indicadores'!I38</f>
        <v>85</v>
      </c>
      <c r="AQ73" s="477" t="str">
        <f>+'Rango indicadores'!J38</f>
        <v>Desde (&gt;=):</v>
      </c>
      <c r="AR73" s="477">
        <f>+'Rango indicadores'!K38</f>
        <v>80</v>
      </c>
      <c r="AS73" s="477" t="str">
        <f>+'Rango indicadores'!L38</f>
        <v>Hasta (&lt;=):</v>
      </c>
      <c r="AT73" s="477">
        <f>+'Rango indicadores'!M38</f>
        <v>85</v>
      </c>
      <c r="AU73" s="477" t="str">
        <f>+'Rango indicadores'!N38</f>
        <v>Menor A:</v>
      </c>
      <c r="AV73" s="1058">
        <f>+'Rango indicadores'!O38</f>
        <v>80</v>
      </c>
      <c r="AW73" s="573" t="s">
        <v>1222</v>
      </c>
      <c r="AX73" s="654"/>
      <c r="AY73" s="654">
        <f t="shared" si="96"/>
        <v>-30</v>
      </c>
      <c r="AZ73" s="654">
        <f t="shared" si="96"/>
        <v>-103</v>
      </c>
      <c r="BA73" s="490"/>
    </row>
    <row r="74" spans="2:53" ht="229.9" customHeight="1">
      <c r="B74" s="474">
        <f t="shared" si="101"/>
        <v>38</v>
      </c>
      <c r="C74" s="475" t="str">
        <f>+'Rango indicadores'!D39</f>
        <v>05-RI-18</v>
      </c>
      <c r="D74" s="475" t="str">
        <f>+'Rango indicadores'!E39</f>
        <v>Actividades de acercamiento de la Entidad a la comunidad realizadas</v>
      </c>
      <c r="E74" s="489">
        <f>+'Rango indicadores'!Q39</f>
        <v>8</v>
      </c>
      <c r="F74" s="489">
        <f>'1.Informe Seguimiento POA 2022'!O30</f>
        <v>0</v>
      </c>
      <c r="G74" s="489">
        <f>'1.Informe Seguimiento POA 2022'!O30</f>
        <v>0</v>
      </c>
      <c r="H74" s="489">
        <f>'1.Informe Seguimiento POA 2022'!P30</f>
        <v>0.2</v>
      </c>
      <c r="I74" s="489">
        <f>'1.Informe Seguimiento POA 2022'!P30</f>
        <v>0.2</v>
      </c>
      <c r="J74" s="489">
        <f t="shared" si="88"/>
        <v>0.2</v>
      </c>
      <c r="K74" s="491" t="str">
        <f t="shared" si="79"/>
        <v>No programado</v>
      </c>
      <c r="L74" s="491" t="str">
        <f t="shared" si="102"/>
        <v>No programado</v>
      </c>
      <c r="M74" s="478">
        <f t="shared" si="80"/>
        <v>2.5000000000000001E-2</v>
      </c>
      <c r="N74" s="489">
        <f t="shared" si="89"/>
        <v>8</v>
      </c>
      <c r="O74" s="477">
        <f>+'1.Informe Seguimiento POA 2022'!Q30</f>
        <v>2</v>
      </c>
      <c r="P74" s="489">
        <f t="shared" si="90"/>
        <v>2</v>
      </c>
      <c r="Q74" s="477">
        <f>'1.Informe Seguimiento POA 2022'!R30</f>
        <v>1.8000000000000003</v>
      </c>
      <c r="R74" s="477">
        <f>+'1.Informe Seguimiento POA 2022'!P30+'1.Informe Seguimiento POA 2022'!R30</f>
        <v>2.0000000000000004</v>
      </c>
      <c r="S74" s="489">
        <f t="shared" si="91"/>
        <v>2.0000000000000004</v>
      </c>
      <c r="T74" s="491">
        <f t="shared" si="81"/>
        <v>0.90000000000000013</v>
      </c>
      <c r="U74" s="491">
        <f t="shared" si="103"/>
        <v>1.0000000000000002</v>
      </c>
      <c r="V74" s="478">
        <f t="shared" si="107"/>
        <v>0.25000000000000006</v>
      </c>
      <c r="W74" s="489">
        <f t="shared" si="92"/>
        <v>8</v>
      </c>
      <c r="X74" s="477">
        <f>+'1.Informe Seguimiento POA 2022'!S30</f>
        <v>5</v>
      </c>
      <c r="Y74" s="477">
        <f>+'1.Informe Seguimiento POA 2022'!O30+'1.Informe Seguimiento POA 2022'!Q30+'1.Informe Seguimiento POA 2022'!S30</f>
        <v>7</v>
      </c>
      <c r="Z74" s="477">
        <f>+'1.Informe Seguimiento POA 2022'!T30</f>
        <v>2.6</v>
      </c>
      <c r="AA74" s="477">
        <f>+'1.Informe Seguimiento POA 2022'!R30+'1.Informe Seguimiento POA 2022'!T30+'1.Informe Seguimiento POA 2022'!P30</f>
        <v>4.6000000000000005</v>
      </c>
      <c r="AB74" s="1058">
        <f t="shared" si="93"/>
        <v>4.6000000000000005</v>
      </c>
      <c r="AC74" s="491">
        <f t="shared" si="83"/>
        <v>0.52</v>
      </c>
      <c r="AD74" s="491">
        <f t="shared" si="104"/>
        <v>0.65714285714285725</v>
      </c>
      <c r="AE74" s="478">
        <f t="shared" si="108"/>
        <v>0.57500000000000007</v>
      </c>
      <c r="AF74" s="489">
        <f t="shared" si="94"/>
        <v>8</v>
      </c>
      <c r="AG74" s="489">
        <f>+'1.Informe Seguimiento POA 2022'!U30</f>
        <v>1</v>
      </c>
      <c r="AH74" s="489">
        <f>+'1.Informe Seguimiento POA 2022'!O30+'1.Informe Seguimiento POA 2022'!Q30+'1.Informe Seguimiento POA 2022'!S30+'1.Informe Seguimiento POA 2022'!U30</f>
        <v>8</v>
      </c>
      <c r="AI74" s="489">
        <f>+'1.Informe Seguimiento POA 2022'!V30</f>
        <v>0</v>
      </c>
      <c r="AJ74" s="489">
        <f>+'1.Informe Seguimiento POA 2022'!P30+'1.Informe Seguimiento POA 2022'!R30+'1.Informe Seguimiento POA 2022'!T30+'1.Informe Seguimiento POA 2022'!V30</f>
        <v>4.6000000000000005</v>
      </c>
      <c r="AK74" s="489">
        <f t="shared" si="95"/>
        <v>4.6000000000000005</v>
      </c>
      <c r="AL74" s="491">
        <f t="shared" si="85"/>
        <v>0</v>
      </c>
      <c r="AM74" s="491">
        <f t="shared" si="105"/>
        <v>0.57500000000000007</v>
      </c>
      <c r="AN74" s="478">
        <f t="shared" si="109"/>
        <v>0.57500000000000007</v>
      </c>
      <c r="AO74" s="482" t="str">
        <f>+'Rango indicadores'!H39</f>
        <v>Mayor A:</v>
      </c>
      <c r="AP74" s="477">
        <f>+'Rango indicadores'!I39</f>
        <v>85</v>
      </c>
      <c r="AQ74" s="477" t="str">
        <f>+'Rango indicadores'!J39</f>
        <v>Desde (&gt;=):</v>
      </c>
      <c r="AR74" s="477">
        <f>+'Rango indicadores'!K39</f>
        <v>80</v>
      </c>
      <c r="AS74" s="477" t="str">
        <f>+'Rango indicadores'!L39</f>
        <v>Hasta (&lt;=):</v>
      </c>
      <c r="AT74" s="477">
        <f>+'Rango indicadores'!M39</f>
        <v>85</v>
      </c>
      <c r="AU74" s="477" t="str">
        <f>+'Rango indicadores'!N39</f>
        <v>Menor A:</v>
      </c>
      <c r="AV74" s="1058">
        <f>+'Rango indicadores'!O39</f>
        <v>80</v>
      </c>
      <c r="AW74" s="1078" t="s">
        <v>1241</v>
      </c>
      <c r="AX74" s="654"/>
      <c r="AY74" s="654">
        <f t="shared" si="96"/>
        <v>2.4</v>
      </c>
      <c r="AZ74" s="654">
        <f t="shared" si="96"/>
        <v>2.3999999999999995</v>
      </c>
      <c r="BA74" s="490"/>
    </row>
    <row r="75" spans="2:53" ht="246" customHeight="1">
      <c r="B75" s="474">
        <f t="shared" si="101"/>
        <v>39</v>
      </c>
      <c r="C75" s="475" t="str">
        <f>+'Rango indicadores'!D40</f>
        <v>05-RI-19</v>
      </c>
      <c r="D75" s="475" t="str">
        <f>+'Rango indicadores'!E40</f>
        <v>Acciones realizadas para incrementar la cobertura de los servicios</v>
      </c>
      <c r="E75" s="489">
        <f>+'Rango indicadores'!Q40</f>
        <v>3</v>
      </c>
      <c r="F75" s="489">
        <f>'1.Informe Seguimiento POA 2022'!O31</f>
        <v>0</v>
      </c>
      <c r="G75" s="489">
        <f>'1.Informe Seguimiento POA 2022'!O31</f>
        <v>0</v>
      </c>
      <c r="H75" s="489">
        <f>'1.Informe Seguimiento POA 2022'!P31</f>
        <v>0</v>
      </c>
      <c r="I75" s="489">
        <f>'1.Informe Seguimiento POA 2022'!P31</f>
        <v>0</v>
      </c>
      <c r="J75" s="489">
        <f t="shared" si="88"/>
        <v>0</v>
      </c>
      <c r="K75" s="491" t="str">
        <f t="shared" si="79"/>
        <v>No programado</v>
      </c>
      <c r="L75" s="491" t="str">
        <f t="shared" si="102"/>
        <v>No programado</v>
      </c>
      <c r="M75" s="478">
        <f t="shared" si="80"/>
        <v>0</v>
      </c>
      <c r="N75" s="489">
        <f t="shared" si="89"/>
        <v>3</v>
      </c>
      <c r="O75" s="477">
        <f>+'1.Informe Seguimiento POA 2022'!Q31</f>
        <v>0</v>
      </c>
      <c r="P75" s="489">
        <f t="shared" si="90"/>
        <v>0</v>
      </c>
      <c r="Q75" s="477">
        <f>'1.Informe Seguimiento POA 2022'!R31</f>
        <v>0</v>
      </c>
      <c r="R75" s="477">
        <f>+'1.Informe Seguimiento POA 2022'!P31+'1.Informe Seguimiento POA 2022'!R31</f>
        <v>0</v>
      </c>
      <c r="S75" s="489">
        <f t="shared" si="91"/>
        <v>0</v>
      </c>
      <c r="T75" s="491" t="str">
        <f t="shared" si="81"/>
        <v>No programado</v>
      </c>
      <c r="U75" s="491" t="str">
        <f t="shared" si="103"/>
        <v>No programado</v>
      </c>
      <c r="V75" s="478">
        <f t="shared" si="107"/>
        <v>0</v>
      </c>
      <c r="W75" s="489">
        <f t="shared" si="92"/>
        <v>3</v>
      </c>
      <c r="X75" s="477">
        <f>+'1.Informe Seguimiento POA 2022'!S31</f>
        <v>3</v>
      </c>
      <c r="Y75" s="477">
        <f>+'1.Informe Seguimiento POA 2022'!O31+'1.Informe Seguimiento POA 2022'!Q31+'1.Informe Seguimiento POA 2022'!S31</f>
        <v>3</v>
      </c>
      <c r="Z75" s="477">
        <f>+'1.Informe Seguimiento POA 2022'!T31</f>
        <v>1</v>
      </c>
      <c r="AA75" s="477">
        <f>+'1.Informe Seguimiento POA 2022'!R31+'1.Informe Seguimiento POA 2022'!T31+'1.Informe Seguimiento POA 2022'!P31</f>
        <v>1</v>
      </c>
      <c r="AB75" s="1058">
        <f t="shared" si="93"/>
        <v>1</v>
      </c>
      <c r="AC75" s="491">
        <f t="shared" si="83"/>
        <v>0.33333333333333331</v>
      </c>
      <c r="AD75" s="491">
        <f t="shared" si="104"/>
        <v>0.33333333333333331</v>
      </c>
      <c r="AE75" s="478">
        <f t="shared" si="108"/>
        <v>0.33333333333333331</v>
      </c>
      <c r="AF75" s="489">
        <f t="shared" si="94"/>
        <v>3</v>
      </c>
      <c r="AG75" s="489">
        <f>+'1.Informe Seguimiento POA 2022'!U31</f>
        <v>0</v>
      </c>
      <c r="AH75" s="489">
        <f>+'1.Informe Seguimiento POA 2022'!O31+'1.Informe Seguimiento POA 2022'!Q31+'1.Informe Seguimiento POA 2022'!S31+'1.Informe Seguimiento POA 2022'!U31</f>
        <v>3</v>
      </c>
      <c r="AI75" s="489">
        <f>+'1.Informe Seguimiento POA 2022'!V31</f>
        <v>0</v>
      </c>
      <c r="AJ75" s="489">
        <f>+'1.Informe Seguimiento POA 2022'!P31+'1.Informe Seguimiento POA 2022'!R31+'1.Informe Seguimiento POA 2022'!T31+'1.Informe Seguimiento POA 2022'!V31</f>
        <v>1</v>
      </c>
      <c r="AK75" s="489">
        <f t="shared" si="95"/>
        <v>1</v>
      </c>
      <c r="AL75" s="491" t="str">
        <f t="shared" si="85"/>
        <v>No programado</v>
      </c>
      <c r="AM75" s="491">
        <f t="shared" si="105"/>
        <v>0.33333333333333331</v>
      </c>
      <c r="AN75" s="478">
        <f t="shared" si="109"/>
        <v>0</v>
      </c>
      <c r="AO75" s="482" t="str">
        <f>+'Rango indicadores'!H40</f>
        <v>Mayor A:</v>
      </c>
      <c r="AP75" s="477">
        <f>+'Rango indicadores'!I40</f>
        <v>85</v>
      </c>
      <c r="AQ75" s="477" t="str">
        <f>+'Rango indicadores'!J40</f>
        <v>Desde (&gt;=):</v>
      </c>
      <c r="AR75" s="477">
        <f>+'Rango indicadores'!K40</f>
        <v>80</v>
      </c>
      <c r="AS75" s="477" t="str">
        <f>+'Rango indicadores'!L40</f>
        <v>Hasta (&lt;=):</v>
      </c>
      <c r="AT75" s="477">
        <f>+'Rango indicadores'!M40</f>
        <v>85</v>
      </c>
      <c r="AU75" s="477" t="str">
        <f>+'Rango indicadores'!N40</f>
        <v>Menor A:</v>
      </c>
      <c r="AV75" s="1058">
        <f>+'Rango indicadores'!O40</f>
        <v>80</v>
      </c>
      <c r="AW75" s="1078" t="s">
        <v>1240</v>
      </c>
      <c r="AX75" s="654"/>
      <c r="AY75" s="654">
        <f t="shared" si="96"/>
        <v>2</v>
      </c>
      <c r="AZ75" s="654">
        <f t="shared" si="96"/>
        <v>2</v>
      </c>
      <c r="BA75" s="490"/>
    </row>
    <row r="76" spans="2:53" ht="43.9" customHeight="1">
      <c r="B76" s="474">
        <f t="shared" si="101"/>
        <v>40</v>
      </c>
      <c r="C76" s="475" t="str">
        <f>+'Rango indicadores'!D41</f>
        <v>05-RI-20</v>
      </c>
      <c r="D76" s="475" t="str">
        <f>+'Rango indicadores'!E41</f>
        <v>Herramientas de promoción y prevención a infracciones del Derecho Internacional Humanitario implementadas</v>
      </c>
      <c r="E76" s="489">
        <f>+'Rango indicadores'!Q41</f>
        <v>1</v>
      </c>
      <c r="F76" s="489">
        <f>'1.Informe Seguimiento POA 2022'!O32</f>
        <v>0</v>
      </c>
      <c r="G76" s="489">
        <f>'1.Informe Seguimiento POA 2022'!O32</f>
        <v>0</v>
      </c>
      <c r="H76" s="489">
        <f>'1.Informe Seguimiento POA 2022'!P32</f>
        <v>0</v>
      </c>
      <c r="I76" s="489">
        <f>'1.Informe Seguimiento POA 2022'!P32</f>
        <v>0</v>
      </c>
      <c r="J76" s="489">
        <f t="shared" si="88"/>
        <v>0</v>
      </c>
      <c r="K76" s="491" t="str">
        <f t="shared" si="79"/>
        <v>No programado</v>
      </c>
      <c r="L76" s="491" t="str">
        <f t="shared" si="102"/>
        <v>No programado</v>
      </c>
      <c r="M76" s="478">
        <f t="shared" si="80"/>
        <v>0</v>
      </c>
      <c r="N76" s="489">
        <f t="shared" si="89"/>
        <v>1</v>
      </c>
      <c r="O76" s="477">
        <f>+'1.Informe Seguimiento POA 2022'!Q32</f>
        <v>0</v>
      </c>
      <c r="P76" s="489">
        <f t="shared" si="90"/>
        <v>0</v>
      </c>
      <c r="Q76" s="477">
        <f>'1.Informe Seguimiento POA 2022'!R32</f>
        <v>0</v>
      </c>
      <c r="R76" s="477">
        <f>+'1.Informe Seguimiento POA 2022'!P32+'1.Informe Seguimiento POA 2022'!R32</f>
        <v>0</v>
      </c>
      <c r="S76" s="489">
        <f t="shared" si="91"/>
        <v>0</v>
      </c>
      <c r="T76" s="491" t="str">
        <f t="shared" si="81"/>
        <v>No programado</v>
      </c>
      <c r="U76" s="491" t="str">
        <f t="shared" si="103"/>
        <v>No programado</v>
      </c>
      <c r="V76" s="478">
        <f t="shared" si="107"/>
        <v>0</v>
      </c>
      <c r="W76" s="489">
        <f t="shared" si="92"/>
        <v>1</v>
      </c>
      <c r="X76" s="477">
        <f>+'1.Informe Seguimiento POA 2022'!S32</f>
        <v>0</v>
      </c>
      <c r="Y76" s="477">
        <f>+'1.Informe Seguimiento POA 2022'!O32+'1.Informe Seguimiento POA 2022'!Q32+'1.Informe Seguimiento POA 2022'!S32</f>
        <v>0</v>
      </c>
      <c r="Z76" s="477">
        <f>+'1.Informe Seguimiento POA 2022'!T32</f>
        <v>0</v>
      </c>
      <c r="AA76" s="477">
        <f>+'1.Informe Seguimiento POA 2022'!R32+'1.Informe Seguimiento POA 2022'!T32+'1.Informe Seguimiento POA 2022'!P32</f>
        <v>0</v>
      </c>
      <c r="AB76" s="1058">
        <f t="shared" si="93"/>
        <v>0</v>
      </c>
      <c r="AC76" s="491" t="str">
        <f t="shared" si="83"/>
        <v>No programado</v>
      </c>
      <c r="AD76" s="491" t="str">
        <f t="shared" si="104"/>
        <v>No programado</v>
      </c>
      <c r="AE76" s="478">
        <f t="shared" si="108"/>
        <v>0</v>
      </c>
      <c r="AF76" s="489">
        <f t="shared" si="94"/>
        <v>1</v>
      </c>
      <c r="AG76" s="489">
        <f>+'1.Informe Seguimiento POA 2022'!U32</f>
        <v>1</v>
      </c>
      <c r="AH76" s="489">
        <f>+'1.Informe Seguimiento POA 2022'!O32+'1.Informe Seguimiento POA 2022'!Q32+'1.Informe Seguimiento POA 2022'!S32+'1.Informe Seguimiento POA 2022'!U32</f>
        <v>1</v>
      </c>
      <c r="AI76" s="489">
        <f>+'1.Informe Seguimiento POA 2022'!V32</f>
        <v>0</v>
      </c>
      <c r="AJ76" s="489">
        <f>+'1.Informe Seguimiento POA 2022'!P32+'1.Informe Seguimiento POA 2022'!R32+'1.Informe Seguimiento POA 2022'!T32+'1.Informe Seguimiento POA 2022'!V32</f>
        <v>0</v>
      </c>
      <c r="AK76" s="489">
        <f t="shared" si="95"/>
        <v>0</v>
      </c>
      <c r="AL76" s="491">
        <f t="shared" si="85"/>
        <v>0</v>
      </c>
      <c r="AM76" s="491">
        <f t="shared" si="105"/>
        <v>0</v>
      </c>
      <c r="AN76" s="478">
        <f t="shared" si="109"/>
        <v>0</v>
      </c>
      <c r="AO76" s="482" t="str">
        <f>+'Rango indicadores'!H41</f>
        <v>Mayor A:</v>
      </c>
      <c r="AP76" s="477">
        <f>+'Rango indicadores'!I41</f>
        <v>85</v>
      </c>
      <c r="AQ76" s="477" t="str">
        <f>+'Rango indicadores'!J41</f>
        <v>Desde (&gt;=):</v>
      </c>
      <c r="AR76" s="477">
        <f>+'Rango indicadores'!K41</f>
        <v>80</v>
      </c>
      <c r="AS76" s="477" t="str">
        <f>+'Rango indicadores'!L41</f>
        <v>Hasta (&lt;=):</v>
      </c>
      <c r="AT76" s="477">
        <f>+'Rango indicadores'!M41</f>
        <v>85</v>
      </c>
      <c r="AU76" s="477" t="str">
        <f>+'Rango indicadores'!N41</f>
        <v>Menor A:</v>
      </c>
      <c r="AV76" s="1058">
        <f>+'Rango indicadores'!O41</f>
        <v>80</v>
      </c>
      <c r="AW76" s="581" t="s">
        <v>1168</v>
      </c>
      <c r="AX76" s="654"/>
      <c r="AY76" s="654">
        <f t="shared" si="96"/>
        <v>0</v>
      </c>
      <c r="AZ76" s="654">
        <f t="shared" si="96"/>
        <v>0</v>
      </c>
      <c r="BA76" s="490"/>
    </row>
    <row r="77" spans="2:53" ht="15.75">
      <c r="C77" s="1598" t="s">
        <v>872</v>
      </c>
      <c r="D77" s="1599"/>
      <c r="E77" s="1599"/>
      <c r="F77" s="1599"/>
      <c r="G77" s="1599"/>
      <c r="H77" s="1599"/>
      <c r="I77" s="1599"/>
      <c r="J77" s="1599"/>
      <c r="K77" s="480">
        <f>IFERROR(AVERAGE(K57:K76),0)</f>
        <v>1.3512123931140376</v>
      </c>
      <c r="L77" s="480">
        <f>IFERROR(AVERAGE(L57:L76),0)</f>
        <v>1.3512123931140376</v>
      </c>
      <c r="M77" s="480">
        <f>IFERROR(AVERAGE(M57:M76),0)</f>
        <v>0.22556159419572125</v>
      </c>
      <c r="N77" s="1060"/>
      <c r="O77" s="1060"/>
      <c r="P77" s="1060"/>
      <c r="Q77" s="1060"/>
      <c r="R77" s="1060"/>
      <c r="S77" s="1060"/>
      <c r="T77" s="480">
        <f>IFERROR(AVERAGE(T57:T76),0)</f>
        <v>1.1519898802309669</v>
      </c>
      <c r="U77" s="480">
        <f>IFERROR(AVERAGE(U57:U76),0)</f>
        <v>1.2340198308648858</v>
      </c>
      <c r="V77" s="480">
        <f>IFERROR(AVERAGE(V57:V76),0)</f>
        <v>0.53085099681429748</v>
      </c>
      <c r="W77" s="1060"/>
      <c r="X77" s="1060"/>
      <c r="Y77" s="1060"/>
      <c r="Z77" s="1060"/>
      <c r="AA77" s="1060"/>
      <c r="AB77" s="1060"/>
      <c r="AC77" s="480">
        <f>IFERROR(AVERAGE(AC57:AC76),0)</f>
        <v>1.2246645973770194</v>
      </c>
      <c r="AD77" s="480">
        <f>IFERROR(AVERAGE(AD57:AD76),0)</f>
        <v>1.1975440017005092</v>
      </c>
      <c r="AE77" s="480">
        <f>IFERROR(AVERAGE(AE57:AE76),0)</f>
        <v>0.87744668920257796</v>
      </c>
      <c r="AF77" s="1060"/>
      <c r="AG77" s="1060"/>
      <c r="AH77" s="1060"/>
      <c r="AI77" s="1060"/>
      <c r="AJ77" s="1060"/>
      <c r="AK77" s="1061"/>
      <c r="AL77" s="480">
        <f>IFERROR(AVERAGE(AL57:AL76),0)</f>
        <v>0</v>
      </c>
      <c r="AM77" s="480">
        <f>IFERROR(AVERAGE(AM57:AM76),0)</f>
        <v>0.87747900683877367</v>
      </c>
      <c r="AN77" s="480">
        <f>IFERROR(AVERAGE(AN57:AN76),0)</f>
        <v>0.82041529492741627</v>
      </c>
      <c r="AO77" s="487"/>
      <c r="AP77" s="487"/>
      <c r="AQ77" s="487"/>
      <c r="AR77" s="487"/>
      <c r="AS77" s="487"/>
      <c r="AT77" s="487"/>
      <c r="AU77" s="487"/>
      <c r="AV77" s="487"/>
      <c r="AW77" s="582"/>
    </row>
    <row r="78" spans="2:53" s="470" customFormat="1" ht="24" customHeight="1" thickBot="1">
      <c r="D78" s="472"/>
      <c r="AW78" s="472"/>
      <c r="AY78" s="455"/>
      <c r="AZ78" s="455"/>
    </row>
    <row r="79" spans="2:53" s="470" customFormat="1" ht="16.5" thickBot="1">
      <c r="C79" s="473" t="s">
        <v>878</v>
      </c>
      <c r="D79" s="503"/>
      <c r="E79" s="1577" t="s">
        <v>1136</v>
      </c>
      <c r="F79" s="1578"/>
      <c r="G79" s="1578"/>
      <c r="H79" s="1578"/>
      <c r="I79" s="1578"/>
      <c r="J79" s="1578"/>
      <c r="K79" s="1578"/>
      <c r="L79" s="1578"/>
      <c r="M79" s="1579"/>
      <c r="N79" s="1580" t="s">
        <v>1137</v>
      </c>
      <c r="O79" s="1581"/>
      <c r="P79" s="1581"/>
      <c r="Q79" s="1581"/>
      <c r="R79" s="1581"/>
      <c r="S79" s="1581"/>
      <c r="T79" s="1581"/>
      <c r="U79" s="1581"/>
      <c r="V79" s="1582"/>
      <c r="W79" s="1574" t="s">
        <v>1138</v>
      </c>
      <c r="X79" s="1575"/>
      <c r="Y79" s="1575"/>
      <c r="Z79" s="1575"/>
      <c r="AA79" s="1575"/>
      <c r="AB79" s="1575"/>
      <c r="AC79" s="1575"/>
      <c r="AD79" s="1575"/>
      <c r="AE79" s="1576"/>
      <c r="AF79" s="1580" t="s">
        <v>1052</v>
      </c>
      <c r="AG79" s="1581"/>
      <c r="AH79" s="1581"/>
      <c r="AI79" s="1581"/>
      <c r="AJ79" s="1581"/>
      <c r="AK79" s="1581"/>
      <c r="AL79" s="1581"/>
      <c r="AM79" s="1581"/>
      <c r="AN79" s="1582"/>
      <c r="AW79" s="472"/>
      <c r="AY79" s="455"/>
      <c r="AZ79" s="455"/>
    </row>
    <row r="80" spans="2:53" ht="22.15" customHeight="1">
      <c r="C80" s="1571" t="str">
        <f>+$C$10</f>
        <v>Identificación del Indicador</v>
      </c>
      <c r="D80" s="1584" t="s">
        <v>867</v>
      </c>
      <c r="E80" s="1567" t="s">
        <v>868</v>
      </c>
      <c r="F80" s="1568"/>
      <c r="G80" s="1569"/>
      <c r="H80" s="1570" t="s">
        <v>1140</v>
      </c>
      <c r="I80" s="1572" t="s">
        <v>1144</v>
      </c>
      <c r="J80" s="1570" t="s">
        <v>869</v>
      </c>
      <c r="K80" s="1570" t="s">
        <v>863</v>
      </c>
      <c r="L80" s="1570"/>
      <c r="M80" s="1570"/>
      <c r="N80" s="1567" t="s">
        <v>868</v>
      </c>
      <c r="O80" s="1568"/>
      <c r="P80" s="1569"/>
      <c r="Q80" s="1570" t="s">
        <v>1150</v>
      </c>
      <c r="R80" s="1572" t="s">
        <v>1141</v>
      </c>
      <c r="S80" s="1570" t="s">
        <v>869</v>
      </c>
      <c r="T80" s="1570" t="s">
        <v>863</v>
      </c>
      <c r="U80" s="1570"/>
      <c r="V80" s="1570"/>
      <c r="W80" s="1567" t="s">
        <v>868</v>
      </c>
      <c r="X80" s="1568"/>
      <c r="Y80" s="1569"/>
      <c r="Z80" s="1570" t="s">
        <v>1151</v>
      </c>
      <c r="AA80" s="1572" t="s">
        <v>1146</v>
      </c>
      <c r="AB80" s="1570" t="s">
        <v>869</v>
      </c>
      <c r="AC80" s="1570" t="s">
        <v>863</v>
      </c>
      <c r="AD80" s="1570"/>
      <c r="AE80" s="1570"/>
      <c r="AF80" s="1567" t="s">
        <v>868</v>
      </c>
      <c r="AG80" s="1568"/>
      <c r="AH80" s="1569"/>
      <c r="AI80" s="1570" t="s">
        <v>1152</v>
      </c>
      <c r="AJ80" s="1572" t="s">
        <v>1148</v>
      </c>
      <c r="AK80" s="1570" t="s">
        <v>869</v>
      </c>
      <c r="AL80" s="1570" t="s">
        <v>863</v>
      </c>
      <c r="AM80" s="1570"/>
      <c r="AN80" s="1570"/>
      <c r="AO80" s="1583" t="s">
        <v>715</v>
      </c>
      <c r="AP80" s="1583"/>
      <c r="AQ80" s="1583"/>
      <c r="AR80" s="1583"/>
      <c r="AS80" s="1583"/>
      <c r="AT80" s="1583"/>
      <c r="AU80" s="1583"/>
      <c r="AV80" s="1583"/>
      <c r="AW80" s="1571" t="s">
        <v>888</v>
      </c>
    </row>
    <row r="81" spans="2:53" ht="45.6" customHeight="1">
      <c r="C81" s="1571"/>
      <c r="D81" s="1584"/>
      <c r="E81" s="1017" t="s">
        <v>1153</v>
      </c>
      <c r="F81" s="1017" t="str">
        <f>+E79</f>
        <v>Primer Trimestre</v>
      </c>
      <c r="G81" s="1018" t="s">
        <v>1143</v>
      </c>
      <c r="H81" s="1571"/>
      <c r="I81" s="1573"/>
      <c r="J81" s="1571"/>
      <c r="K81" s="1017" t="str">
        <f>+$D$6</f>
        <v>Tercer Trimestre</v>
      </c>
      <c r="L81" s="1018" t="str">
        <f>+G81</f>
        <v>Acumulado
Corte 
31/03/2022</v>
      </c>
      <c r="M81" s="1019" t="s">
        <v>760</v>
      </c>
      <c r="N81" s="1017" t="s">
        <v>1153</v>
      </c>
      <c r="O81" s="1017" t="str">
        <f>+N79</f>
        <v>Segundo Trimestre</v>
      </c>
      <c r="P81" s="1018" t="s">
        <v>1142</v>
      </c>
      <c r="Q81" s="1571"/>
      <c r="R81" s="1573"/>
      <c r="S81" s="1571"/>
      <c r="T81" s="1017" t="str">
        <f>+O81</f>
        <v>Segundo Trimestre</v>
      </c>
      <c r="U81" s="1018" t="str">
        <f>+P81</f>
        <v>Acumulado Corte 
30/06/2022</v>
      </c>
      <c r="V81" s="1019" t="s">
        <v>760</v>
      </c>
      <c r="W81" s="1017" t="s">
        <v>1153</v>
      </c>
      <c r="X81" s="1017" t="str">
        <f>+W79</f>
        <v>Tercer Trimestre</v>
      </c>
      <c r="Y81" s="1018" t="s">
        <v>1145</v>
      </c>
      <c r="Z81" s="1571"/>
      <c r="AA81" s="1573"/>
      <c r="AB81" s="1571"/>
      <c r="AC81" s="1017" t="str">
        <f>+X81</f>
        <v>Tercer Trimestre</v>
      </c>
      <c r="AD81" s="1018" t="str">
        <f>+Y81</f>
        <v>Acumulado Corte 
30/09/2022</v>
      </c>
      <c r="AE81" s="1019" t="s">
        <v>760</v>
      </c>
      <c r="AF81" s="1017" t="s">
        <v>1153</v>
      </c>
      <c r="AG81" s="1017" t="str">
        <f>+AF79</f>
        <v>Cuarto Trimestre</v>
      </c>
      <c r="AH81" s="1018" t="s">
        <v>1147</v>
      </c>
      <c r="AI81" s="1571"/>
      <c r="AJ81" s="1573"/>
      <c r="AK81" s="1571"/>
      <c r="AL81" s="1017" t="str">
        <f>+AG81</f>
        <v>Cuarto Trimestre</v>
      </c>
      <c r="AM81" s="1018" t="str">
        <f>+AH81</f>
        <v>Acumulado Corte 
31/12/2022</v>
      </c>
      <c r="AN81" s="1019" t="s">
        <v>760</v>
      </c>
      <c r="AO81" s="1201" t="s">
        <v>870</v>
      </c>
      <c r="AP81" s="1202"/>
      <c r="AQ81" s="1203" t="s">
        <v>871</v>
      </c>
      <c r="AR81" s="1204"/>
      <c r="AS81" s="1204"/>
      <c r="AT81" s="1205"/>
      <c r="AU81" s="1206" t="s">
        <v>723</v>
      </c>
      <c r="AV81" s="1207"/>
      <c r="AW81" s="1571"/>
    </row>
    <row r="82" spans="2:53" ht="124.15" customHeight="1">
      <c r="B82" s="474">
        <f>B76+1</f>
        <v>41</v>
      </c>
      <c r="C82" s="475" t="str">
        <f>+'Rango indicadores'!D42</f>
        <v>06-RI-01</v>
      </c>
      <c r="D82" s="475" t="str">
        <f>+'Rango indicadores'!E42</f>
        <v>Informes realizados en temas específicos.</v>
      </c>
      <c r="E82" s="489">
        <f>+'Rango indicadores'!Q42</f>
        <v>7</v>
      </c>
      <c r="F82" s="489">
        <f>'1.Informe Seguimiento POA 2022'!O33</f>
        <v>0</v>
      </c>
      <c r="G82" s="489">
        <f>'1.Informe Seguimiento POA 2022'!O33</f>
        <v>0</v>
      </c>
      <c r="H82" s="489">
        <f>'1.Informe Seguimiento POA 2022'!P33</f>
        <v>0</v>
      </c>
      <c r="I82" s="489">
        <f>'1.Informe Seguimiento POA 2022'!P33</f>
        <v>0</v>
      </c>
      <c r="J82" s="489">
        <f t="shared" ref="J82:J88" si="110">I82</f>
        <v>0</v>
      </c>
      <c r="K82" s="514" t="str">
        <f t="shared" ref="K82:K88" si="111">IF(AND(F82&gt;0),H82/F82,"No programado")</f>
        <v>No programado</v>
      </c>
      <c r="L82" s="514" t="str">
        <f>IF(AND(G82&gt;0),I82/G82,"No programado")</f>
        <v>No programado</v>
      </c>
      <c r="M82" s="478">
        <f t="shared" ref="M82:M88" si="112">IF(AND(E82&gt;0,$J82&gt;0),J82/$E82,0)</f>
        <v>0</v>
      </c>
      <c r="N82" s="489">
        <f>+E82</f>
        <v>7</v>
      </c>
      <c r="O82" s="477">
        <f>+'1.Informe Seguimiento POA 2022'!Q33</f>
        <v>2</v>
      </c>
      <c r="P82" s="489">
        <f>G82+O82</f>
        <v>2</v>
      </c>
      <c r="Q82" s="477">
        <f>'1.Informe Seguimiento POA 2022'!R33</f>
        <v>0</v>
      </c>
      <c r="R82" s="477">
        <f>+'1.Informe Seguimiento POA 2022'!P33+'1.Informe Seguimiento POA 2022'!R33</f>
        <v>0</v>
      </c>
      <c r="S82" s="489">
        <f>H82+Q82</f>
        <v>0</v>
      </c>
      <c r="T82" s="514">
        <f t="shared" ref="T82:T88" si="113">IF(AND(O82&gt;0),Q82/O82,"No programado")</f>
        <v>0</v>
      </c>
      <c r="U82" s="514">
        <f>IF(AND(P82&gt;0),R82/P82,"No programado")</f>
        <v>0</v>
      </c>
      <c r="V82" s="478">
        <f t="shared" ref="V82:V88" si="114">IF(AND(N82&gt;0,$S82&gt;0),S82/$N82,0)</f>
        <v>0</v>
      </c>
      <c r="W82" s="489">
        <f>+N82</f>
        <v>7</v>
      </c>
      <c r="X82" s="477">
        <f>+'1.Informe Seguimiento POA 2022'!S33</f>
        <v>0</v>
      </c>
      <c r="Y82" s="477">
        <f>+'1.Informe Seguimiento POA 2022'!O33+'1.Informe Seguimiento POA 2022'!Q33+'1.Informe Seguimiento POA 2022'!S33</f>
        <v>2</v>
      </c>
      <c r="Z82" s="477">
        <f>+'1.Informe Seguimiento POA 2022'!T33</f>
        <v>2</v>
      </c>
      <c r="AA82" s="477">
        <f>+'1.Informe Seguimiento POA 2022'!R33+'1.Informe Seguimiento POA 2022'!T33+'1.Informe Seguimiento POA 2022'!P33</f>
        <v>2</v>
      </c>
      <c r="AB82" s="1058">
        <f t="shared" ref="AB82" si="115">H82+Q82+Z82</f>
        <v>2</v>
      </c>
      <c r="AC82" s="514" t="str">
        <f t="shared" ref="AC82:AC88" si="116">IF(AND(X82&gt;0),Z82/X82,"No programado")</f>
        <v>No programado</v>
      </c>
      <c r="AD82" s="514">
        <f>IF(AND(Y82&gt;0),AA82/Y82,"No programado")</f>
        <v>1</v>
      </c>
      <c r="AE82" s="478">
        <f t="shared" ref="AE82:AE88" si="117">IF(AND(W82&gt;0,$AB82&gt;0),AB82/$W82,0)</f>
        <v>0.2857142857142857</v>
      </c>
      <c r="AF82" s="489">
        <f>+W82</f>
        <v>7</v>
      </c>
      <c r="AG82" s="489">
        <f>+'1.Informe Seguimiento POA 2022'!U33</f>
        <v>5</v>
      </c>
      <c r="AH82" s="489">
        <f>+'1.Informe Seguimiento POA 2022'!O33+'1.Informe Seguimiento POA 2022'!Q33+'1.Informe Seguimiento POA 2022'!S33+'1.Informe Seguimiento POA 2022'!U33</f>
        <v>7</v>
      </c>
      <c r="AI82" s="489">
        <f>+'1.Informe Seguimiento POA 2022'!V33</f>
        <v>0</v>
      </c>
      <c r="AJ82" s="489">
        <f>+'1.Informe Seguimiento POA 2022'!P33+'1.Informe Seguimiento POA 2022'!R33+'1.Informe Seguimiento POA 2022'!T33+'1.Informe Seguimiento POA 2022'!V33</f>
        <v>2</v>
      </c>
      <c r="AK82" s="489">
        <f t="shared" ref="AK82" si="118">H82+Q82+Z82+AI82</f>
        <v>2</v>
      </c>
      <c r="AL82" s="514">
        <f t="shared" ref="AL82:AL88" si="119">IF(AND(AG82&gt;0),AI82/AG82,"No programado")</f>
        <v>0</v>
      </c>
      <c r="AM82" s="514">
        <f>IF(AND(AH82&gt;0),AJ82/AH82,"No programado")</f>
        <v>0.2857142857142857</v>
      </c>
      <c r="AN82" s="478">
        <f t="shared" ref="AN82:AN88" si="120">IF(AND(AF82&gt;0,$J82&gt;0),AK82/$E82,0)</f>
        <v>0</v>
      </c>
      <c r="AO82" s="482" t="str">
        <f>+'Rango indicadores'!H42</f>
        <v>Mayor A:</v>
      </c>
      <c r="AP82" s="477">
        <f>+'Rango indicadores'!I42</f>
        <v>90</v>
      </c>
      <c r="AQ82" s="477" t="str">
        <f>+'Rango indicadores'!J42</f>
        <v>Desde (&gt;=):</v>
      </c>
      <c r="AR82" s="477">
        <f>+'Rango indicadores'!K42</f>
        <v>66</v>
      </c>
      <c r="AS82" s="477" t="str">
        <f>+'Rango indicadores'!L42</f>
        <v>Hasta (&lt;=):</v>
      </c>
      <c r="AT82" s="477">
        <f>+'Rango indicadores'!M42</f>
        <v>90</v>
      </c>
      <c r="AU82" s="477" t="str">
        <f>+'Rango indicadores'!N42</f>
        <v>Menor A:</v>
      </c>
      <c r="AV82" s="477">
        <f>+'Rango indicadores'!O42</f>
        <v>66</v>
      </c>
      <c r="AW82" s="1080" t="s">
        <v>1232</v>
      </c>
      <c r="AY82" s="654"/>
    </row>
    <row r="83" spans="2:53" ht="90.6" customHeight="1">
      <c r="B83" s="474">
        <f>+B82+1</f>
        <v>42</v>
      </c>
      <c r="C83" s="475" t="str">
        <f>+'Rango indicadores'!D43</f>
        <v>06-RI-02</v>
      </c>
      <c r="D83" s="475" t="str">
        <f>+'Rango indicadores'!E43</f>
        <v>Informes de seguimientos realizados en temas específicos.</v>
      </c>
      <c r="E83" s="489">
        <f>+'Rango indicadores'!Q43</f>
        <v>1</v>
      </c>
      <c r="F83" s="489">
        <f>'1.Informe Seguimiento POA 2022'!O34</f>
        <v>0</v>
      </c>
      <c r="G83" s="489">
        <f>'1.Informe Seguimiento POA 2022'!O34</f>
        <v>0</v>
      </c>
      <c r="H83" s="489">
        <f>'1.Informe Seguimiento POA 2022'!P34</f>
        <v>0</v>
      </c>
      <c r="I83" s="489">
        <f>'1.Informe Seguimiento POA 2022'!P34</f>
        <v>0</v>
      </c>
      <c r="J83" s="489">
        <f t="shared" si="110"/>
        <v>0</v>
      </c>
      <c r="K83" s="514" t="str">
        <f t="shared" si="111"/>
        <v>No programado</v>
      </c>
      <c r="L83" s="492" t="str">
        <f t="shared" ref="L83:L88" si="121">IF(AND(G83&gt;0),I83/G83,"No programado")</f>
        <v>No programado</v>
      </c>
      <c r="M83" s="478">
        <f t="shared" si="112"/>
        <v>0</v>
      </c>
      <c r="N83" s="489">
        <f t="shared" ref="N83:N88" si="122">+E83</f>
        <v>1</v>
      </c>
      <c r="O83" s="477">
        <f>+'1.Informe Seguimiento POA 2022'!Q34</f>
        <v>0</v>
      </c>
      <c r="P83" s="489">
        <f t="shared" ref="P83:P88" si="123">G83+O83</f>
        <v>0</v>
      </c>
      <c r="Q83" s="477">
        <f>'1.Informe Seguimiento POA 2022'!R34</f>
        <v>0</v>
      </c>
      <c r="R83" s="477">
        <f>+'1.Informe Seguimiento POA 2022'!P34+'1.Informe Seguimiento POA 2022'!R34</f>
        <v>0</v>
      </c>
      <c r="S83" s="489">
        <f t="shared" ref="S83:S88" si="124">H83+Q83</f>
        <v>0</v>
      </c>
      <c r="T83" s="514" t="str">
        <f t="shared" si="113"/>
        <v>No programado</v>
      </c>
      <c r="U83" s="492" t="str">
        <f t="shared" ref="U83:U88" si="125">IF(AND(P83&gt;0),R83/P83,"No programado")</f>
        <v>No programado</v>
      </c>
      <c r="V83" s="478">
        <f t="shared" si="114"/>
        <v>0</v>
      </c>
      <c r="W83" s="489">
        <f t="shared" ref="W83:W88" si="126">+N83</f>
        <v>1</v>
      </c>
      <c r="X83" s="477">
        <f>+'1.Informe Seguimiento POA 2022'!S34</f>
        <v>0</v>
      </c>
      <c r="Y83" s="477">
        <f>+'1.Informe Seguimiento POA 2022'!O34+'1.Informe Seguimiento POA 2022'!Q34+'1.Informe Seguimiento POA 2022'!S34</f>
        <v>0</v>
      </c>
      <c r="Z83" s="477">
        <f>+'1.Informe Seguimiento POA 2022'!T34</f>
        <v>0</v>
      </c>
      <c r="AA83" s="477">
        <f>+'1.Informe Seguimiento POA 2022'!R34+'1.Informe Seguimiento POA 2022'!T34+'1.Informe Seguimiento POA 2022'!P34</f>
        <v>0</v>
      </c>
      <c r="AB83" s="1058">
        <f t="shared" ref="AB83:AB88" si="127">H83+Q83+Z83</f>
        <v>0</v>
      </c>
      <c r="AC83" s="514" t="str">
        <f t="shared" si="116"/>
        <v>No programado</v>
      </c>
      <c r="AD83" s="492" t="str">
        <f t="shared" ref="AD83:AD88" si="128">IF(AND(Y83&gt;0),AA83/Y83,"No programado")</f>
        <v>No programado</v>
      </c>
      <c r="AE83" s="478">
        <f t="shared" si="117"/>
        <v>0</v>
      </c>
      <c r="AF83" s="489">
        <f t="shared" ref="AF83:AF88" si="129">+W83</f>
        <v>1</v>
      </c>
      <c r="AG83" s="489">
        <f>+'1.Informe Seguimiento POA 2022'!U34</f>
        <v>1</v>
      </c>
      <c r="AH83" s="489">
        <f>+'1.Informe Seguimiento POA 2022'!O34+'1.Informe Seguimiento POA 2022'!Q34+'1.Informe Seguimiento POA 2022'!S34+'1.Informe Seguimiento POA 2022'!U34</f>
        <v>1</v>
      </c>
      <c r="AI83" s="489">
        <f>+'1.Informe Seguimiento POA 2022'!V34</f>
        <v>0</v>
      </c>
      <c r="AJ83" s="489">
        <f>+'1.Informe Seguimiento POA 2022'!P34+'1.Informe Seguimiento POA 2022'!R34+'1.Informe Seguimiento POA 2022'!T34+'1.Informe Seguimiento POA 2022'!V34</f>
        <v>0</v>
      </c>
      <c r="AK83" s="489">
        <f t="shared" ref="AK83:AK88" si="130">H83+Q83+Z83+AI83</f>
        <v>0</v>
      </c>
      <c r="AL83" s="514">
        <f t="shared" si="119"/>
        <v>0</v>
      </c>
      <c r="AM83" s="492">
        <f t="shared" ref="AM83:AM88" si="131">IF(AND(AH83&gt;0),AJ83/AH83,"No programado")</f>
        <v>0</v>
      </c>
      <c r="AN83" s="478">
        <f t="shared" si="120"/>
        <v>0</v>
      </c>
      <c r="AO83" s="482" t="str">
        <f>+'Rango indicadores'!H43</f>
        <v>Mayor A:</v>
      </c>
      <c r="AP83" s="477">
        <f>+'Rango indicadores'!I43</f>
        <v>90</v>
      </c>
      <c r="AQ83" s="477" t="str">
        <f>+'Rango indicadores'!J43</f>
        <v>Desde (&gt;=):</v>
      </c>
      <c r="AR83" s="477">
        <f>+'Rango indicadores'!K43</f>
        <v>69</v>
      </c>
      <c r="AS83" s="477" t="str">
        <f>+'Rango indicadores'!L43</f>
        <v>Hasta (&lt;=):</v>
      </c>
      <c r="AT83" s="477">
        <f>+'Rango indicadores'!M43</f>
        <v>90</v>
      </c>
      <c r="AU83" s="477" t="str">
        <f>+'Rango indicadores'!N43</f>
        <v>Menor A:</v>
      </c>
      <c r="AV83" s="1058">
        <f>+'Rango indicadores'!O43</f>
        <v>69</v>
      </c>
      <c r="AW83" s="581" t="s">
        <v>1233</v>
      </c>
      <c r="AX83" s="654"/>
      <c r="AY83" s="654"/>
      <c r="AZ83" s="490"/>
      <c r="BA83" s="490"/>
    </row>
    <row r="84" spans="2:53" ht="307.89999999999998" customHeight="1">
      <c r="B84" s="474">
        <f>+B83+1</f>
        <v>43</v>
      </c>
      <c r="C84" s="475" t="str">
        <f>+'Rango indicadores'!D44</f>
        <v>06-RI-03</v>
      </c>
      <c r="D84" s="475" t="str">
        <f>+'Rango indicadores'!E44</f>
        <v>Acciones de Prevención y Control a la Función Pública realizadas, con informe.</v>
      </c>
      <c r="E84" s="489">
        <f>+'Rango indicadores'!Q44</f>
        <v>286</v>
      </c>
      <c r="F84" s="489">
        <f>'1.Informe Seguimiento POA 2022'!O35</f>
        <v>41</v>
      </c>
      <c r="G84" s="489">
        <f>'1.Informe Seguimiento POA 2022'!O35</f>
        <v>41</v>
      </c>
      <c r="H84" s="489">
        <f>'1.Informe Seguimiento POA 2022'!P35</f>
        <v>16</v>
      </c>
      <c r="I84" s="489">
        <f>'1.Informe Seguimiento POA 2022'!P35</f>
        <v>16</v>
      </c>
      <c r="J84" s="489">
        <f t="shared" si="110"/>
        <v>16</v>
      </c>
      <c r="K84" s="492">
        <f t="shared" si="111"/>
        <v>0.3902439024390244</v>
      </c>
      <c r="L84" s="492">
        <f t="shared" si="121"/>
        <v>0.3902439024390244</v>
      </c>
      <c r="M84" s="478">
        <f t="shared" si="112"/>
        <v>5.5944055944055944E-2</v>
      </c>
      <c r="N84" s="489">
        <f t="shared" si="122"/>
        <v>286</v>
      </c>
      <c r="O84" s="477">
        <f>+'1.Informe Seguimiento POA 2022'!Q35</f>
        <v>77</v>
      </c>
      <c r="P84" s="489">
        <f t="shared" si="123"/>
        <v>118</v>
      </c>
      <c r="Q84" s="477">
        <f>'1.Informe Seguimiento POA 2022'!R35</f>
        <v>97</v>
      </c>
      <c r="R84" s="477">
        <f>+'1.Informe Seguimiento POA 2022'!P35+'1.Informe Seguimiento POA 2022'!R35</f>
        <v>113</v>
      </c>
      <c r="S84" s="489">
        <f t="shared" si="124"/>
        <v>113</v>
      </c>
      <c r="T84" s="492">
        <f t="shared" si="113"/>
        <v>1.2597402597402598</v>
      </c>
      <c r="U84" s="492">
        <f t="shared" si="125"/>
        <v>0.9576271186440678</v>
      </c>
      <c r="V84" s="478">
        <f t="shared" si="114"/>
        <v>0.3951048951048951</v>
      </c>
      <c r="W84" s="489">
        <f t="shared" si="126"/>
        <v>286</v>
      </c>
      <c r="X84" s="477">
        <f>+'1.Informe Seguimiento POA 2022'!S35</f>
        <v>114</v>
      </c>
      <c r="Y84" s="477">
        <f>+'1.Informe Seguimiento POA 2022'!O35+'1.Informe Seguimiento POA 2022'!Q35+'1.Informe Seguimiento POA 2022'!S35</f>
        <v>232</v>
      </c>
      <c r="Z84" s="477">
        <f>+'1.Informe Seguimiento POA 2022'!T35</f>
        <v>74</v>
      </c>
      <c r="AA84" s="477">
        <f>+'1.Informe Seguimiento POA 2022'!R35+'1.Informe Seguimiento POA 2022'!T35+'1.Informe Seguimiento POA 2022'!P35</f>
        <v>187</v>
      </c>
      <c r="AB84" s="1058">
        <f t="shared" si="127"/>
        <v>187</v>
      </c>
      <c r="AC84" s="492">
        <f t="shared" si="116"/>
        <v>0.64912280701754388</v>
      </c>
      <c r="AD84" s="492">
        <f t="shared" si="128"/>
        <v>0.80603448275862066</v>
      </c>
      <c r="AE84" s="478">
        <f t="shared" si="117"/>
        <v>0.65384615384615385</v>
      </c>
      <c r="AF84" s="489">
        <f t="shared" si="129"/>
        <v>286</v>
      </c>
      <c r="AG84" s="489">
        <f>+'1.Informe Seguimiento POA 2022'!U35</f>
        <v>54</v>
      </c>
      <c r="AH84" s="489">
        <f>+'1.Informe Seguimiento POA 2022'!O35+'1.Informe Seguimiento POA 2022'!Q35+'1.Informe Seguimiento POA 2022'!S35+'1.Informe Seguimiento POA 2022'!U35</f>
        <v>286</v>
      </c>
      <c r="AI84" s="489">
        <f>+'1.Informe Seguimiento POA 2022'!V35</f>
        <v>0</v>
      </c>
      <c r="AJ84" s="489">
        <f>+'1.Informe Seguimiento POA 2022'!P35+'1.Informe Seguimiento POA 2022'!R35+'1.Informe Seguimiento POA 2022'!T35+'1.Informe Seguimiento POA 2022'!V35</f>
        <v>187</v>
      </c>
      <c r="AK84" s="489">
        <f t="shared" si="130"/>
        <v>187</v>
      </c>
      <c r="AL84" s="492">
        <f t="shared" si="119"/>
        <v>0</v>
      </c>
      <c r="AM84" s="492">
        <f t="shared" si="131"/>
        <v>0.65384615384615385</v>
      </c>
      <c r="AN84" s="478">
        <f t="shared" si="120"/>
        <v>0.65384615384615385</v>
      </c>
      <c r="AO84" s="482" t="str">
        <f>+'Rango indicadores'!H44</f>
        <v>Mayor A:</v>
      </c>
      <c r="AP84" s="477">
        <f>+'Rango indicadores'!I44</f>
        <v>77</v>
      </c>
      <c r="AQ84" s="477" t="str">
        <f>+'Rango indicadores'!J44</f>
        <v>Desde (&gt;=):</v>
      </c>
      <c r="AR84" s="477">
        <f>+'Rango indicadores'!K44</f>
        <v>53</v>
      </c>
      <c r="AS84" s="477" t="str">
        <f>+'Rango indicadores'!L44</f>
        <v>Hasta (&lt;=):</v>
      </c>
      <c r="AT84" s="477">
        <f>+'Rango indicadores'!M44</f>
        <v>77</v>
      </c>
      <c r="AU84" s="477" t="str">
        <f>+'Rango indicadores'!N44</f>
        <v>Menor A:</v>
      </c>
      <c r="AV84" s="1058">
        <f>+'Rango indicadores'!O44</f>
        <v>53</v>
      </c>
      <c r="AW84" s="573" t="s">
        <v>1238</v>
      </c>
      <c r="AX84" s="654"/>
      <c r="AY84" s="654">
        <f>+X84-Z84</f>
        <v>40</v>
      </c>
      <c r="AZ84" s="490"/>
      <c r="BA84" s="490"/>
    </row>
    <row r="85" spans="2:53" ht="210.6" customHeight="1">
      <c r="B85" s="474">
        <f>+B84+1</f>
        <v>44</v>
      </c>
      <c r="C85" s="475" t="str">
        <f>+'Rango indicadores'!D45</f>
        <v>06-RI-04</v>
      </c>
      <c r="D85" s="475" t="str">
        <f>+'Rango indicadores'!E45</f>
        <v>Seguimientos realizados sobre acciones previas, con informe</v>
      </c>
      <c r="E85" s="489">
        <f>+'Rango indicadores'!Q45</f>
        <v>67</v>
      </c>
      <c r="F85" s="489">
        <f>'1.Informe Seguimiento POA 2022'!O36</f>
        <v>1</v>
      </c>
      <c r="G85" s="489">
        <f>'1.Informe Seguimiento POA 2022'!O36</f>
        <v>1</v>
      </c>
      <c r="H85" s="489">
        <f>'1.Informe Seguimiento POA 2022'!P36</f>
        <v>2</v>
      </c>
      <c r="I85" s="489">
        <f>'1.Informe Seguimiento POA 2022'!P36</f>
        <v>2</v>
      </c>
      <c r="J85" s="489">
        <f t="shared" si="110"/>
        <v>2</v>
      </c>
      <c r="K85" s="492">
        <f t="shared" si="111"/>
        <v>2</v>
      </c>
      <c r="L85" s="492">
        <f t="shared" si="121"/>
        <v>2</v>
      </c>
      <c r="M85" s="478">
        <f t="shared" si="112"/>
        <v>2.9850746268656716E-2</v>
      </c>
      <c r="N85" s="489">
        <f t="shared" si="122"/>
        <v>67</v>
      </c>
      <c r="O85" s="477">
        <f>+'1.Informe Seguimiento POA 2022'!Q36</f>
        <v>20</v>
      </c>
      <c r="P85" s="489">
        <f t="shared" si="123"/>
        <v>21</v>
      </c>
      <c r="Q85" s="477">
        <f>'1.Informe Seguimiento POA 2022'!R36</f>
        <v>9</v>
      </c>
      <c r="R85" s="477">
        <f>+'1.Informe Seguimiento POA 2022'!P36+'1.Informe Seguimiento POA 2022'!R36</f>
        <v>11</v>
      </c>
      <c r="S85" s="489">
        <f t="shared" si="124"/>
        <v>11</v>
      </c>
      <c r="T85" s="478">
        <f t="shared" si="113"/>
        <v>0.45</v>
      </c>
      <c r="U85" s="492">
        <f t="shared" si="125"/>
        <v>0.52380952380952384</v>
      </c>
      <c r="V85" s="478">
        <f t="shared" si="114"/>
        <v>0.16417910447761194</v>
      </c>
      <c r="W85" s="489">
        <f t="shared" si="126"/>
        <v>67</v>
      </c>
      <c r="X85" s="477">
        <f>+'1.Informe Seguimiento POA 2022'!S36</f>
        <v>43</v>
      </c>
      <c r="Y85" s="477">
        <f>+'1.Informe Seguimiento POA 2022'!O36+'1.Informe Seguimiento POA 2022'!Q36+'1.Informe Seguimiento POA 2022'!S36</f>
        <v>64</v>
      </c>
      <c r="Z85" s="477">
        <f>+'1.Informe Seguimiento POA 2022'!T36</f>
        <v>18</v>
      </c>
      <c r="AA85" s="477">
        <f>+'1.Informe Seguimiento POA 2022'!R36+'1.Informe Seguimiento POA 2022'!T36+'1.Informe Seguimiento POA 2022'!P36</f>
        <v>29</v>
      </c>
      <c r="AB85" s="1058">
        <f t="shared" si="127"/>
        <v>29</v>
      </c>
      <c r="AC85" s="492">
        <f t="shared" si="116"/>
        <v>0.41860465116279072</v>
      </c>
      <c r="AD85" s="492">
        <f t="shared" si="128"/>
        <v>0.453125</v>
      </c>
      <c r="AE85" s="478">
        <f t="shared" si="117"/>
        <v>0.43283582089552236</v>
      </c>
      <c r="AF85" s="489">
        <f t="shared" si="129"/>
        <v>67</v>
      </c>
      <c r="AG85" s="489">
        <f>+'1.Informe Seguimiento POA 2022'!U36</f>
        <v>3</v>
      </c>
      <c r="AH85" s="489">
        <f>+'1.Informe Seguimiento POA 2022'!O36+'1.Informe Seguimiento POA 2022'!Q36+'1.Informe Seguimiento POA 2022'!S36+'1.Informe Seguimiento POA 2022'!U36</f>
        <v>67</v>
      </c>
      <c r="AI85" s="489">
        <f>+'1.Informe Seguimiento POA 2022'!V36</f>
        <v>0</v>
      </c>
      <c r="AJ85" s="489">
        <f>+'1.Informe Seguimiento POA 2022'!P36+'1.Informe Seguimiento POA 2022'!R36+'1.Informe Seguimiento POA 2022'!T36+'1.Informe Seguimiento POA 2022'!V36</f>
        <v>29</v>
      </c>
      <c r="AK85" s="489">
        <f t="shared" si="130"/>
        <v>29</v>
      </c>
      <c r="AL85" s="492">
        <f t="shared" si="119"/>
        <v>0</v>
      </c>
      <c r="AM85" s="492">
        <f t="shared" si="131"/>
        <v>0.43283582089552236</v>
      </c>
      <c r="AN85" s="478">
        <f t="shared" si="120"/>
        <v>0.43283582089552236</v>
      </c>
      <c r="AO85" s="482" t="str">
        <f>+'Rango indicadores'!H45</f>
        <v>Mayor A:</v>
      </c>
      <c r="AP85" s="477">
        <f>+'Rango indicadores'!I45</f>
        <v>80</v>
      </c>
      <c r="AQ85" s="477" t="str">
        <f>+'Rango indicadores'!J45</f>
        <v>Desde (&gt;=):</v>
      </c>
      <c r="AR85" s="477">
        <f>+'Rango indicadores'!K45</f>
        <v>45</v>
      </c>
      <c r="AS85" s="477" t="str">
        <f>+'Rango indicadores'!L45</f>
        <v>Hasta (&lt;=):</v>
      </c>
      <c r="AT85" s="477">
        <f>+'Rango indicadores'!M45</f>
        <v>80</v>
      </c>
      <c r="AU85" s="477" t="str">
        <f>+'Rango indicadores'!N45</f>
        <v>Menor A:</v>
      </c>
      <c r="AV85" s="1058">
        <f>+'Rango indicadores'!O45</f>
        <v>45</v>
      </c>
      <c r="AW85" s="573" t="s">
        <v>1237</v>
      </c>
      <c r="AX85" s="654"/>
      <c r="AY85" s="654">
        <f>+X85-Z85</f>
        <v>25</v>
      </c>
      <c r="AZ85" s="490"/>
      <c r="BA85" s="490"/>
    </row>
    <row r="86" spans="2:53" ht="243" customHeight="1">
      <c r="B86" s="474">
        <f>+B85+1</f>
        <v>45</v>
      </c>
      <c r="C86" s="475" t="str">
        <f>+'Rango indicadores'!D46</f>
        <v>06-RI-05</v>
      </c>
      <c r="D86" s="475" t="str">
        <f>+'Rango indicadores'!E46</f>
        <v>Audiencias públicas y/o mesas de trabajo realizadas.</v>
      </c>
      <c r="E86" s="489">
        <f>+'Rango indicadores'!Q46</f>
        <v>21</v>
      </c>
      <c r="F86" s="489">
        <f>'1.Informe Seguimiento POA 2022'!O37</f>
        <v>2</v>
      </c>
      <c r="G86" s="489">
        <f>'1.Informe Seguimiento POA 2022'!O37</f>
        <v>2</v>
      </c>
      <c r="H86" s="489">
        <f>'1.Informe Seguimiento POA 2022'!P37</f>
        <v>0</v>
      </c>
      <c r="I86" s="489">
        <f>'1.Informe Seguimiento POA 2022'!P37</f>
        <v>0</v>
      </c>
      <c r="J86" s="489">
        <f t="shared" si="110"/>
        <v>0</v>
      </c>
      <c r="K86" s="492">
        <f t="shared" si="111"/>
        <v>0</v>
      </c>
      <c r="L86" s="492">
        <f t="shared" si="121"/>
        <v>0</v>
      </c>
      <c r="M86" s="478">
        <f t="shared" si="112"/>
        <v>0</v>
      </c>
      <c r="N86" s="489">
        <f t="shared" si="122"/>
        <v>21</v>
      </c>
      <c r="O86" s="477">
        <f>+'1.Informe Seguimiento POA 2022'!Q37</f>
        <v>6</v>
      </c>
      <c r="P86" s="489">
        <f t="shared" si="123"/>
        <v>8</v>
      </c>
      <c r="Q86" s="477">
        <f>'1.Informe Seguimiento POA 2022'!R37</f>
        <v>3</v>
      </c>
      <c r="R86" s="477">
        <f>+'1.Informe Seguimiento POA 2022'!P37+'1.Informe Seguimiento POA 2022'!R37</f>
        <v>3</v>
      </c>
      <c r="S86" s="489">
        <f t="shared" si="124"/>
        <v>3</v>
      </c>
      <c r="T86" s="492">
        <f t="shared" si="113"/>
        <v>0.5</v>
      </c>
      <c r="U86" s="492">
        <f t="shared" si="125"/>
        <v>0.375</v>
      </c>
      <c r="V86" s="478">
        <f t="shared" si="114"/>
        <v>0.14285714285714285</v>
      </c>
      <c r="W86" s="489">
        <f t="shared" si="126"/>
        <v>21</v>
      </c>
      <c r="X86" s="477">
        <f>+'1.Informe Seguimiento POA 2022'!S37</f>
        <v>5</v>
      </c>
      <c r="Y86" s="477">
        <f>+'1.Informe Seguimiento POA 2022'!O37+'1.Informe Seguimiento POA 2022'!Q37+'1.Informe Seguimiento POA 2022'!S37</f>
        <v>13</v>
      </c>
      <c r="Z86" s="477">
        <f>+'1.Informe Seguimiento POA 2022'!T37</f>
        <v>9</v>
      </c>
      <c r="AA86" s="477">
        <f>+'1.Informe Seguimiento POA 2022'!R37+'1.Informe Seguimiento POA 2022'!T37+'1.Informe Seguimiento POA 2022'!P37</f>
        <v>12</v>
      </c>
      <c r="AB86" s="1058">
        <f t="shared" si="127"/>
        <v>12</v>
      </c>
      <c r="AC86" s="492">
        <f t="shared" si="116"/>
        <v>1.8</v>
      </c>
      <c r="AD86" s="492">
        <f t="shared" si="128"/>
        <v>0.92307692307692313</v>
      </c>
      <c r="AE86" s="478">
        <f t="shared" si="117"/>
        <v>0.5714285714285714</v>
      </c>
      <c r="AF86" s="489">
        <f t="shared" si="129"/>
        <v>21</v>
      </c>
      <c r="AG86" s="489">
        <f>+'1.Informe Seguimiento POA 2022'!U37</f>
        <v>8</v>
      </c>
      <c r="AH86" s="489">
        <f>+'1.Informe Seguimiento POA 2022'!O37+'1.Informe Seguimiento POA 2022'!Q37+'1.Informe Seguimiento POA 2022'!S37+'1.Informe Seguimiento POA 2022'!U37</f>
        <v>21</v>
      </c>
      <c r="AI86" s="489">
        <f>+'1.Informe Seguimiento POA 2022'!V37</f>
        <v>0</v>
      </c>
      <c r="AJ86" s="489">
        <f>+'1.Informe Seguimiento POA 2022'!P37+'1.Informe Seguimiento POA 2022'!R37+'1.Informe Seguimiento POA 2022'!T37+'1.Informe Seguimiento POA 2022'!V37</f>
        <v>12</v>
      </c>
      <c r="AK86" s="489">
        <f t="shared" si="130"/>
        <v>12</v>
      </c>
      <c r="AL86" s="492">
        <f t="shared" si="119"/>
        <v>0</v>
      </c>
      <c r="AM86" s="492">
        <f t="shared" si="131"/>
        <v>0.5714285714285714</v>
      </c>
      <c r="AN86" s="478">
        <f t="shared" si="120"/>
        <v>0</v>
      </c>
      <c r="AO86" s="482" t="str">
        <f>+'Rango indicadores'!H46</f>
        <v>Mayor A:</v>
      </c>
      <c r="AP86" s="477">
        <f>+'Rango indicadores'!I46</f>
        <v>85</v>
      </c>
      <c r="AQ86" s="477" t="str">
        <f>+'Rango indicadores'!J46</f>
        <v>Desde (&gt;=):</v>
      </c>
      <c r="AR86" s="477">
        <f>+'Rango indicadores'!K46</f>
        <v>57</v>
      </c>
      <c r="AS86" s="477" t="str">
        <f>+'Rango indicadores'!L46</f>
        <v>Hasta (&lt;=):</v>
      </c>
      <c r="AT86" s="477">
        <f>+'Rango indicadores'!M46</f>
        <v>85</v>
      </c>
      <c r="AU86" s="477" t="str">
        <f>+'Rango indicadores'!N46</f>
        <v>Menor A:</v>
      </c>
      <c r="AV86" s="1058">
        <f>+'Rango indicadores'!O46</f>
        <v>57</v>
      </c>
      <c r="AW86" s="573" t="s">
        <v>1234</v>
      </c>
      <c r="AX86" s="888"/>
      <c r="AY86" s="888">
        <f>+X86-Z86</f>
        <v>-4</v>
      </c>
      <c r="AZ86" s="490"/>
    </row>
    <row r="87" spans="2:53" ht="204.6" customHeight="1">
      <c r="B87" s="474">
        <f t="shared" ref="B87:B88" si="132">+B86+1</f>
        <v>46</v>
      </c>
      <c r="C87" s="475" t="str">
        <f>+'Rango indicadores'!D47</f>
        <v>06-RI-06</v>
      </c>
      <c r="D87" s="475" t="str">
        <f>+'Rango indicadores'!E47</f>
        <v>Acompañamientos a los ciudadanos realizados.</v>
      </c>
      <c r="E87" s="489">
        <f>+'Rango indicadores'!Q47</f>
        <v>60</v>
      </c>
      <c r="F87" s="489">
        <f>'1.Informe Seguimiento POA 2022'!O38</f>
        <v>12</v>
      </c>
      <c r="G87" s="489">
        <f>'1.Informe Seguimiento POA 2022'!O38</f>
        <v>12</v>
      </c>
      <c r="H87" s="489">
        <f>'1.Informe Seguimiento POA 2022'!P38</f>
        <v>18</v>
      </c>
      <c r="I87" s="489">
        <f>'1.Informe Seguimiento POA 2022'!P38</f>
        <v>18</v>
      </c>
      <c r="J87" s="489">
        <f t="shared" si="110"/>
        <v>18</v>
      </c>
      <c r="K87" s="492">
        <f t="shared" si="111"/>
        <v>1.5</v>
      </c>
      <c r="L87" s="492">
        <f t="shared" si="121"/>
        <v>1.5</v>
      </c>
      <c r="M87" s="478">
        <f t="shared" si="112"/>
        <v>0.3</v>
      </c>
      <c r="N87" s="489">
        <f t="shared" si="122"/>
        <v>60</v>
      </c>
      <c r="O87" s="477">
        <f>+'1.Informe Seguimiento POA 2022'!Q38</f>
        <v>18</v>
      </c>
      <c r="P87" s="489">
        <f t="shared" si="123"/>
        <v>30</v>
      </c>
      <c r="Q87" s="477">
        <f>'1.Informe Seguimiento POA 2022'!R38</f>
        <v>13</v>
      </c>
      <c r="R87" s="477">
        <f>+'1.Informe Seguimiento POA 2022'!P38+'1.Informe Seguimiento POA 2022'!R38</f>
        <v>31</v>
      </c>
      <c r="S87" s="489">
        <f t="shared" si="124"/>
        <v>31</v>
      </c>
      <c r="T87" s="492">
        <f t="shared" si="113"/>
        <v>0.72222222222222221</v>
      </c>
      <c r="U87" s="492">
        <f t="shared" si="125"/>
        <v>1.0333333333333334</v>
      </c>
      <c r="V87" s="478">
        <f t="shared" si="114"/>
        <v>0.51666666666666672</v>
      </c>
      <c r="W87" s="489">
        <f t="shared" si="126"/>
        <v>60</v>
      </c>
      <c r="X87" s="477">
        <f>+'1.Informe Seguimiento POA 2022'!S38</f>
        <v>18</v>
      </c>
      <c r="Y87" s="477">
        <f>+'1.Informe Seguimiento POA 2022'!O38+'1.Informe Seguimiento POA 2022'!Q38+'1.Informe Seguimiento POA 2022'!S38</f>
        <v>48</v>
      </c>
      <c r="Z87" s="477">
        <f>+'1.Informe Seguimiento POA 2022'!T38</f>
        <v>7</v>
      </c>
      <c r="AA87" s="477">
        <f>+'1.Informe Seguimiento POA 2022'!R38+'1.Informe Seguimiento POA 2022'!T38+'1.Informe Seguimiento POA 2022'!P38</f>
        <v>38</v>
      </c>
      <c r="AB87" s="1058">
        <f t="shared" si="127"/>
        <v>38</v>
      </c>
      <c r="AC87" s="492">
        <f t="shared" si="116"/>
        <v>0.3888888888888889</v>
      </c>
      <c r="AD87" s="492">
        <f t="shared" si="128"/>
        <v>0.79166666666666663</v>
      </c>
      <c r="AE87" s="478">
        <f t="shared" si="117"/>
        <v>0.6333333333333333</v>
      </c>
      <c r="AF87" s="489">
        <f t="shared" si="129"/>
        <v>60</v>
      </c>
      <c r="AG87" s="489">
        <f>+'1.Informe Seguimiento POA 2022'!U38</f>
        <v>12</v>
      </c>
      <c r="AH87" s="489">
        <f>+'1.Informe Seguimiento POA 2022'!O38+'1.Informe Seguimiento POA 2022'!Q38+'1.Informe Seguimiento POA 2022'!S38+'1.Informe Seguimiento POA 2022'!U38</f>
        <v>60</v>
      </c>
      <c r="AI87" s="489">
        <f>+'1.Informe Seguimiento POA 2022'!V38</f>
        <v>0</v>
      </c>
      <c r="AJ87" s="489">
        <f>+'1.Informe Seguimiento POA 2022'!P38+'1.Informe Seguimiento POA 2022'!R38+'1.Informe Seguimiento POA 2022'!T38+'1.Informe Seguimiento POA 2022'!V38</f>
        <v>38</v>
      </c>
      <c r="AK87" s="489">
        <f t="shared" si="130"/>
        <v>38</v>
      </c>
      <c r="AL87" s="492">
        <f t="shared" si="119"/>
        <v>0</v>
      </c>
      <c r="AM87" s="492">
        <f t="shared" si="131"/>
        <v>0.6333333333333333</v>
      </c>
      <c r="AN87" s="478">
        <f t="shared" si="120"/>
        <v>0.6333333333333333</v>
      </c>
      <c r="AO87" s="482" t="str">
        <f>+'Rango indicadores'!H47</f>
        <v>Mayor A:</v>
      </c>
      <c r="AP87" s="477">
        <f>+'Rango indicadores'!I47</f>
        <v>90</v>
      </c>
      <c r="AQ87" s="477" t="str">
        <f>+'Rango indicadores'!J47</f>
        <v>Desde (&gt;=):</v>
      </c>
      <c r="AR87" s="477">
        <f>+'Rango indicadores'!K47</f>
        <v>69</v>
      </c>
      <c r="AS87" s="477" t="str">
        <f>+'Rango indicadores'!L47</f>
        <v>Hasta (&lt;=):</v>
      </c>
      <c r="AT87" s="477">
        <f>+'Rango indicadores'!M47</f>
        <v>90</v>
      </c>
      <c r="AU87" s="477" t="str">
        <f>+'Rango indicadores'!N47</f>
        <v>Menor A:</v>
      </c>
      <c r="AV87" s="1058">
        <f>+'Rango indicadores'!O47</f>
        <v>69</v>
      </c>
      <c r="AW87" s="573" t="s">
        <v>1235</v>
      </c>
      <c r="AX87" s="888"/>
      <c r="AY87" s="889">
        <f t="shared" ref="AY87:AZ88" si="133">+X87-Z87</f>
        <v>11</v>
      </c>
      <c r="AZ87" s="889">
        <f t="shared" si="133"/>
        <v>10</v>
      </c>
    </row>
    <row r="88" spans="2:53" ht="172.5" customHeight="1">
      <c r="B88" s="474">
        <f t="shared" si="132"/>
        <v>47</v>
      </c>
      <c r="C88" s="475" t="str">
        <f>+'Rango indicadores'!D48</f>
        <v>06-RI-07</v>
      </c>
      <c r="D88" s="475" t="str">
        <f>+'Rango indicadores'!E48</f>
        <v>Espacios de dialogo realizados.</v>
      </c>
      <c r="E88" s="489">
        <f>+'Rango indicadores'!Q48</f>
        <v>30</v>
      </c>
      <c r="F88" s="489">
        <f>'1.Informe Seguimiento POA 2022'!O39</f>
        <v>6</v>
      </c>
      <c r="G88" s="489">
        <f>'1.Informe Seguimiento POA 2022'!O39</f>
        <v>6</v>
      </c>
      <c r="H88" s="489">
        <f>'1.Informe Seguimiento POA 2022'!P39</f>
        <v>13</v>
      </c>
      <c r="I88" s="489">
        <f>'1.Informe Seguimiento POA 2022'!P39</f>
        <v>13</v>
      </c>
      <c r="J88" s="489">
        <f t="shared" si="110"/>
        <v>13</v>
      </c>
      <c r="K88" s="492">
        <f t="shared" si="111"/>
        <v>2.1666666666666665</v>
      </c>
      <c r="L88" s="492">
        <f t="shared" si="121"/>
        <v>2.1666666666666665</v>
      </c>
      <c r="M88" s="478">
        <f t="shared" si="112"/>
        <v>0.43333333333333335</v>
      </c>
      <c r="N88" s="489">
        <f t="shared" si="122"/>
        <v>30</v>
      </c>
      <c r="O88" s="477">
        <f>+'1.Informe Seguimiento POA 2022'!Q39</f>
        <v>9</v>
      </c>
      <c r="P88" s="489">
        <f t="shared" si="123"/>
        <v>15</v>
      </c>
      <c r="Q88" s="477">
        <f>'1.Informe Seguimiento POA 2022'!R39</f>
        <v>4</v>
      </c>
      <c r="R88" s="477">
        <f>+'1.Informe Seguimiento POA 2022'!P39+'1.Informe Seguimiento POA 2022'!R39</f>
        <v>17</v>
      </c>
      <c r="S88" s="489">
        <f t="shared" si="124"/>
        <v>17</v>
      </c>
      <c r="T88" s="492">
        <f t="shared" si="113"/>
        <v>0.44444444444444442</v>
      </c>
      <c r="U88" s="492">
        <f t="shared" si="125"/>
        <v>1.1333333333333333</v>
      </c>
      <c r="V88" s="478">
        <f t="shared" si="114"/>
        <v>0.56666666666666665</v>
      </c>
      <c r="W88" s="489">
        <f t="shared" si="126"/>
        <v>30</v>
      </c>
      <c r="X88" s="477">
        <f>+'1.Informe Seguimiento POA 2022'!S39</f>
        <v>9</v>
      </c>
      <c r="Y88" s="477">
        <f>+'1.Informe Seguimiento POA 2022'!O39+'1.Informe Seguimiento POA 2022'!Q39+'1.Informe Seguimiento POA 2022'!S39</f>
        <v>24</v>
      </c>
      <c r="Z88" s="477">
        <f>+'1.Informe Seguimiento POA 2022'!T39</f>
        <v>18</v>
      </c>
      <c r="AA88" s="477">
        <f>+'1.Informe Seguimiento POA 2022'!R39+'1.Informe Seguimiento POA 2022'!T39+'1.Informe Seguimiento POA 2022'!P39</f>
        <v>35</v>
      </c>
      <c r="AB88" s="1058">
        <f t="shared" si="127"/>
        <v>35</v>
      </c>
      <c r="AC88" s="492">
        <f t="shared" si="116"/>
        <v>2</v>
      </c>
      <c r="AD88" s="492">
        <f t="shared" si="128"/>
        <v>1.4583333333333333</v>
      </c>
      <c r="AE88" s="478">
        <f t="shared" si="117"/>
        <v>1.1666666666666667</v>
      </c>
      <c r="AF88" s="489">
        <f t="shared" si="129"/>
        <v>30</v>
      </c>
      <c r="AG88" s="489">
        <f>+'1.Informe Seguimiento POA 2022'!U39</f>
        <v>6</v>
      </c>
      <c r="AH88" s="489">
        <f>+'1.Informe Seguimiento POA 2022'!O39+'1.Informe Seguimiento POA 2022'!Q39+'1.Informe Seguimiento POA 2022'!S39+'1.Informe Seguimiento POA 2022'!U39</f>
        <v>30</v>
      </c>
      <c r="AI88" s="489">
        <f>+'1.Informe Seguimiento POA 2022'!V39</f>
        <v>0</v>
      </c>
      <c r="AJ88" s="489">
        <f>+'1.Informe Seguimiento POA 2022'!P39+'1.Informe Seguimiento POA 2022'!R39+'1.Informe Seguimiento POA 2022'!T39+'1.Informe Seguimiento POA 2022'!V39</f>
        <v>35</v>
      </c>
      <c r="AK88" s="489">
        <f t="shared" si="130"/>
        <v>35</v>
      </c>
      <c r="AL88" s="492">
        <f t="shared" si="119"/>
        <v>0</v>
      </c>
      <c r="AM88" s="492">
        <f t="shared" si="131"/>
        <v>1.1666666666666667</v>
      </c>
      <c r="AN88" s="478">
        <f t="shared" si="120"/>
        <v>1.1666666666666667</v>
      </c>
      <c r="AO88" s="482" t="str">
        <f>+'Rango indicadores'!H48</f>
        <v>Mayor A:</v>
      </c>
      <c r="AP88" s="477">
        <f>+'Rango indicadores'!I48</f>
        <v>90</v>
      </c>
      <c r="AQ88" s="477" t="str">
        <f>+'Rango indicadores'!J48</f>
        <v>Desde (&gt;=):</v>
      </c>
      <c r="AR88" s="477">
        <f>+'Rango indicadores'!K48</f>
        <v>69</v>
      </c>
      <c r="AS88" s="477" t="str">
        <f>+'Rango indicadores'!L48</f>
        <v>Hasta (&lt;=):</v>
      </c>
      <c r="AT88" s="477">
        <f>+'Rango indicadores'!M48</f>
        <v>90</v>
      </c>
      <c r="AU88" s="477" t="str">
        <f>+'Rango indicadores'!N48</f>
        <v>Menor A:</v>
      </c>
      <c r="AV88" s="1058">
        <f>+'Rango indicadores'!O48</f>
        <v>69</v>
      </c>
      <c r="AW88" s="573" t="s">
        <v>1236</v>
      </c>
      <c r="AX88" s="654"/>
      <c r="AY88" s="889">
        <f t="shared" si="133"/>
        <v>-9</v>
      </c>
      <c r="AZ88" s="889">
        <f t="shared" si="133"/>
        <v>-11</v>
      </c>
      <c r="BA88" s="490"/>
    </row>
    <row r="89" spans="2:53" ht="15.75">
      <c r="C89" s="1598" t="s">
        <v>872</v>
      </c>
      <c r="D89" s="1599"/>
      <c r="E89" s="1599"/>
      <c r="F89" s="1599"/>
      <c r="G89" s="1599"/>
      <c r="H89" s="1599"/>
      <c r="I89" s="1599"/>
      <c r="J89" s="1599"/>
      <c r="K89" s="480">
        <f>IFERROR(AVERAGE(K82:K88),0)</f>
        <v>1.2113821138211383</v>
      </c>
      <c r="L89" s="480">
        <f>IFERROR(AVERAGE(L82:L88),0)</f>
        <v>1.2113821138211383</v>
      </c>
      <c r="M89" s="480">
        <f>IFERROR(AVERAGE(M82:M88),0)</f>
        <v>0.11701830507800658</v>
      </c>
      <c r="N89" s="1062"/>
      <c r="O89" s="1062"/>
      <c r="P89" s="1062"/>
      <c r="Q89" s="1062"/>
      <c r="R89" s="1062"/>
      <c r="S89" s="1062"/>
      <c r="T89" s="480">
        <f>IFERROR(AVERAGE(T82:T88),0)</f>
        <v>0.56273448773448775</v>
      </c>
      <c r="U89" s="480">
        <f>IFERROR(AVERAGE(U82:U88),0)</f>
        <v>0.67051721818670984</v>
      </c>
      <c r="V89" s="480">
        <f>IFERROR(AVERAGE(V82:V88),0)</f>
        <v>0.2550677822532833</v>
      </c>
      <c r="W89" s="1062"/>
      <c r="X89" s="1062"/>
      <c r="Y89" s="1062"/>
      <c r="Z89" s="1062"/>
      <c r="AA89" s="1062"/>
      <c r="AB89" s="1062"/>
      <c r="AC89" s="480">
        <f>IFERROR(AVERAGE(AC82:AC88),0)</f>
        <v>1.0513232694138448</v>
      </c>
      <c r="AD89" s="480">
        <f>IFERROR(AVERAGE(AD82:AD88),0)</f>
        <v>0.90537273430592391</v>
      </c>
      <c r="AE89" s="480">
        <f>IFERROR(AVERAGE(AE82:AE88),0)</f>
        <v>0.53483211884064763</v>
      </c>
      <c r="AF89" s="1062"/>
      <c r="AG89" s="1062"/>
      <c r="AH89" s="1062"/>
      <c r="AI89" s="1062"/>
      <c r="AJ89" s="561"/>
      <c r="AK89" s="561"/>
      <c r="AL89" s="480">
        <f>IFERROR(AVERAGE(AL82:AL88),0)</f>
        <v>0</v>
      </c>
      <c r="AM89" s="480">
        <f>IFERROR(AVERAGE(AM82:AM88),0)</f>
        <v>0.53483211884064763</v>
      </c>
      <c r="AN89" s="480">
        <f>IFERROR(AVERAGE(AN82:AN88),0)</f>
        <v>0.41238313924881087</v>
      </c>
      <c r="AO89" s="487"/>
      <c r="AP89" s="487"/>
      <c r="AQ89" s="487"/>
      <c r="AR89" s="487"/>
      <c r="AS89" s="487"/>
      <c r="AT89" s="487"/>
      <c r="AU89" s="487"/>
      <c r="AV89" s="487"/>
      <c r="AW89" s="582"/>
    </row>
    <row r="90" spans="2:53" s="470" customFormat="1" ht="29.45" customHeight="1" thickBot="1">
      <c r="D90" s="472"/>
      <c r="AW90" s="472"/>
      <c r="AY90" s="455"/>
      <c r="AZ90" s="455"/>
    </row>
    <row r="91" spans="2:53" s="470" customFormat="1" ht="16.5" thickBot="1">
      <c r="C91" s="473" t="s">
        <v>879</v>
      </c>
      <c r="D91" s="503"/>
      <c r="E91" s="1577" t="s">
        <v>1136</v>
      </c>
      <c r="F91" s="1578"/>
      <c r="G91" s="1578"/>
      <c r="H91" s="1578"/>
      <c r="I91" s="1578"/>
      <c r="J91" s="1578"/>
      <c r="K91" s="1578"/>
      <c r="L91" s="1578"/>
      <c r="M91" s="1579"/>
      <c r="N91" s="1580" t="s">
        <v>1137</v>
      </c>
      <c r="O91" s="1581"/>
      <c r="P91" s="1581"/>
      <c r="Q91" s="1581"/>
      <c r="R91" s="1581"/>
      <c r="S91" s="1581"/>
      <c r="T91" s="1581"/>
      <c r="U91" s="1581"/>
      <c r="V91" s="1582"/>
      <c r="W91" s="1574" t="s">
        <v>1138</v>
      </c>
      <c r="X91" s="1575"/>
      <c r="Y91" s="1575"/>
      <c r="Z91" s="1575"/>
      <c r="AA91" s="1575"/>
      <c r="AB91" s="1575"/>
      <c r="AC91" s="1575"/>
      <c r="AD91" s="1575"/>
      <c r="AE91" s="1576"/>
      <c r="AF91" s="1580" t="s">
        <v>1052</v>
      </c>
      <c r="AG91" s="1581"/>
      <c r="AH91" s="1581"/>
      <c r="AI91" s="1581"/>
      <c r="AJ91" s="1581"/>
      <c r="AK91" s="1581"/>
      <c r="AL91" s="1581"/>
      <c r="AM91" s="1581"/>
      <c r="AN91" s="1582"/>
      <c r="AW91" s="472"/>
      <c r="AY91" s="455"/>
      <c r="AZ91" s="455"/>
    </row>
    <row r="92" spans="2:53" ht="30" customHeight="1">
      <c r="C92" s="1571" t="str">
        <f>+$C$10</f>
        <v>Identificación del Indicador</v>
      </c>
      <c r="D92" s="1584" t="s">
        <v>867</v>
      </c>
      <c r="E92" s="1567" t="s">
        <v>868</v>
      </c>
      <c r="F92" s="1568"/>
      <c r="G92" s="1569"/>
      <c r="H92" s="1570" t="s">
        <v>1140</v>
      </c>
      <c r="I92" s="1572" t="s">
        <v>1144</v>
      </c>
      <c r="J92" s="1570" t="s">
        <v>869</v>
      </c>
      <c r="K92" s="1570" t="s">
        <v>863</v>
      </c>
      <c r="L92" s="1570"/>
      <c r="M92" s="1570"/>
      <c r="N92" s="1567" t="s">
        <v>868</v>
      </c>
      <c r="O92" s="1568"/>
      <c r="P92" s="1569"/>
      <c r="Q92" s="1570" t="s">
        <v>1150</v>
      </c>
      <c r="R92" s="1572" t="s">
        <v>1141</v>
      </c>
      <c r="S92" s="1570" t="s">
        <v>869</v>
      </c>
      <c r="T92" s="1570" t="s">
        <v>863</v>
      </c>
      <c r="U92" s="1570"/>
      <c r="V92" s="1570"/>
      <c r="W92" s="1567" t="s">
        <v>868</v>
      </c>
      <c r="X92" s="1568"/>
      <c r="Y92" s="1569"/>
      <c r="Z92" s="1570" t="s">
        <v>1151</v>
      </c>
      <c r="AA92" s="1572" t="s">
        <v>1146</v>
      </c>
      <c r="AB92" s="1570" t="s">
        <v>869</v>
      </c>
      <c r="AC92" s="1570" t="s">
        <v>863</v>
      </c>
      <c r="AD92" s="1570"/>
      <c r="AE92" s="1570"/>
      <c r="AF92" s="1567" t="s">
        <v>868</v>
      </c>
      <c r="AG92" s="1568"/>
      <c r="AH92" s="1569"/>
      <c r="AI92" s="1570" t="s">
        <v>1152</v>
      </c>
      <c r="AJ92" s="1572" t="s">
        <v>1148</v>
      </c>
      <c r="AK92" s="1570" t="s">
        <v>869</v>
      </c>
      <c r="AL92" s="1570" t="s">
        <v>863</v>
      </c>
      <c r="AM92" s="1570"/>
      <c r="AN92" s="1570"/>
      <c r="AO92" s="1583" t="s">
        <v>715</v>
      </c>
      <c r="AP92" s="1583"/>
      <c r="AQ92" s="1583"/>
      <c r="AR92" s="1583"/>
      <c r="AS92" s="1583"/>
      <c r="AT92" s="1583"/>
      <c r="AU92" s="1583"/>
      <c r="AV92" s="1583"/>
      <c r="AW92" s="1571" t="s">
        <v>888</v>
      </c>
    </row>
    <row r="93" spans="2:53" ht="51.75" customHeight="1">
      <c r="C93" s="1571"/>
      <c r="D93" s="1584"/>
      <c r="E93" s="1017" t="s">
        <v>1153</v>
      </c>
      <c r="F93" s="1017" t="str">
        <f>+E91</f>
        <v>Primer Trimestre</v>
      </c>
      <c r="G93" s="1018" t="s">
        <v>1143</v>
      </c>
      <c r="H93" s="1571"/>
      <c r="I93" s="1573"/>
      <c r="J93" s="1571"/>
      <c r="K93" s="1017" t="str">
        <f>+$D$6</f>
        <v>Tercer Trimestre</v>
      </c>
      <c r="L93" s="1018" t="str">
        <f>+G93</f>
        <v>Acumulado
Corte 
31/03/2022</v>
      </c>
      <c r="M93" s="1019" t="s">
        <v>760</v>
      </c>
      <c r="N93" s="1017" t="s">
        <v>1153</v>
      </c>
      <c r="O93" s="1017" t="str">
        <f>+N91</f>
        <v>Segundo Trimestre</v>
      </c>
      <c r="P93" s="1018" t="s">
        <v>1142</v>
      </c>
      <c r="Q93" s="1571"/>
      <c r="R93" s="1573"/>
      <c r="S93" s="1571"/>
      <c r="T93" s="1017" t="str">
        <f>+O93</f>
        <v>Segundo Trimestre</v>
      </c>
      <c r="U93" s="1018" t="str">
        <f>+P93</f>
        <v>Acumulado Corte 
30/06/2022</v>
      </c>
      <c r="V93" s="1019" t="s">
        <v>760</v>
      </c>
      <c r="W93" s="1017" t="s">
        <v>1153</v>
      </c>
      <c r="X93" s="1017" t="str">
        <f>+W91</f>
        <v>Tercer Trimestre</v>
      </c>
      <c r="Y93" s="1018" t="s">
        <v>1145</v>
      </c>
      <c r="Z93" s="1571"/>
      <c r="AA93" s="1573"/>
      <c r="AB93" s="1571"/>
      <c r="AC93" s="1017" t="str">
        <f>+X93</f>
        <v>Tercer Trimestre</v>
      </c>
      <c r="AD93" s="1018" t="str">
        <f>+Y93</f>
        <v>Acumulado Corte 
30/09/2022</v>
      </c>
      <c r="AE93" s="1019" t="s">
        <v>760</v>
      </c>
      <c r="AF93" s="1017" t="s">
        <v>1153</v>
      </c>
      <c r="AG93" s="1017" t="str">
        <f>+AF91</f>
        <v>Cuarto Trimestre</v>
      </c>
      <c r="AH93" s="1018" t="s">
        <v>1147</v>
      </c>
      <c r="AI93" s="1571"/>
      <c r="AJ93" s="1573"/>
      <c r="AK93" s="1571"/>
      <c r="AL93" s="1017" t="str">
        <f>+AG93</f>
        <v>Cuarto Trimestre</v>
      </c>
      <c r="AM93" s="1018" t="str">
        <f>+AH93</f>
        <v>Acumulado Corte 
31/12/2022</v>
      </c>
      <c r="AN93" s="1019" t="s">
        <v>760</v>
      </c>
      <c r="AO93" s="1201" t="s">
        <v>870</v>
      </c>
      <c r="AP93" s="1202"/>
      <c r="AQ93" s="1203" t="s">
        <v>871</v>
      </c>
      <c r="AR93" s="1204"/>
      <c r="AS93" s="1204"/>
      <c r="AT93" s="1205"/>
      <c r="AU93" s="1206" t="s">
        <v>723</v>
      </c>
      <c r="AV93" s="1207"/>
      <c r="AW93" s="1571"/>
    </row>
    <row r="94" spans="2:53" ht="159.75" customHeight="1">
      <c r="B94" s="474">
        <f>+B88+1</f>
        <v>48</v>
      </c>
      <c r="C94" s="475" t="str">
        <f>+'Rango indicadores'!D49</f>
        <v>07-RI-01</v>
      </c>
      <c r="D94" s="475" t="str">
        <f>+'Rango indicadores'!E49</f>
        <v>Procesos priorizados identificados y decididos de fondo</v>
      </c>
      <c r="E94" s="489">
        <f>+'Rango indicadores'!Q49</f>
        <v>1800</v>
      </c>
      <c r="F94" s="489">
        <f>'1.Informe Seguimiento POA 2022'!O40</f>
        <v>300</v>
      </c>
      <c r="G94" s="489">
        <f>'1.Informe Seguimiento POA 2022'!O40</f>
        <v>300</v>
      </c>
      <c r="H94" s="489">
        <f>'1.Informe Seguimiento POA 2022'!P40</f>
        <v>318</v>
      </c>
      <c r="I94" s="489">
        <f>'1.Informe Seguimiento POA 2022'!P40</f>
        <v>318</v>
      </c>
      <c r="J94" s="489">
        <f t="shared" ref="J94:J101" si="134">I94</f>
        <v>318</v>
      </c>
      <c r="K94" s="492">
        <f t="shared" ref="K94" si="135">IF(AND(F94&gt;0),H94/F94,"No programado")</f>
        <v>1.06</v>
      </c>
      <c r="L94" s="492">
        <f t="shared" ref="L94" si="136">IF(AND(G94&gt;0),I94/G94,"No programado")</f>
        <v>1.06</v>
      </c>
      <c r="M94" s="478">
        <f t="shared" ref="M94" si="137">IF(AND(E94&gt;0,$J94&gt;0),J94/$E94,0)</f>
        <v>0.17666666666666667</v>
      </c>
      <c r="N94" s="489">
        <f t="shared" ref="N94:N95" si="138">+E94</f>
        <v>1800</v>
      </c>
      <c r="O94" s="477">
        <f>+'1.Informe Seguimiento POA 2022'!Q40</f>
        <v>490</v>
      </c>
      <c r="P94" s="489">
        <f t="shared" ref="P94" si="139">G94+O94</f>
        <v>790</v>
      </c>
      <c r="Q94" s="477">
        <f>'1.Informe Seguimiento POA 2022'!R40</f>
        <v>366</v>
      </c>
      <c r="R94" s="477">
        <f>+'1.Informe Seguimiento POA 2022'!P40+'1.Informe Seguimiento POA 2022'!R40</f>
        <v>684</v>
      </c>
      <c r="S94" s="489">
        <f t="shared" ref="S94" si="140">H94+Q94</f>
        <v>684</v>
      </c>
      <c r="T94" s="492">
        <f t="shared" ref="T94:T101" si="141">IF(AND(O94&gt;0),Q94/O94,"No programado")</f>
        <v>0.74693877551020404</v>
      </c>
      <c r="U94" s="492">
        <f t="shared" ref="U94:U101" si="142">IF(AND(P94&gt;0),R94/P94,"No programado")</f>
        <v>0.86582278481012653</v>
      </c>
      <c r="V94" s="478">
        <f>IF(AND(N94&gt;0,$S94&gt;0),S94/$N94,0)</f>
        <v>0.38</v>
      </c>
      <c r="W94" s="489">
        <f t="shared" ref="W94" si="143">+N94</f>
        <v>1800</v>
      </c>
      <c r="X94" s="477">
        <f>+'1.Informe Seguimiento POA 2022'!S40</f>
        <v>630</v>
      </c>
      <c r="Y94" s="477">
        <f>+'1.Informe Seguimiento POA 2022'!O40+'1.Informe Seguimiento POA 2022'!Q40+'1.Informe Seguimiento POA 2022'!S40</f>
        <v>1420</v>
      </c>
      <c r="Z94" s="477">
        <f>+'1.Informe Seguimiento POA 2022'!T40</f>
        <v>450</v>
      </c>
      <c r="AA94" s="477">
        <f>+'1.Informe Seguimiento POA 2022'!R40+'1.Informe Seguimiento POA 2022'!T40+'1.Informe Seguimiento POA 2022'!P40</f>
        <v>1134</v>
      </c>
      <c r="AB94" s="1058">
        <f t="shared" ref="AB94" si="144">H94+Q94+Z94</f>
        <v>1134</v>
      </c>
      <c r="AC94" s="492">
        <f t="shared" ref="AC94:AC101" si="145">IF(AND(X94&gt;0),Z94/X94,"No programado")</f>
        <v>0.7142857142857143</v>
      </c>
      <c r="AD94" s="492">
        <f t="shared" ref="AD94:AD101" si="146">IF(AND(Y94&gt;0),AA94/Y94,"No programado")</f>
        <v>0.79859154929577469</v>
      </c>
      <c r="AE94" s="478">
        <f t="shared" ref="AE94:AE101" si="147">IF(AND(W94&gt;0,$AB94&gt;0),AB94/$W94,0)</f>
        <v>0.63</v>
      </c>
      <c r="AF94" s="489">
        <f>+W94</f>
        <v>1800</v>
      </c>
      <c r="AG94" s="489">
        <f>+'1.Informe Seguimiento POA 2022'!U40</f>
        <v>380</v>
      </c>
      <c r="AH94" s="489">
        <f>+'1.Informe Seguimiento POA 2022'!O40+'1.Informe Seguimiento POA 2022'!Q40+'1.Informe Seguimiento POA 2022'!S40+'1.Informe Seguimiento POA 2022'!U40</f>
        <v>1800</v>
      </c>
      <c r="AI94" s="489">
        <f>+'1.Informe Seguimiento POA 2022'!V40</f>
        <v>0</v>
      </c>
      <c r="AJ94" s="489">
        <f>+'1.Informe Seguimiento POA 2022'!P40+'1.Informe Seguimiento POA 2022'!R40+'1.Informe Seguimiento POA 2022'!T40+'1.Informe Seguimiento POA 2022'!V40</f>
        <v>1134</v>
      </c>
      <c r="AK94" s="489">
        <f t="shared" ref="AK94" si="148">H94+Q94+Z94+AI94</f>
        <v>1134</v>
      </c>
      <c r="AL94" s="492">
        <f t="shared" ref="AL94:AL101" si="149">IF(AND(AG94&gt;0),AI94/AG94,"No programado")</f>
        <v>0</v>
      </c>
      <c r="AM94" s="492">
        <f t="shared" ref="AM94:AM101" si="150">IF(AND(AH94&gt;0),AJ94/AH94,"No programado")</f>
        <v>0.63</v>
      </c>
      <c r="AN94" s="478">
        <f t="shared" ref="AN94:AN101" si="151">IF(AND(AF94&gt;0,$J94&gt;0),AK94/$E94,0)</f>
        <v>0.63</v>
      </c>
      <c r="AO94" s="482" t="str">
        <f>+'Rango indicadores'!H49</f>
        <v>Mayor A:</v>
      </c>
      <c r="AP94" s="477">
        <f>+'Rango indicadores'!I49</f>
        <v>90</v>
      </c>
      <c r="AQ94" s="477" t="str">
        <f>+'Rango indicadores'!J49</f>
        <v>Desde (&gt;=):</v>
      </c>
      <c r="AR94" s="477">
        <f>+'Rango indicadores'!K49</f>
        <v>60</v>
      </c>
      <c r="AS94" s="477" t="str">
        <f>+'Rango indicadores'!L49</f>
        <v>Hasta (&lt;=):</v>
      </c>
      <c r="AT94" s="477">
        <f>+'Rango indicadores'!M49</f>
        <v>90</v>
      </c>
      <c r="AU94" s="477" t="str">
        <f>+'Rango indicadores'!N49</f>
        <v>Menor A:</v>
      </c>
      <c r="AV94" s="477">
        <f>+'Rango indicadores'!O49</f>
        <v>60</v>
      </c>
      <c r="AW94" s="1078" t="s">
        <v>1244</v>
      </c>
      <c r="AX94" s="654"/>
      <c r="AY94" s="889">
        <f t="shared" ref="AY94:AZ101" si="152">+X94-Z94</f>
        <v>180</v>
      </c>
      <c r="AZ94" s="490"/>
    </row>
    <row r="95" spans="2:53" ht="130.15" customHeight="1">
      <c r="B95" s="474">
        <f t="shared" ref="B95:B101" si="153">+B94+1</f>
        <v>49</v>
      </c>
      <c r="C95" s="475" t="str">
        <f>+'Rango indicadores'!D50</f>
        <v>07-RI-02</v>
      </c>
      <c r="D95" s="475" t="str">
        <f>+'Rango indicadores'!E50</f>
        <v>Noticias disciplinarias  evaluadas y con impulso procesal</v>
      </c>
      <c r="E95" s="513">
        <f>+'Rango indicadores'!Q50</f>
        <v>1</v>
      </c>
      <c r="F95" s="507">
        <f>'1.Informe Seguimiento POA 2022'!O41</f>
        <v>1</v>
      </c>
      <c r="G95" s="507">
        <f>'1.Informe Seguimiento POA 2022'!O41</f>
        <v>1</v>
      </c>
      <c r="H95" s="921">
        <f>'1.Informe Seguimiento POA 2022'!P41</f>
        <v>0.79066666666666663</v>
      </c>
      <c r="I95" s="921">
        <f>'1.Informe Seguimiento POA 2022'!P41</f>
        <v>0.79066666666666663</v>
      </c>
      <c r="J95" s="921">
        <f t="shared" si="134"/>
        <v>0.79066666666666663</v>
      </c>
      <c r="K95" s="492">
        <f t="shared" ref="K95:K101" si="154">IF(AND(F95&gt;0),H95/F95,"No programado")</f>
        <v>0.79066666666666663</v>
      </c>
      <c r="L95" s="492">
        <f t="shared" ref="L95:L101" si="155">IF(AND(G95&gt;0),I95/G95,"No programado")</f>
        <v>0.79066666666666663</v>
      </c>
      <c r="M95" s="478">
        <f>IF(AND(E95&gt;0,$J95&gt;0),J95/$E95,0)*0.25</f>
        <v>0.19766666666666666</v>
      </c>
      <c r="N95" s="513">
        <f t="shared" si="138"/>
        <v>1</v>
      </c>
      <c r="O95" s="921">
        <f>+'1.Informe Seguimiento POA 2022'!Q41</f>
        <v>1</v>
      </c>
      <c r="P95" s="1059">
        <f>IFERROR(AVERAGE(F95,O95),0)</f>
        <v>1</v>
      </c>
      <c r="Q95" s="921">
        <f>'1.Informe Seguimiento POA 2022'!R41</f>
        <v>0.91633333333333322</v>
      </c>
      <c r="R95" s="479">
        <f>IFERROR(AVERAGE('1.Informe Seguimiento POA 2022'!P41,'1.Informe Seguimiento POA 2022'!R41),0)</f>
        <v>0.85349999999999993</v>
      </c>
      <c r="S95" s="479">
        <f>IFERROR(IF(OR($N95="",$N95=0),0,ROUNDDOWN(AVERAGE($H95,Q95),3)),0)</f>
        <v>0.85299999999999998</v>
      </c>
      <c r="T95" s="492">
        <f t="shared" si="141"/>
        <v>0.91633333333333322</v>
      </c>
      <c r="U95" s="492">
        <f t="shared" si="142"/>
        <v>0.85349999999999993</v>
      </c>
      <c r="V95" s="478">
        <f>IF(AND(N95&gt;0,$S95&gt;0),S95/$N95,0)*0.5</f>
        <v>0.42649999999999999</v>
      </c>
      <c r="W95" s="513">
        <f>N95</f>
        <v>1</v>
      </c>
      <c r="X95" s="507">
        <f>+'1.Informe Seguimiento POA 2022'!S41</f>
        <v>1</v>
      </c>
      <c r="Y95" s="479">
        <f>IFERROR(AVERAGE('1.Informe Seguimiento POA 2022'!O41,'1.Informe Seguimiento POA 2022'!Q41,,'1.Informe Seguimiento POA 2022'!S41),0)</f>
        <v>0.75</v>
      </c>
      <c r="Z95" s="479">
        <f>+'1.Informe Seguimiento POA 2022'!T41</f>
        <v>0.91733333333333322</v>
      </c>
      <c r="AA95" s="479">
        <f>IFERROR(AVERAGE('1.Informe Seguimiento POA 2022'!R41,'1.Informe Seguimiento POA 2022'!P41,'1.Informe Seguimiento POA 2022'!T41),0)</f>
        <v>0.87477777777777765</v>
      </c>
      <c r="AB95" s="479">
        <f>IFERROR(IF(OR($W95="",$W95=0),0,ROUNDDOWN(AVERAGE($H95,Q95,Z95),3)),0)</f>
        <v>0.874</v>
      </c>
      <c r="AC95" s="492">
        <f t="shared" si="145"/>
        <v>0.91733333333333322</v>
      </c>
      <c r="AD95" s="492">
        <f t="shared" si="146"/>
        <v>1.1663703703703703</v>
      </c>
      <c r="AE95" s="478">
        <f>IF(AND(W95&gt;0,$AB95&gt;0),AB95/$W95,0)*0.75</f>
        <v>0.65549999999999997</v>
      </c>
      <c r="AF95" s="513">
        <f t="shared" ref="AF95:AF101" si="156">+W95</f>
        <v>1</v>
      </c>
      <c r="AG95" s="574">
        <f>'1.Informe Seguimiento POA 2022'!U41</f>
        <v>1</v>
      </c>
      <c r="AH95" s="574">
        <f>IFERROR(AVERAGE('1.Informe Seguimiento POA 2022'!O41,'1.Informe Seguimiento POA 2022'!Q41,'1.Informe Seguimiento POA 2022'!S41,'1.Informe Seguimiento POA 2022'!U41),0)</f>
        <v>1</v>
      </c>
      <c r="AI95" s="574">
        <f>+'1.Informe Seguimiento POA 2022'!V41</f>
        <v>0</v>
      </c>
      <c r="AJ95" s="574">
        <f>IFERROR(AVERAGE('1.Informe Seguimiento POA 2022'!P41,'1.Informe Seguimiento POA 2022'!R41,'1.Informe Seguimiento POA 2022'!T41,'1.Informe Seguimiento POA 2022'!V41),0)</f>
        <v>0.65608333333333324</v>
      </c>
      <c r="AK95" s="574">
        <f>IFERROR(IF(OR($AF97="",$AF97=0),0,ROUNDDOWN(AVERAGE($H95,Q95,Z95,AI95),3)),0)</f>
        <v>0.65600000000000003</v>
      </c>
      <c r="AL95" s="492">
        <f t="shared" si="149"/>
        <v>0</v>
      </c>
      <c r="AM95" s="492">
        <f t="shared" si="150"/>
        <v>0.65608333333333324</v>
      </c>
      <c r="AN95" s="478">
        <f t="shared" si="151"/>
        <v>0.65600000000000003</v>
      </c>
      <c r="AO95" s="482" t="str">
        <f>+'Rango indicadores'!H50</f>
        <v>Mayor A:</v>
      </c>
      <c r="AP95" s="477">
        <f>+'Rango indicadores'!I50</f>
        <v>90</v>
      </c>
      <c r="AQ95" s="477" t="str">
        <f>+'Rango indicadores'!J50</f>
        <v>Desde (&gt;=):</v>
      </c>
      <c r="AR95" s="477">
        <f>+'Rango indicadores'!K50</f>
        <v>60</v>
      </c>
      <c r="AS95" s="477" t="str">
        <f>+'Rango indicadores'!L50</f>
        <v>Hasta (&lt;=):</v>
      </c>
      <c r="AT95" s="477">
        <f>+'Rango indicadores'!M50</f>
        <v>90</v>
      </c>
      <c r="AU95" s="477" t="str">
        <f>+'Rango indicadores'!N50</f>
        <v>Menor A:</v>
      </c>
      <c r="AV95" s="477">
        <f>+'Rango indicadores'!O50</f>
        <v>60</v>
      </c>
      <c r="AW95" s="1078" t="s">
        <v>1200</v>
      </c>
      <c r="AX95" s="654"/>
      <c r="AY95" s="889">
        <f t="shared" si="152"/>
        <v>8.2666666666666777E-2</v>
      </c>
      <c r="AZ95" s="578"/>
    </row>
    <row r="96" spans="2:53" ht="176.25" customHeight="1">
      <c r="B96" s="474">
        <f t="shared" si="153"/>
        <v>50</v>
      </c>
      <c r="C96" s="475" t="str">
        <f>+'Rango indicadores'!D51</f>
        <v>07-RI-03</v>
      </c>
      <c r="D96" s="475" t="str">
        <f>+'Rango indicadores'!E51</f>
        <v>Visitas de seguimiento a Oficinas de Control Interno Disciplinario realizadas</v>
      </c>
      <c r="E96" s="489">
        <f>+'Rango indicadores'!Q51</f>
        <v>51</v>
      </c>
      <c r="F96" s="489">
        <f>'1.Informe Seguimiento POA 2022'!O42</f>
        <v>0</v>
      </c>
      <c r="G96" s="489">
        <f>'1.Informe Seguimiento POA 2022'!O42</f>
        <v>0</v>
      </c>
      <c r="H96" s="489">
        <f>'1.Informe Seguimiento POA 2022'!P42</f>
        <v>0</v>
      </c>
      <c r="I96" s="489">
        <f>'1.Informe Seguimiento POA 2022'!P42</f>
        <v>0</v>
      </c>
      <c r="J96" s="489">
        <f t="shared" si="134"/>
        <v>0</v>
      </c>
      <c r="K96" s="492" t="str">
        <f t="shared" si="154"/>
        <v>No programado</v>
      </c>
      <c r="L96" s="492" t="str">
        <f t="shared" si="155"/>
        <v>No programado</v>
      </c>
      <c r="M96" s="478">
        <f t="shared" ref="M96:M101" si="157">IF(AND(E96&gt;0,$J96&gt;0),J96/$E96,0)</f>
        <v>0</v>
      </c>
      <c r="N96" s="489">
        <f t="shared" ref="N96:N97" si="158">+E96</f>
        <v>51</v>
      </c>
      <c r="O96" s="477">
        <f>+'1.Informe Seguimiento POA 2022'!Q42</f>
        <v>30</v>
      </c>
      <c r="P96" s="489">
        <f t="shared" ref="P96" si="159">G96+O96</f>
        <v>30</v>
      </c>
      <c r="Q96" s="477">
        <f>'1.Informe Seguimiento POA 2022'!R42</f>
        <v>0</v>
      </c>
      <c r="R96" s="477">
        <f>+'1.Informe Seguimiento POA 2022'!P42+'1.Informe Seguimiento POA 2022'!R42</f>
        <v>0</v>
      </c>
      <c r="S96" s="489">
        <f t="shared" ref="S96" si="160">H96+Q96</f>
        <v>0</v>
      </c>
      <c r="T96" s="492">
        <f t="shared" si="141"/>
        <v>0</v>
      </c>
      <c r="U96" s="492">
        <f t="shared" si="142"/>
        <v>0</v>
      </c>
      <c r="V96" s="478">
        <f>IF(AND(N96&gt;0,$S96&gt;0),S96/$N96,0)</f>
        <v>0</v>
      </c>
      <c r="W96" s="489">
        <f t="shared" ref="W96:W101" si="161">+N96</f>
        <v>51</v>
      </c>
      <c r="X96" s="477">
        <f>+'1.Informe Seguimiento POA 2022'!S42</f>
        <v>21</v>
      </c>
      <c r="Y96" s="477">
        <f>+'1.Informe Seguimiento POA 2022'!O42+'1.Informe Seguimiento POA 2022'!Q42+'1.Informe Seguimiento POA 2022'!S42</f>
        <v>51</v>
      </c>
      <c r="Z96" s="477">
        <f>+'1.Informe Seguimiento POA 2022'!T42</f>
        <v>9</v>
      </c>
      <c r="AA96" s="477">
        <f>+'1.Informe Seguimiento POA 2022'!R42+'1.Informe Seguimiento POA 2022'!T42+'1.Informe Seguimiento POA 2022'!P42</f>
        <v>9</v>
      </c>
      <c r="AB96" s="1058">
        <f t="shared" ref="AB96:AB101" si="162">H96+Q96+Z96</f>
        <v>9</v>
      </c>
      <c r="AC96" s="492">
        <f t="shared" si="145"/>
        <v>0.42857142857142855</v>
      </c>
      <c r="AD96" s="492">
        <f t="shared" si="146"/>
        <v>0.17647058823529413</v>
      </c>
      <c r="AE96" s="478">
        <f t="shared" si="147"/>
        <v>0.17647058823529413</v>
      </c>
      <c r="AF96" s="489">
        <f t="shared" si="156"/>
        <v>51</v>
      </c>
      <c r="AG96" s="489">
        <f>+'1.Informe Seguimiento POA 2022'!U42</f>
        <v>0</v>
      </c>
      <c r="AH96" s="489">
        <f>+'1.Informe Seguimiento POA 2022'!O42+'1.Informe Seguimiento POA 2022'!Q42+'1.Informe Seguimiento POA 2022'!S42+'1.Informe Seguimiento POA 2022'!U42</f>
        <v>51</v>
      </c>
      <c r="AI96" s="489">
        <f>+'1.Informe Seguimiento POA 2022'!V42</f>
        <v>0</v>
      </c>
      <c r="AJ96" s="489">
        <f>+'1.Informe Seguimiento POA 2022'!P42+'1.Informe Seguimiento POA 2022'!R42+'1.Informe Seguimiento POA 2022'!T42+'1.Informe Seguimiento POA 2022'!V42</f>
        <v>9</v>
      </c>
      <c r="AK96" s="489">
        <f t="shared" ref="AK96" si="163">H96+Q96+Z96+AI96</f>
        <v>9</v>
      </c>
      <c r="AL96" s="492" t="str">
        <f t="shared" si="149"/>
        <v>No programado</v>
      </c>
      <c r="AM96" s="492">
        <f t="shared" si="150"/>
        <v>0.17647058823529413</v>
      </c>
      <c r="AN96" s="478">
        <f t="shared" si="151"/>
        <v>0</v>
      </c>
      <c r="AO96" s="482" t="str">
        <f>+'Rango indicadores'!H51</f>
        <v>Mayor A:</v>
      </c>
      <c r="AP96" s="477">
        <f>+'Rango indicadores'!I51</f>
        <v>90</v>
      </c>
      <c r="AQ96" s="477" t="str">
        <f>+'Rango indicadores'!J51</f>
        <v>Desde (&gt;=):</v>
      </c>
      <c r="AR96" s="477">
        <f>+'Rango indicadores'!K51</f>
        <v>65</v>
      </c>
      <c r="AS96" s="477" t="str">
        <f>+'Rango indicadores'!L51</f>
        <v>Hasta (&lt;=):</v>
      </c>
      <c r="AT96" s="477">
        <f>+'Rango indicadores'!M51</f>
        <v>90</v>
      </c>
      <c r="AU96" s="477" t="str">
        <f>+'Rango indicadores'!N51</f>
        <v>Menor A:</v>
      </c>
      <c r="AV96" s="1058">
        <f>+'Rango indicadores'!O51</f>
        <v>65</v>
      </c>
      <c r="AW96" s="1080" t="s">
        <v>1227</v>
      </c>
      <c r="AX96" s="654"/>
      <c r="AY96" s="889">
        <f t="shared" si="152"/>
        <v>12</v>
      </c>
      <c r="AZ96" s="889">
        <f t="shared" si="152"/>
        <v>42</v>
      </c>
    </row>
    <row r="97" spans="2:53" ht="165" customHeight="1">
      <c r="B97" s="474">
        <f t="shared" si="153"/>
        <v>51</v>
      </c>
      <c r="C97" s="475" t="str">
        <f>+'Rango indicadores'!D52</f>
        <v>07-RI-04</v>
      </c>
      <c r="D97" s="475" t="str">
        <f>+'Rango indicadores'!E52</f>
        <v>Procesos de interés e impacto asumidos por competencia</v>
      </c>
      <c r="E97" s="513">
        <f>+'Rango indicadores'!Q52</f>
        <v>1</v>
      </c>
      <c r="F97" s="507">
        <f>'1.Informe Seguimiento POA 2022'!O43</f>
        <v>1</v>
      </c>
      <c r="G97" s="507">
        <f>'1.Informe Seguimiento POA 2022'!O43</f>
        <v>1</v>
      </c>
      <c r="H97" s="921">
        <f>'1.Informe Seguimiento POA 2022'!P43</f>
        <v>1</v>
      </c>
      <c r="I97" s="921">
        <f>'1.Informe Seguimiento POA 2022'!P43</f>
        <v>1</v>
      </c>
      <c r="J97" s="921">
        <f t="shared" si="134"/>
        <v>1</v>
      </c>
      <c r="K97" s="492">
        <f t="shared" si="154"/>
        <v>1</v>
      </c>
      <c r="L97" s="492">
        <f t="shared" si="155"/>
        <v>1</v>
      </c>
      <c r="M97" s="478">
        <f>IF(AND(E97&gt;0,$J97&gt;0),J97/$E97,0)*0.25</f>
        <v>0.25</v>
      </c>
      <c r="N97" s="513">
        <f t="shared" si="158"/>
        <v>1</v>
      </c>
      <c r="O97" s="921">
        <f>+'1.Informe Seguimiento POA 2022'!Q43</f>
        <v>1</v>
      </c>
      <c r="P97" s="1059">
        <f>IFERROR(AVERAGE(F97,O97),0)</f>
        <v>1</v>
      </c>
      <c r="Q97" s="921">
        <f>'1.Informe Seguimiento POA 2022'!R43</f>
        <v>1</v>
      </c>
      <c r="R97" s="479">
        <f>IFERROR(AVERAGE('1.Informe Seguimiento POA 2022'!P43,'1.Informe Seguimiento POA 2022'!R43),0)</f>
        <v>1</v>
      </c>
      <c r="S97" s="479">
        <f>IFERROR(IF(OR($N97="",$N97=0),0,ROUNDDOWN(AVERAGE($H97,Q97),3)),0)</f>
        <v>1</v>
      </c>
      <c r="T97" s="492">
        <f t="shared" si="141"/>
        <v>1</v>
      </c>
      <c r="U97" s="492">
        <f t="shared" si="142"/>
        <v>1</v>
      </c>
      <c r="V97" s="478">
        <f>IF(AND(N97&gt;0,$S97&gt;0),S97/$N97,0)*0.5</f>
        <v>0.5</v>
      </c>
      <c r="W97" s="513">
        <f>N97</f>
        <v>1</v>
      </c>
      <c r="X97" s="507">
        <f>+'1.Informe Seguimiento POA 2022'!S43</f>
        <v>1</v>
      </c>
      <c r="Y97" s="479">
        <f>IFERROR(AVERAGE('1.Informe Seguimiento POA 2022'!O43,'1.Informe Seguimiento POA 2022'!Q43,'1.Informe Seguimiento POA 2022'!S43),0)</f>
        <v>1</v>
      </c>
      <c r="Z97" s="479">
        <f>+'1.Informe Seguimiento POA 2022'!T43</f>
        <v>0.92966666666666675</v>
      </c>
      <c r="AA97" s="479">
        <f>IFERROR(AVERAGE('1.Informe Seguimiento POA 2022'!R43,'1.Informe Seguimiento POA 2022'!P43,'1.Informe Seguimiento POA 2022'!T43),0)</f>
        <v>0.97655555555555562</v>
      </c>
      <c r="AB97" s="479">
        <f>IFERROR(IF(OR($W97="",$W97=0),0,ROUNDDOWN(AVERAGE($H97,Q97,Z97),3)),0)</f>
        <v>0.97599999999999998</v>
      </c>
      <c r="AC97" s="492">
        <f t="shared" si="145"/>
        <v>0.92966666666666675</v>
      </c>
      <c r="AD97" s="492">
        <f t="shared" si="146"/>
        <v>0.97655555555555562</v>
      </c>
      <c r="AE97" s="478">
        <f>IF(AND(W97&gt;0,$AB97&gt;0),AB97/$W97,0)*0.75</f>
        <v>0.73199999999999998</v>
      </c>
      <c r="AF97" s="513">
        <f t="shared" si="156"/>
        <v>1</v>
      </c>
      <c r="AG97" s="574">
        <f>'1.Informe Seguimiento POA 2022'!U43</f>
        <v>1</v>
      </c>
      <c r="AH97" s="574">
        <f>IFERROR(AVERAGE('1.Informe Seguimiento POA 2022'!O43,'1.Informe Seguimiento POA 2022'!Q43,'1.Informe Seguimiento POA 2022'!S43,'1.Informe Seguimiento POA 2022'!U43),0)</f>
        <v>1</v>
      </c>
      <c r="AI97" s="574">
        <f>+'1.Informe Seguimiento POA 2022'!V43</f>
        <v>0</v>
      </c>
      <c r="AJ97" s="574">
        <f>IFERROR(AVERAGE('1.Informe Seguimiento POA 2022'!P43,'1.Informe Seguimiento POA 2022'!R43,'1.Informe Seguimiento POA 2022'!T43,'1.Informe Seguimiento POA 2022'!V43),0)</f>
        <v>0.73241666666666672</v>
      </c>
      <c r="AK97" s="574">
        <f>IFERROR(IF(OR($AF99="",$AF99=0),0,ROUNDDOWN(AVERAGE($H97,Q97,Z97,AI97),3)),0)</f>
        <v>0.73199999999999998</v>
      </c>
      <c r="AL97" s="492">
        <f t="shared" si="149"/>
        <v>0</v>
      </c>
      <c r="AM97" s="492">
        <f t="shared" si="150"/>
        <v>0.73241666666666672</v>
      </c>
      <c r="AN97" s="478">
        <f t="shared" si="151"/>
        <v>0.73199999999999998</v>
      </c>
      <c r="AO97" s="482" t="str">
        <f>+'Rango indicadores'!H52</f>
        <v>Mayor A:</v>
      </c>
      <c r="AP97" s="477">
        <f>+'Rango indicadores'!I52</f>
        <v>90</v>
      </c>
      <c r="AQ97" s="477" t="str">
        <f>+'Rango indicadores'!J52</f>
        <v>Desde (&gt;=):</v>
      </c>
      <c r="AR97" s="477">
        <f>+'Rango indicadores'!K52</f>
        <v>65</v>
      </c>
      <c r="AS97" s="477" t="str">
        <f>+'Rango indicadores'!L52</f>
        <v>Hasta (&lt;=):</v>
      </c>
      <c r="AT97" s="477">
        <f>+'Rango indicadores'!M52</f>
        <v>90</v>
      </c>
      <c r="AU97" s="477" t="str">
        <f>+'Rango indicadores'!N52</f>
        <v>Menor A:</v>
      </c>
      <c r="AV97" s="1058">
        <f>+'Rango indicadores'!O52</f>
        <v>65</v>
      </c>
      <c r="AW97" s="1078" t="s">
        <v>1226</v>
      </c>
      <c r="AX97" s="654"/>
      <c r="AY97" s="889">
        <f t="shared" si="152"/>
        <v>7.0333333333333248E-2</v>
      </c>
      <c r="AZ97" s="490"/>
    </row>
    <row r="98" spans="2:53" ht="87.75" customHeight="1">
      <c r="B98" s="474">
        <f t="shared" si="153"/>
        <v>52</v>
      </c>
      <c r="C98" s="475" t="str">
        <f>+'Rango indicadores'!D53</f>
        <v>07-RI-05</v>
      </c>
      <c r="D98" s="475" t="str">
        <f>+'Rango indicadores'!E53</f>
        <v>Escenarios de intercambio de conocimiento generados</v>
      </c>
      <c r="E98" s="489">
        <f>+'Rango indicadores'!Q53</f>
        <v>2</v>
      </c>
      <c r="F98" s="489">
        <f>'1.Informe Seguimiento POA 2022'!O44</f>
        <v>0</v>
      </c>
      <c r="G98" s="489">
        <f>'1.Informe Seguimiento POA 2022'!O44</f>
        <v>0</v>
      </c>
      <c r="H98" s="489">
        <f>'1.Informe Seguimiento POA 2022'!P44</f>
        <v>0</v>
      </c>
      <c r="I98" s="489">
        <f>'1.Informe Seguimiento POA 2022'!P44</f>
        <v>0</v>
      </c>
      <c r="J98" s="489">
        <f t="shared" si="134"/>
        <v>0</v>
      </c>
      <c r="K98" s="492" t="str">
        <f t="shared" si="154"/>
        <v>No programado</v>
      </c>
      <c r="L98" s="492" t="str">
        <f t="shared" si="155"/>
        <v>No programado</v>
      </c>
      <c r="M98" s="478">
        <f t="shared" si="157"/>
        <v>0</v>
      </c>
      <c r="N98" s="489">
        <f t="shared" ref="N98:N101" si="164">+E98</f>
        <v>2</v>
      </c>
      <c r="O98" s="477">
        <f>+'1.Informe Seguimiento POA 2022'!Q44</f>
        <v>0</v>
      </c>
      <c r="P98" s="489">
        <f t="shared" ref="P98:P101" si="165">G98+O98</f>
        <v>0</v>
      </c>
      <c r="Q98" s="477">
        <f>'1.Informe Seguimiento POA 2022'!R44</f>
        <v>1</v>
      </c>
      <c r="R98" s="477">
        <f>+'1.Informe Seguimiento POA 2022'!P44+'1.Informe Seguimiento POA 2022'!R44</f>
        <v>1</v>
      </c>
      <c r="S98" s="489">
        <f t="shared" ref="S98:S101" si="166">H98+Q98</f>
        <v>1</v>
      </c>
      <c r="T98" s="492" t="str">
        <f t="shared" si="141"/>
        <v>No programado</v>
      </c>
      <c r="U98" s="492" t="str">
        <f t="shared" si="142"/>
        <v>No programado</v>
      </c>
      <c r="V98" s="478">
        <f>IF(AND(N98&gt;0,$S98&gt;0),S98/$N98,0)</f>
        <v>0.5</v>
      </c>
      <c r="W98" s="489">
        <f t="shared" si="161"/>
        <v>2</v>
      </c>
      <c r="X98" s="477">
        <f>+'1.Informe Seguimiento POA 2022'!S44</f>
        <v>1</v>
      </c>
      <c r="Y98" s="477">
        <f>+'1.Informe Seguimiento POA 2022'!O44+'1.Informe Seguimiento POA 2022'!Q44+'1.Informe Seguimiento POA 2022'!S44</f>
        <v>1</v>
      </c>
      <c r="Z98" s="477">
        <f>+'1.Informe Seguimiento POA 2022'!T44</f>
        <v>0</v>
      </c>
      <c r="AA98" s="477">
        <f>+'1.Informe Seguimiento POA 2022'!R44+'1.Informe Seguimiento POA 2022'!T44+'1.Informe Seguimiento POA 2022'!P44</f>
        <v>1</v>
      </c>
      <c r="AB98" s="1058">
        <f t="shared" si="162"/>
        <v>1</v>
      </c>
      <c r="AC98" s="492">
        <f t="shared" si="145"/>
        <v>0</v>
      </c>
      <c r="AD98" s="492">
        <f t="shared" si="146"/>
        <v>1</v>
      </c>
      <c r="AE98" s="478">
        <f t="shared" si="147"/>
        <v>0.5</v>
      </c>
      <c r="AF98" s="489">
        <f t="shared" si="156"/>
        <v>2</v>
      </c>
      <c r="AG98" s="489">
        <f>+'1.Informe Seguimiento POA 2022'!U44</f>
        <v>1</v>
      </c>
      <c r="AH98" s="489">
        <f>+'1.Informe Seguimiento POA 2022'!O44+'1.Informe Seguimiento POA 2022'!Q44+'1.Informe Seguimiento POA 2022'!S44+'1.Informe Seguimiento POA 2022'!U44</f>
        <v>2</v>
      </c>
      <c r="AI98" s="489">
        <f>+'1.Informe Seguimiento POA 2022'!V44</f>
        <v>0</v>
      </c>
      <c r="AJ98" s="489">
        <f>+'1.Informe Seguimiento POA 2022'!P44+'1.Informe Seguimiento POA 2022'!R44+'1.Informe Seguimiento POA 2022'!T44+'1.Informe Seguimiento POA 2022'!V44</f>
        <v>1</v>
      </c>
      <c r="AK98" s="489">
        <f t="shared" ref="AK98" si="167">H98+Q98+Z98+AI98</f>
        <v>1</v>
      </c>
      <c r="AL98" s="492">
        <f t="shared" si="149"/>
        <v>0</v>
      </c>
      <c r="AM98" s="492">
        <f t="shared" si="150"/>
        <v>0.5</v>
      </c>
      <c r="AN98" s="478">
        <f t="shared" si="151"/>
        <v>0</v>
      </c>
      <c r="AO98" s="482" t="str">
        <f>+'Rango indicadores'!H53</f>
        <v>Mayor A:</v>
      </c>
      <c r="AP98" s="477">
        <f>+'Rango indicadores'!I53</f>
        <v>90</v>
      </c>
      <c r="AQ98" s="477" t="str">
        <f>+'Rango indicadores'!J53</f>
        <v>Desde (&gt;=):</v>
      </c>
      <c r="AR98" s="477">
        <f>+'Rango indicadores'!K53</f>
        <v>65</v>
      </c>
      <c r="AS98" s="477" t="str">
        <f>+'Rango indicadores'!L53</f>
        <v>Hasta (&lt;=):</v>
      </c>
      <c r="AT98" s="477">
        <f>+'Rango indicadores'!M53</f>
        <v>90</v>
      </c>
      <c r="AU98" s="477" t="str">
        <f>+'Rango indicadores'!N53</f>
        <v>Menor A:</v>
      </c>
      <c r="AV98" s="1058">
        <f>+'Rango indicadores'!O53</f>
        <v>65</v>
      </c>
      <c r="AW98" s="581" t="s">
        <v>1201</v>
      </c>
      <c r="AX98" s="654"/>
      <c r="AY98" s="889">
        <f t="shared" si="152"/>
        <v>1</v>
      </c>
      <c r="AZ98" s="490"/>
    </row>
    <row r="99" spans="2:53" ht="90.6" customHeight="1">
      <c r="B99" s="474">
        <f t="shared" si="153"/>
        <v>53</v>
      </c>
      <c r="C99" s="475" t="str">
        <f>+'Rango indicadores'!D54</f>
        <v>07-RI-06</v>
      </c>
      <c r="D99" s="475" t="str">
        <f>+'Rango indicadores'!E54</f>
        <v xml:space="preserve">Sistema de Comunicación con las Oficinas de Control Interno Disciplinario implementado </v>
      </c>
      <c r="E99" s="489">
        <f>+'Rango indicadores'!Q54</f>
        <v>0.5</v>
      </c>
      <c r="F99" s="489">
        <f>'1.Informe Seguimiento POA 2022'!O45</f>
        <v>0.15000000000000002</v>
      </c>
      <c r="G99" s="489">
        <f>'1.Informe Seguimiento POA 2022'!O45</f>
        <v>0.15000000000000002</v>
      </c>
      <c r="H99" s="489">
        <f>'1.Informe Seguimiento POA 2022'!P45</f>
        <v>0.15000000000000002</v>
      </c>
      <c r="I99" s="489">
        <f>'1.Informe Seguimiento POA 2022'!P45</f>
        <v>0.15000000000000002</v>
      </c>
      <c r="J99" s="489">
        <f t="shared" si="134"/>
        <v>0.15000000000000002</v>
      </c>
      <c r="K99" s="492">
        <f t="shared" si="154"/>
        <v>1</v>
      </c>
      <c r="L99" s="492">
        <f t="shared" si="155"/>
        <v>1</v>
      </c>
      <c r="M99" s="478">
        <f t="shared" si="157"/>
        <v>0.30000000000000004</v>
      </c>
      <c r="N99" s="489">
        <f t="shared" si="164"/>
        <v>0.5</v>
      </c>
      <c r="O99" s="477">
        <f>+'1.Informe Seguimiento POA 2022'!Q45</f>
        <v>0.15000000000000002</v>
      </c>
      <c r="P99" s="489">
        <f t="shared" si="165"/>
        <v>0.30000000000000004</v>
      </c>
      <c r="Q99" s="477">
        <f>'1.Informe Seguimiento POA 2022'!R45</f>
        <v>0.15000000000000002</v>
      </c>
      <c r="R99" s="477">
        <f>+'1.Informe Seguimiento POA 2022'!P45+'1.Informe Seguimiento POA 2022'!R45</f>
        <v>0.30000000000000004</v>
      </c>
      <c r="S99" s="489">
        <f t="shared" si="166"/>
        <v>0.30000000000000004</v>
      </c>
      <c r="T99" s="492">
        <f t="shared" si="141"/>
        <v>1</v>
      </c>
      <c r="U99" s="492">
        <f t="shared" si="142"/>
        <v>1</v>
      </c>
      <c r="V99" s="478">
        <f>IF(AND(N99&gt;0,$S99&gt;0),S99/$N99,0)</f>
        <v>0.60000000000000009</v>
      </c>
      <c r="W99" s="489">
        <f t="shared" si="161"/>
        <v>0.5</v>
      </c>
      <c r="X99" s="477">
        <f>+'1.Informe Seguimiento POA 2022'!S45</f>
        <v>0.15000000000000002</v>
      </c>
      <c r="Y99" s="477">
        <f>+'1.Informe Seguimiento POA 2022'!O45+'1.Informe Seguimiento POA 2022'!Q45+'1.Informe Seguimiento POA 2022'!S45</f>
        <v>0.45000000000000007</v>
      </c>
      <c r="Z99" s="477">
        <f>+'1.Informe Seguimiento POA 2022'!T45</f>
        <v>0.15000000000000002</v>
      </c>
      <c r="AA99" s="477">
        <f>+'1.Informe Seguimiento POA 2022'!R45+'1.Informe Seguimiento POA 2022'!T45+'1.Informe Seguimiento POA 2022'!P45</f>
        <v>0.45000000000000007</v>
      </c>
      <c r="AB99" s="1058">
        <f t="shared" si="162"/>
        <v>0.45000000000000007</v>
      </c>
      <c r="AC99" s="492">
        <f t="shared" si="145"/>
        <v>1</v>
      </c>
      <c r="AD99" s="492">
        <f t="shared" si="146"/>
        <v>1</v>
      </c>
      <c r="AE99" s="478">
        <f t="shared" si="147"/>
        <v>0.90000000000000013</v>
      </c>
      <c r="AF99" s="489">
        <f t="shared" si="156"/>
        <v>0.5</v>
      </c>
      <c r="AG99" s="489">
        <f>+'1.Informe Seguimiento POA 2022'!U45</f>
        <v>0.05</v>
      </c>
      <c r="AH99" s="489">
        <f>+'1.Informe Seguimiento POA 2022'!O45+'1.Informe Seguimiento POA 2022'!Q45+'1.Informe Seguimiento POA 2022'!S45+'1.Informe Seguimiento POA 2022'!U45</f>
        <v>0.50000000000000011</v>
      </c>
      <c r="AI99" s="489">
        <f>+'1.Informe Seguimiento POA 2022'!V45</f>
        <v>0</v>
      </c>
      <c r="AJ99" s="489">
        <f>+'1.Informe Seguimiento POA 2022'!P45+'1.Informe Seguimiento POA 2022'!R45+'1.Informe Seguimiento POA 2022'!T45+'1.Informe Seguimiento POA 2022'!V45</f>
        <v>0.45000000000000007</v>
      </c>
      <c r="AK99" s="489">
        <f t="shared" ref="AK99:AK101" si="168">H99+Q99+Z99+AI99</f>
        <v>0.45000000000000007</v>
      </c>
      <c r="AL99" s="492">
        <f t="shared" si="149"/>
        <v>0</v>
      </c>
      <c r="AM99" s="492">
        <f t="shared" si="150"/>
        <v>0.89999999999999991</v>
      </c>
      <c r="AN99" s="478">
        <f t="shared" si="151"/>
        <v>0.90000000000000013</v>
      </c>
      <c r="AO99" s="482" t="str">
        <f>+'Rango indicadores'!H54</f>
        <v>Mayor A:</v>
      </c>
      <c r="AP99" s="477">
        <f>+'Rango indicadores'!I54</f>
        <v>90</v>
      </c>
      <c r="AQ99" s="477" t="str">
        <f>+'Rango indicadores'!J54</f>
        <v>Desde (&gt;=):</v>
      </c>
      <c r="AR99" s="477">
        <f>+'Rango indicadores'!K54</f>
        <v>65</v>
      </c>
      <c r="AS99" s="477" t="str">
        <f>+'Rango indicadores'!L54</f>
        <v>Hasta (&lt;=):</v>
      </c>
      <c r="AT99" s="477">
        <f>+'Rango indicadores'!M54</f>
        <v>90</v>
      </c>
      <c r="AU99" s="477" t="str">
        <f>+'Rango indicadores'!N54</f>
        <v>Menor A:</v>
      </c>
      <c r="AV99" s="1058">
        <f>+'Rango indicadores'!O54</f>
        <v>65</v>
      </c>
      <c r="AW99" s="573" t="s">
        <v>1202</v>
      </c>
      <c r="AX99" s="654"/>
      <c r="AY99" s="889">
        <f t="shared" si="152"/>
        <v>0</v>
      </c>
      <c r="AZ99" s="490"/>
      <c r="BA99" s="490"/>
    </row>
    <row r="100" spans="2:53" ht="97.15" customHeight="1">
      <c r="B100" s="474">
        <f t="shared" si="153"/>
        <v>54</v>
      </c>
      <c r="C100" s="475" t="str">
        <f>+'Rango indicadores'!D55</f>
        <v>07-RI-07</v>
      </c>
      <c r="D100" s="475" t="str">
        <f>+'Rango indicadores'!E55</f>
        <v xml:space="preserve">Sistema de información misional implementado </v>
      </c>
      <c r="E100" s="489">
        <f>+'Rango indicadores'!Q55</f>
        <v>0.4</v>
      </c>
      <c r="F100" s="489">
        <f>'1.Informe Seguimiento POA 2022'!O46</f>
        <v>0.05</v>
      </c>
      <c r="G100" s="489">
        <f>'1.Informe Seguimiento POA 2022'!O46</f>
        <v>0.05</v>
      </c>
      <c r="H100" s="489">
        <f>'1.Informe Seguimiento POA 2022'!P46</f>
        <v>0</v>
      </c>
      <c r="I100" s="489">
        <f>'1.Informe Seguimiento POA 2022'!P46</f>
        <v>0</v>
      </c>
      <c r="J100" s="489">
        <f t="shared" si="134"/>
        <v>0</v>
      </c>
      <c r="K100" s="492">
        <f t="shared" si="154"/>
        <v>0</v>
      </c>
      <c r="L100" s="492">
        <f t="shared" si="155"/>
        <v>0</v>
      </c>
      <c r="M100" s="478">
        <f t="shared" si="157"/>
        <v>0</v>
      </c>
      <c r="N100" s="489">
        <f t="shared" si="164"/>
        <v>0.4</v>
      </c>
      <c r="O100" s="1138">
        <f>+'1.Informe Seguimiento POA 2022'!Q46</f>
        <v>0.11</v>
      </c>
      <c r="P100" s="515">
        <f t="shared" si="165"/>
        <v>0.16</v>
      </c>
      <c r="Q100" s="1138">
        <f>'1.Informe Seguimiento POA 2022'!R46</f>
        <v>0.11</v>
      </c>
      <c r="R100" s="1138">
        <f>+'1.Informe Seguimiento POA 2022'!P46+'1.Informe Seguimiento POA 2022'!R46</f>
        <v>0.11</v>
      </c>
      <c r="S100" s="515">
        <f t="shared" si="166"/>
        <v>0.11</v>
      </c>
      <c r="T100" s="492">
        <f t="shared" si="141"/>
        <v>1</v>
      </c>
      <c r="U100" s="492">
        <f t="shared" si="142"/>
        <v>0.6875</v>
      </c>
      <c r="V100" s="478">
        <f>IF(AND(N100&gt;0,$S100&gt;0),S100/$N100,0)</f>
        <v>0.27499999999999997</v>
      </c>
      <c r="W100" s="489">
        <f t="shared" si="161"/>
        <v>0.4</v>
      </c>
      <c r="X100" s="477">
        <f>+'1.Informe Seguimiento POA 2022'!S46</f>
        <v>0.15000000000000002</v>
      </c>
      <c r="Y100" s="477">
        <f>+'1.Informe Seguimiento POA 2022'!O46+'1.Informe Seguimiento POA 2022'!Q46+'1.Informe Seguimiento POA 2022'!S46</f>
        <v>0.31000000000000005</v>
      </c>
      <c r="Z100" s="477">
        <f>+'1.Informe Seguimiento POA 2022'!T46</f>
        <v>0.2</v>
      </c>
      <c r="AA100" s="477">
        <f>+'1.Informe Seguimiento POA 2022'!R46+'1.Informe Seguimiento POA 2022'!T46+'1.Informe Seguimiento POA 2022'!P46</f>
        <v>0.31</v>
      </c>
      <c r="AB100" s="1058">
        <f t="shared" si="162"/>
        <v>0.31</v>
      </c>
      <c r="AC100" s="492">
        <f t="shared" si="145"/>
        <v>1.3333333333333333</v>
      </c>
      <c r="AD100" s="492">
        <f t="shared" si="146"/>
        <v>0.99999999999999978</v>
      </c>
      <c r="AE100" s="478">
        <f t="shared" si="147"/>
        <v>0.77499999999999991</v>
      </c>
      <c r="AF100" s="489">
        <f t="shared" si="156"/>
        <v>0.4</v>
      </c>
      <c r="AG100" s="489">
        <f>+'1.Informe Seguimiento POA 2022'!U46</f>
        <v>0.09</v>
      </c>
      <c r="AH100" s="489">
        <f>+'1.Informe Seguimiento POA 2022'!O46+'1.Informe Seguimiento POA 2022'!Q46+'1.Informe Seguimiento POA 2022'!S46+'1.Informe Seguimiento POA 2022'!U46</f>
        <v>0.4</v>
      </c>
      <c r="AI100" s="489">
        <f>+'1.Informe Seguimiento POA 2022'!V46</f>
        <v>0</v>
      </c>
      <c r="AJ100" s="489">
        <f>+'1.Informe Seguimiento POA 2022'!P46+'1.Informe Seguimiento POA 2022'!R46+'1.Informe Seguimiento POA 2022'!T46+'1.Informe Seguimiento POA 2022'!V46</f>
        <v>0.31</v>
      </c>
      <c r="AK100" s="489">
        <f t="shared" si="168"/>
        <v>0.31</v>
      </c>
      <c r="AL100" s="492">
        <f t="shared" si="149"/>
        <v>0</v>
      </c>
      <c r="AM100" s="492">
        <f t="shared" si="150"/>
        <v>0.77499999999999991</v>
      </c>
      <c r="AN100" s="478">
        <f t="shared" si="151"/>
        <v>0</v>
      </c>
      <c r="AO100" s="482" t="str">
        <f>+'Rango indicadores'!H55</f>
        <v>Mayor A:</v>
      </c>
      <c r="AP100" s="477">
        <f>+'Rango indicadores'!I55</f>
        <v>90</v>
      </c>
      <c r="AQ100" s="477" t="str">
        <f>+'Rango indicadores'!J55</f>
        <v>Desde (&gt;=):</v>
      </c>
      <c r="AR100" s="477">
        <f>+'Rango indicadores'!K55</f>
        <v>65</v>
      </c>
      <c r="AS100" s="477" t="str">
        <f>+'Rango indicadores'!L55</f>
        <v>Hasta (&lt;=):</v>
      </c>
      <c r="AT100" s="477">
        <f>+'Rango indicadores'!M55</f>
        <v>90</v>
      </c>
      <c r="AU100" s="477" t="str">
        <f>+'Rango indicadores'!N55</f>
        <v>Menor A:</v>
      </c>
      <c r="AV100" s="1058">
        <f>+'Rango indicadores'!O55</f>
        <v>65</v>
      </c>
      <c r="AW100" s="581" t="s">
        <v>1203</v>
      </c>
      <c r="AX100" s="654"/>
      <c r="AY100" s="889">
        <f t="shared" si="152"/>
        <v>-4.9999999999999989E-2</v>
      </c>
      <c r="AZ100" s="490"/>
      <c r="BA100" s="490"/>
    </row>
    <row r="101" spans="2:53" ht="87" customHeight="1">
      <c r="B101" s="474">
        <f t="shared" si="153"/>
        <v>55</v>
      </c>
      <c r="C101" s="475" t="str">
        <f>+'Rango indicadores'!D56</f>
        <v>07-RI-08</v>
      </c>
      <c r="D101" s="475" t="str">
        <f>+'Rango indicadores'!E56</f>
        <v>Relatoría diseñada e implementada</v>
      </c>
      <c r="E101" s="489">
        <f>+'Rango indicadores'!Q56</f>
        <v>0.3</v>
      </c>
      <c r="F101" s="489">
        <f>'1.Informe Seguimiento POA 2022'!O47</f>
        <v>0.06</v>
      </c>
      <c r="G101" s="489">
        <f>'1.Informe Seguimiento POA 2022'!O47</f>
        <v>0.06</v>
      </c>
      <c r="H101" s="489">
        <f>'1.Informe Seguimiento POA 2022'!P47</f>
        <v>0.06</v>
      </c>
      <c r="I101" s="489">
        <f>'1.Informe Seguimiento POA 2022'!P47</f>
        <v>0.06</v>
      </c>
      <c r="J101" s="489">
        <f t="shared" si="134"/>
        <v>0.06</v>
      </c>
      <c r="K101" s="492">
        <f t="shared" si="154"/>
        <v>1</v>
      </c>
      <c r="L101" s="492">
        <f t="shared" si="155"/>
        <v>1</v>
      </c>
      <c r="M101" s="478">
        <f t="shared" si="157"/>
        <v>0.2</v>
      </c>
      <c r="N101" s="489">
        <f t="shared" si="164"/>
        <v>0.3</v>
      </c>
      <c r="O101" s="1138">
        <f>+'1.Informe Seguimiento POA 2022'!Q47</f>
        <v>0.09</v>
      </c>
      <c r="P101" s="515">
        <f t="shared" si="165"/>
        <v>0.15</v>
      </c>
      <c r="Q101" s="1138">
        <f>'1.Informe Seguimiento POA 2022'!R47</f>
        <v>0.09</v>
      </c>
      <c r="R101" s="1138">
        <f>+'1.Informe Seguimiento POA 2022'!P47+'1.Informe Seguimiento POA 2022'!R47</f>
        <v>0.15</v>
      </c>
      <c r="S101" s="515">
        <f t="shared" si="166"/>
        <v>0.15</v>
      </c>
      <c r="T101" s="492">
        <f t="shared" si="141"/>
        <v>1</v>
      </c>
      <c r="U101" s="492">
        <f t="shared" si="142"/>
        <v>1</v>
      </c>
      <c r="V101" s="478">
        <f>IF(AND(N101&gt;0,$S101&gt;0),S101/$N101,0)</f>
        <v>0.5</v>
      </c>
      <c r="W101" s="489">
        <f t="shared" si="161"/>
        <v>0.3</v>
      </c>
      <c r="X101" s="477">
        <f>+'1.Informe Seguimiento POA 2022'!S47</f>
        <v>0.09</v>
      </c>
      <c r="Y101" s="477">
        <f>+'1.Informe Seguimiento POA 2022'!O47+'1.Informe Seguimiento POA 2022'!Q47+'1.Informe Seguimiento POA 2022'!S47</f>
        <v>0.24</v>
      </c>
      <c r="Z101" s="477">
        <f>+'1.Informe Seguimiento POA 2022'!T47</f>
        <v>0.09</v>
      </c>
      <c r="AA101" s="477">
        <f>+'1.Informe Seguimiento POA 2022'!R47+'1.Informe Seguimiento POA 2022'!T47+'1.Informe Seguimiento POA 2022'!P47</f>
        <v>0.24</v>
      </c>
      <c r="AB101" s="1058">
        <f t="shared" si="162"/>
        <v>0.24</v>
      </c>
      <c r="AC101" s="492">
        <f t="shared" si="145"/>
        <v>1</v>
      </c>
      <c r="AD101" s="492">
        <f t="shared" si="146"/>
        <v>1</v>
      </c>
      <c r="AE101" s="478">
        <f t="shared" si="147"/>
        <v>0.8</v>
      </c>
      <c r="AF101" s="489">
        <f t="shared" si="156"/>
        <v>0.3</v>
      </c>
      <c r="AG101" s="489">
        <f>+'1.Informe Seguimiento POA 2022'!U47</f>
        <v>0.06</v>
      </c>
      <c r="AH101" s="489">
        <f>+'1.Informe Seguimiento POA 2022'!O47+'1.Informe Seguimiento POA 2022'!Q47+'1.Informe Seguimiento POA 2022'!S47+'1.Informe Seguimiento POA 2022'!U47</f>
        <v>0.3</v>
      </c>
      <c r="AI101" s="489">
        <f>+'1.Informe Seguimiento POA 2022'!V47</f>
        <v>0</v>
      </c>
      <c r="AJ101" s="489">
        <f>+'1.Informe Seguimiento POA 2022'!P47+'1.Informe Seguimiento POA 2022'!R47+'1.Informe Seguimiento POA 2022'!T47+'1.Informe Seguimiento POA 2022'!V47</f>
        <v>0.24</v>
      </c>
      <c r="AK101" s="489">
        <f t="shared" si="168"/>
        <v>0.24</v>
      </c>
      <c r="AL101" s="492">
        <f t="shared" si="149"/>
        <v>0</v>
      </c>
      <c r="AM101" s="492">
        <f t="shared" si="150"/>
        <v>0.8</v>
      </c>
      <c r="AN101" s="478">
        <f t="shared" si="151"/>
        <v>0.8</v>
      </c>
      <c r="AO101" s="482" t="str">
        <f>+'Rango indicadores'!H56</f>
        <v>Mayor A:</v>
      </c>
      <c r="AP101" s="477">
        <f>+'Rango indicadores'!I56</f>
        <v>90</v>
      </c>
      <c r="AQ101" s="477" t="str">
        <f>+'Rango indicadores'!J56</f>
        <v>Desde (&gt;=):</v>
      </c>
      <c r="AR101" s="477">
        <f>+'Rango indicadores'!K56</f>
        <v>65</v>
      </c>
      <c r="AS101" s="477" t="str">
        <f>+'Rango indicadores'!L56</f>
        <v>Hasta (&lt;=):</v>
      </c>
      <c r="AT101" s="477">
        <f>+'Rango indicadores'!M56</f>
        <v>90</v>
      </c>
      <c r="AU101" s="477" t="str">
        <f>+'Rango indicadores'!N56</f>
        <v>Menor A:</v>
      </c>
      <c r="AV101" s="1058">
        <f>+'Rango indicadores'!O56</f>
        <v>65</v>
      </c>
      <c r="AW101" s="573" t="s">
        <v>1204</v>
      </c>
      <c r="AX101" s="654"/>
      <c r="AY101" s="889">
        <f t="shared" si="152"/>
        <v>0</v>
      </c>
      <c r="AZ101" s="490"/>
      <c r="BA101" s="490"/>
    </row>
    <row r="102" spans="2:53" ht="15.75">
      <c r="C102" s="1598" t="s">
        <v>872</v>
      </c>
      <c r="D102" s="1599"/>
      <c r="E102" s="1599"/>
      <c r="F102" s="1599"/>
      <c r="G102" s="1599"/>
      <c r="H102" s="1599"/>
      <c r="I102" s="1599"/>
      <c r="J102" s="1599"/>
      <c r="K102" s="480">
        <f>IFERROR(AVERAGE(K94:K101),0)</f>
        <v>0.80844444444444452</v>
      </c>
      <c r="L102" s="480">
        <f t="shared" ref="L102:M102" si="169">IFERROR(AVERAGE(L94:L101),0)</f>
        <v>0.80844444444444452</v>
      </c>
      <c r="M102" s="480">
        <f t="shared" si="169"/>
        <v>0.14054166666666668</v>
      </c>
      <c r="N102" s="1060"/>
      <c r="O102" s="1060"/>
      <c r="P102" s="1060"/>
      <c r="Q102" s="1060"/>
      <c r="R102" s="1060"/>
      <c r="S102" s="1060"/>
      <c r="T102" s="480">
        <f>IFERROR(AVERAGE(T94:T101),0)</f>
        <v>0.80903887269193397</v>
      </c>
      <c r="U102" s="480">
        <f t="shared" ref="U102" si="170">IFERROR(AVERAGE(U94:U101),0)</f>
        <v>0.77240325497287521</v>
      </c>
      <c r="V102" s="480">
        <f>IFERROR(AVERAGE(V94:V101),0)</f>
        <v>0.39768750000000003</v>
      </c>
      <c r="W102" s="1060"/>
      <c r="X102" s="1060"/>
      <c r="Y102" s="1060"/>
      <c r="Z102" s="1060"/>
      <c r="AA102" s="1060"/>
      <c r="AB102" s="1060"/>
      <c r="AC102" s="480">
        <f>IFERROR(AVERAGE(AC94:AC101),0)</f>
        <v>0.79039880952380948</v>
      </c>
      <c r="AD102" s="480">
        <f t="shared" ref="AD102:AE102" si="171">IFERROR(AVERAGE(AD94:AD101),0)</f>
        <v>0.88974850793212434</v>
      </c>
      <c r="AE102" s="480">
        <f t="shared" si="171"/>
        <v>0.64612132352941176</v>
      </c>
      <c r="AF102" s="1060"/>
      <c r="AG102" s="1060"/>
      <c r="AH102" s="1060"/>
      <c r="AI102" s="1060"/>
      <c r="AJ102" s="1060"/>
      <c r="AK102" s="1061"/>
      <c r="AL102" s="480">
        <f>IFERROR(AVERAGE(AL94:AL101),0)</f>
        <v>0</v>
      </c>
      <c r="AM102" s="480">
        <f t="shared" ref="AM102:AN102" si="172">IFERROR(AVERAGE(AM94:AM101),0)</f>
        <v>0.64624632352941169</v>
      </c>
      <c r="AN102" s="480">
        <f t="shared" si="172"/>
        <v>0.46475</v>
      </c>
      <c r="AO102" s="487"/>
      <c r="AP102" s="487"/>
      <c r="AQ102" s="487"/>
      <c r="AR102" s="487"/>
      <c r="AS102" s="487"/>
      <c r="AT102" s="487"/>
      <c r="AU102" s="487"/>
      <c r="AV102" s="487"/>
      <c r="AW102" s="583"/>
    </row>
    <row r="103" spans="2:53" s="470" customFormat="1" ht="25.15" customHeight="1" thickBot="1">
      <c r="D103" s="472"/>
      <c r="AN103" s="512"/>
      <c r="AO103" s="512"/>
      <c r="AP103" s="512"/>
      <c r="AQ103" s="512"/>
      <c r="AR103" s="512"/>
      <c r="AS103" s="512"/>
      <c r="AT103" s="512"/>
      <c r="AU103" s="512"/>
      <c r="AV103" s="512"/>
      <c r="AW103" s="583"/>
      <c r="AY103" s="455"/>
      <c r="AZ103" s="455"/>
    </row>
    <row r="104" spans="2:53" s="470" customFormat="1" ht="16.5" thickBot="1">
      <c r="C104" s="473" t="s">
        <v>880</v>
      </c>
      <c r="D104" s="503"/>
      <c r="E104" s="1577" t="s">
        <v>1136</v>
      </c>
      <c r="F104" s="1578"/>
      <c r="G104" s="1578"/>
      <c r="H104" s="1578"/>
      <c r="I104" s="1578"/>
      <c r="J104" s="1578"/>
      <c r="K104" s="1578"/>
      <c r="L104" s="1578"/>
      <c r="M104" s="1579"/>
      <c r="N104" s="1580" t="s">
        <v>1137</v>
      </c>
      <c r="O104" s="1581"/>
      <c r="P104" s="1581"/>
      <c r="Q104" s="1581"/>
      <c r="R104" s="1581"/>
      <c r="S104" s="1581"/>
      <c r="T104" s="1581"/>
      <c r="U104" s="1581"/>
      <c r="V104" s="1582"/>
      <c r="W104" s="1574" t="s">
        <v>1138</v>
      </c>
      <c r="X104" s="1575"/>
      <c r="Y104" s="1575"/>
      <c r="Z104" s="1575"/>
      <c r="AA104" s="1575"/>
      <c r="AB104" s="1575"/>
      <c r="AC104" s="1575"/>
      <c r="AD104" s="1575"/>
      <c r="AE104" s="1576"/>
      <c r="AF104" s="1580" t="s">
        <v>1052</v>
      </c>
      <c r="AG104" s="1581"/>
      <c r="AH104" s="1581"/>
      <c r="AI104" s="1581"/>
      <c r="AJ104" s="1581"/>
      <c r="AK104" s="1581"/>
      <c r="AL104" s="1581"/>
      <c r="AM104" s="1581"/>
      <c r="AN104" s="1582"/>
      <c r="AW104" s="583"/>
      <c r="AY104" s="455"/>
      <c r="AZ104" s="455"/>
    </row>
    <row r="105" spans="2:53" ht="33" customHeight="1">
      <c r="C105" s="1571" t="str">
        <f>+$C$10</f>
        <v>Identificación del Indicador</v>
      </c>
      <c r="D105" s="1584" t="s">
        <v>867</v>
      </c>
      <c r="E105" s="1567" t="s">
        <v>868</v>
      </c>
      <c r="F105" s="1568"/>
      <c r="G105" s="1569"/>
      <c r="H105" s="1570" t="s">
        <v>1140</v>
      </c>
      <c r="I105" s="1572" t="s">
        <v>1144</v>
      </c>
      <c r="J105" s="1570" t="s">
        <v>869</v>
      </c>
      <c r="K105" s="1570" t="s">
        <v>863</v>
      </c>
      <c r="L105" s="1570"/>
      <c r="M105" s="1570"/>
      <c r="N105" s="1567" t="s">
        <v>868</v>
      </c>
      <c r="O105" s="1568"/>
      <c r="P105" s="1569"/>
      <c r="Q105" s="1570" t="s">
        <v>1150</v>
      </c>
      <c r="R105" s="1572" t="s">
        <v>1141</v>
      </c>
      <c r="S105" s="1570" t="s">
        <v>869</v>
      </c>
      <c r="T105" s="1570" t="s">
        <v>863</v>
      </c>
      <c r="U105" s="1570"/>
      <c r="V105" s="1570"/>
      <c r="W105" s="1567" t="s">
        <v>868</v>
      </c>
      <c r="X105" s="1568"/>
      <c r="Y105" s="1569"/>
      <c r="Z105" s="1570" t="s">
        <v>1151</v>
      </c>
      <c r="AA105" s="1572" t="s">
        <v>1146</v>
      </c>
      <c r="AB105" s="1570" t="s">
        <v>869</v>
      </c>
      <c r="AC105" s="1570" t="s">
        <v>863</v>
      </c>
      <c r="AD105" s="1570"/>
      <c r="AE105" s="1570"/>
      <c r="AF105" s="1567" t="s">
        <v>868</v>
      </c>
      <c r="AG105" s="1568"/>
      <c r="AH105" s="1569"/>
      <c r="AI105" s="1570" t="s">
        <v>1152</v>
      </c>
      <c r="AJ105" s="1572" t="s">
        <v>1148</v>
      </c>
      <c r="AK105" s="1570" t="s">
        <v>869</v>
      </c>
      <c r="AL105" s="1570" t="s">
        <v>863</v>
      </c>
      <c r="AM105" s="1570"/>
      <c r="AN105" s="1570"/>
      <c r="AO105" s="1583" t="s">
        <v>715</v>
      </c>
      <c r="AP105" s="1583"/>
      <c r="AQ105" s="1583"/>
      <c r="AR105" s="1583"/>
      <c r="AS105" s="1583"/>
      <c r="AT105" s="1583"/>
      <c r="AU105" s="1583"/>
      <c r="AV105" s="1583"/>
      <c r="AW105" s="1571" t="s">
        <v>888</v>
      </c>
    </row>
    <row r="106" spans="2:53" ht="56.25" customHeight="1">
      <c r="C106" s="1571"/>
      <c r="D106" s="1584"/>
      <c r="E106" s="1017" t="s">
        <v>1153</v>
      </c>
      <c r="F106" s="1017" t="str">
        <f>+E104</f>
        <v>Primer Trimestre</v>
      </c>
      <c r="G106" s="1018" t="s">
        <v>1143</v>
      </c>
      <c r="H106" s="1571"/>
      <c r="I106" s="1573"/>
      <c r="J106" s="1571"/>
      <c r="K106" s="1017" t="str">
        <f>+$D$6</f>
        <v>Tercer Trimestre</v>
      </c>
      <c r="L106" s="1018" t="str">
        <f>+G106</f>
        <v>Acumulado
Corte 
31/03/2022</v>
      </c>
      <c r="M106" s="1019" t="s">
        <v>760</v>
      </c>
      <c r="N106" s="1017" t="s">
        <v>1153</v>
      </c>
      <c r="O106" s="1017" t="str">
        <f>+N104</f>
        <v>Segundo Trimestre</v>
      </c>
      <c r="P106" s="1018" t="s">
        <v>1142</v>
      </c>
      <c r="Q106" s="1571"/>
      <c r="R106" s="1573"/>
      <c r="S106" s="1571"/>
      <c r="T106" s="1017" t="str">
        <f>+O106</f>
        <v>Segundo Trimestre</v>
      </c>
      <c r="U106" s="1018" t="str">
        <f>+P106</f>
        <v>Acumulado Corte 
30/06/2022</v>
      </c>
      <c r="V106" s="1019" t="s">
        <v>760</v>
      </c>
      <c r="W106" s="1017" t="s">
        <v>1153</v>
      </c>
      <c r="X106" s="1017" t="str">
        <f>+W104</f>
        <v>Tercer Trimestre</v>
      </c>
      <c r="Y106" s="1018" t="s">
        <v>1145</v>
      </c>
      <c r="Z106" s="1571"/>
      <c r="AA106" s="1573"/>
      <c r="AB106" s="1571"/>
      <c r="AC106" s="1017" t="str">
        <f>+X106</f>
        <v>Tercer Trimestre</v>
      </c>
      <c r="AD106" s="1018" t="str">
        <f>+Y106</f>
        <v>Acumulado Corte 
30/09/2022</v>
      </c>
      <c r="AE106" s="1019" t="s">
        <v>760</v>
      </c>
      <c r="AF106" s="1017" t="s">
        <v>1153</v>
      </c>
      <c r="AG106" s="1017" t="str">
        <f>+AF104</f>
        <v>Cuarto Trimestre</v>
      </c>
      <c r="AH106" s="1018" t="s">
        <v>1147</v>
      </c>
      <c r="AI106" s="1571"/>
      <c r="AJ106" s="1573"/>
      <c r="AK106" s="1571"/>
      <c r="AL106" s="1017" t="str">
        <f>+AG106</f>
        <v>Cuarto Trimestre</v>
      </c>
      <c r="AM106" s="1018" t="str">
        <f>+AH106</f>
        <v>Acumulado Corte 
31/12/2022</v>
      </c>
      <c r="AN106" s="1019" t="s">
        <v>760</v>
      </c>
      <c r="AO106" s="1201" t="s">
        <v>870</v>
      </c>
      <c r="AP106" s="1202"/>
      <c r="AQ106" s="1203" t="s">
        <v>871</v>
      </c>
      <c r="AR106" s="1204"/>
      <c r="AS106" s="1204"/>
      <c r="AT106" s="1205"/>
      <c r="AU106" s="1206" t="s">
        <v>723</v>
      </c>
      <c r="AV106" s="1207"/>
      <c r="AW106" s="1571"/>
    </row>
    <row r="107" spans="2:53" ht="107.45" customHeight="1">
      <c r="B107" s="474">
        <f>+B101+1</f>
        <v>56</v>
      </c>
      <c r="C107" s="475" t="str">
        <f>+'Rango indicadores'!D57</f>
        <v>08-RI-01</v>
      </c>
      <c r="D107" s="475" t="str">
        <f>+'Rango indicadores'!E57</f>
        <v>Porcentaje de novedades y situaciones administrativas gestionadas</v>
      </c>
      <c r="E107" s="479">
        <f>+'Rango indicadores'!Q57</f>
        <v>1</v>
      </c>
      <c r="F107" s="507">
        <f>'1.Informe Seguimiento POA 2022'!O61</f>
        <v>1</v>
      </c>
      <c r="G107" s="507">
        <f>'1.Informe Seguimiento POA 2022'!O61</f>
        <v>1</v>
      </c>
      <c r="H107" s="921">
        <f>'1.Informe Seguimiento POA 2022'!P61</f>
        <v>1</v>
      </c>
      <c r="I107" s="921">
        <f>'1.Informe Seguimiento POA 2022'!P61</f>
        <v>1</v>
      </c>
      <c r="J107" s="921">
        <f t="shared" ref="J107:J114" si="173">I107</f>
        <v>1</v>
      </c>
      <c r="K107" s="492">
        <f t="shared" ref="K107" si="174">IF(AND(F107&gt;0),H107/F107,"No programado")</f>
        <v>1</v>
      </c>
      <c r="L107" s="492">
        <f t="shared" ref="L107" si="175">IF(AND(G107&gt;0),I107/G107,"No programado")</f>
        <v>1</v>
      </c>
      <c r="M107" s="478">
        <f>IF(AND(E107&gt;0,$J107&gt;0),J107/$E107,0)*0.25</f>
        <v>0.25</v>
      </c>
      <c r="N107" s="479">
        <f>+E107</f>
        <v>1</v>
      </c>
      <c r="O107" s="921">
        <f>+'1.Informe Seguimiento POA 2022'!Q61</f>
        <v>1</v>
      </c>
      <c r="P107" s="1059">
        <f>IFERROR(AVERAGE(F107,O107),0)</f>
        <v>1</v>
      </c>
      <c r="Q107" s="921">
        <f>'1.Informe Seguimiento POA 2022'!R61</f>
        <v>1</v>
      </c>
      <c r="R107" s="479">
        <f>IFERROR(AVERAGE('1.Informe Seguimiento POA 2022'!P61,'1.Informe Seguimiento POA 2022'!R61),0)</f>
        <v>1</v>
      </c>
      <c r="S107" s="479">
        <f>IFERROR(IF(OR($N107="",$N107=0),0,ROUNDDOWN(AVERAGE($H107,Q107),3)),0)</f>
        <v>1</v>
      </c>
      <c r="T107" s="492">
        <f t="shared" ref="T107:T114" si="176">IF(AND(O107&gt;0),Q107/O107,"No programado")</f>
        <v>1</v>
      </c>
      <c r="U107" s="492">
        <f t="shared" ref="U107:U114" si="177">IF(AND(P107&gt;0),R107/P107,"No programado")</f>
        <v>1</v>
      </c>
      <c r="V107" s="478">
        <f>IF(AND(N107&gt;0,$S107&gt;0),S107/$N107,0)*0.5</f>
        <v>0.5</v>
      </c>
      <c r="W107" s="479">
        <f>+N107</f>
        <v>1</v>
      </c>
      <c r="X107" s="507">
        <f>+'1.Informe Seguimiento POA 2022'!S61</f>
        <v>1</v>
      </c>
      <c r="Y107" s="479">
        <f>IFERROR(AVERAGE('1.Informe Seguimiento POA 2022'!O61,'1.Informe Seguimiento POA 2022'!Q61,'1.Informe Seguimiento POA 2022'!S61),0)</f>
        <v>1</v>
      </c>
      <c r="Z107" s="479">
        <f>+'1.Informe Seguimiento POA 2022'!T61</f>
        <v>1</v>
      </c>
      <c r="AA107" s="479">
        <f>IFERROR(AVERAGE('1.Informe Seguimiento POA 2022'!R61,'1.Informe Seguimiento POA 2022'!P61,'1.Informe Seguimiento POA 2022'!T61),0)</f>
        <v>1</v>
      </c>
      <c r="AB107" s="479">
        <f>IFERROR(IF(OR($W107="",$W107=0),0,ROUNDDOWN(AVERAGE($H107,Q107,Z107),3)),0)</f>
        <v>1</v>
      </c>
      <c r="AC107" s="492">
        <f t="shared" ref="AC107:AC114" si="178">IF(AND(X107&gt;0),Z107/X107,"No programado")</f>
        <v>1</v>
      </c>
      <c r="AD107" s="492">
        <f t="shared" ref="AD107:AD114" si="179">IF(AND(Y107&gt;0),AA107/Y107,"No programado")</f>
        <v>1</v>
      </c>
      <c r="AE107" s="478">
        <f>IF(AND(W107&gt;0,$AB107&gt;0),AB107/$W107,0)*0.75</f>
        <v>0.75</v>
      </c>
      <c r="AF107" s="479">
        <f>+W107</f>
        <v>1</v>
      </c>
      <c r="AG107" s="479">
        <f>+'1.Informe Seguimiento POA 2022'!U61</f>
        <v>1</v>
      </c>
      <c r="AH107" s="479">
        <f>IFERROR(AVERAGE('1.Informe Seguimiento POA 2022'!O61,'1.Informe Seguimiento POA 2022'!Q61,'1.Informe Seguimiento POA 2022'!S61,'1.Informe Seguimiento POA 2022'!U61),0)</f>
        <v>1</v>
      </c>
      <c r="AI107" s="479">
        <f>+'1.Informe Seguimiento POA 2022'!V61</f>
        <v>0</v>
      </c>
      <c r="AJ107" s="479">
        <f>IFERROR(AVERAGE('1.Informe Seguimiento POA 2022'!P61,'1.Informe Seguimiento POA 2022'!R61,'1.Informe Seguimiento POA 2022'!T61,'1.Informe Seguimiento POA 2022'!V61),0)</f>
        <v>0.75</v>
      </c>
      <c r="AK107" s="479">
        <f>IFERROR(IF(OR($W107="",$W107=0),0,ROUNDDOWN(AVERAGE($H107,Q107,Z107,AI107),3)),0)</f>
        <v>0.75</v>
      </c>
      <c r="AL107" s="492">
        <f t="shared" ref="AL107:AL114" si="180">IF(AND(AG107&gt;0),AI107/AG107,"No programado")</f>
        <v>0</v>
      </c>
      <c r="AM107" s="492">
        <f t="shared" ref="AM107:AM114" si="181">IF(AND(AH107&gt;0),AJ107/AH107,"No programado")</f>
        <v>0.75</v>
      </c>
      <c r="AN107" s="478">
        <f t="shared" ref="AN107:AN114" si="182">IF(AND(AF107&gt;0,$J107&gt;0),AK107/$E107,0)</f>
        <v>0.75</v>
      </c>
      <c r="AO107" s="482" t="str">
        <f>+'Rango indicadores'!H57</f>
        <v>Mayor o igual A:</v>
      </c>
      <c r="AP107" s="477">
        <f>+'Rango indicadores'!I57</f>
        <v>90</v>
      </c>
      <c r="AQ107" s="477" t="str">
        <f>+'Rango indicadores'!J57</f>
        <v>Desde (&gt;):</v>
      </c>
      <c r="AR107" s="477">
        <f>+'Rango indicadores'!K57</f>
        <v>69</v>
      </c>
      <c r="AS107" s="477" t="str">
        <f>+'Rango indicadores'!L57</f>
        <v>Hasta (&lt;):</v>
      </c>
      <c r="AT107" s="477">
        <f>+'Rango indicadores'!M57</f>
        <v>90</v>
      </c>
      <c r="AU107" s="477" t="str">
        <f>+'Rango indicadores'!N57</f>
        <v>Menor o Igual A:</v>
      </c>
      <c r="AV107" s="1058">
        <f>+'Rango indicadores'!O57</f>
        <v>69</v>
      </c>
      <c r="AW107" s="581" t="s">
        <v>1166</v>
      </c>
      <c r="AX107" s="578"/>
      <c r="AY107" s="889">
        <f t="shared" ref="AY107:AY114" si="183">+X107-Z107</f>
        <v>0</v>
      </c>
      <c r="AZ107" s="654">
        <f t="shared" ref="AZ107:AZ108" si="184">+P107-R107</f>
        <v>0</v>
      </c>
    </row>
    <row r="108" spans="2:53" ht="109.9" customHeight="1">
      <c r="B108" s="474">
        <f t="shared" ref="B108:B114" si="185">+B107+1</f>
        <v>57</v>
      </c>
      <c r="C108" s="475" t="str">
        <f>+'Rango indicadores'!D58</f>
        <v>08-RI-02</v>
      </c>
      <c r="D108" s="475" t="str">
        <f>+'Rango indicadores'!E58</f>
        <v xml:space="preserve">Novedades incluidas en la nómina  oportunamente  </v>
      </c>
      <c r="E108" s="479">
        <f>+'Rango indicadores'!Q58</f>
        <v>0.98</v>
      </c>
      <c r="F108" s="507">
        <f>'1.Informe Seguimiento POA 2022'!O62</f>
        <v>0.98</v>
      </c>
      <c r="G108" s="507">
        <f>'1.Informe Seguimiento POA 2022'!O62</f>
        <v>0.98</v>
      </c>
      <c r="H108" s="921">
        <f>'1.Informe Seguimiento POA 2022'!P62</f>
        <v>0.98766666666666669</v>
      </c>
      <c r="I108" s="921">
        <f>'1.Informe Seguimiento POA 2022'!P62</f>
        <v>0.98766666666666669</v>
      </c>
      <c r="J108" s="921">
        <f t="shared" si="173"/>
        <v>0.98766666666666669</v>
      </c>
      <c r="K108" s="492">
        <f t="shared" ref="K108:K114" si="186">IF(AND(F108&gt;0),H108/F108,"No programado")</f>
        <v>1.0078231292517008</v>
      </c>
      <c r="L108" s="492">
        <f t="shared" ref="L108:L114" si="187">IF(AND(G108&gt;0),I108/G108,"No programado")</f>
        <v>1.0078231292517008</v>
      </c>
      <c r="M108" s="478">
        <f>IF(AND(E108&gt;0,$J108&gt;0),J108/$E108,0)*0.25</f>
        <v>0.2519557823129252</v>
      </c>
      <c r="N108" s="479">
        <f t="shared" ref="N108:N114" si="188">+E108</f>
        <v>0.98</v>
      </c>
      <c r="O108" s="921">
        <f>+'1.Informe Seguimiento POA 2022'!Q62</f>
        <v>0.98</v>
      </c>
      <c r="P108" s="1059">
        <f t="shared" ref="P108:P109" si="189">IFERROR(AVERAGE(F108,O108),0)</f>
        <v>0.98</v>
      </c>
      <c r="Q108" s="921">
        <f>'1.Informe Seguimiento POA 2022'!R62</f>
        <v>0.95699999999999996</v>
      </c>
      <c r="R108" s="479">
        <f>IFERROR(AVERAGE('1.Informe Seguimiento POA 2022'!P62,'1.Informe Seguimiento POA 2022'!R62),0)</f>
        <v>0.97233333333333327</v>
      </c>
      <c r="S108" s="479">
        <f t="shared" ref="S108:S109" si="190">IFERROR(IF(OR($N108="",$N108=0),0,ROUNDDOWN(AVERAGE($H108,Q108),3)),0)</f>
        <v>0.97199999999999998</v>
      </c>
      <c r="T108" s="492">
        <f t="shared" si="176"/>
        <v>0.9765306122448979</v>
      </c>
      <c r="U108" s="492">
        <f t="shared" si="177"/>
        <v>0.9921768707482993</v>
      </c>
      <c r="V108" s="478">
        <f>IF(AND(N108&gt;0,$S108&gt;0),S108/$N108,0)*0.5</f>
        <v>0.49591836734693878</v>
      </c>
      <c r="W108" s="479">
        <f t="shared" ref="W108:W113" si="191">+N108</f>
        <v>0.98</v>
      </c>
      <c r="X108" s="507">
        <f>+'1.Informe Seguimiento POA 2022'!S62</f>
        <v>0.98</v>
      </c>
      <c r="Y108" s="479">
        <f>IFERROR(AVERAGE('1.Informe Seguimiento POA 2022'!O62,'1.Informe Seguimiento POA 2022'!Q62,'1.Informe Seguimiento POA 2022'!S62),0)</f>
        <v>0.98</v>
      </c>
      <c r="Z108" s="479">
        <f>+'1.Informe Seguimiento POA 2022'!T62</f>
        <v>0.9903333333333334</v>
      </c>
      <c r="AA108" s="479">
        <f>IFERROR(AVERAGE('1.Informe Seguimiento POA 2022'!R62,'1.Informe Seguimiento POA 2022'!P62,'1.Informe Seguimiento POA 2022'!T62),0)</f>
        <v>0.97833333333333339</v>
      </c>
      <c r="AB108" s="479">
        <f t="shared" ref="AB108:AB109" si="192">IFERROR(IF(OR($W108="",$W108=0),0,ROUNDDOWN(AVERAGE($H108,Q108,Z108),3)),0)</f>
        <v>0.97799999999999998</v>
      </c>
      <c r="AC108" s="492">
        <f t="shared" si="178"/>
        <v>1.0105442176870749</v>
      </c>
      <c r="AD108" s="492">
        <f t="shared" si="179"/>
        <v>0.99829931972789121</v>
      </c>
      <c r="AE108" s="478">
        <f>IF(AND(W108&gt;0,$AB108&gt;0),AB108/$W108,0)*0.75</f>
        <v>0.74846938775510208</v>
      </c>
      <c r="AF108" s="479">
        <f t="shared" ref="AF108:AF109" si="193">+W108</f>
        <v>0.98</v>
      </c>
      <c r="AG108" s="479">
        <f>+'1.Informe Seguimiento POA 2022'!U62</f>
        <v>0.98</v>
      </c>
      <c r="AH108" s="479">
        <f>IFERROR(AVERAGE('1.Informe Seguimiento POA 2022'!O62,'1.Informe Seguimiento POA 2022'!Q62,'1.Informe Seguimiento POA 2022'!S62,'1.Informe Seguimiento POA 2022'!U62),0)</f>
        <v>0.98</v>
      </c>
      <c r="AI108" s="479">
        <f>+'1.Informe Seguimiento POA 2022'!V62</f>
        <v>0</v>
      </c>
      <c r="AJ108" s="479">
        <f>IFERROR(AVERAGE('1.Informe Seguimiento POA 2022'!P62,'1.Informe Seguimiento POA 2022'!R62,'1.Informe Seguimiento POA 2022'!T62,'1.Informe Seguimiento POA 2022'!V62),0)</f>
        <v>0.73375000000000001</v>
      </c>
      <c r="AK108" s="479">
        <f t="shared" ref="AK108:AK109" si="194">IFERROR(IF(OR($W108="",$W108=0),0,ROUNDDOWN(AVERAGE($H108,Q108,Z108,AI108),3)),0)</f>
        <v>0.73299999999999998</v>
      </c>
      <c r="AL108" s="492">
        <f t="shared" si="180"/>
        <v>0</v>
      </c>
      <c r="AM108" s="492">
        <f t="shared" si="181"/>
        <v>0.74872448979591844</v>
      </c>
      <c r="AN108" s="478">
        <f t="shared" si="182"/>
        <v>0.74795918367346936</v>
      </c>
      <c r="AO108" s="482" t="str">
        <f>+'Rango indicadores'!H58</f>
        <v>Mayor o igual A:</v>
      </c>
      <c r="AP108" s="477">
        <f>+'Rango indicadores'!I58</f>
        <v>97</v>
      </c>
      <c r="AQ108" s="477" t="str">
        <f>+'Rango indicadores'!J58</f>
        <v>Desde (&gt;):</v>
      </c>
      <c r="AR108" s="477">
        <f>+'Rango indicadores'!K58</f>
        <v>84</v>
      </c>
      <c r="AS108" s="477" t="str">
        <f>+'Rango indicadores'!L58</f>
        <v>Hasta (&lt;):</v>
      </c>
      <c r="AT108" s="477">
        <f>+'Rango indicadores'!M58</f>
        <v>97</v>
      </c>
      <c r="AU108" s="477" t="str">
        <f>+'Rango indicadores'!N58</f>
        <v>Menor o Igual A:</v>
      </c>
      <c r="AV108" s="1058">
        <f>+'Rango indicadores'!O58</f>
        <v>84</v>
      </c>
      <c r="AW108" s="581" t="s">
        <v>1195</v>
      </c>
      <c r="AX108" s="578"/>
      <c r="AY108" s="889">
        <f t="shared" si="183"/>
        <v>-1.0333333333333417E-2</v>
      </c>
      <c r="AZ108" s="654">
        <f t="shared" si="184"/>
        <v>7.6666666666667105E-3</v>
      </c>
      <c r="BA108" s="494"/>
    </row>
    <row r="109" spans="2:53" ht="118.9" customHeight="1">
      <c r="B109" s="474">
        <f t="shared" si="185"/>
        <v>58</v>
      </c>
      <c r="C109" s="475" t="str">
        <f>+'Rango indicadores'!D59</f>
        <v>08-RI-03</v>
      </c>
      <c r="D109" s="475" t="str">
        <f>+'Rango indicadores'!E59</f>
        <v>Porcentaje de Usuarios internos satisfechos con las solicitudes de los servicios atendidas de la SGTH (Certificaciones laborales, bonos pensionales y autorizaciones de retiro de cesantías)</v>
      </c>
      <c r="E109" s="479">
        <f>+'Rango indicadores'!Q59</f>
        <v>0.96</v>
      </c>
      <c r="F109" s="507">
        <f>'1.Informe Seguimiento POA 2022'!O63</f>
        <v>0.96</v>
      </c>
      <c r="G109" s="507">
        <f>'1.Informe Seguimiento POA 2022'!O63</f>
        <v>0.96</v>
      </c>
      <c r="H109" s="921">
        <f>'1.Informe Seguimiento POA 2022'!P63</f>
        <v>0.92900000000000005</v>
      </c>
      <c r="I109" s="921">
        <f>'1.Informe Seguimiento POA 2022'!P63</f>
        <v>0.92900000000000005</v>
      </c>
      <c r="J109" s="921">
        <f t="shared" si="173"/>
        <v>0.92900000000000005</v>
      </c>
      <c r="K109" s="492">
        <f t="shared" si="186"/>
        <v>0.96770833333333339</v>
      </c>
      <c r="L109" s="492">
        <f t="shared" si="187"/>
        <v>0.96770833333333339</v>
      </c>
      <c r="M109" s="478">
        <f>IF(AND(E109&gt;0,$J109&gt;0),J109/$E109,0)*0.25</f>
        <v>0.24192708333333335</v>
      </c>
      <c r="N109" s="479">
        <f t="shared" si="188"/>
        <v>0.96</v>
      </c>
      <c r="O109" s="921">
        <f>+'1.Informe Seguimiento POA 2022'!Q63</f>
        <v>0.96</v>
      </c>
      <c r="P109" s="1059">
        <f t="shared" si="189"/>
        <v>0.96</v>
      </c>
      <c r="Q109" s="921">
        <f>'1.Informe Seguimiento POA 2022'!R63</f>
        <v>0.99199999999999999</v>
      </c>
      <c r="R109" s="479">
        <f>IFERROR(AVERAGE('1.Informe Seguimiento POA 2022'!P63,'1.Informe Seguimiento POA 2022'!R63),0)</f>
        <v>0.96050000000000002</v>
      </c>
      <c r="S109" s="479">
        <f t="shared" si="190"/>
        <v>0.96</v>
      </c>
      <c r="T109" s="492">
        <f t="shared" si="176"/>
        <v>1.0333333333333334</v>
      </c>
      <c r="U109" s="492">
        <f t="shared" si="177"/>
        <v>1.0005208333333333</v>
      </c>
      <c r="V109" s="478">
        <f>IF(AND(N109&gt;0,$S109&gt;0),S109/$N109,0)*0.5</f>
        <v>0.5</v>
      </c>
      <c r="W109" s="479">
        <f t="shared" si="191"/>
        <v>0.96</v>
      </c>
      <c r="X109" s="507">
        <f>+'1.Informe Seguimiento POA 2022'!S63</f>
        <v>0.96</v>
      </c>
      <c r="Y109" s="479">
        <f>IFERROR(AVERAGE('1.Informe Seguimiento POA 2022'!O63,'1.Informe Seguimiento POA 2022'!Q63,'1.Informe Seguimiento POA 2022'!S63),0)</f>
        <v>0.96</v>
      </c>
      <c r="Z109" s="479">
        <f>+'1.Informe Seguimiento POA 2022'!T63</f>
        <v>0.97</v>
      </c>
      <c r="AA109" s="479">
        <f>IFERROR(AVERAGE('1.Informe Seguimiento POA 2022'!R63,'1.Informe Seguimiento POA 2022'!P63,'1.Informe Seguimiento POA 2022'!T63),0)</f>
        <v>0.96366666666666667</v>
      </c>
      <c r="AB109" s="479">
        <f t="shared" si="192"/>
        <v>0.96299999999999997</v>
      </c>
      <c r="AC109" s="492">
        <f t="shared" si="178"/>
        <v>1.0104166666666667</v>
      </c>
      <c r="AD109" s="492">
        <f t="shared" si="179"/>
        <v>1.0038194444444446</v>
      </c>
      <c r="AE109" s="478">
        <f>IF(AND(W109&gt;0,$AB109&gt;0),AB109/$W109,0)*0.75</f>
        <v>0.75234375000000009</v>
      </c>
      <c r="AF109" s="479">
        <f t="shared" si="193"/>
        <v>0.96</v>
      </c>
      <c r="AG109" s="479">
        <f>+'1.Informe Seguimiento POA 2022'!U63</f>
        <v>0.96</v>
      </c>
      <c r="AH109" s="479">
        <f>IFERROR(AVERAGE('1.Informe Seguimiento POA 2022'!O63,'1.Informe Seguimiento POA 2022'!Q63,'1.Informe Seguimiento POA 2022'!S63,'1.Informe Seguimiento POA 2022'!U63),0)</f>
        <v>0.96</v>
      </c>
      <c r="AI109" s="479">
        <f>+'1.Informe Seguimiento POA 2022'!V63</f>
        <v>0</v>
      </c>
      <c r="AJ109" s="479">
        <f>IFERROR(AVERAGE('1.Informe Seguimiento POA 2022'!P63,'1.Informe Seguimiento POA 2022'!R63,'1.Informe Seguimiento POA 2022'!T63,'1.Informe Seguimiento POA 2022'!V63),0)</f>
        <v>0.72275</v>
      </c>
      <c r="AK109" s="479">
        <f t="shared" si="194"/>
        <v>0.72199999999999998</v>
      </c>
      <c r="AL109" s="492">
        <f t="shared" si="180"/>
        <v>0</v>
      </c>
      <c r="AM109" s="492">
        <f t="shared" si="181"/>
        <v>0.75286458333333339</v>
      </c>
      <c r="AN109" s="478">
        <f t="shared" si="182"/>
        <v>0.75208333333333333</v>
      </c>
      <c r="AO109" s="482" t="str">
        <f>+'Rango indicadores'!H59</f>
        <v>Mayor o igual A:</v>
      </c>
      <c r="AP109" s="477">
        <f>+'Rango indicadores'!I59</f>
        <v>90</v>
      </c>
      <c r="AQ109" s="477" t="str">
        <f>+'Rango indicadores'!J59</f>
        <v>Desde (&gt;):</v>
      </c>
      <c r="AR109" s="477">
        <f>+'Rango indicadores'!K59</f>
        <v>79</v>
      </c>
      <c r="AS109" s="477" t="str">
        <f>+'Rango indicadores'!L59</f>
        <v>Hasta (&lt;):</v>
      </c>
      <c r="AT109" s="477">
        <f>+'Rango indicadores'!M59</f>
        <v>90</v>
      </c>
      <c r="AU109" s="477" t="str">
        <f>+'Rango indicadores'!N59</f>
        <v>Menor o Igual A:</v>
      </c>
      <c r="AV109" s="1058">
        <f>+'Rango indicadores'!O59</f>
        <v>79</v>
      </c>
      <c r="AW109" s="581" t="s">
        <v>1196</v>
      </c>
      <c r="AX109" s="578"/>
      <c r="AY109" s="889">
        <f t="shared" si="183"/>
        <v>-1.0000000000000009E-2</v>
      </c>
      <c r="AZ109" s="578"/>
      <c r="BA109" s="495"/>
    </row>
    <row r="110" spans="2:53" ht="135.75" customHeight="1">
      <c r="B110" s="474">
        <f t="shared" si="185"/>
        <v>59</v>
      </c>
      <c r="C110" s="475" t="str">
        <f>+'Rango indicadores'!D60</f>
        <v>08-RI-04</v>
      </c>
      <c r="D110" s="475" t="str">
        <f>+'Rango indicadores'!E60</f>
        <v>Plan Institucional de Capacitación formulado y ejecutado</v>
      </c>
      <c r="E110" s="479">
        <f>+'Rango indicadores'!Q60</f>
        <v>1</v>
      </c>
      <c r="F110" s="507">
        <f>'1.Informe Seguimiento POA 2022'!O64</f>
        <v>0.3</v>
      </c>
      <c r="G110" s="507">
        <f>'1.Informe Seguimiento POA 2022'!O64</f>
        <v>0.3</v>
      </c>
      <c r="H110" s="921">
        <f>'1.Informe Seguimiento POA 2022'!P64</f>
        <v>0.3</v>
      </c>
      <c r="I110" s="921">
        <f>'1.Informe Seguimiento POA 2022'!P64</f>
        <v>0.3</v>
      </c>
      <c r="J110" s="921">
        <f t="shared" si="173"/>
        <v>0.3</v>
      </c>
      <c r="K110" s="492">
        <f t="shared" si="186"/>
        <v>1</v>
      </c>
      <c r="L110" s="492">
        <f t="shared" si="187"/>
        <v>1</v>
      </c>
      <c r="M110" s="478">
        <f t="shared" ref="M110:M114" si="195">IF(AND(E110&gt;0,$J110&gt;0),J110/$E110,0)</f>
        <v>0.3</v>
      </c>
      <c r="N110" s="479">
        <f t="shared" si="188"/>
        <v>1</v>
      </c>
      <c r="O110" s="507">
        <f>+'1.Informe Seguimiento POA 2022'!Q64</f>
        <v>0.15000000000000002</v>
      </c>
      <c r="P110" s="507">
        <f>+'1.Informe Seguimiento POA 2022'!O64+'1.Informe Seguimiento POA 2022'!Q64</f>
        <v>0.45</v>
      </c>
      <c r="Q110" s="507">
        <f>+'1.Informe Seguimiento POA 2022'!R64</f>
        <v>0.15000000000000002</v>
      </c>
      <c r="R110" s="507">
        <f>+'1.Informe Seguimiento POA 2022'!P64+'1.Informe Seguimiento POA 2022'!R64</f>
        <v>0.45</v>
      </c>
      <c r="S110" s="507">
        <f t="shared" ref="S110" si="196">H110+Q110</f>
        <v>0.45</v>
      </c>
      <c r="T110" s="492">
        <f t="shared" si="176"/>
        <v>1</v>
      </c>
      <c r="U110" s="492">
        <f t="shared" si="177"/>
        <v>1</v>
      </c>
      <c r="V110" s="478">
        <f t="shared" ref="V110:V114" si="197">IF(AND(N110&gt;0,$S110&gt;0),S110/$N110,0)</f>
        <v>0.45</v>
      </c>
      <c r="W110" s="479">
        <f t="shared" si="191"/>
        <v>1</v>
      </c>
      <c r="X110" s="507">
        <f>+'1.Informe Seguimiento POA 2022'!S64</f>
        <v>0.2</v>
      </c>
      <c r="Y110" s="507">
        <f>+'1.Informe Seguimiento POA 2022'!O64+'1.Informe Seguimiento POA 2022'!Q64+'1.Informe Seguimiento POA 2022'!S64</f>
        <v>0.65</v>
      </c>
      <c r="Z110" s="507">
        <f>+'1.Informe Seguimiento POA 2022'!T64</f>
        <v>0.1</v>
      </c>
      <c r="AA110" s="507">
        <f>+'1.Informe Seguimiento POA 2022'!R64+'1.Informe Seguimiento POA 2022'!T64+'1.Informe Seguimiento POA 2022'!P64</f>
        <v>0.55000000000000004</v>
      </c>
      <c r="AB110" s="507">
        <f t="shared" ref="AB110" si="198">H110+Q110+Z110</f>
        <v>0.55000000000000004</v>
      </c>
      <c r="AC110" s="492">
        <f t="shared" si="178"/>
        <v>0.5</v>
      </c>
      <c r="AD110" s="492">
        <f t="shared" si="179"/>
        <v>0.84615384615384615</v>
      </c>
      <c r="AE110" s="478">
        <f t="shared" ref="AE110:AE114" si="199">IF(AND(W110&gt;0,$AB110&gt;0),AB110/$W110,0)</f>
        <v>0.55000000000000004</v>
      </c>
      <c r="AF110" s="479">
        <f t="shared" ref="AF110:AF113" si="200">+W110</f>
        <v>1</v>
      </c>
      <c r="AG110" s="479">
        <f>+'1.Informe Seguimiento POA 2022'!U64</f>
        <v>0.35000000000000003</v>
      </c>
      <c r="AH110" s="479">
        <f>+'1.Informe Seguimiento POA 2022'!O64+'1.Informe Seguimiento POA 2022'!Q64+'1.Informe Seguimiento POA 2022'!S64+'1.Informe Seguimiento POA 2022'!U64</f>
        <v>1</v>
      </c>
      <c r="AI110" s="890">
        <f>+'1.Informe Seguimiento POA 2022'!V64</f>
        <v>0</v>
      </c>
      <c r="AJ110" s="479">
        <f>+'1.Informe Seguimiento POA 2022'!P64+'1.Informe Seguimiento POA 2022'!R64+'1.Informe Seguimiento POA 2022'!T64+'1.Informe Seguimiento POA 2022'!V64</f>
        <v>0.55000000000000004</v>
      </c>
      <c r="AK110" s="513">
        <f t="shared" ref="AK110:AK114" si="201">H110+Q110+Z110+AI110</f>
        <v>0.55000000000000004</v>
      </c>
      <c r="AL110" s="492">
        <f t="shared" si="180"/>
        <v>0</v>
      </c>
      <c r="AM110" s="492">
        <f t="shared" si="181"/>
        <v>0.55000000000000004</v>
      </c>
      <c r="AN110" s="478">
        <f t="shared" si="182"/>
        <v>0.55000000000000004</v>
      </c>
      <c r="AO110" s="482" t="str">
        <f>+'Rango indicadores'!H60</f>
        <v>Mayor o igual A:</v>
      </c>
      <c r="AP110" s="477">
        <f>+'Rango indicadores'!I60</f>
        <v>90</v>
      </c>
      <c r="AQ110" s="477" t="str">
        <f>+'Rango indicadores'!J60</f>
        <v>Desde (&gt;):</v>
      </c>
      <c r="AR110" s="477">
        <f>+'Rango indicadores'!K60</f>
        <v>69</v>
      </c>
      <c r="AS110" s="477" t="str">
        <f>+'Rango indicadores'!L60</f>
        <v>Hasta (&lt;):</v>
      </c>
      <c r="AT110" s="477">
        <f>+'Rango indicadores'!M60</f>
        <v>90</v>
      </c>
      <c r="AU110" s="477" t="str">
        <f>+'Rango indicadores'!N60</f>
        <v>Menor o Igual A:</v>
      </c>
      <c r="AV110" s="1058">
        <f>+'Rango indicadores'!O60</f>
        <v>69</v>
      </c>
      <c r="AW110" s="573" t="s">
        <v>1228</v>
      </c>
      <c r="AX110" s="654"/>
      <c r="AY110" s="889">
        <f t="shared" si="183"/>
        <v>0.1</v>
      </c>
      <c r="AZ110" s="578"/>
    </row>
    <row r="111" spans="2:53" ht="121.15" customHeight="1">
      <c r="B111" s="474">
        <f t="shared" si="185"/>
        <v>60</v>
      </c>
      <c r="C111" s="475" t="str">
        <f>+'Rango indicadores'!D61</f>
        <v>08-RI-05</v>
      </c>
      <c r="D111" s="475" t="str">
        <f>+'Rango indicadores'!E61</f>
        <v>Plan Institucional de Bienestar formulado y ejecutado</v>
      </c>
      <c r="E111" s="479">
        <f>+'Rango indicadores'!Q61</f>
        <v>1</v>
      </c>
      <c r="F111" s="507">
        <f>'1.Informe Seguimiento POA 2022'!O65</f>
        <v>0.25830000000000003</v>
      </c>
      <c r="G111" s="507">
        <f>'1.Informe Seguimiento POA 2022'!O65</f>
        <v>0.25830000000000003</v>
      </c>
      <c r="H111" s="921">
        <f>'1.Informe Seguimiento POA 2022'!P65</f>
        <v>0.25830000000000003</v>
      </c>
      <c r="I111" s="921">
        <f>'1.Informe Seguimiento POA 2022'!P65</f>
        <v>0.25830000000000003</v>
      </c>
      <c r="J111" s="921">
        <f t="shared" si="173"/>
        <v>0.25830000000000003</v>
      </c>
      <c r="K111" s="492">
        <f t="shared" si="186"/>
        <v>1</v>
      </c>
      <c r="L111" s="492">
        <f t="shared" si="187"/>
        <v>1</v>
      </c>
      <c r="M111" s="478">
        <f t="shared" si="195"/>
        <v>0.25830000000000003</v>
      </c>
      <c r="N111" s="479">
        <f t="shared" si="188"/>
        <v>1</v>
      </c>
      <c r="O111" s="921">
        <f>+'1.Informe Seguimiento POA 2022'!Q65</f>
        <v>0.17499999999999999</v>
      </c>
      <c r="P111" s="921">
        <f>+'1.Informe Seguimiento POA 2022'!O65+'1.Informe Seguimiento POA 2022'!Q65</f>
        <v>0.43330000000000002</v>
      </c>
      <c r="Q111" s="921">
        <f>+'1.Informe Seguimiento POA 2022'!R65</f>
        <v>0.1361</v>
      </c>
      <c r="R111" s="921">
        <f>+'1.Informe Seguimiento POA 2022'!P65+'1.Informe Seguimiento POA 2022'!R65</f>
        <v>0.39440000000000003</v>
      </c>
      <c r="S111" s="921">
        <f t="shared" ref="S111:S114" si="202">H111+Q111</f>
        <v>0.39440000000000003</v>
      </c>
      <c r="T111" s="492">
        <f t="shared" si="176"/>
        <v>0.7777142857142858</v>
      </c>
      <c r="U111" s="492">
        <f t="shared" si="177"/>
        <v>0.91022386337410577</v>
      </c>
      <c r="V111" s="478">
        <f t="shared" si="197"/>
        <v>0.39440000000000003</v>
      </c>
      <c r="W111" s="479">
        <f t="shared" si="191"/>
        <v>1</v>
      </c>
      <c r="X111" s="507">
        <f>+'1.Informe Seguimiento POA 2022'!S65</f>
        <v>0.22369999999999995</v>
      </c>
      <c r="Y111" s="507">
        <f>+'1.Informe Seguimiento POA 2022'!O65+'1.Informe Seguimiento POA 2022'!Q65+'1.Informe Seguimiento POA 2022'!S65</f>
        <v>0.65700000000000003</v>
      </c>
      <c r="Z111" s="507">
        <f>+'1.Informe Seguimiento POA 2022'!T65</f>
        <v>0.24309999999999998</v>
      </c>
      <c r="AA111" s="507">
        <f>+'1.Informe Seguimiento POA 2022'!R65+'1.Informe Seguimiento POA 2022'!T65+'1.Informe Seguimiento POA 2022'!P65</f>
        <v>0.63749999999999996</v>
      </c>
      <c r="AB111" s="507">
        <f t="shared" ref="AB111:AB114" si="203">H111+Q111+Z111</f>
        <v>0.63749999999999996</v>
      </c>
      <c r="AC111" s="492">
        <f t="shared" si="178"/>
        <v>1.0867232901206976</v>
      </c>
      <c r="AD111" s="492">
        <f t="shared" si="179"/>
        <v>0.97031963470319627</v>
      </c>
      <c r="AE111" s="478">
        <f t="shared" si="199"/>
        <v>0.63749999999999996</v>
      </c>
      <c r="AF111" s="479">
        <f t="shared" si="200"/>
        <v>1</v>
      </c>
      <c r="AG111" s="479">
        <f>+'1.Informe Seguimiento POA 2022'!U65</f>
        <v>0.34299999999999997</v>
      </c>
      <c r="AH111" s="479">
        <f>+'1.Informe Seguimiento POA 2022'!O65+'1.Informe Seguimiento POA 2022'!Q65+'1.Informe Seguimiento POA 2022'!S65+'1.Informe Seguimiento POA 2022'!U65</f>
        <v>1</v>
      </c>
      <c r="AI111" s="890">
        <f>+'1.Informe Seguimiento POA 2022'!V65</f>
        <v>0</v>
      </c>
      <c r="AJ111" s="479">
        <f>+'1.Informe Seguimiento POA 2022'!P65+'1.Informe Seguimiento POA 2022'!R65+'1.Informe Seguimiento POA 2022'!T65+'1.Informe Seguimiento POA 2022'!V65</f>
        <v>0.63749999999999996</v>
      </c>
      <c r="AK111" s="513">
        <f t="shared" si="201"/>
        <v>0.63749999999999996</v>
      </c>
      <c r="AL111" s="492">
        <f t="shared" si="180"/>
        <v>0</v>
      </c>
      <c r="AM111" s="492">
        <f t="shared" si="181"/>
        <v>0.63749999999999996</v>
      </c>
      <c r="AN111" s="478">
        <f t="shared" si="182"/>
        <v>0.63749999999999996</v>
      </c>
      <c r="AO111" s="482" t="str">
        <f>+'Rango indicadores'!H61</f>
        <v>Mayor o igual A:</v>
      </c>
      <c r="AP111" s="477">
        <f>+'Rango indicadores'!I61</f>
        <v>90</v>
      </c>
      <c r="AQ111" s="477" t="str">
        <f>+'Rango indicadores'!J61</f>
        <v>Desde (&gt;):</v>
      </c>
      <c r="AR111" s="477">
        <f>+'Rango indicadores'!K61</f>
        <v>69</v>
      </c>
      <c r="AS111" s="477" t="str">
        <f>+'Rango indicadores'!L61</f>
        <v>Hasta (&lt;):</v>
      </c>
      <c r="AT111" s="477">
        <f>+'Rango indicadores'!M61</f>
        <v>90</v>
      </c>
      <c r="AU111" s="477" t="str">
        <f>+'Rango indicadores'!N61</f>
        <v>Menor o Igual A:</v>
      </c>
      <c r="AV111" s="1058">
        <f>+'Rango indicadores'!O61</f>
        <v>69</v>
      </c>
      <c r="AW111" s="573" t="s">
        <v>1197</v>
      </c>
      <c r="AX111" s="578"/>
      <c r="AY111" s="889">
        <f t="shared" si="183"/>
        <v>-1.9400000000000028E-2</v>
      </c>
      <c r="AZ111" s="578"/>
      <c r="BA111" s="494"/>
    </row>
    <row r="112" spans="2:53" ht="83.45" customHeight="1">
      <c r="B112" s="474">
        <f t="shared" si="185"/>
        <v>61</v>
      </c>
      <c r="C112" s="475" t="str">
        <f>+'Rango indicadores'!D62</f>
        <v>08-RI-06</v>
      </c>
      <c r="D112" s="475" t="str">
        <f>+'Rango indicadores'!E62</f>
        <v>Plan Institucional de Incentivos formulado y ejecutado</v>
      </c>
      <c r="E112" s="479">
        <f>+'Rango indicadores'!Q62</f>
        <v>1</v>
      </c>
      <c r="F112" s="507">
        <f>'1.Informe Seguimiento POA 2022'!O66</f>
        <v>0.25</v>
      </c>
      <c r="G112" s="507">
        <f>'1.Informe Seguimiento POA 2022'!O66</f>
        <v>0.25</v>
      </c>
      <c r="H112" s="921">
        <f>'1.Informe Seguimiento POA 2022'!P66</f>
        <v>0.25</v>
      </c>
      <c r="I112" s="921">
        <f>'1.Informe Seguimiento POA 2022'!P66</f>
        <v>0.25</v>
      </c>
      <c r="J112" s="921">
        <f t="shared" si="173"/>
        <v>0.25</v>
      </c>
      <c r="K112" s="492">
        <f t="shared" si="186"/>
        <v>1</v>
      </c>
      <c r="L112" s="492">
        <f t="shared" si="187"/>
        <v>1</v>
      </c>
      <c r="M112" s="478">
        <f t="shared" si="195"/>
        <v>0.25</v>
      </c>
      <c r="N112" s="479">
        <f t="shared" si="188"/>
        <v>1</v>
      </c>
      <c r="O112" s="507">
        <f>+'1.Informe Seguimiento POA 2022'!Q66</f>
        <v>0.1</v>
      </c>
      <c r="P112" s="507">
        <f>+'1.Informe Seguimiento POA 2022'!O66+'1.Informe Seguimiento POA 2022'!Q66</f>
        <v>0.35</v>
      </c>
      <c r="Q112" s="507">
        <f>+'1.Informe Seguimiento POA 2022'!R66</f>
        <v>0.1</v>
      </c>
      <c r="R112" s="507">
        <f>+'1.Informe Seguimiento POA 2022'!P66+'1.Informe Seguimiento POA 2022'!R66</f>
        <v>0.35</v>
      </c>
      <c r="S112" s="507">
        <f t="shared" si="202"/>
        <v>0.35</v>
      </c>
      <c r="T112" s="492">
        <f t="shared" si="176"/>
        <v>1</v>
      </c>
      <c r="U112" s="492">
        <f t="shared" si="177"/>
        <v>1</v>
      </c>
      <c r="V112" s="478">
        <f t="shared" si="197"/>
        <v>0.35</v>
      </c>
      <c r="W112" s="479">
        <f t="shared" si="191"/>
        <v>1</v>
      </c>
      <c r="X112" s="507">
        <f>+'1.Informe Seguimiento POA 2022'!S66</f>
        <v>0.1</v>
      </c>
      <c r="Y112" s="507">
        <f>+'1.Informe Seguimiento POA 2022'!O66+'1.Informe Seguimiento POA 2022'!Q66+'1.Informe Seguimiento POA 2022'!S66</f>
        <v>0.44999999999999996</v>
      </c>
      <c r="Z112" s="507">
        <f>+'1.Informe Seguimiento POA 2022'!T66</f>
        <v>0.1</v>
      </c>
      <c r="AA112" s="507">
        <f>+'1.Informe Seguimiento POA 2022'!R66+'1.Informe Seguimiento POA 2022'!T66+'1.Informe Seguimiento POA 2022'!P66</f>
        <v>0.45</v>
      </c>
      <c r="AB112" s="507">
        <f t="shared" si="203"/>
        <v>0.44999999999999996</v>
      </c>
      <c r="AC112" s="492">
        <f t="shared" si="178"/>
        <v>1</v>
      </c>
      <c r="AD112" s="492">
        <f t="shared" si="179"/>
        <v>1.0000000000000002</v>
      </c>
      <c r="AE112" s="478">
        <f t="shared" si="199"/>
        <v>0.44999999999999996</v>
      </c>
      <c r="AF112" s="479">
        <f t="shared" si="200"/>
        <v>1</v>
      </c>
      <c r="AG112" s="479">
        <f>+'1.Informe Seguimiento POA 2022'!U66</f>
        <v>0.54999999999999993</v>
      </c>
      <c r="AH112" s="479">
        <f>+'1.Informe Seguimiento POA 2022'!O66+'1.Informe Seguimiento POA 2022'!Q66+'1.Informe Seguimiento POA 2022'!S66+'1.Informe Seguimiento POA 2022'!U66</f>
        <v>0.99999999999999989</v>
      </c>
      <c r="AI112" s="890">
        <f>+'1.Informe Seguimiento POA 2022'!V66</f>
        <v>0</v>
      </c>
      <c r="AJ112" s="479">
        <f>+'1.Informe Seguimiento POA 2022'!P66+'1.Informe Seguimiento POA 2022'!R66+'1.Informe Seguimiento POA 2022'!T66+'1.Informe Seguimiento POA 2022'!V66</f>
        <v>0.44999999999999996</v>
      </c>
      <c r="AK112" s="513">
        <f t="shared" si="201"/>
        <v>0.44999999999999996</v>
      </c>
      <c r="AL112" s="492">
        <f t="shared" si="180"/>
        <v>0</v>
      </c>
      <c r="AM112" s="492">
        <f t="shared" si="181"/>
        <v>0.45</v>
      </c>
      <c r="AN112" s="478">
        <f t="shared" si="182"/>
        <v>0.44999999999999996</v>
      </c>
      <c r="AO112" s="482" t="str">
        <f>+'Rango indicadores'!H62</f>
        <v>Mayor o igual A:</v>
      </c>
      <c r="AP112" s="477">
        <f>+'Rango indicadores'!I62</f>
        <v>90</v>
      </c>
      <c r="AQ112" s="477" t="str">
        <f>+'Rango indicadores'!J62</f>
        <v>Desde (&gt;):</v>
      </c>
      <c r="AR112" s="477">
        <f>+'Rango indicadores'!K62</f>
        <v>69</v>
      </c>
      <c r="AS112" s="477" t="str">
        <f>+'Rango indicadores'!L62</f>
        <v>Hasta (&lt;):</v>
      </c>
      <c r="AT112" s="477">
        <f>+'Rango indicadores'!M62</f>
        <v>90</v>
      </c>
      <c r="AU112" s="477" t="str">
        <f>+'Rango indicadores'!N62</f>
        <v>Menor o Igual A:</v>
      </c>
      <c r="AV112" s="1058">
        <f>+'Rango indicadores'!O62</f>
        <v>69</v>
      </c>
      <c r="AW112" s="573" t="s">
        <v>1176</v>
      </c>
      <c r="AX112" s="684"/>
      <c r="AY112" s="889">
        <f t="shared" si="183"/>
        <v>0</v>
      </c>
      <c r="AZ112" s="578"/>
      <c r="BA112" s="495"/>
    </row>
    <row r="113" spans="2:53" ht="107.45" customHeight="1">
      <c r="B113" s="474">
        <f t="shared" si="185"/>
        <v>62</v>
      </c>
      <c r="C113" s="475" t="str">
        <f>+'Rango indicadores'!D63</f>
        <v>08-RI-07</v>
      </c>
      <c r="D113" s="475" t="str">
        <f>+'Rango indicadores'!E63</f>
        <v>Plan Anual de Trabajo del Sistema de Gestión de Seguridad y Salud en el Trabajo SG-SST diseñado y ejecutado</v>
      </c>
      <c r="E113" s="479">
        <f>+'Rango indicadores'!Q63</f>
        <v>1</v>
      </c>
      <c r="F113" s="507">
        <f>'1.Informe Seguimiento POA 2022'!O67</f>
        <v>0.40160000000000001</v>
      </c>
      <c r="G113" s="507">
        <f>'1.Informe Seguimiento POA 2022'!O67</f>
        <v>0.40160000000000001</v>
      </c>
      <c r="H113" s="921">
        <f>'1.Informe Seguimiento POA 2022'!P67</f>
        <v>0.40160000000000001</v>
      </c>
      <c r="I113" s="921">
        <f>'1.Informe Seguimiento POA 2022'!P67</f>
        <v>0.40160000000000001</v>
      </c>
      <c r="J113" s="921">
        <f t="shared" si="173"/>
        <v>0.40160000000000001</v>
      </c>
      <c r="K113" s="492">
        <f t="shared" si="186"/>
        <v>1</v>
      </c>
      <c r="L113" s="492">
        <f t="shared" si="187"/>
        <v>1</v>
      </c>
      <c r="M113" s="478">
        <f t="shared" si="195"/>
        <v>0.40160000000000001</v>
      </c>
      <c r="N113" s="479">
        <f t="shared" si="188"/>
        <v>1</v>
      </c>
      <c r="O113" s="507">
        <f>+'1.Informe Seguimiento POA 2022'!Q67</f>
        <v>0.19600000000000001</v>
      </c>
      <c r="P113" s="507">
        <f>+'1.Informe Seguimiento POA 2022'!O67+'1.Informe Seguimiento POA 2022'!Q67</f>
        <v>0.59760000000000002</v>
      </c>
      <c r="Q113" s="507">
        <f>+'1.Informe Seguimiento POA 2022'!R67</f>
        <v>0.19600000000000001</v>
      </c>
      <c r="R113" s="507">
        <f>+'1.Informe Seguimiento POA 2022'!P67+'1.Informe Seguimiento POA 2022'!R67</f>
        <v>0.59760000000000002</v>
      </c>
      <c r="S113" s="507">
        <f t="shared" si="202"/>
        <v>0.59760000000000002</v>
      </c>
      <c r="T113" s="492">
        <f t="shared" si="176"/>
        <v>1</v>
      </c>
      <c r="U113" s="492">
        <f t="shared" si="177"/>
        <v>1</v>
      </c>
      <c r="V113" s="478">
        <f t="shared" si="197"/>
        <v>0.59760000000000002</v>
      </c>
      <c r="W113" s="479">
        <f t="shared" si="191"/>
        <v>1</v>
      </c>
      <c r="X113" s="507">
        <f>+'1.Informe Seguimiento POA 2022'!S67</f>
        <v>0.1232</v>
      </c>
      <c r="Y113" s="507">
        <f>+'1.Informe Seguimiento POA 2022'!O67+'1.Informe Seguimiento POA 2022'!Q67+'1.Informe Seguimiento POA 2022'!S67</f>
        <v>0.7208</v>
      </c>
      <c r="Z113" s="507">
        <f>+'1.Informe Seguimiento POA 2022'!T67</f>
        <v>0.1288</v>
      </c>
      <c r="AA113" s="507">
        <f>+'1.Informe Seguimiento POA 2022'!R67+'1.Informe Seguimiento POA 2022'!T67+'1.Informe Seguimiento POA 2022'!P67</f>
        <v>0.72639999999999993</v>
      </c>
      <c r="AB113" s="507">
        <f t="shared" si="203"/>
        <v>0.72640000000000005</v>
      </c>
      <c r="AC113" s="492">
        <f t="shared" si="178"/>
        <v>1.0454545454545454</v>
      </c>
      <c r="AD113" s="492">
        <f t="shared" si="179"/>
        <v>1.0077691453940065</v>
      </c>
      <c r="AE113" s="478">
        <f t="shared" si="199"/>
        <v>0.72640000000000005</v>
      </c>
      <c r="AF113" s="479">
        <f t="shared" si="200"/>
        <v>1</v>
      </c>
      <c r="AG113" s="479">
        <f>+'1.Informe Seguimiento POA 2022'!U67</f>
        <v>0.2792</v>
      </c>
      <c r="AH113" s="479">
        <f>+'1.Informe Seguimiento POA 2022'!O67+'1.Informe Seguimiento POA 2022'!Q67+'1.Informe Seguimiento POA 2022'!S67+'1.Informe Seguimiento POA 2022'!U67</f>
        <v>1</v>
      </c>
      <c r="AI113" s="890">
        <f>+'1.Informe Seguimiento POA 2022'!V67</f>
        <v>0</v>
      </c>
      <c r="AJ113" s="479">
        <f>+'1.Informe Seguimiento POA 2022'!P67+'1.Informe Seguimiento POA 2022'!R67+'1.Informe Seguimiento POA 2022'!T67+'1.Informe Seguimiento POA 2022'!V67</f>
        <v>0.72640000000000005</v>
      </c>
      <c r="AK113" s="513">
        <f t="shared" si="201"/>
        <v>0.72640000000000005</v>
      </c>
      <c r="AL113" s="492">
        <f t="shared" si="180"/>
        <v>0</v>
      </c>
      <c r="AM113" s="492">
        <f t="shared" si="181"/>
        <v>0.72640000000000005</v>
      </c>
      <c r="AN113" s="478">
        <f t="shared" si="182"/>
        <v>0.72640000000000005</v>
      </c>
      <c r="AO113" s="482" t="str">
        <f>+'Rango indicadores'!H63</f>
        <v>Mayor o igual A:</v>
      </c>
      <c r="AP113" s="477">
        <f>+'Rango indicadores'!I63</f>
        <v>90</v>
      </c>
      <c r="AQ113" s="477" t="str">
        <f>+'Rango indicadores'!J63</f>
        <v>Desde (&gt;):</v>
      </c>
      <c r="AR113" s="477">
        <f>+'Rango indicadores'!K63</f>
        <v>69</v>
      </c>
      <c r="AS113" s="477" t="str">
        <f>+'Rango indicadores'!L63</f>
        <v>Hasta (&lt;):</v>
      </c>
      <c r="AT113" s="477">
        <f>+'Rango indicadores'!M63</f>
        <v>90</v>
      </c>
      <c r="AU113" s="477" t="str">
        <f>+'Rango indicadores'!N63</f>
        <v>Menor o Igual A:</v>
      </c>
      <c r="AV113" s="1058">
        <f>+'Rango indicadores'!O63</f>
        <v>69</v>
      </c>
      <c r="AW113" s="573" t="s">
        <v>1198</v>
      </c>
      <c r="AX113" s="579"/>
      <c r="AY113" s="889">
        <f t="shared" si="183"/>
        <v>-5.5999999999999939E-3</v>
      </c>
      <c r="AZ113" s="579"/>
      <c r="BA113" s="495"/>
    </row>
    <row r="114" spans="2:53" ht="87.6" customHeight="1">
      <c r="B114" s="474">
        <f t="shared" si="185"/>
        <v>63</v>
      </c>
      <c r="C114" s="475" t="str">
        <f>+'Rango indicadores'!D64</f>
        <v>08-RI-08</v>
      </c>
      <c r="D114" s="475" t="str">
        <f>+'Rango indicadores'!E64</f>
        <v>Capacitaciones realizadas sobre los Sistemas de Gestión y Evaluación del Desempeño Laboral de la Personería de Bogotá, D.C.</v>
      </c>
      <c r="E114" s="489">
        <f>+'Rango indicadores'!Q64</f>
        <v>4</v>
      </c>
      <c r="F114" s="489">
        <f>'1.Informe Seguimiento POA 2022'!O68</f>
        <v>2</v>
      </c>
      <c r="G114" s="489">
        <f>'1.Informe Seguimiento POA 2022'!O68</f>
        <v>2</v>
      </c>
      <c r="H114" s="489">
        <f>'1.Informe Seguimiento POA 2022'!P68</f>
        <v>2</v>
      </c>
      <c r="I114" s="489">
        <f>'1.Informe Seguimiento POA 2022'!P68</f>
        <v>2</v>
      </c>
      <c r="J114" s="489">
        <f t="shared" si="173"/>
        <v>2</v>
      </c>
      <c r="K114" s="492">
        <f t="shared" si="186"/>
        <v>1</v>
      </c>
      <c r="L114" s="492">
        <f t="shared" si="187"/>
        <v>1</v>
      </c>
      <c r="M114" s="478">
        <f t="shared" si="195"/>
        <v>0.5</v>
      </c>
      <c r="N114" s="489">
        <f t="shared" si="188"/>
        <v>4</v>
      </c>
      <c r="O114" s="489">
        <f>+'1.Informe Seguimiento POA 2022'!Q68</f>
        <v>1</v>
      </c>
      <c r="P114" s="489">
        <f>+'1.Informe Seguimiento POA 2022'!O68+'1.Informe Seguimiento POA 2022'!Q68</f>
        <v>3</v>
      </c>
      <c r="Q114" s="489">
        <f>+'1.Informe Seguimiento POA 2022'!R68</f>
        <v>1</v>
      </c>
      <c r="R114" s="489">
        <f>+'1.Informe Seguimiento POA 2022'!P68+'1.Informe Seguimiento POA 2022'!R68</f>
        <v>3</v>
      </c>
      <c r="S114" s="489">
        <f t="shared" si="202"/>
        <v>3</v>
      </c>
      <c r="T114" s="492">
        <f t="shared" si="176"/>
        <v>1</v>
      </c>
      <c r="U114" s="492">
        <f t="shared" si="177"/>
        <v>1</v>
      </c>
      <c r="V114" s="478">
        <f t="shared" si="197"/>
        <v>0.75</v>
      </c>
      <c r="W114" s="489">
        <f>+N114</f>
        <v>4</v>
      </c>
      <c r="X114" s="489">
        <f>+'1.Informe Seguimiento POA 2022'!S68</f>
        <v>1</v>
      </c>
      <c r="Y114" s="489">
        <f>+'1.Informe Seguimiento POA 2022'!O68+'1.Informe Seguimiento POA 2022'!Q68+'1.Informe Seguimiento POA 2022'!S68</f>
        <v>4</v>
      </c>
      <c r="Z114" s="489">
        <f>+'1.Informe Seguimiento POA 2022'!T68</f>
        <v>1</v>
      </c>
      <c r="AA114" s="489">
        <f>+'1.Informe Seguimiento POA 2022'!R68+'1.Informe Seguimiento POA 2022'!T68+'1.Informe Seguimiento POA 2022'!P68</f>
        <v>4</v>
      </c>
      <c r="AB114" s="489">
        <f t="shared" si="203"/>
        <v>4</v>
      </c>
      <c r="AC114" s="492">
        <f t="shared" si="178"/>
        <v>1</v>
      </c>
      <c r="AD114" s="492">
        <f t="shared" si="179"/>
        <v>1</v>
      </c>
      <c r="AE114" s="478">
        <f t="shared" si="199"/>
        <v>1</v>
      </c>
      <c r="AF114" s="489">
        <f>+W114</f>
        <v>4</v>
      </c>
      <c r="AG114" s="489">
        <f>+'1.Informe Seguimiento POA 2022'!U68</f>
        <v>0</v>
      </c>
      <c r="AH114" s="489">
        <f>+'1.Informe Seguimiento POA 2022'!O68+'1.Informe Seguimiento POA 2022'!Q68+'1.Informe Seguimiento POA 2022'!S68+'1.Informe Seguimiento POA 2022'!U68</f>
        <v>4</v>
      </c>
      <c r="AI114" s="489">
        <f>+'1.Informe Seguimiento POA 2022'!V68</f>
        <v>0</v>
      </c>
      <c r="AJ114" s="489">
        <f>+'1.Informe Seguimiento POA 2022'!P68+'1.Informe Seguimiento POA 2022'!R68+'1.Informe Seguimiento POA 2022'!T68+'1.Informe Seguimiento POA 2022'!V68</f>
        <v>4</v>
      </c>
      <c r="AK114" s="489">
        <f t="shared" si="201"/>
        <v>4</v>
      </c>
      <c r="AL114" s="492" t="str">
        <f t="shared" si="180"/>
        <v>No programado</v>
      </c>
      <c r="AM114" s="492">
        <f t="shared" si="181"/>
        <v>1</v>
      </c>
      <c r="AN114" s="478">
        <f t="shared" si="182"/>
        <v>1</v>
      </c>
      <c r="AO114" s="482" t="str">
        <f>+'Rango indicadores'!H64</f>
        <v>Mayor A:</v>
      </c>
      <c r="AP114" s="477">
        <f>+'Rango indicadores'!I64</f>
        <v>100</v>
      </c>
      <c r="AQ114" s="477" t="str">
        <f>+'Rango indicadores'!J64</f>
        <v>Desde (&gt;=):</v>
      </c>
      <c r="AR114" s="477">
        <f>+'Rango indicadores'!K64</f>
        <v>90</v>
      </c>
      <c r="AS114" s="477" t="str">
        <f>+'Rango indicadores'!L64</f>
        <v>Hasta (&lt;=):</v>
      </c>
      <c r="AT114" s="477">
        <f>+'Rango indicadores'!M64</f>
        <v>100</v>
      </c>
      <c r="AU114" s="477" t="str">
        <f>+'Rango indicadores'!N64</f>
        <v>Menor A:</v>
      </c>
      <c r="AV114" s="477">
        <f>+'Rango indicadores'!O64</f>
        <v>90</v>
      </c>
      <c r="AW114" s="573" t="s">
        <v>1199</v>
      </c>
      <c r="AX114" s="578"/>
      <c r="AY114" s="889">
        <f t="shared" si="183"/>
        <v>0</v>
      </c>
      <c r="AZ114" s="578"/>
      <c r="BA114" s="495"/>
    </row>
    <row r="115" spans="2:53" ht="15.75">
      <c r="C115" s="1598" t="s">
        <v>872</v>
      </c>
      <c r="D115" s="1599"/>
      <c r="E115" s="1599"/>
      <c r="F115" s="1599"/>
      <c r="G115" s="1599"/>
      <c r="H115" s="1599"/>
      <c r="I115" s="1599"/>
      <c r="J115" s="1599"/>
      <c r="K115" s="480">
        <f>IFERROR(AVERAGE(K107:K114),0)</f>
        <v>0.9969414328231293</v>
      </c>
      <c r="L115" s="480">
        <f>IFERROR(AVERAGE(L107:L114),0)</f>
        <v>0.9969414328231293</v>
      </c>
      <c r="M115" s="480">
        <f>IFERROR(AVERAGE(M107:M114),0)</f>
        <v>0.30672285820578232</v>
      </c>
      <c r="N115" s="1060"/>
      <c r="O115" s="1060"/>
      <c r="P115" s="1060"/>
      <c r="Q115" s="1060"/>
      <c r="R115" s="1060"/>
      <c r="S115" s="1060"/>
      <c r="T115" s="480">
        <f>IFERROR(AVERAGE(T107:T114),0)</f>
        <v>0.97344727891156457</v>
      </c>
      <c r="U115" s="480">
        <f>IFERROR(AVERAGE(U107:U114),0)</f>
        <v>0.98786519593196731</v>
      </c>
      <c r="V115" s="480">
        <f>IFERROR(AVERAGE(V107:V114),0)</f>
        <v>0.50473979591836726</v>
      </c>
      <c r="W115" s="1060"/>
      <c r="X115" s="1060"/>
      <c r="Y115" s="1060"/>
      <c r="Z115" s="1060"/>
      <c r="AA115" s="1060"/>
      <c r="AB115" s="1060"/>
      <c r="AC115" s="480">
        <f>IFERROR(AVERAGE(AC107:AC114),0)</f>
        <v>0.95664233999112303</v>
      </c>
      <c r="AD115" s="480">
        <f>IFERROR(AVERAGE(AD107:AD114),0)</f>
        <v>0.97829517380292308</v>
      </c>
      <c r="AE115" s="480">
        <f>IFERROR(AVERAGE(AE107:AE114),0)</f>
        <v>0.70183914221938781</v>
      </c>
      <c r="AF115" s="1060"/>
      <c r="AG115" s="1060"/>
      <c r="AH115" s="1060"/>
      <c r="AI115" s="1060"/>
      <c r="AJ115" s="1060"/>
      <c r="AK115" s="1061"/>
      <c r="AL115" s="480">
        <f>IFERROR(AVERAGE(AL107:AL114),0)</f>
        <v>0</v>
      </c>
      <c r="AM115" s="480">
        <f>IFERROR(AVERAGE(AM107:AM114),0)</f>
        <v>0.70193613414115652</v>
      </c>
      <c r="AN115" s="480">
        <f>IFERROR(AVERAGE(AN107:AN114),0)</f>
        <v>0.70174281462585042</v>
      </c>
      <c r="AO115" s="487"/>
      <c r="AP115" s="487"/>
      <c r="AQ115" s="487"/>
      <c r="AR115" s="487"/>
      <c r="AS115" s="487"/>
      <c r="AT115" s="487"/>
      <c r="AU115" s="487"/>
      <c r="AV115" s="487"/>
      <c r="AW115" s="583"/>
      <c r="AY115" s="654"/>
    </row>
    <row r="116" spans="2:53" s="470" customFormat="1" ht="24.6" customHeight="1" thickBot="1">
      <c r="D116" s="472"/>
      <c r="AW116" s="472"/>
      <c r="AY116" s="654"/>
      <c r="AZ116" s="455"/>
    </row>
    <row r="117" spans="2:53" s="470" customFormat="1" ht="16.5" thickBot="1">
      <c r="C117" s="473" t="s">
        <v>881</v>
      </c>
      <c r="D117" s="503"/>
      <c r="E117" s="1577" t="s">
        <v>1136</v>
      </c>
      <c r="F117" s="1578"/>
      <c r="G117" s="1578"/>
      <c r="H117" s="1578"/>
      <c r="I117" s="1578"/>
      <c r="J117" s="1578"/>
      <c r="K117" s="1578"/>
      <c r="L117" s="1578"/>
      <c r="M117" s="1579"/>
      <c r="N117" s="1580" t="s">
        <v>1137</v>
      </c>
      <c r="O117" s="1581"/>
      <c r="P117" s="1581"/>
      <c r="Q117" s="1581"/>
      <c r="R117" s="1581"/>
      <c r="S117" s="1581"/>
      <c r="T117" s="1581"/>
      <c r="U117" s="1581"/>
      <c r="V117" s="1582"/>
      <c r="W117" s="1574" t="s">
        <v>1138</v>
      </c>
      <c r="X117" s="1575"/>
      <c r="Y117" s="1575"/>
      <c r="Z117" s="1575"/>
      <c r="AA117" s="1575"/>
      <c r="AB117" s="1575"/>
      <c r="AC117" s="1575"/>
      <c r="AD117" s="1575"/>
      <c r="AE117" s="1576"/>
      <c r="AF117" s="1580" t="s">
        <v>1052</v>
      </c>
      <c r="AG117" s="1581"/>
      <c r="AH117" s="1581"/>
      <c r="AI117" s="1581"/>
      <c r="AJ117" s="1581"/>
      <c r="AK117" s="1581"/>
      <c r="AL117" s="1581"/>
      <c r="AM117" s="1581"/>
      <c r="AN117" s="1582"/>
      <c r="AW117" s="472"/>
      <c r="AY117" s="654"/>
      <c r="AZ117" s="455"/>
    </row>
    <row r="118" spans="2:53" ht="29.45" customHeight="1">
      <c r="C118" s="1571" t="str">
        <f>+$C$10</f>
        <v>Identificación del Indicador</v>
      </c>
      <c r="D118" s="1584" t="s">
        <v>867</v>
      </c>
      <c r="E118" s="1567" t="s">
        <v>868</v>
      </c>
      <c r="F118" s="1568"/>
      <c r="G118" s="1569"/>
      <c r="H118" s="1570" t="s">
        <v>1140</v>
      </c>
      <c r="I118" s="1572" t="s">
        <v>1144</v>
      </c>
      <c r="J118" s="1570" t="s">
        <v>869</v>
      </c>
      <c r="K118" s="1570" t="s">
        <v>863</v>
      </c>
      <c r="L118" s="1570"/>
      <c r="M118" s="1570"/>
      <c r="N118" s="1567" t="s">
        <v>868</v>
      </c>
      <c r="O118" s="1568"/>
      <c r="P118" s="1569"/>
      <c r="Q118" s="1570" t="s">
        <v>1150</v>
      </c>
      <c r="R118" s="1572" t="s">
        <v>1141</v>
      </c>
      <c r="S118" s="1570" t="s">
        <v>869</v>
      </c>
      <c r="T118" s="1570" t="s">
        <v>863</v>
      </c>
      <c r="U118" s="1570"/>
      <c r="V118" s="1570"/>
      <c r="W118" s="1567" t="s">
        <v>868</v>
      </c>
      <c r="X118" s="1568"/>
      <c r="Y118" s="1569"/>
      <c r="Z118" s="1570" t="s">
        <v>1151</v>
      </c>
      <c r="AA118" s="1572" t="s">
        <v>1146</v>
      </c>
      <c r="AB118" s="1570" t="s">
        <v>869</v>
      </c>
      <c r="AC118" s="1570" t="s">
        <v>863</v>
      </c>
      <c r="AD118" s="1570"/>
      <c r="AE118" s="1570"/>
      <c r="AF118" s="1567" t="s">
        <v>868</v>
      </c>
      <c r="AG118" s="1568"/>
      <c r="AH118" s="1569"/>
      <c r="AI118" s="1570" t="s">
        <v>1152</v>
      </c>
      <c r="AJ118" s="1572" t="s">
        <v>1148</v>
      </c>
      <c r="AK118" s="1570" t="s">
        <v>869</v>
      </c>
      <c r="AL118" s="1570" t="s">
        <v>863</v>
      </c>
      <c r="AM118" s="1570"/>
      <c r="AN118" s="1570"/>
      <c r="AO118" s="1583" t="s">
        <v>715</v>
      </c>
      <c r="AP118" s="1583"/>
      <c r="AQ118" s="1583"/>
      <c r="AR118" s="1583"/>
      <c r="AS118" s="1583"/>
      <c r="AT118" s="1583"/>
      <c r="AU118" s="1583"/>
      <c r="AV118" s="1583"/>
      <c r="AW118" s="1571" t="s">
        <v>888</v>
      </c>
      <c r="AY118" s="654"/>
    </row>
    <row r="119" spans="2:53" ht="54.6" customHeight="1">
      <c r="C119" s="1571"/>
      <c r="D119" s="1584"/>
      <c r="E119" s="1017" t="s">
        <v>1153</v>
      </c>
      <c r="F119" s="1017" t="str">
        <f>+E117</f>
        <v>Primer Trimestre</v>
      </c>
      <c r="G119" s="1018" t="s">
        <v>1143</v>
      </c>
      <c r="H119" s="1571"/>
      <c r="I119" s="1573"/>
      <c r="J119" s="1571"/>
      <c r="K119" s="1017" t="str">
        <f>+$D$6</f>
        <v>Tercer Trimestre</v>
      </c>
      <c r="L119" s="1018" t="str">
        <f>+G119</f>
        <v>Acumulado
Corte 
31/03/2022</v>
      </c>
      <c r="M119" s="1019" t="s">
        <v>760</v>
      </c>
      <c r="N119" s="1017" t="s">
        <v>1153</v>
      </c>
      <c r="O119" s="1017" t="str">
        <f>+N117</f>
        <v>Segundo Trimestre</v>
      </c>
      <c r="P119" s="1018" t="s">
        <v>1142</v>
      </c>
      <c r="Q119" s="1571"/>
      <c r="R119" s="1573"/>
      <c r="S119" s="1571"/>
      <c r="T119" s="1017" t="str">
        <f>+O119</f>
        <v>Segundo Trimestre</v>
      </c>
      <c r="U119" s="1018" t="str">
        <f>+P119</f>
        <v>Acumulado Corte 
30/06/2022</v>
      </c>
      <c r="V119" s="1019" t="s">
        <v>760</v>
      </c>
      <c r="W119" s="1017" t="s">
        <v>1153</v>
      </c>
      <c r="X119" s="1017" t="str">
        <f>+W117</f>
        <v>Tercer Trimestre</v>
      </c>
      <c r="Y119" s="1018" t="s">
        <v>1145</v>
      </c>
      <c r="Z119" s="1571"/>
      <c r="AA119" s="1573"/>
      <c r="AB119" s="1571"/>
      <c r="AC119" s="1017" t="str">
        <f>+X119</f>
        <v>Tercer Trimestre</v>
      </c>
      <c r="AD119" s="1018" t="str">
        <f>+Y119</f>
        <v>Acumulado Corte 
30/09/2022</v>
      </c>
      <c r="AE119" s="1019" t="s">
        <v>760</v>
      </c>
      <c r="AF119" s="1017" t="s">
        <v>1153</v>
      </c>
      <c r="AG119" s="1017" t="str">
        <f>+AF117</f>
        <v>Cuarto Trimestre</v>
      </c>
      <c r="AH119" s="1018" t="s">
        <v>1147</v>
      </c>
      <c r="AI119" s="1571"/>
      <c r="AJ119" s="1573"/>
      <c r="AK119" s="1571"/>
      <c r="AL119" s="1017" t="str">
        <f>+AG119</f>
        <v>Cuarto Trimestre</v>
      </c>
      <c r="AM119" s="1018" t="str">
        <f>+AH119</f>
        <v>Acumulado Corte 
31/12/2022</v>
      </c>
      <c r="AN119" s="1019" t="s">
        <v>760</v>
      </c>
      <c r="AO119" s="1201" t="s">
        <v>870</v>
      </c>
      <c r="AP119" s="1202"/>
      <c r="AQ119" s="1203" t="s">
        <v>871</v>
      </c>
      <c r="AR119" s="1204"/>
      <c r="AS119" s="1204"/>
      <c r="AT119" s="1205"/>
      <c r="AU119" s="1206" t="s">
        <v>723</v>
      </c>
      <c r="AV119" s="1207"/>
      <c r="AW119" s="1571"/>
      <c r="AY119" s="654"/>
    </row>
    <row r="120" spans="2:53" ht="117" customHeight="1">
      <c r="B120" s="474">
        <f>1+B114</f>
        <v>64</v>
      </c>
      <c r="C120" s="475" t="str">
        <f>+'Rango indicadores'!D65</f>
        <v>09-R1-01</v>
      </c>
      <c r="D120" s="475" t="str">
        <f>+'Rango indicadores'!E65</f>
        <v>Porcentaje de servicios atendidos</v>
      </c>
      <c r="E120" s="479">
        <f>+'Rango indicadores'!Q65</f>
        <v>1</v>
      </c>
      <c r="F120" s="507">
        <f>'1.Informe Seguimiento POA 2022'!O69</f>
        <v>1</v>
      </c>
      <c r="G120" s="507">
        <f>'1.Informe Seguimiento POA 2022'!O69</f>
        <v>1</v>
      </c>
      <c r="H120" s="921">
        <f>'1.Informe Seguimiento POA 2022'!P69</f>
        <v>1</v>
      </c>
      <c r="I120" s="921">
        <f>'1.Informe Seguimiento POA 2022'!P69</f>
        <v>1</v>
      </c>
      <c r="J120" s="921">
        <f t="shared" ref="J120:J121" si="204">I120</f>
        <v>1</v>
      </c>
      <c r="K120" s="492">
        <f t="shared" ref="K120" si="205">IF(AND(F120&gt;0),H120/F120,"No programado")</f>
        <v>1</v>
      </c>
      <c r="L120" s="492">
        <f t="shared" ref="L120" si="206">IF(AND(G120&gt;0),I120/G120,"No programado")</f>
        <v>1</v>
      </c>
      <c r="M120" s="478">
        <f>IF(AND(E120&gt;0,$J120&gt;0),J120/$E120,0)*0.25</f>
        <v>0.25</v>
      </c>
      <c r="N120" s="479">
        <f>E120</f>
        <v>1</v>
      </c>
      <c r="O120" s="921">
        <f>+'1.Informe Seguimiento POA 2022'!Q69</f>
        <v>1</v>
      </c>
      <c r="P120" s="1059">
        <f>IFERROR(AVERAGE(F120,O120),0)</f>
        <v>1</v>
      </c>
      <c r="Q120" s="921">
        <f>'1.Informe Seguimiento POA 2022'!R69</f>
        <v>1</v>
      </c>
      <c r="R120" s="479">
        <f>IFERROR(AVERAGE('1.Informe Seguimiento POA 2022'!P69,'1.Informe Seguimiento POA 2022'!R69),0)</f>
        <v>1</v>
      </c>
      <c r="S120" s="479">
        <f>IFERROR(IF(OR($N120="",$N120=0),0,ROUNDDOWN(AVERAGE($H120,Q120),3)),0)</f>
        <v>1</v>
      </c>
      <c r="T120" s="492">
        <f t="shared" ref="T120:T121" si="207">IF(AND(O120&gt;0),Q120/O120,"No programado")</f>
        <v>1</v>
      </c>
      <c r="U120" s="492">
        <f t="shared" ref="U120:U121" si="208">IF(AND(P120&gt;0),R120/P120,"No programado")</f>
        <v>1</v>
      </c>
      <c r="V120" s="478">
        <f>IF(AND(N120&gt;0,$S120&gt;0),S120/$N120,0)*0.5</f>
        <v>0.5</v>
      </c>
      <c r="W120" s="479">
        <f>N120</f>
        <v>1</v>
      </c>
      <c r="X120" s="507">
        <f>+'1.Informe Seguimiento POA 2022'!S69</f>
        <v>1</v>
      </c>
      <c r="Y120" s="479">
        <f>IFERROR(AVERAGE('1.Informe Seguimiento POA 2022'!O69,'1.Informe Seguimiento POA 2022'!Q69,'1.Informe Seguimiento POA 2022'!S69),0)</f>
        <v>1</v>
      </c>
      <c r="Z120" s="479">
        <f>+'1.Informe Seguimiento POA 2022'!T69</f>
        <v>1</v>
      </c>
      <c r="AA120" s="479">
        <f>IFERROR(AVERAGE('1.Informe Seguimiento POA 2022'!R69,'1.Informe Seguimiento POA 2022'!P69,'1.Informe Seguimiento POA 2022'!T69),0)</f>
        <v>1</v>
      </c>
      <c r="AB120" s="479">
        <f>IFERROR(IF(OR($W120="",$W120=0),0,ROUNDDOWN(AVERAGE($H120,Q120,Z120),3)),0)</f>
        <v>1</v>
      </c>
      <c r="AC120" s="492">
        <f t="shared" ref="AC120:AC121" si="209">IF(AND(X120&gt;0),Z120/X120,"No programado")</f>
        <v>1</v>
      </c>
      <c r="AD120" s="492">
        <f t="shared" ref="AD120:AD121" si="210">IF(AND(Y120&gt;0),AA120/Y120,"No programado")</f>
        <v>1</v>
      </c>
      <c r="AE120" s="478">
        <f>IF(AND(W120&gt;0,$AB120&gt;0),AB120/$W120,0)*0.75</f>
        <v>0.75</v>
      </c>
      <c r="AF120" s="479">
        <f>W120</f>
        <v>1</v>
      </c>
      <c r="AG120" s="479">
        <f>+'1.Informe Seguimiento POA 2022'!U69</f>
        <v>1</v>
      </c>
      <c r="AH120" s="479">
        <f>IFERROR(AVERAGE('1.Informe Seguimiento POA 2022'!O69,'1.Informe Seguimiento POA 2022'!Q69,'1.Informe Seguimiento POA 2022'!S69,'1.Informe Seguimiento POA 2022'!U69),0)</f>
        <v>1</v>
      </c>
      <c r="AI120" s="479">
        <f>+'1.Informe Seguimiento POA 2022'!V69</f>
        <v>0</v>
      </c>
      <c r="AJ120" s="479">
        <f>IFERROR(AVERAGE('1.Informe Seguimiento POA 2022'!P69,'1.Informe Seguimiento POA 2022'!R69,'1.Informe Seguimiento POA 2022'!T69,'1.Informe Seguimiento POA 2022'!V69),0)</f>
        <v>0.75</v>
      </c>
      <c r="AK120" s="479">
        <f>IFERROR(IF(OR($W120="",$W120=0),0,ROUNDDOWN(AVERAGE($H120,Q120,Z120,AI120),3)),0)</f>
        <v>0.75</v>
      </c>
      <c r="AL120" s="492">
        <f t="shared" ref="AL120:AL121" si="211">IF(AND(AG120&gt;0),AI120/AG120,"No programado")</f>
        <v>0</v>
      </c>
      <c r="AM120" s="492">
        <f t="shared" ref="AM120:AM121" si="212">IF(AND(AH120&gt;0),AJ120/AH120,"No programado")</f>
        <v>0.75</v>
      </c>
      <c r="AN120" s="478">
        <f t="shared" ref="AN120:AN121" si="213">IF(AND(AF120&gt;0,$J120&gt;0),AK120/$E120,0)</f>
        <v>0.75</v>
      </c>
      <c r="AO120" s="482" t="str">
        <f>+'Rango indicadores'!H68</f>
        <v>Mayor o igual A:</v>
      </c>
      <c r="AP120" s="477">
        <f>+'Rango indicadores'!I68</f>
        <v>95</v>
      </c>
      <c r="AQ120" s="477" t="str">
        <f>+'Rango indicadores'!J68</f>
        <v>Desde (&gt;):</v>
      </c>
      <c r="AR120" s="477">
        <f>+'Rango indicadores'!K68</f>
        <v>90</v>
      </c>
      <c r="AS120" s="477" t="str">
        <f>+'Rango indicadores'!L68</f>
        <v>Hasta (&lt;):</v>
      </c>
      <c r="AT120" s="477">
        <f>+'Rango indicadores'!M68</f>
        <v>95</v>
      </c>
      <c r="AU120" s="477" t="str">
        <f>+'Rango indicadores'!N68</f>
        <v>Menor o Igual A:</v>
      </c>
      <c r="AV120" s="477">
        <f>+'Rango indicadores'!O68</f>
        <v>90</v>
      </c>
      <c r="AW120" s="581" t="s">
        <v>1166</v>
      </c>
      <c r="AX120" s="578"/>
      <c r="AY120" s="889">
        <f t="shared" ref="AY120:AY121" si="214">+X120-Z120</f>
        <v>0</v>
      </c>
      <c r="AZ120" s="578"/>
      <c r="BA120" s="495"/>
    </row>
    <row r="121" spans="2:53" ht="162.75" customHeight="1">
      <c r="B121" s="474">
        <f>+B120+1</f>
        <v>65</v>
      </c>
      <c r="C121" s="475" t="str">
        <f>+'Rango indicadores'!D66</f>
        <v>09-R1-02</v>
      </c>
      <c r="D121" s="475" t="str">
        <f>+'Rango indicadores'!E66</f>
        <v>Porcentaje de actividades del PESV ejecutadas</v>
      </c>
      <c r="E121" s="479">
        <f>+'Rango indicadores'!Q66</f>
        <v>0.97</v>
      </c>
      <c r="F121" s="507">
        <f>'1.Informe Seguimiento POA 2022'!O70</f>
        <v>0.97000000000000008</v>
      </c>
      <c r="G121" s="507">
        <f>'1.Informe Seguimiento POA 2022'!O70</f>
        <v>0.97000000000000008</v>
      </c>
      <c r="H121" s="921">
        <f>'1.Informe Seguimiento POA 2022'!P70</f>
        <v>1.0923333333333334</v>
      </c>
      <c r="I121" s="921">
        <f>'1.Informe Seguimiento POA 2022'!P70</f>
        <v>1.0923333333333334</v>
      </c>
      <c r="J121" s="921">
        <f t="shared" si="204"/>
        <v>1.0923333333333334</v>
      </c>
      <c r="K121" s="492">
        <f t="shared" ref="K121" si="215">IF(AND(F121&gt;0),H121/F121,"No programado")</f>
        <v>1.1261168384879725</v>
      </c>
      <c r="L121" s="492">
        <f t="shared" ref="L121" si="216">IF(AND(G121&gt;0),I121/G121,"No programado")</f>
        <v>1.1261168384879725</v>
      </c>
      <c r="M121" s="478">
        <f>IF(AND(E121&gt;0,$J121&gt;0),J121/$E121,0)*0.25</f>
        <v>0.28152920962199313</v>
      </c>
      <c r="N121" s="479">
        <f>E121</f>
        <v>0.97</v>
      </c>
      <c r="O121" s="921">
        <f>+'1.Informe Seguimiento POA 2022'!Q70</f>
        <v>0.97000000000000008</v>
      </c>
      <c r="P121" s="1059">
        <f>IFERROR(AVERAGE(F121,O121),0)</f>
        <v>0.97000000000000008</v>
      </c>
      <c r="Q121" s="921">
        <f>'1.Informe Seguimiento POA 2022'!R70</f>
        <v>1.0946666666666667</v>
      </c>
      <c r="R121" s="479">
        <f>IFERROR(AVERAGE('1.Informe Seguimiento POA 2022'!P70,'1.Informe Seguimiento POA 2022'!R70),0)</f>
        <v>1.0935000000000001</v>
      </c>
      <c r="S121" s="479">
        <f>IFERROR(IF(OR($N121="",$N121=0),0,ROUNDDOWN(AVERAGE($H121,Q121),3)),0)</f>
        <v>1.093</v>
      </c>
      <c r="T121" s="492">
        <f t="shared" si="207"/>
        <v>1.1285223367697594</v>
      </c>
      <c r="U121" s="492">
        <f t="shared" si="208"/>
        <v>1.127319587628866</v>
      </c>
      <c r="V121" s="478">
        <f>IF(AND(N121&gt;0,$S121&gt;0),S121/$N121,0)*0.5</f>
        <v>0.5634020618556701</v>
      </c>
      <c r="W121" s="479">
        <f>N121</f>
        <v>0.97</v>
      </c>
      <c r="X121" s="507">
        <f>+'1.Informe Seguimiento POA 2022'!S70</f>
        <v>0.97000000000000008</v>
      </c>
      <c r="Y121" s="479">
        <f>IFERROR(AVERAGE('1.Informe Seguimiento POA 2022'!O70,'1.Informe Seguimiento POA 2022'!Q70,'1.Informe Seguimiento POA 2022'!S70),0)</f>
        <v>0.97000000000000008</v>
      </c>
      <c r="Z121" s="479">
        <f>+'1.Informe Seguimiento POA 2022'!T70</f>
        <v>1.272</v>
      </c>
      <c r="AA121" s="479">
        <f>IFERROR(AVERAGE('1.Informe Seguimiento POA 2022'!R70,'1.Informe Seguimiento POA 2022'!P70,'1.Informe Seguimiento POA 2022'!T70),0)</f>
        <v>1.1530000000000002</v>
      </c>
      <c r="AB121" s="479">
        <f>IFERROR(IF(OR($W121="",$W121=0),0,ROUNDDOWN(AVERAGE($H121,Q121,Z121),3)),0)</f>
        <v>1.153</v>
      </c>
      <c r="AC121" s="492">
        <f t="shared" si="209"/>
        <v>1.311340206185567</v>
      </c>
      <c r="AD121" s="492">
        <f t="shared" si="210"/>
        <v>1.1886597938144332</v>
      </c>
      <c r="AE121" s="478">
        <f>IF(AND(W121&gt;0,$AB121&gt;0),AB121/$W121,0)*0.75</f>
        <v>0.89149484536082468</v>
      </c>
      <c r="AF121" s="479">
        <f>W121</f>
        <v>0.97</v>
      </c>
      <c r="AG121" s="479">
        <f>+'1.Informe Seguimiento POA 2022'!U70</f>
        <v>0.97000000000000008</v>
      </c>
      <c r="AH121" s="479">
        <f>IFERROR(AVERAGE('1.Informe Seguimiento POA 2022'!O70,'1.Informe Seguimiento POA 2022'!Q70,'1.Informe Seguimiento POA 2022'!S70,'1.Informe Seguimiento POA 2022'!U70),0)</f>
        <v>0.97000000000000008</v>
      </c>
      <c r="AI121" s="479">
        <f>+'1.Informe Seguimiento POA 2022'!V70</f>
        <v>0</v>
      </c>
      <c r="AJ121" s="479">
        <f>IFERROR(AVERAGE('1.Informe Seguimiento POA 2022'!P70,'1.Informe Seguimiento POA 2022'!R70,'1.Informe Seguimiento POA 2022'!T70,'1.Informe Seguimiento POA 2022'!V70),0)</f>
        <v>0.86475000000000013</v>
      </c>
      <c r="AK121" s="479">
        <f>IFERROR(IF(OR($W121="",$W121=0),0,ROUNDDOWN(AVERAGE($H121,Q121,Z121,AI121),3)),0)</f>
        <v>0.86399999999999999</v>
      </c>
      <c r="AL121" s="492">
        <f t="shared" si="211"/>
        <v>0</v>
      </c>
      <c r="AM121" s="492">
        <f t="shared" si="212"/>
        <v>0.89149484536082479</v>
      </c>
      <c r="AN121" s="478">
        <f t="shared" si="213"/>
        <v>0.89072164948453614</v>
      </c>
      <c r="AO121" s="482" t="str">
        <f>+'Rango indicadores'!H69</f>
        <v>Mayor o igual A:</v>
      </c>
      <c r="AP121" s="477">
        <f>+'Rango indicadores'!I69</f>
        <v>100</v>
      </c>
      <c r="AQ121" s="477" t="str">
        <f>+'Rango indicadores'!J69</f>
        <v>Desde (&gt;):</v>
      </c>
      <c r="AR121" s="477">
        <f>+'Rango indicadores'!K69</f>
        <v>95</v>
      </c>
      <c r="AS121" s="477" t="str">
        <f>+'Rango indicadores'!L69</f>
        <v>Hasta (&lt;):</v>
      </c>
      <c r="AT121" s="477">
        <f>+'Rango indicadores'!M69</f>
        <v>100</v>
      </c>
      <c r="AU121" s="477" t="str">
        <f>+'Rango indicadores'!N69</f>
        <v>Menor o Igual A:</v>
      </c>
      <c r="AV121" s="477">
        <f>+'Rango indicadores'!O69</f>
        <v>95</v>
      </c>
      <c r="AW121" s="581" t="s">
        <v>1216</v>
      </c>
      <c r="AX121" s="578"/>
      <c r="AY121" s="889">
        <f t="shared" si="214"/>
        <v>-0.30199999999999994</v>
      </c>
      <c r="AZ121" s="578"/>
      <c r="BA121" s="495"/>
    </row>
    <row r="122" spans="2:53" ht="15.75">
      <c r="C122" s="1598" t="s">
        <v>872</v>
      </c>
      <c r="D122" s="1599"/>
      <c r="E122" s="1599"/>
      <c r="F122" s="1599"/>
      <c r="G122" s="1599"/>
      <c r="H122" s="1599"/>
      <c r="I122" s="1599"/>
      <c r="J122" s="1599"/>
      <c r="K122" s="480">
        <f>AVERAGE(K120:K121)</f>
        <v>1.0630584192439863</v>
      </c>
      <c r="L122" s="480">
        <f>AVERAGE(L120:L121)</f>
        <v>1.0630584192439863</v>
      </c>
      <c r="M122" s="480">
        <f>AVERAGE(M120:M121)</f>
        <v>0.26576460481099656</v>
      </c>
      <c r="N122" s="1060"/>
      <c r="O122" s="1060"/>
      <c r="P122" s="1060"/>
      <c r="Q122" s="1060"/>
      <c r="R122" s="1060"/>
      <c r="S122" s="1060"/>
      <c r="T122" s="480">
        <f>AVERAGE(T120:T121)</f>
        <v>1.0642611683848797</v>
      </c>
      <c r="U122" s="480">
        <f>AVERAGE(U120:U121)</f>
        <v>1.063659793814433</v>
      </c>
      <c r="V122" s="480">
        <f>AVERAGE(V120:V121)</f>
        <v>0.53170103092783505</v>
      </c>
      <c r="W122" s="1060"/>
      <c r="X122" s="1060"/>
      <c r="Y122" s="1060"/>
      <c r="Z122" s="1060"/>
      <c r="AA122" s="1060"/>
      <c r="AB122" s="1060"/>
      <c r="AC122" s="480">
        <f>AVERAGE(AC120:AC121)</f>
        <v>1.1556701030927834</v>
      </c>
      <c r="AD122" s="480">
        <f>AVERAGE(AD120:AD121)</f>
        <v>1.0943298969072166</v>
      </c>
      <c r="AE122" s="480">
        <f>AVERAGE(AE120:AE121)</f>
        <v>0.82074742268041234</v>
      </c>
      <c r="AF122" s="1060"/>
      <c r="AG122" s="1060"/>
      <c r="AH122" s="1060"/>
      <c r="AI122" s="1060"/>
      <c r="AJ122" s="1060"/>
      <c r="AK122" s="1061"/>
      <c r="AL122" s="480">
        <f>AVERAGE(AL120:AL121)</f>
        <v>0</v>
      </c>
      <c r="AM122" s="480">
        <f>AVERAGE(AM120:AM121)</f>
        <v>0.82074742268041234</v>
      </c>
      <c r="AN122" s="480">
        <f>AVERAGE(AN120:AN121)</f>
        <v>0.82036082474226801</v>
      </c>
      <c r="AO122" s="487"/>
      <c r="AP122" s="487"/>
      <c r="AQ122" s="487"/>
      <c r="AR122" s="487"/>
      <c r="AS122" s="487"/>
      <c r="AT122" s="487"/>
      <c r="AU122" s="487"/>
      <c r="AV122" s="487"/>
      <c r="AW122" s="582"/>
      <c r="AY122" s="654"/>
    </row>
    <row r="123" spans="2:53" s="470" customFormat="1" ht="27.6" customHeight="1" thickBot="1">
      <c r="D123" s="472"/>
      <c r="AW123" s="472"/>
      <c r="AY123" s="654"/>
      <c r="AZ123" s="455"/>
    </row>
    <row r="124" spans="2:53" s="470" customFormat="1" ht="16.5" thickBot="1">
      <c r="C124" s="473" t="s">
        <v>882</v>
      </c>
      <c r="D124" s="503"/>
      <c r="E124" s="1577" t="s">
        <v>1136</v>
      </c>
      <c r="F124" s="1578"/>
      <c r="G124" s="1578"/>
      <c r="H124" s="1578"/>
      <c r="I124" s="1578"/>
      <c r="J124" s="1578"/>
      <c r="K124" s="1578"/>
      <c r="L124" s="1578"/>
      <c r="M124" s="1579"/>
      <c r="N124" s="1580" t="s">
        <v>1137</v>
      </c>
      <c r="O124" s="1581"/>
      <c r="P124" s="1581"/>
      <c r="Q124" s="1581"/>
      <c r="R124" s="1581"/>
      <c r="S124" s="1581"/>
      <c r="T124" s="1581"/>
      <c r="U124" s="1581"/>
      <c r="V124" s="1582"/>
      <c r="W124" s="1574" t="s">
        <v>1138</v>
      </c>
      <c r="X124" s="1575"/>
      <c r="Y124" s="1575"/>
      <c r="Z124" s="1575"/>
      <c r="AA124" s="1575"/>
      <c r="AB124" s="1575"/>
      <c r="AC124" s="1575"/>
      <c r="AD124" s="1575"/>
      <c r="AE124" s="1576"/>
      <c r="AF124" s="1580" t="s">
        <v>1052</v>
      </c>
      <c r="AG124" s="1581"/>
      <c r="AH124" s="1581"/>
      <c r="AI124" s="1581"/>
      <c r="AJ124" s="1581"/>
      <c r="AK124" s="1581"/>
      <c r="AL124" s="1581"/>
      <c r="AM124" s="1581"/>
      <c r="AN124" s="1582"/>
      <c r="AW124" s="472"/>
      <c r="AY124" s="654"/>
      <c r="AZ124" s="455"/>
    </row>
    <row r="125" spans="2:53" ht="35.25" customHeight="1">
      <c r="C125" s="1571" t="str">
        <f>+$C$10</f>
        <v>Identificación del Indicador</v>
      </c>
      <c r="D125" s="1584" t="s">
        <v>867</v>
      </c>
      <c r="E125" s="1567" t="s">
        <v>868</v>
      </c>
      <c r="F125" s="1568"/>
      <c r="G125" s="1569"/>
      <c r="H125" s="1570" t="s">
        <v>1140</v>
      </c>
      <c r="I125" s="1572" t="s">
        <v>1144</v>
      </c>
      <c r="J125" s="1570" t="s">
        <v>869</v>
      </c>
      <c r="K125" s="1570" t="s">
        <v>863</v>
      </c>
      <c r="L125" s="1570"/>
      <c r="M125" s="1570"/>
      <c r="N125" s="1567" t="s">
        <v>868</v>
      </c>
      <c r="O125" s="1568"/>
      <c r="P125" s="1569"/>
      <c r="Q125" s="1570" t="s">
        <v>1150</v>
      </c>
      <c r="R125" s="1572" t="s">
        <v>1141</v>
      </c>
      <c r="S125" s="1570" t="s">
        <v>869</v>
      </c>
      <c r="T125" s="1570" t="s">
        <v>863</v>
      </c>
      <c r="U125" s="1570"/>
      <c r="V125" s="1570"/>
      <c r="W125" s="1567" t="s">
        <v>868</v>
      </c>
      <c r="X125" s="1568"/>
      <c r="Y125" s="1569"/>
      <c r="Z125" s="1570" t="s">
        <v>1151</v>
      </c>
      <c r="AA125" s="1572" t="s">
        <v>1146</v>
      </c>
      <c r="AB125" s="1570" t="s">
        <v>869</v>
      </c>
      <c r="AC125" s="1570" t="s">
        <v>863</v>
      </c>
      <c r="AD125" s="1570"/>
      <c r="AE125" s="1570"/>
      <c r="AF125" s="1567" t="s">
        <v>868</v>
      </c>
      <c r="AG125" s="1568"/>
      <c r="AH125" s="1569"/>
      <c r="AI125" s="1570" t="s">
        <v>1152</v>
      </c>
      <c r="AJ125" s="1572" t="s">
        <v>1148</v>
      </c>
      <c r="AK125" s="1570" t="s">
        <v>869</v>
      </c>
      <c r="AL125" s="1570" t="s">
        <v>863</v>
      </c>
      <c r="AM125" s="1570"/>
      <c r="AN125" s="1570"/>
      <c r="AO125" s="1583" t="s">
        <v>715</v>
      </c>
      <c r="AP125" s="1583"/>
      <c r="AQ125" s="1583"/>
      <c r="AR125" s="1583"/>
      <c r="AS125" s="1583"/>
      <c r="AT125" s="1583"/>
      <c r="AU125" s="1583"/>
      <c r="AV125" s="1583"/>
      <c r="AW125" s="1571" t="s">
        <v>888</v>
      </c>
      <c r="AY125" s="654"/>
    </row>
    <row r="126" spans="2:53" ht="61.5" customHeight="1">
      <c r="C126" s="1571"/>
      <c r="D126" s="1584"/>
      <c r="E126" s="1017" t="s">
        <v>1153</v>
      </c>
      <c r="F126" s="1017" t="str">
        <f>+E124</f>
        <v>Primer Trimestre</v>
      </c>
      <c r="G126" s="1018" t="s">
        <v>1143</v>
      </c>
      <c r="H126" s="1571"/>
      <c r="I126" s="1573"/>
      <c r="J126" s="1571"/>
      <c r="K126" s="1017" t="str">
        <f>+$D$6</f>
        <v>Tercer Trimestre</v>
      </c>
      <c r="L126" s="1018" t="str">
        <f>+G126</f>
        <v>Acumulado
Corte 
31/03/2022</v>
      </c>
      <c r="M126" s="1019" t="s">
        <v>760</v>
      </c>
      <c r="N126" s="1017" t="s">
        <v>1153</v>
      </c>
      <c r="O126" s="1017" t="str">
        <f>+N124</f>
        <v>Segundo Trimestre</v>
      </c>
      <c r="P126" s="1018" t="s">
        <v>1142</v>
      </c>
      <c r="Q126" s="1571"/>
      <c r="R126" s="1573"/>
      <c r="S126" s="1571"/>
      <c r="T126" s="1017" t="str">
        <f>+O126</f>
        <v>Segundo Trimestre</v>
      </c>
      <c r="U126" s="1018" t="str">
        <f>+P126</f>
        <v>Acumulado Corte 
30/06/2022</v>
      </c>
      <c r="V126" s="1019" t="s">
        <v>760</v>
      </c>
      <c r="W126" s="1017" t="s">
        <v>1153</v>
      </c>
      <c r="X126" s="1017" t="str">
        <f>+W124</f>
        <v>Tercer Trimestre</v>
      </c>
      <c r="Y126" s="1018" t="s">
        <v>1145</v>
      </c>
      <c r="Z126" s="1571"/>
      <c r="AA126" s="1573"/>
      <c r="AB126" s="1571"/>
      <c r="AC126" s="1017" t="str">
        <f>+X126</f>
        <v>Tercer Trimestre</v>
      </c>
      <c r="AD126" s="1018" t="str">
        <f>+Y126</f>
        <v>Acumulado Corte 
30/09/2022</v>
      </c>
      <c r="AE126" s="1019" t="s">
        <v>760</v>
      </c>
      <c r="AF126" s="1017" t="s">
        <v>1153</v>
      </c>
      <c r="AG126" s="1017" t="str">
        <f>+AF124</f>
        <v>Cuarto Trimestre</v>
      </c>
      <c r="AH126" s="1018" t="s">
        <v>1147</v>
      </c>
      <c r="AI126" s="1571"/>
      <c r="AJ126" s="1573"/>
      <c r="AK126" s="1571"/>
      <c r="AL126" s="1017" t="str">
        <f>+AG126</f>
        <v>Cuarto Trimestre</v>
      </c>
      <c r="AM126" s="1018" t="str">
        <f>+AH126</f>
        <v>Acumulado Corte 
31/12/2022</v>
      </c>
      <c r="AN126" s="1019" t="s">
        <v>760</v>
      </c>
      <c r="AO126" s="1201" t="s">
        <v>870</v>
      </c>
      <c r="AP126" s="1202"/>
      <c r="AQ126" s="1203" t="s">
        <v>871</v>
      </c>
      <c r="AR126" s="1204"/>
      <c r="AS126" s="1204"/>
      <c r="AT126" s="1205"/>
      <c r="AU126" s="1206" t="s">
        <v>723</v>
      </c>
      <c r="AV126" s="1207"/>
      <c r="AW126" s="1571"/>
      <c r="AY126" s="654"/>
    </row>
    <row r="127" spans="2:53" ht="132.6" customHeight="1">
      <c r="B127" s="474">
        <f>+B121+1</f>
        <v>66</v>
      </c>
      <c r="C127" s="475" t="str">
        <f>+'Rango indicadores'!D67</f>
        <v>10-R1-01</v>
      </c>
      <c r="D127" s="475" t="str">
        <f>+'Rango indicadores'!E67</f>
        <v>Porcentaje del presupuesto aprobado y ejecutado.</v>
      </c>
      <c r="E127" s="479">
        <f>+'Rango indicadores'!Q67</f>
        <v>0.95</v>
      </c>
      <c r="F127" s="507">
        <f>'1.Informe Seguimiento POA 2022'!O71</f>
        <v>0.22000000000000003</v>
      </c>
      <c r="G127" s="507">
        <f>'1.Informe Seguimiento POA 2022'!O71</f>
        <v>0.22000000000000003</v>
      </c>
      <c r="H127" s="574">
        <f>'1.Informe Seguimiento POA 2022'!P71</f>
        <v>0.27100000000000002</v>
      </c>
      <c r="I127" s="921">
        <f>'1.Informe Seguimiento POA 2022'!P71</f>
        <v>0.27100000000000002</v>
      </c>
      <c r="J127" s="921">
        <f t="shared" ref="J127:J129" si="217">I127</f>
        <v>0.27100000000000002</v>
      </c>
      <c r="K127" s="492">
        <f t="shared" ref="K127:K129" si="218">IF(AND(F127&gt;0),H127/F127,"No programado")</f>
        <v>1.2318181818181817</v>
      </c>
      <c r="L127" s="492">
        <f t="shared" ref="L127:L129" si="219">IF(AND(G127&gt;0),I127/G127,"No programado")</f>
        <v>1.2318181818181817</v>
      </c>
      <c r="M127" s="478">
        <f t="shared" ref="M127:M129" si="220">IF(AND(E127&gt;0,$J127&gt;0),J127/$E127,0)</f>
        <v>0.28526315789473689</v>
      </c>
      <c r="N127" s="479">
        <f t="shared" ref="N127" si="221">+E127</f>
        <v>0.95</v>
      </c>
      <c r="O127" s="507">
        <f>+'1.Informe Seguimiento POA 2022'!Q71</f>
        <v>0.25</v>
      </c>
      <c r="P127" s="507">
        <f>+'1.Informe Seguimiento POA 2022'!O71+'1.Informe Seguimiento POA 2022'!Q71</f>
        <v>0.47000000000000003</v>
      </c>
      <c r="Q127" s="507">
        <f>+'1.Informe Seguimiento POA 2022'!R71</f>
        <v>0.23899999999999999</v>
      </c>
      <c r="R127" s="507">
        <f>+'1.Informe Seguimiento POA 2022'!P71+'1.Informe Seguimiento POA 2022'!R71</f>
        <v>0.51</v>
      </c>
      <c r="S127" s="507">
        <f t="shared" ref="S127" si="222">H127+Q127</f>
        <v>0.51</v>
      </c>
      <c r="T127" s="492">
        <f t="shared" ref="T127:T129" si="223">IF(AND(O127&gt;0),Q127/O127,"No programado")</f>
        <v>0.95599999999999996</v>
      </c>
      <c r="U127" s="492">
        <f t="shared" ref="U127:U129" si="224">IF(AND(P127&gt;0),R127/P127,"No programado")</f>
        <v>1.0851063829787233</v>
      </c>
      <c r="V127" s="478">
        <f>IF(AND(N127&gt;0,$S127&gt;0),S127/$N127,0)</f>
        <v>0.5368421052631579</v>
      </c>
      <c r="W127" s="479">
        <f t="shared" ref="W127" si="225">+N127</f>
        <v>0.95</v>
      </c>
      <c r="X127" s="507">
        <f>+'1.Informe Seguimiento POA 2022'!S71</f>
        <v>0.25</v>
      </c>
      <c r="Y127" s="507">
        <f>+'1.Informe Seguimiento POA 2022'!O71+'1.Informe Seguimiento POA 2022'!Q71+'1.Informe Seguimiento POA 2022'!S71</f>
        <v>0.72</v>
      </c>
      <c r="Z127" s="507">
        <f>+'1.Informe Seguimiento POA 2022'!T71</f>
        <v>0.21600000000000003</v>
      </c>
      <c r="AA127" s="507">
        <f>+'1.Informe Seguimiento POA 2022'!R71+'1.Informe Seguimiento POA 2022'!T71+'1.Informe Seguimiento POA 2022'!P71</f>
        <v>0.72599999999999998</v>
      </c>
      <c r="AB127" s="507">
        <f t="shared" ref="AB127" si="226">H127+Q127+Z127</f>
        <v>0.72599999999999998</v>
      </c>
      <c r="AC127" s="492">
        <f t="shared" ref="AC127:AC129" si="227">IF(AND(X127&gt;0),Z127/X127,"No programado")</f>
        <v>0.8640000000000001</v>
      </c>
      <c r="AD127" s="478">
        <f t="shared" ref="AD127:AD129" si="228">IF(AND(Y127&gt;0),AA127/Y127,"No programado")</f>
        <v>1.0083333333333333</v>
      </c>
      <c r="AE127" s="478">
        <f>IF(AND(W127&gt;0,$AB127&gt;0),AB127/$W127,0)</f>
        <v>0.76421052631578945</v>
      </c>
      <c r="AF127" s="479">
        <f>W127</f>
        <v>0.95</v>
      </c>
      <c r="AG127" s="479">
        <f>+'1.Informe Seguimiento POA 2022'!U71</f>
        <v>0.23</v>
      </c>
      <c r="AH127" s="479">
        <f>+'1.Informe Seguimiento POA 2022'!O71+'1.Informe Seguimiento POA 2022'!Q71+'1.Informe Seguimiento POA 2022'!S71+'1.Informe Seguimiento POA 2022'!U71</f>
        <v>0.95</v>
      </c>
      <c r="AI127" s="479">
        <f>+'1.Informe Seguimiento POA 2022'!V71</f>
        <v>0</v>
      </c>
      <c r="AJ127" s="479">
        <f>+'1.Informe Seguimiento POA 2022'!P71+'1.Informe Seguimiento POA 2022'!R71+'1.Informe Seguimiento POA 2022'!T71+'1.Informe Seguimiento POA 2022'!V71</f>
        <v>0.72599999999999998</v>
      </c>
      <c r="AK127" s="513">
        <f t="shared" ref="AK127:AK129" si="229">H127+Q127+Z127+AI127</f>
        <v>0.72599999999999998</v>
      </c>
      <c r="AL127" s="492">
        <f t="shared" ref="AL127:AL129" si="230">IF(AND(AG127&gt;0),AI127/AG127,"No programado")</f>
        <v>0</v>
      </c>
      <c r="AM127" s="492">
        <f t="shared" ref="AM127:AM129" si="231">IF(AND(AH127&gt;0),AJ127/AH127,"No programado")</f>
        <v>0.76421052631578945</v>
      </c>
      <c r="AN127" s="478">
        <f t="shared" ref="AN127:AN129" si="232">IF(AND(AF127&gt;0,$J127&gt;0),AK127/$E127,0)</f>
        <v>0.76421052631578945</v>
      </c>
      <c r="AO127" s="482" t="str">
        <f>+'Rango indicadores'!H67</f>
        <v>Mayor o igual A:</v>
      </c>
      <c r="AP127" s="477">
        <f>+'Rango indicadores'!I67</f>
        <v>95</v>
      </c>
      <c r="AQ127" s="477" t="str">
        <f>+'Rango indicadores'!J67</f>
        <v>Desde (&gt;):</v>
      </c>
      <c r="AR127" s="477">
        <f>+'Rango indicadores'!K67</f>
        <v>90</v>
      </c>
      <c r="AS127" s="477" t="str">
        <f>+'Rango indicadores'!L67</f>
        <v>Hasta (&lt;):</v>
      </c>
      <c r="AT127" s="477">
        <f>+'Rango indicadores'!M67</f>
        <v>95</v>
      </c>
      <c r="AU127" s="477" t="str">
        <f>+'Rango indicadores'!N67</f>
        <v>Menor o Igual A:</v>
      </c>
      <c r="AV127" s="477">
        <f>+'Rango indicadores'!O67</f>
        <v>90</v>
      </c>
      <c r="AW127" s="1078" t="s">
        <v>1192</v>
      </c>
      <c r="AX127" s="578"/>
      <c r="AY127" s="889">
        <f t="shared" ref="AY127:AY129" si="233">+X127-Z127</f>
        <v>3.3999999999999975E-2</v>
      </c>
      <c r="AZ127" s="578"/>
      <c r="BA127" s="494"/>
    </row>
    <row r="128" spans="2:53" ht="139.9" customHeight="1">
      <c r="B128" s="474">
        <f>+B127+1</f>
        <v>67</v>
      </c>
      <c r="C128" s="475" t="str">
        <f>+'Rango indicadores'!D68</f>
        <v>10-R1-02</v>
      </c>
      <c r="D128" s="475" t="str">
        <f>+'Rango indicadores'!E68</f>
        <v>Porcentaje de los compromisos de pago programados y ejecutados.</v>
      </c>
      <c r="E128" s="479">
        <f>+'Rango indicadores'!Q68</f>
        <v>0.95</v>
      </c>
      <c r="F128" s="507">
        <f>'1.Informe Seguimiento POA 2022'!O72</f>
        <v>0.14000000000000001</v>
      </c>
      <c r="G128" s="507">
        <f>'1.Informe Seguimiento POA 2022'!O72</f>
        <v>0.14000000000000001</v>
      </c>
      <c r="H128" s="921">
        <f>'1.Informe Seguimiento POA 2022'!P72</f>
        <v>0.13159999999999999</v>
      </c>
      <c r="I128" s="921">
        <f>'1.Informe Seguimiento POA 2022'!P72</f>
        <v>0.13159999999999999</v>
      </c>
      <c r="J128" s="921">
        <f t="shared" si="217"/>
        <v>0.13159999999999999</v>
      </c>
      <c r="K128" s="492">
        <f t="shared" si="218"/>
        <v>0.93999999999999984</v>
      </c>
      <c r="L128" s="492">
        <f t="shared" si="219"/>
        <v>0.93999999999999984</v>
      </c>
      <c r="M128" s="478">
        <f t="shared" si="220"/>
        <v>0.13852631578947369</v>
      </c>
      <c r="N128" s="479">
        <f t="shared" ref="N128:N129" si="234">+E128</f>
        <v>0.95</v>
      </c>
      <c r="O128" s="507">
        <f>+'1.Informe Seguimiento POA 2022'!Q72</f>
        <v>0.25</v>
      </c>
      <c r="P128" s="507">
        <f>+'1.Informe Seguimiento POA 2022'!O72+'1.Informe Seguimiento POA 2022'!Q72</f>
        <v>0.39</v>
      </c>
      <c r="Q128" s="921">
        <f>+'1.Informe Seguimiento POA 2022'!R72</f>
        <v>0.25280000000000002</v>
      </c>
      <c r="R128" s="921">
        <f>+'1.Informe Seguimiento POA 2022'!P72+'1.Informe Seguimiento POA 2022'!R72</f>
        <v>0.38440000000000002</v>
      </c>
      <c r="S128" s="921">
        <f t="shared" ref="S128:S129" si="235">H128+Q128</f>
        <v>0.38440000000000002</v>
      </c>
      <c r="T128" s="492">
        <f t="shared" si="223"/>
        <v>1.0112000000000001</v>
      </c>
      <c r="U128" s="492">
        <f t="shared" si="224"/>
        <v>0.98564102564102563</v>
      </c>
      <c r="V128" s="478">
        <f>IF(AND(N128&gt;0,$S128&gt;0),S128/$N128,0)</f>
        <v>0.40463157894736845</v>
      </c>
      <c r="W128" s="479">
        <f t="shared" ref="W128:W129" si="236">+N128</f>
        <v>0.95</v>
      </c>
      <c r="X128" s="507">
        <f>+'1.Informe Seguimiento POA 2022'!S72</f>
        <v>0.23000000000000004</v>
      </c>
      <c r="Y128" s="507">
        <f>+'1.Informe Seguimiento POA 2022'!O72+'1.Informe Seguimiento POA 2022'!Q72+'1.Informe Seguimiento POA 2022'!S72</f>
        <v>0.62000000000000011</v>
      </c>
      <c r="Z128" s="507">
        <f>+'1.Informe Seguimiento POA 2022'!T72</f>
        <v>0.23039999999999999</v>
      </c>
      <c r="AA128" s="507">
        <f>+'1.Informe Seguimiento POA 2022'!R72+'1.Informe Seguimiento POA 2022'!T72+'1.Informe Seguimiento POA 2022'!P72</f>
        <v>0.61480000000000001</v>
      </c>
      <c r="AB128" s="507">
        <f t="shared" ref="AB128:AB129" si="237">H128+Q128+Z128</f>
        <v>0.61480000000000001</v>
      </c>
      <c r="AC128" s="492">
        <f t="shared" si="227"/>
        <v>1.0017391304347825</v>
      </c>
      <c r="AD128" s="478">
        <f t="shared" si="228"/>
        <v>0.99161290322580631</v>
      </c>
      <c r="AE128" s="478">
        <f>IF(AND(W128&gt;0,$AB128&gt;0),AB128/$W128,0)</f>
        <v>0.64715789473684215</v>
      </c>
      <c r="AF128" s="479">
        <f t="shared" ref="AF128:AF129" si="238">W128</f>
        <v>0.95</v>
      </c>
      <c r="AG128" s="479">
        <f>+'1.Informe Seguimiento POA 2022'!U72</f>
        <v>0.32999999999999996</v>
      </c>
      <c r="AH128" s="479">
        <f>+'1.Informe Seguimiento POA 2022'!O72+'1.Informe Seguimiento POA 2022'!Q72+'1.Informe Seguimiento POA 2022'!S72+'1.Informe Seguimiento POA 2022'!U72</f>
        <v>0.95000000000000007</v>
      </c>
      <c r="AI128" s="479">
        <f>+'1.Informe Seguimiento POA 2022'!V72</f>
        <v>0</v>
      </c>
      <c r="AJ128" s="479">
        <f>+'1.Informe Seguimiento POA 2022'!P72+'1.Informe Seguimiento POA 2022'!R72+'1.Informe Seguimiento POA 2022'!T72+'1.Informe Seguimiento POA 2022'!V72</f>
        <v>0.61480000000000001</v>
      </c>
      <c r="AK128" s="513">
        <f t="shared" si="229"/>
        <v>0.61480000000000001</v>
      </c>
      <c r="AL128" s="492">
        <f t="shared" si="230"/>
        <v>0</v>
      </c>
      <c r="AM128" s="492">
        <f t="shared" si="231"/>
        <v>0.64715789473684204</v>
      </c>
      <c r="AN128" s="478">
        <f t="shared" si="232"/>
        <v>0.64715789473684215</v>
      </c>
      <c r="AO128" s="482" t="str">
        <f>+'Rango indicadores'!H68</f>
        <v>Mayor o igual A:</v>
      </c>
      <c r="AP128" s="477">
        <f>+'Rango indicadores'!I68</f>
        <v>95</v>
      </c>
      <c r="AQ128" s="477" t="str">
        <f>+'Rango indicadores'!J68</f>
        <v>Desde (&gt;):</v>
      </c>
      <c r="AR128" s="477">
        <f>+'Rango indicadores'!K68</f>
        <v>90</v>
      </c>
      <c r="AS128" s="477" t="str">
        <f>+'Rango indicadores'!L68</f>
        <v>Hasta (&lt;):</v>
      </c>
      <c r="AT128" s="477">
        <f>+'Rango indicadores'!M68</f>
        <v>95</v>
      </c>
      <c r="AU128" s="477" t="str">
        <f>+'Rango indicadores'!N68</f>
        <v>Menor o Igual A:</v>
      </c>
      <c r="AV128" s="477">
        <f>+'Rango indicadores'!O68</f>
        <v>90</v>
      </c>
      <c r="AW128" s="1078" t="s">
        <v>1193</v>
      </c>
      <c r="AX128" s="578"/>
      <c r="AY128" s="889">
        <f t="shared" si="233"/>
        <v>-3.9999999999995595E-4</v>
      </c>
      <c r="AZ128" s="578"/>
      <c r="BA128" s="494"/>
    </row>
    <row r="129" spans="2:53" ht="82.15" customHeight="1">
      <c r="B129" s="474">
        <f>+B128+1</f>
        <v>68</v>
      </c>
      <c r="C129" s="475" t="str">
        <f>+'Rango indicadores'!D69</f>
        <v>10-R1-03</v>
      </c>
      <c r="D129" s="475" t="str">
        <f>+'Rango indicadores'!E69</f>
        <v>Porcentaje de estados financieros de la Entidad elaborados y presentados.</v>
      </c>
      <c r="E129" s="479">
        <f>+'Rango indicadores'!Q69</f>
        <v>1</v>
      </c>
      <c r="F129" s="507">
        <f>'1.Informe Seguimiento POA 2022'!O73</f>
        <v>0.25</v>
      </c>
      <c r="G129" s="507">
        <f>'1.Informe Seguimiento POA 2022'!O73</f>
        <v>0.25</v>
      </c>
      <c r="H129" s="921">
        <f>'1.Informe Seguimiento POA 2022'!P73</f>
        <v>0.25</v>
      </c>
      <c r="I129" s="921">
        <f>'1.Informe Seguimiento POA 2022'!P73</f>
        <v>0.25</v>
      </c>
      <c r="J129" s="921">
        <f t="shared" si="217"/>
        <v>0.25</v>
      </c>
      <c r="K129" s="492">
        <f t="shared" si="218"/>
        <v>1</v>
      </c>
      <c r="L129" s="492">
        <f t="shared" si="219"/>
        <v>1</v>
      </c>
      <c r="M129" s="478">
        <f t="shared" si="220"/>
        <v>0.25</v>
      </c>
      <c r="N129" s="479">
        <f t="shared" si="234"/>
        <v>1</v>
      </c>
      <c r="O129" s="507">
        <f>+'1.Informe Seguimiento POA 2022'!Q73</f>
        <v>0.25</v>
      </c>
      <c r="P129" s="507">
        <f>+'1.Informe Seguimiento POA 2022'!O73+'1.Informe Seguimiento POA 2022'!Q73</f>
        <v>0.5</v>
      </c>
      <c r="Q129" s="507">
        <f>+'1.Informe Seguimiento POA 2022'!R73</f>
        <v>0.25</v>
      </c>
      <c r="R129" s="507">
        <f>+'1.Informe Seguimiento POA 2022'!P73+'1.Informe Seguimiento POA 2022'!R73</f>
        <v>0.5</v>
      </c>
      <c r="S129" s="507">
        <f t="shared" si="235"/>
        <v>0.5</v>
      </c>
      <c r="T129" s="492">
        <f t="shared" si="223"/>
        <v>1</v>
      </c>
      <c r="U129" s="492">
        <f t="shared" si="224"/>
        <v>1</v>
      </c>
      <c r="V129" s="478">
        <f>IF(AND(N129&gt;0,$S129&gt;0),S129/$N129,0)</f>
        <v>0.5</v>
      </c>
      <c r="W129" s="479">
        <f t="shared" si="236"/>
        <v>1</v>
      </c>
      <c r="X129" s="507">
        <f>+'1.Informe Seguimiento POA 2022'!S73</f>
        <v>0.25</v>
      </c>
      <c r="Y129" s="507">
        <f>+'1.Informe Seguimiento POA 2022'!O73+'1.Informe Seguimiento POA 2022'!Q73+'1.Informe Seguimiento POA 2022'!S73</f>
        <v>0.75</v>
      </c>
      <c r="Z129" s="507">
        <f>+'1.Informe Seguimiento POA 2022'!T73</f>
        <v>0.25</v>
      </c>
      <c r="AA129" s="507">
        <f>+'1.Informe Seguimiento POA 2022'!R73+'1.Informe Seguimiento POA 2022'!T73+'1.Informe Seguimiento POA 2022'!P73</f>
        <v>0.75</v>
      </c>
      <c r="AB129" s="507">
        <f t="shared" si="237"/>
        <v>0.75</v>
      </c>
      <c r="AC129" s="492">
        <f t="shared" si="227"/>
        <v>1</v>
      </c>
      <c r="AD129" s="492">
        <f t="shared" si="228"/>
        <v>1</v>
      </c>
      <c r="AE129" s="478">
        <f>IF(AND(W129&gt;0,$AB129&gt;0),AB129/$W129,0)</f>
        <v>0.75</v>
      </c>
      <c r="AF129" s="479">
        <f t="shared" si="238"/>
        <v>1</v>
      </c>
      <c r="AG129" s="479">
        <f>+'1.Informe Seguimiento POA 2022'!U73</f>
        <v>0.25</v>
      </c>
      <c r="AH129" s="479">
        <f>+'1.Informe Seguimiento POA 2022'!O73+'1.Informe Seguimiento POA 2022'!Q73+'1.Informe Seguimiento POA 2022'!S73+'1.Informe Seguimiento POA 2022'!U73</f>
        <v>1</v>
      </c>
      <c r="AI129" s="479">
        <f>+'1.Informe Seguimiento POA 2022'!V73</f>
        <v>0</v>
      </c>
      <c r="AJ129" s="479">
        <f>+'1.Informe Seguimiento POA 2022'!P73+'1.Informe Seguimiento POA 2022'!R73+'1.Informe Seguimiento POA 2022'!T73+'1.Informe Seguimiento POA 2022'!V73</f>
        <v>0.75</v>
      </c>
      <c r="AK129" s="513">
        <f t="shared" si="229"/>
        <v>0.75</v>
      </c>
      <c r="AL129" s="492">
        <f t="shared" si="230"/>
        <v>0</v>
      </c>
      <c r="AM129" s="492">
        <f t="shared" si="231"/>
        <v>0.75</v>
      </c>
      <c r="AN129" s="478">
        <f t="shared" si="232"/>
        <v>0.75</v>
      </c>
      <c r="AO129" s="482" t="str">
        <f>+'Rango indicadores'!H69</f>
        <v>Mayor o igual A:</v>
      </c>
      <c r="AP129" s="477">
        <f>+'Rango indicadores'!I69</f>
        <v>100</v>
      </c>
      <c r="AQ129" s="477" t="str">
        <f>+'Rango indicadores'!J69</f>
        <v>Desde (&gt;):</v>
      </c>
      <c r="AR129" s="477">
        <f>+'Rango indicadores'!K69</f>
        <v>95</v>
      </c>
      <c r="AS129" s="477" t="str">
        <f>+'Rango indicadores'!L69</f>
        <v>Hasta (&lt;):</v>
      </c>
      <c r="AT129" s="477">
        <f>+'Rango indicadores'!M69</f>
        <v>100</v>
      </c>
      <c r="AU129" s="477" t="str">
        <f>+'Rango indicadores'!N69</f>
        <v>Menor o Igual A:</v>
      </c>
      <c r="AV129" s="477">
        <f>+'Rango indicadores'!O69</f>
        <v>95</v>
      </c>
      <c r="AW129" s="573" t="s">
        <v>1194</v>
      </c>
      <c r="AX129" s="578"/>
      <c r="AY129" s="889">
        <f t="shared" si="233"/>
        <v>0</v>
      </c>
      <c r="AZ129" s="578"/>
      <c r="BA129" s="494"/>
    </row>
    <row r="130" spans="2:53" ht="15.75">
      <c r="C130" s="1598" t="s">
        <v>872</v>
      </c>
      <c r="D130" s="1599"/>
      <c r="E130" s="1599"/>
      <c r="F130" s="1599"/>
      <c r="G130" s="1599"/>
      <c r="H130" s="1599"/>
      <c r="I130" s="1599"/>
      <c r="J130" s="1599"/>
      <c r="K130" s="497">
        <f>IFERROR(AVERAGE(K127:K129),0)</f>
        <v>1.0572727272727271</v>
      </c>
      <c r="L130" s="497">
        <f>IFERROR(AVERAGE(L127:L129),0)</f>
        <v>1.0572727272727271</v>
      </c>
      <c r="M130" s="497">
        <f>IFERROR(AVERAGE(M127:M129),0)</f>
        <v>0.22459649122807021</v>
      </c>
      <c r="N130" s="1060"/>
      <c r="O130" s="1060"/>
      <c r="P130" s="1060"/>
      <c r="Q130" s="1060"/>
      <c r="R130" s="1060"/>
      <c r="S130" s="1060"/>
      <c r="T130" s="497">
        <f>IFERROR(AVERAGE(T127:T129),0)</f>
        <v>0.98906666666666665</v>
      </c>
      <c r="U130" s="497">
        <f>IFERROR(AVERAGE(U127:U129),0)</f>
        <v>1.0235824695399163</v>
      </c>
      <c r="V130" s="497">
        <f>IFERROR(AVERAGE(V127:V129),0)</f>
        <v>0.48049122807017541</v>
      </c>
      <c r="W130" s="1060"/>
      <c r="X130" s="1060"/>
      <c r="Y130" s="1060"/>
      <c r="Z130" s="1060"/>
      <c r="AA130" s="1060"/>
      <c r="AB130" s="1060"/>
      <c r="AC130" s="497">
        <f>IFERROR(AVERAGE(AC127:AC129),0)</f>
        <v>0.95524637681159419</v>
      </c>
      <c r="AD130" s="497">
        <f>IFERROR(AVERAGE(AD127:AD129),0)</f>
        <v>0.99998207885304657</v>
      </c>
      <c r="AE130" s="497">
        <f>IFERROR(AVERAGE(AE127:AE129),0)</f>
        <v>0.72045614035087713</v>
      </c>
      <c r="AF130" s="1060"/>
      <c r="AG130" s="1060"/>
      <c r="AH130" s="1060"/>
      <c r="AI130" s="1060"/>
      <c r="AJ130" s="1060"/>
      <c r="AK130" s="1061"/>
      <c r="AL130" s="497">
        <f>IFERROR(AVERAGE(AL127:AL129),0)</f>
        <v>0</v>
      </c>
      <c r="AM130" s="497">
        <f>IFERROR(AVERAGE(AM127:AM129),0)</f>
        <v>0.72045614035087713</v>
      </c>
      <c r="AN130" s="497">
        <f>IFERROR(AVERAGE(AN127:AN129),0)</f>
        <v>0.72045614035087713</v>
      </c>
      <c r="AO130" s="487"/>
      <c r="AP130" s="487"/>
      <c r="AQ130" s="487"/>
      <c r="AR130" s="487"/>
      <c r="AS130" s="487"/>
      <c r="AT130" s="487"/>
      <c r="AU130" s="487"/>
      <c r="AV130" s="487"/>
      <c r="AW130" s="582"/>
      <c r="AY130" s="654"/>
    </row>
    <row r="131" spans="2:53" s="470" customFormat="1" ht="26.45" customHeight="1" thickBot="1">
      <c r="D131" s="472"/>
      <c r="AW131" s="472"/>
      <c r="AY131" s="654"/>
      <c r="AZ131" s="455"/>
    </row>
    <row r="132" spans="2:53" s="470" customFormat="1" ht="16.5" thickBot="1">
      <c r="C132" s="473" t="s">
        <v>883</v>
      </c>
      <c r="D132" s="503"/>
      <c r="E132" s="1577" t="s">
        <v>1136</v>
      </c>
      <c r="F132" s="1578"/>
      <c r="G132" s="1578"/>
      <c r="H132" s="1578"/>
      <c r="I132" s="1578"/>
      <c r="J132" s="1578"/>
      <c r="K132" s="1578"/>
      <c r="L132" s="1578"/>
      <c r="M132" s="1579"/>
      <c r="N132" s="1580" t="s">
        <v>1137</v>
      </c>
      <c r="O132" s="1581"/>
      <c r="P132" s="1581"/>
      <c r="Q132" s="1581"/>
      <c r="R132" s="1581"/>
      <c r="S132" s="1581"/>
      <c r="T132" s="1581"/>
      <c r="U132" s="1581"/>
      <c r="V132" s="1582"/>
      <c r="W132" s="1574" t="s">
        <v>1138</v>
      </c>
      <c r="X132" s="1575"/>
      <c r="Y132" s="1575"/>
      <c r="Z132" s="1575"/>
      <c r="AA132" s="1575"/>
      <c r="AB132" s="1575"/>
      <c r="AC132" s="1575"/>
      <c r="AD132" s="1575"/>
      <c r="AE132" s="1576"/>
      <c r="AF132" s="1580" t="s">
        <v>1052</v>
      </c>
      <c r="AG132" s="1581"/>
      <c r="AH132" s="1581"/>
      <c r="AI132" s="1581"/>
      <c r="AJ132" s="1581"/>
      <c r="AK132" s="1581"/>
      <c r="AL132" s="1581"/>
      <c r="AM132" s="1581"/>
      <c r="AN132" s="1582"/>
      <c r="AW132" s="472"/>
      <c r="AY132" s="654"/>
      <c r="AZ132" s="455"/>
    </row>
    <row r="133" spans="2:53" ht="36.75" customHeight="1">
      <c r="C133" s="1571" t="str">
        <f>+$C$10</f>
        <v>Identificación del Indicador</v>
      </c>
      <c r="D133" s="1584" t="s">
        <v>867</v>
      </c>
      <c r="E133" s="1567" t="s">
        <v>868</v>
      </c>
      <c r="F133" s="1568"/>
      <c r="G133" s="1569"/>
      <c r="H133" s="1570" t="s">
        <v>1140</v>
      </c>
      <c r="I133" s="1572" t="s">
        <v>1144</v>
      </c>
      <c r="J133" s="1570" t="s">
        <v>869</v>
      </c>
      <c r="K133" s="1570" t="s">
        <v>863</v>
      </c>
      <c r="L133" s="1570"/>
      <c r="M133" s="1570"/>
      <c r="N133" s="1567" t="s">
        <v>868</v>
      </c>
      <c r="O133" s="1568"/>
      <c r="P133" s="1569"/>
      <c r="Q133" s="1570" t="s">
        <v>1150</v>
      </c>
      <c r="R133" s="1572" t="s">
        <v>1141</v>
      </c>
      <c r="S133" s="1570" t="s">
        <v>869</v>
      </c>
      <c r="T133" s="1570" t="s">
        <v>863</v>
      </c>
      <c r="U133" s="1570"/>
      <c r="V133" s="1570"/>
      <c r="W133" s="1567" t="s">
        <v>868</v>
      </c>
      <c r="X133" s="1568"/>
      <c r="Y133" s="1569"/>
      <c r="Z133" s="1570" t="s">
        <v>1151</v>
      </c>
      <c r="AA133" s="1572" t="s">
        <v>1146</v>
      </c>
      <c r="AB133" s="1570" t="s">
        <v>869</v>
      </c>
      <c r="AC133" s="1570" t="s">
        <v>863</v>
      </c>
      <c r="AD133" s="1570"/>
      <c r="AE133" s="1570"/>
      <c r="AF133" s="1567" t="s">
        <v>868</v>
      </c>
      <c r="AG133" s="1568"/>
      <c r="AH133" s="1569"/>
      <c r="AI133" s="1570" t="s">
        <v>1152</v>
      </c>
      <c r="AJ133" s="1572" t="s">
        <v>1148</v>
      </c>
      <c r="AK133" s="1570" t="s">
        <v>869</v>
      </c>
      <c r="AL133" s="1570" t="s">
        <v>863</v>
      </c>
      <c r="AM133" s="1570"/>
      <c r="AN133" s="1570"/>
      <c r="AO133" s="1583" t="s">
        <v>715</v>
      </c>
      <c r="AP133" s="1583"/>
      <c r="AQ133" s="1583"/>
      <c r="AR133" s="1583"/>
      <c r="AS133" s="1583"/>
      <c r="AT133" s="1583"/>
      <c r="AU133" s="1583"/>
      <c r="AV133" s="1583"/>
      <c r="AW133" s="1571" t="s">
        <v>888</v>
      </c>
      <c r="AY133" s="654"/>
    </row>
    <row r="134" spans="2:53" ht="60.75" customHeight="1">
      <c r="C134" s="1571"/>
      <c r="D134" s="1584"/>
      <c r="E134" s="1017" t="s">
        <v>1153</v>
      </c>
      <c r="F134" s="1017" t="str">
        <f>+E132</f>
        <v>Primer Trimestre</v>
      </c>
      <c r="G134" s="1018" t="s">
        <v>1143</v>
      </c>
      <c r="H134" s="1571"/>
      <c r="I134" s="1573"/>
      <c r="J134" s="1571"/>
      <c r="K134" s="1017" t="str">
        <f>+$D$6</f>
        <v>Tercer Trimestre</v>
      </c>
      <c r="L134" s="1018" t="str">
        <f>+G134</f>
        <v>Acumulado
Corte 
31/03/2022</v>
      </c>
      <c r="M134" s="1019" t="s">
        <v>760</v>
      </c>
      <c r="N134" s="1017" t="s">
        <v>1153</v>
      </c>
      <c r="O134" s="1017" t="str">
        <f>+N132</f>
        <v>Segundo Trimestre</v>
      </c>
      <c r="P134" s="1018" t="s">
        <v>1142</v>
      </c>
      <c r="Q134" s="1571"/>
      <c r="R134" s="1573"/>
      <c r="S134" s="1571"/>
      <c r="T134" s="1017" t="str">
        <f>+O134</f>
        <v>Segundo Trimestre</v>
      </c>
      <c r="U134" s="1018" t="str">
        <f>+P134</f>
        <v>Acumulado Corte 
30/06/2022</v>
      </c>
      <c r="V134" s="1019" t="s">
        <v>760</v>
      </c>
      <c r="W134" s="1017" t="s">
        <v>1153</v>
      </c>
      <c r="X134" s="1017" t="str">
        <f>+W132</f>
        <v>Tercer Trimestre</v>
      </c>
      <c r="Y134" s="1018" t="s">
        <v>1145</v>
      </c>
      <c r="Z134" s="1571"/>
      <c r="AA134" s="1573"/>
      <c r="AB134" s="1571"/>
      <c r="AC134" s="1017" t="str">
        <f>+X134</f>
        <v>Tercer Trimestre</v>
      </c>
      <c r="AD134" s="1018" t="str">
        <f>+Y134</f>
        <v>Acumulado Corte 
30/09/2022</v>
      </c>
      <c r="AE134" s="1019" t="s">
        <v>760</v>
      </c>
      <c r="AF134" s="1017" t="s">
        <v>1153</v>
      </c>
      <c r="AG134" s="1017" t="str">
        <f>+AF132</f>
        <v>Cuarto Trimestre</v>
      </c>
      <c r="AH134" s="1018" t="s">
        <v>1147</v>
      </c>
      <c r="AI134" s="1571"/>
      <c r="AJ134" s="1573"/>
      <c r="AK134" s="1571"/>
      <c r="AL134" s="1017" t="str">
        <f>+AG134</f>
        <v>Cuarto Trimestre</v>
      </c>
      <c r="AM134" s="1018" t="str">
        <f>+AH134</f>
        <v>Acumulado Corte 
31/12/2022</v>
      </c>
      <c r="AN134" s="1019" t="s">
        <v>760</v>
      </c>
      <c r="AO134" s="1201" t="s">
        <v>870</v>
      </c>
      <c r="AP134" s="1202"/>
      <c r="AQ134" s="1203" t="s">
        <v>871</v>
      </c>
      <c r="AR134" s="1204"/>
      <c r="AS134" s="1204"/>
      <c r="AT134" s="1205"/>
      <c r="AU134" s="1206" t="s">
        <v>723</v>
      </c>
      <c r="AV134" s="1207"/>
      <c r="AW134" s="1571"/>
      <c r="AY134" s="654"/>
    </row>
    <row r="135" spans="2:53" ht="128.44999999999999" customHeight="1">
      <c r="B135" s="474">
        <f>+B129+1</f>
        <v>69</v>
      </c>
      <c r="C135" s="498" t="str">
        <f>+'Rango indicadores'!D70</f>
        <v>11-RI-01</v>
      </c>
      <c r="D135" s="498" t="str">
        <f>+'Rango indicadores'!E70</f>
        <v xml:space="preserve">Porcentaje del Plan Anual de Adquisiciones ejecutado </v>
      </c>
      <c r="E135" s="465">
        <f>+'Rango indicadores'!Q70</f>
        <v>0.95</v>
      </c>
      <c r="F135" s="507">
        <f>'1.Informe Seguimiento POA 2022'!O74</f>
        <v>0.36000000000000004</v>
      </c>
      <c r="G135" s="507">
        <f>'1.Informe Seguimiento POA 2022'!O74</f>
        <v>0.36000000000000004</v>
      </c>
      <c r="H135" s="921">
        <f>'1.Informe Seguimiento POA 2022'!P74</f>
        <v>0.38</v>
      </c>
      <c r="I135" s="921">
        <f>'1.Informe Seguimiento POA 2022'!P74</f>
        <v>0.38</v>
      </c>
      <c r="J135" s="921">
        <f t="shared" ref="J135:J138" si="239">I135</f>
        <v>0.38</v>
      </c>
      <c r="K135" s="492">
        <f t="shared" ref="K135:K138" si="240">IF(AND(F135&gt;0),H135/F135,"No programado")</f>
        <v>1.0555555555555554</v>
      </c>
      <c r="L135" s="492">
        <f t="shared" ref="L135:L138" si="241">IF(AND(G135&gt;0),I135/G135,"No programado")</f>
        <v>1.0555555555555554</v>
      </c>
      <c r="M135" s="478">
        <f t="shared" ref="M135" si="242">IF(AND(E135&gt;0,$J135&gt;0),J135/$E135,0)</f>
        <v>0.4</v>
      </c>
      <c r="N135" s="465">
        <f>+E135</f>
        <v>0.95</v>
      </c>
      <c r="O135" s="507">
        <f>+'1.Informe Seguimiento POA 2022'!Q74</f>
        <v>0.22000000000000003</v>
      </c>
      <c r="P135" s="507">
        <f>+'1.Informe Seguimiento POA 2022'!O74+'1.Informe Seguimiento POA 2022'!Q74</f>
        <v>0.58000000000000007</v>
      </c>
      <c r="Q135" s="507">
        <f>+'1.Informe Seguimiento POA 2022'!R74</f>
        <v>0.16</v>
      </c>
      <c r="R135" s="507">
        <f>+'1.Informe Seguimiento POA 2022'!P74+'1.Informe Seguimiento POA 2022'!R74</f>
        <v>0.54</v>
      </c>
      <c r="S135" s="507">
        <f t="shared" ref="S135" si="243">H135+Q135</f>
        <v>0.54</v>
      </c>
      <c r="T135" s="492">
        <f t="shared" ref="T135:T138" si="244">IF(AND(O135&gt;0),Q135/O135,"No programado")</f>
        <v>0.72727272727272718</v>
      </c>
      <c r="U135" s="492">
        <f t="shared" ref="U135:U138" si="245">IF(AND(P135&gt;0),R135/P135,"No programado")</f>
        <v>0.93103448275862066</v>
      </c>
      <c r="V135" s="478">
        <f>IF(AND(N135&gt;0,$S135&gt;0),S135/$N135,0)</f>
        <v>0.56842105263157905</v>
      </c>
      <c r="W135" s="465">
        <f>+N135</f>
        <v>0.95</v>
      </c>
      <c r="X135" s="507">
        <f>+'1.Informe Seguimiento POA 2022'!S74</f>
        <v>0.21999999999999997</v>
      </c>
      <c r="Y135" s="507">
        <f>+'1.Informe Seguimiento POA 2022'!O74+'1.Informe Seguimiento POA 2022'!Q74+'1.Informe Seguimiento POA 2022'!S74</f>
        <v>0.8</v>
      </c>
      <c r="Z135" s="507">
        <f>+'1.Informe Seguimiento POA 2022'!T74</f>
        <v>0.19</v>
      </c>
      <c r="AA135" s="507">
        <f>+'1.Informe Seguimiento POA 2022'!R74+'1.Informe Seguimiento POA 2022'!T74+'1.Informe Seguimiento POA 2022'!P74</f>
        <v>0.73</v>
      </c>
      <c r="AB135" s="507">
        <f t="shared" ref="AB135" si="246">H135+Q135+Z135</f>
        <v>0.73</v>
      </c>
      <c r="AC135" s="492">
        <f t="shared" ref="AC135:AC138" si="247">IF(AND(X135&gt;0),Z135/X135,"No programado")</f>
        <v>0.86363636363636376</v>
      </c>
      <c r="AD135" s="492">
        <f t="shared" ref="AD135:AD138" si="248">IF(AND(Y135&gt;0),AA135/Y135,"No programado")</f>
        <v>0.91249999999999998</v>
      </c>
      <c r="AE135" s="478">
        <f>IF(AND(W135&gt;0,$AB135&gt;0),AB135/$W135,0)</f>
        <v>0.768421052631579</v>
      </c>
      <c r="AF135" s="465">
        <f>+W135</f>
        <v>0.95</v>
      </c>
      <c r="AG135" s="465">
        <f>+'1.Informe Seguimiento POA 2022'!U74</f>
        <v>0.15000000000000002</v>
      </c>
      <c r="AH135" s="479">
        <f>+'1.Informe Seguimiento POA 2022'!O74+'1.Informe Seguimiento POA 2022'!Q74+'1.Informe Seguimiento POA 2022'!S74+'1.Informe Seguimiento POA 2022'!U74</f>
        <v>0.95000000000000007</v>
      </c>
      <c r="AI135" s="465">
        <f>+'1.Informe Seguimiento POA 2022'!V74</f>
        <v>0</v>
      </c>
      <c r="AJ135" s="465">
        <f>+'1.Informe Seguimiento POA 2022'!P74+'1.Informe Seguimiento POA 2022'!R74+'1.Informe Seguimiento POA 2022'!T74+'1.Informe Seguimiento POA 2022'!V74</f>
        <v>0.73</v>
      </c>
      <c r="AK135" s="513">
        <f t="shared" ref="AK135" si="249">H135+Q135+Z135+AI135</f>
        <v>0.73</v>
      </c>
      <c r="AL135" s="492">
        <f t="shared" ref="AL135:AL138" si="250">IF(AND(AG135&gt;0),AI135/AG135,"No programado")</f>
        <v>0</v>
      </c>
      <c r="AM135" s="492">
        <f t="shared" ref="AM135:AM138" si="251">IF(AND(AH135&gt;0),AJ135/AH135,"No programado")</f>
        <v>0.76842105263157889</v>
      </c>
      <c r="AN135" s="478">
        <f t="shared" ref="AN135:AN138" si="252">IF(AND(AF135&gt;0,$J135&gt;0),AK135/$E135,0)</f>
        <v>0.768421052631579</v>
      </c>
      <c r="AO135" s="482" t="str">
        <f>+'Rango indicadores'!H70</f>
        <v>Mayor o igual A:</v>
      </c>
      <c r="AP135" s="477">
        <f>+'Rango indicadores'!I70</f>
        <v>95</v>
      </c>
      <c r="AQ135" s="477" t="str">
        <f>+'Rango indicadores'!J70</f>
        <v>Desde (&gt;):</v>
      </c>
      <c r="AR135" s="477">
        <f>+'Rango indicadores'!K70</f>
        <v>90</v>
      </c>
      <c r="AS135" s="477" t="str">
        <f>+'Rango indicadores'!L70</f>
        <v>Hasta (&lt;):</v>
      </c>
      <c r="AT135" s="477">
        <f>+'Rango indicadores'!M70</f>
        <v>95</v>
      </c>
      <c r="AU135" s="477" t="str">
        <f>+'Rango indicadores'!N70</f>
        <v>Menor o Igual A:</v>
      </c>
      <c r="AV135" s="477">
        <f>+'Rango indicadores'!O70</f>
        <v>90</v>
      </c>
      <c r="AW135" s="1078" t="s">
        <v>1211</v>
      </c>
      <c r="AX135" s="578"/>
      <c r="AY135" s="889">
        <f t="shared" ref="AY135:AY138" si="253">+X135-Z135</f>
        <v>2.9999999999999971E-2</v>
      </c>
      <c r="AZ135" s="578"/>
    </row>
    <row r="136" spans="2:53" ht="139.9" customHeight="1">
      <c r="B136" s="474">
        <f>+B135+1</f>
        <v>70</v>
      </c>
      <c r="C136" s="498" t="str">
        <f>+'Rango indicadores'!D71</f>
        <v>11-RI-02</v>
      </c>
      <c r="D136" s="498" t="str">
        <f>+'Rango indicadores'!E71</f>
        <v xml:space="preserve">Porcentaje de contratos en la modalidad de contratacion directa elaborados en los tiempos óptimos </v>
      </c>
      <c r="E136" s="465">
        <f>+'Rango indicadores'!Q71</f>
        <v>0.8</v>
      </c>
      <c r="F136" s="507">
        <f>'1.Informe Seguimiento POA 2022'!O84</f>
        <v>0.8</v>
      </c>
      <c r="G136" s="507">
        <f>'1.Informe Seguimiento POA 2022'!O84</f>
        <v>0.8</v>
      </c>
      <c r="H136" s="921">
        <f>'1.Informe Seguimiento POA 2022'!P84</f>
        <v>1</v>
      </c>
      <c r="I136" s="921">
        <f>'1.Informe Seguimiento POA 2022'!P84</f>
        <v>1</v>
      </c>
      <c r="J136" s="921">
        <f t="shared" si="239"/>
        <v>1</v>
      </c>
      <c r="K136" s="492">
        <f t="shared" si="240"/>
        <v>1.25</v>
      </c>
      <c r="L136" s="492">
        <f t="shared" si="241"/>
        <v>1.25</v>
      </c>
      <c r="M136" s="478">
        <f>IF(AND(E136&gt;0,$J136&gt;0),J136/$E136,0)*0.25</f>
        <v>0.3125</v>
      </c>
      <c r="N136" s="465">
        <f t="shared" ref="N136:N138" si="254">+E136</f>
        <v>0.8</v>
      </c>
      <c r="O136" s="921">
        <f>+'1.Informe Seguimiento POA 2022'!Q84</f>
        <v>0</v>
      </c>
      <c r="P136" s="1059">
        <f>IFERROR(AVERAGE(F136),0)</f>
        <v>0.8</v>
      </c>
      <c r="Q136" s="921">
        <f>'1.Informe Seguimiento POA 2022'!R84</f>
        <v>1</v>
      </c>
      <c r="R136" s="479">
        <f>IFERROR(AVERAGE('1.Informe Seguimiento POA 2022'!P84,'1.Informe Seguimiento POA 2022'!R84),0)</f>
        <v>1</v>
      </c>
      <c r="S136" s="479">
        <f>IFERROR(IF(OR($N136="",$N136=0),0,ROUNDDOWN(AVERAGE($H136,Q136),3)),0)</f>
        <v>1</v>
      </c>
      <c r="T136" s="492" t="str">
        <f t="shared" si="244"/>
        <v>No programado</v>
      </c>
      <c r="U136" s="492">
        <f t="shared" si="245"/>
        <v>1.25</v>
      </c>
      <c r="V136" s="478">
        <f>IF(AND(N136&gt;0,$S136&gt;0),S136/$N136,0)*0.5</f>
        <v>0.625</v>
      </c>
      <c r="W136" s="465">
        <f t="shared" ref="W136:W138" si="255">+N136</f>
        <v>0.8</v>
      </c>
      <c r="X136" s="507">
        <f>+'1.Informe Seguimiento POA 2022'!S84</f>
        <v>0.80000000000000016</v>
      </c>
      <c r="Y136" s="479">
        <f>IFERROR(AVERAGE('1.Informe Seguimiento POA 2022'!O84,'1.Informe Seguimiento POA 2022'!S84),0)</f>
        <v>0.8</v>
      </c>
      <c r="Z136" s="479">
        <f>+'1.Informe Seguimiento POA 2022'!T84</f>
        <v>0.94899999999999995</v>
      </c>
      <c r="AA136" s="479">
        <f>IFERROR(AVERAGE('1.Informe Seguimiento POA 2022'!R84,'1.Informe Seguimiento POA 2022'!P84,'1.Informe Seguimiento POA 2022'!T84),0)</f>
        <v>0.98299999999999998</v>
      </c>
      <c r="AB136" s="479">
        <f>IFERROR(IF(OR($W136="",$W136=0),0,ROUNDDOWN(AVERAGE($H136,Q136,Z136),3)),0)</f>
        <v>0.98299999999999998</v>
      </c>
      <c r="AC136" s="492">
        <f t="shared" si="247"/>
        <v>1.1862499999999998</v>
      </c>
      <c r="AD136" s="492">
        <f t="shared" si="248"/>
        <v>1.22875</v>
      </c>
      <c r="AE136" s="478">
        <f>IF(AND(W136&gt;0,$AB136&gt;0),AB136/$W136,0)*0.75</f>
        <v>0.92156250000000006</v>
      </c>
      <c r="AF136" s="465">
        <f t="shared" ref="AF136:AF138" si="256">+W136</f>
        <v>0.8</v>
      </c>
      <c r="AG136" s="465">
        <f>+'1.Informe Seguimiento POA 2022'!U84</f>
        <v>0.80000000000000016</v>
      </c>
      <c r="AH136" s="479">
        <f>IFERROR(AVERAGE('1.Informe Seguimiento POA 2022'!S84,'1.Informe Seguimiento POA 2022'!U84),0)</f>
        <v>0.80000000000000016</v>
      </c>
      <c r="AI136" s="465">
        <f>+'1.Informe Seguimiento POA 2022'!V84</f>
        <v>0</v>
      </c>
      <c r="AJ136" s="465">
        <f>IFERROR(AVERAGE('1.Informe Seguimiento POA 2022'!T84,'1.Informe Seguimiento POA 2022'!V84),0)</f>
        <v>0.47449999999999998</v>
      </c>
      <c r="AK136" s="479">
        <f>IFERROR(IF(OR($W136="",$W136=0),0,ROUNDDOWN(AVERAGE($H136,Q136,Z136,AI136),3)),0)</f>
        <v>0.73699999999999999</v>
      </c>
      <c r="AL136" s="492">
        <f t="shared" si="250"/>
        <v>0</v>
      </c>
      <c r="AM136" s="492">
        <f t="shared" si="251"/>
        <v>0.5931249999999999</v>
      </c>
      <c r="AN136" s="478">
        <f t="shared" si="252"/>
        <v>0.9212499999999999</v>
      </c>
      <c r="AO136" s="482" t="str">
        <f>+'Rango indicadores'!H71</f>
        <v>Mayor o igual A:</v>
      </c>
      <c r="AP136" s="477">
        <f>+'Rango indicadores'!I71</f>
        <v>95</v>
      </c>
      <c r="AQ136" s="477" t="str">
        <f>+'Rango indicadores'!J71</f>
        <v>Desde (&gt;):</v>
      </c>
      <c r="AR136" s="477">
        <f>+'Rango indicadores'!K71</f>
        <v>80</v>
      </c>
      <c r="AS136" s="477" t="str">
        <f>+'Rango indicadores'!L71</f>
        <v>Hasta (&lt;):</v>
      </c>
      <c r="AT136" s="477">
        <f>+'Rango indicadores'!M71</f>
        <v>95</v>
      </c>
      <c r="AU136" s="477" t="str">
        <f>+'Rango indicadores'!N71</f>
        <v>Menor o Igual A:</v>
      </c>
      <c r="AV136" s="477">
        <f>+'Rango indicadores'!O71</f>
        <v>80</v>
      </c>
      <c r="AW136" s="1080" t="s">
        <v>1190</v>
      </c>
      <c r="AX136" s="578"/>
      <c r="AY136" s="889">
        <f t="shared" si="253"/>
        <v>-0.1489999999999998</v>
      </c>
      <c r="AZ136" s="578"/>
    </row>
    <row r="137" spans="2:53" ht="124.9" customHeight="1">
      <c r="B137" s="474">
        <f t="shared" ref="B137:B138" si="257">+B136+1</f>
        <v>71</v>
      </c>
      <c r="C137" s="498" t="str">
        <f>+'Rango indicadores'!D72</f>
        <v>11-RI-03</v>
      </c>
      <c r="D137" s="498" t="str">
        <f>+'Rango indicadores'!E72</f>
        <v xml:space="preserve">Porcentaje de contratos en la modalidad de selección abreviada de menor cuantía elaborados en los tiempos óptimos </v>
      </c>
      <c r="E137" s="465">
        <f>+'Rango indicadores'!Q72</f>
        <v>0.8</v>
      </c>
      <c r="F137" s="507">
        <f>'1.Informe Seguimiento POA 2022'!O85</f>
        <v>0</v>
      </c>
      <c r="G137" s="507">
        <f>'1.Informe Seguimiento POA 2022'!O85</f>
        <v>0</v>
      </c>
      <c r="H137" s="921">
        <f>'1.Informe Seguimiento POA 2022'!P85</f>
        <v>1</v>
      </c>
      <c r="I137" s="921">
        <f>'1.Informe Seguimiento POA 2022'!P85</f>
        <v>1</v>
      </c>
      <c r="J137" s="921">
        <f t="shared" si="239"/>
        <v>1</v>
      </c>
      <c r="K137" s="492" t="str">
        <f t="shared" si="240"/>
        <v>No programado</v>
      </c>
      <c r="L137" s="492" t="str">
        <f t="shared" si="241"/>
        <v>No programado</v>
      </c>
      <c r="M137" s="478">
        <f>IF(AND(E137&gt;0,$J137&gt;0),J137/$E137,0)*0.25</f>
        <v>0.3125</v>
      </c>
      <c r="N137" s="465">
        <f t="shared" si="254"/>
        <v>0.8</v>
      </c>
      <c r="O137" s="921">
        <f>+'1.Informe Seguimiento POA 2022'!Q85</f>
        <v>0.8</v>
      </c>
      <c r="P137" s="1059">
        <f>IFERROR(AVERAGE(O137),0)</f>
        <v>0.8</v>
      </c>
      <c r="Q137" s="921">
        <f>'1.Informe Seguimiento POA 2022'!R85</f>
        <v>0.8</v>
      </c>
      <c r="R137" s="479">
        <f>IFERROR(AVERAGE('1.Informe Seguimiento POA 2022'!P85,'1.Informe Seguimiento POA 2022'!R85),0)</f>
        <v>0.9</v>
      </c>
      <c r="S137" s="479">
        <f t="shared" ref="S137:S138" si="258">IFERROR(IF(OR($N137="",$N137=0),0,ROUNDDOWN(AVERAGE($H137,Q137),3)),0)</f>
        <v>0.9</v>
      </c>
      <c r="T137" s="492">
        <f t="shared" si="244"/>
        <v>1</v>
      </c>
      <c r="U137" s="492">
        <f t="shared" si="245"/>
        <v>1.125</v>
      </c>
      <c r="V137" s="478">
        <f>IF(AND(N137&gt;0,$S137&gt;0),S137/$N137,0)*0.5</f>
        <v>0.5625</v>
      </c>
      <c r="W137" s="465">
        <f t="shared" si="255"/>
        <v>0.8</v>
      </c>
      <c r="X137" s="507">
        <f>+'1.Informe Seguimiento POA 2022'!S85</f>
        <v>0.80000000000000016</v>
      </c>
      <c r="Y137" s="479">
        <f>IFERROR(AVERAGE('1.Informe Seguimiento POA 2022'!Q85,'1.Informe Seguimiento POA 2022'!S85),0)</f>
        <v>0.8</v>
      </c>
      <c r="Z137" s="479">
        <f>+'1.Informe Seguimiento POA 2022'!T85</f>
        <v>0.86599999999999999</v>
      </c>
      <c r="AA137" s="479">
        <f>IFERROR(AVERAGE('1.Informe Seguimiento POA 2022'!R85,'1.Informe Seguimiento POA 2022'!P85,'1.Informe Seguimiento POA 2022'!T85),0)</f>
        <v>0.8886666666666666</v>
      </c>
      <c r="AB137" s="479">
        <f t="shared" ref="AB137:AB138" si="259">IFERROR(IF(OR($W137="",$W137=0),0,ROUNDDOWN(AVERAGE($H137,Q137,Z137),3)),0)</f>
        <v>0.88800000000000001</v>
      </c>
      <c r="AC137" s="492">
        <f t="shared" si="247"/>
        <v>1.0824999999999998</v>
      </c>
      <c r="AD137" s="492">
        <f t="shared" si="248"/>
        <v>1.1108333333333331</v>
      </c>
      <c r="AE137" s="478">
        <f>IF(AND(W137&gt;0,$AB137&gt;0),AB137/$W137,0)*0.75</f>
        <v>0.83249999999999991</v>
      </c>
      <c r="AF137" s="465">
        <f t="shared" si="256"/>
        <v>0.8</v>
      </c>
      <c r="AG137" s="465">
        <f>+'1.Informe Seguimiento POA 2022'!U85</f>
        <v>0.53333333333333333</v>
      </c>
      <c r="AH137" s="479">
        <f>IFERROR(AVERAGE('1.Informe Seguimiento POA 2022'!S85,'1.Informe Seguimiento POA 2022'!U85),0)</f>
        <v>0.66666666666666674</v>
      </c>
      <c r="AI137" s="465">
        <f>+'1.Informe Seguimiento POA 2022'!V85</f>
        <v>0</v>
      </c>
      <c r="AJ137" s="465">
        <f>IFERROR(AVERAGE('1.Informe Seguimiento POA 2022'!T85,'1.Informe Seguimiento POA 2022'!V85),0)</f>
        <v>0.433</v>
      </c>
      <c r="AK137" s="479">
        <f t="shared" ref="AK137:AK138" si="260">IFERROR(IF(OR($W137="",$W137=0),0,ROUNDDOWN(AVERAGE($H137,Q137,Z137,AI137),3)),0)</f>
        <v>0.66600000000000004</v>
      </c>
      <c r="AL137" s="492">
        <f t="shared" si="250"/>
        <v>0</v>
      </c>
      <c r="AM137" s="492">
        <f t="shared" si="251"/>
        <v>0.64949999999999997</v>
      </c>
      <c r="AN137" s="478">
        <f t="shared" si="252"/>
        <v>0.83250000000000002</v>
      </c>
      <c r="AO137" s="482" t="str">
        <f>+'Rango indicadores'!H72</f>
        <v>Mayor o igual A:</v>
      </c>
      <c r="AP137" s="477">
        <f>+'Rango indicadores'!I72</f>
        <v>95</v>
      </c>
      <c r="AQ137" s="477" t="str">
        <f>+'Rango indicadores'!J72</f>
        <v>Desde (&gt;):</v>
      </c>
      <c r="AR137" s="477">
        <f>+'Rango indicadores'!K72</f>
        <v>80</v>
      </c>
      <c r="AS137" s="477" t="str">
        <f>+'Rango indicadores'!L72</f>
        <v>Hasta (&lt;):</v>
      </c>
      <c r="AT137" s="477">
        <f>+'Rango indicadores'!M72</f>
        <v>95</v>
      </c>
      <c r="AU137" s="477" t="str">
        <f>+'Rango indicadores'!N72</f>
        <v>Menor o Igual A:</v>
      </c>
      <c r="AV137" s="477">
        <f>+'Rango indicadores'!O72</f>
        <v>80</v>
      </c>
      <c r="AW137" s="1080" t="s">
        <v>1189</v>
      </c>
      <c r="AX137" s="578"/>
      <c r="AY137" s="889">
        <f t="shared" si="253"/>
        <v>-6.5999999999999837E-2</v>
      </c>
      <c r="AZ137" s="578"/>
    </row>
    <row r="138" spans="2:53" ht="106.9" customHeight="1">
      <c r="B138" s="474">
        <f t="shared" si="257"/>
        <v>72</v>
      </c>
      <c r="C138" s="498" t="str">
        <f>+'Rango indicadores'!D73</f>
        <v>11-RI-04</v>
      </c>
      <c r="D138" s="498" t="str">
        <f>+'Rango indicadores'!E73</f>
        <v xml:space="preserve">Porcentaje de contratos en la modalidad de selección abreviada de subasta inversa, licitación pública y concurso de méritos elaborados en los tiempos óptimos </v>
      </c>
      <c r="E138" s="465">
        <f>+'Rango indicadores'!Q73</f>
        <v>0.8</v>
      </c>
      <c r="F138" s="507">
        <f>'1.Informe Seguimiento POA 2022'!O86</f>
        <v>0.8</v>
      </c>
      <c r="G138" s="507">
        <f>'1.Informe Seguimiento POA 2022'!O86</f>
        <v>0.8</v>
      </c>
      <c r="H138" s="574">
        <f>'1.Informe Seguimiento POA 2022'!P86</f>
        <v>0.8</v>
      </c>
      <c r="I138" s="921">
        <f>'1.Informe Seguimiento POA 2022'!P86</f>
        <v>0.8</v>
      </c>
      <c r="J138" s="921">
        <f t="shared" si="239"/>
        <v>0.8</v>
      </c>
      <c r="K138" s="492">
        <f t="shared" si="240"/>
        <v>1</v>
      </c>
      <c r="L138" s="492">
        <f t="shared" si="241"/>
        <v>1</v>
      </c>
      <c r="M138" s="478">
        <f>IF(AND(E138&gt;0,$J138&gt;0),J138/$E138,0)*0.25</f>
        <v>0.25</v>
      </c>
      <c r="N138" s="465">
        <f t="shared" si="254"/>
        <v>0.8</v>
      </c>
      <c r="O138" s="921">
        <f>+'1.Informe Seguimiento POA 2022'!Q86</f>
        <v>0.8</v>
      </c>
      <c r="P138" s="1059">
        <f t="shared" ref="P138" si="261">IFERROR(AVERAGE(F138,O138),0)</f>
        <v>0.8</v>
      </c>
      <c r="Q138" s="921">
        <f>'1.Informe Seguimiento POA 2022'!R86</f>
        <v>0.86599999999999999</v>
      </c>
      <c r="R138" s="479">
        <f>IFERROR(AVERAGE('1.Informe Seguimiento POA 2022'!P86,'1.Informe Seguimiento POA 2022'!R86),0)</f>
        <v>0.83299999999999996</v>
      </c>
      <c r="S138" s="479">
        <f t="shared" si="258"/>
        <v>0.83299999999999996</v>
      </c>
      <c r="T138" s="492">
        <f t="shared" si="244"/>
        <v>1.0825</v>
      </c>
      <c r="U138" s="492">
        <f t="shared" si="245"/>
        <v>1.0412499999999998</v>
      </c>
      <c r="V138" s="478">
        <f>IF(AND(N138&gt;0,$S138&gt;0),S138/$N138,0)*0.5</f>
        <v>0.52062499999999989</v>
      </c>
      <c r="W138" s="465">
        <f t="shared" si="255"/>
        <v>0.8</v>
      </c>
      <c r="X138" s="507">
        <f>+'1.Informe Seguimiento POA 2022'!S86</f>
        <v>0.80000000000000016</v>
      </c>
      <c r="Y138" s="479">
        <f>IFERROR(AVERAGE('1.Informe Seguimiento POA 2022'!O86,'1.Informe Seguimiento POA 2022'!Q86,'1.Informe Seguimiento POA 2022'!S86),0)</f>
        <v>0.80000000000000016</v>
      </c>
      <c r="Z138" s="479">
        <f>+'1.Informe Seguimiento POA 2022'!T86</f>
        <v>0.8</v>
      </c>
      <c r="AA138" s="479">
        <f>IFERROR(AVERAGE('1.Informe Seguimiento POA 2022'!R86,'1.Informe Seguimiento POA 2022'!P86,'1.Informe Seguimiento POA 2022'!T86),0)</f>
        <v>0.82200000000000006</v>
      </c>
      <c r="AB138" s="479">
        <f t="shared" si="259"/>
        <v>0.82199999999999995</v>
      </c>
      <c r="AC138" s="492">
        <f t="shared" si="247"/>
        <v>0.99999999999999989</v>
      </c>
      <c r="AD138" s="492">
        <f t="shared" si="248"/>
        <v>1.0274999999999999</v>
      </c>
      <c r="AE138" s="478">
        <f>IF(AND(W138&gt;0,$AB138&gt;0),AB138/$W138,0)*0.75</f>
        <v>0.77062499999999989</v>
      </c>
      <c r="AF138" s="465">
        <f t="shared" si="256"/>
        <v>0.8</v>
      </c>
      <c r="AG138" s="465">
        <f>+'1.Informe Seguimiento POA 2022'!U86</f>
        <v>0.80000000000000016</v>
      </c>
      <c r="AH138" s="479">
        <f>IFERROR(AVERAGE('1.Informe Seguimiento POA 2022'!S86,'1.Informe Seguimiento POA 2022'!U86),0)</f>
        <v>0.80000000000000016</v>
      </c>
      <c r="AI138" s="465">
        <f>+'1.Informe Seguimiento POA 2022'!V86</f>
        <v>0.8</v>
      </c>
      <c r="AJ138" s="465">
        <f>IFERROR(AVERAGE('1.Informe Seguimiento POA 2022'!T86,'1.Informe Seguimiento POA 2022'!V86),0)</f>
        <v>0.8</v>
      </c>
      <c r="AK138" s="479">
        <f t="shared" si="260"/>
        <v>0.81599999999999995</v>
      </c>
      <c r="AL138" s="492">
        <f t="shared" si="250"/>
        <v>0.99999999999999989</v>
      </c>
      <c r="AM138" s="492">
        <f t="shared" si="251"/>
        <v>0.99999999999999989</v>
      </c>
      <c r="AN138" s="478">
        <f t="shared" si="252"/>
        <v>1.0199999999999998</v>
      </c>
      <c r="AO138" s="482" t="str">
        <f>+'Rango indicadores'!H73</f>
        <v>Mayor o igual A:</v>
      </c>
      <c r="AP138" s="477">
        <f>+'Rango indicadores'!I73</f>
        <v>95</v>
      </c>
      <c r="AQ138" s="477" t="str">
        <f>+'Rango indicadores'!J73</f>
        <v>Desde (&gt;):</v>
      </c>
      <c r="AR138" s="477">
        <f>+'Rango indicadores'!K73</f>
        <v>80</v>
      </c>
      <c r="AS138" s="477" t="str">
        <f>+'Rango indicadores'!L73</f>
        <v>Hasta (&lt;):</v>
      </c>
      <c r="AT138" s="477">
        <f>+'Rango indicadores'!M73</f>
        <v>95</v>
      </c>
      <c r="AU138" s="477" t="str">
        <f>+'Rango indicadores'!N73</f>
        <v>Menor o Igual A:</v>
      </c>
      <c r="AV138" s="477">
        <f>+'Rango indicadores'!O73</f>
        <v>80</v>
      </c>
      <c r="AW138" s="581" t="s">
        <v>1191</v>
      </c>
      <c r="AX138" s="578"/>
      <c r="AY138" s="889">
        <f t="shared" si="253"/>
        <v>0</v>
      </c>
      <c r="AZ138" s="578"/>
    </row>
    <row r="139" spans="2:53" ht="15.75">
      <c r="C139" s="1598" t="s">
        <v>872</v>
      </c>
      <c r="D139" s="1599"/>
      <c r="E139" s="1599"/>
      <c r="F139" s="1599"/>
      <c r="G139" s="1599"/>
      <c r="H139" s="1599"/>
      <c r="I139" s="1599"/>
      <c r="J139" s="1599"/>
      <c r="K139" s="480">
        <f>IFERROR(AVERAGE(K135:K138),0)</f>
        <v>1.1018518518518519</v>
      </c>
      <c r="L139" s="480">
        <f>IFERROR(AVERAGE(L135:L138),0)</f>
        <v>1.1018518518518519</v>
      </c>
      <c r="M139" s="480">
        <f>IFERROR(AVERAGE(M135:M138),0)</f>
        <v>0.31874999999999998</v>
      </c>
      <c r="N139" s="1060"/>
      <c r="O139" s="1060"/>
      <c r="P139" s="1060"/>
      <c r="Q139" s="1060"/>
      <c r="R139" s="1060"/>
      <c r="S139" s="1060"/>
      <c r="T139" s="480">
        <f>IFERROR(AVERAGE(T135:T138),0)</f>
        <v>0.93659090909090903</v>
      </c>
      <c r="U139" s="480">
        <f>IFERROR(AVERAGE(U135:U138),0)</f>
        <v>1.0868211206896552</v>
      </c>
      <c r="V139" s="480">
        <f>IFERROR(AVERAGE(V135:V138),0)</f>
        <v>0.56913651315789471</v>
      </c>
      <c r="W139" s="1060"/>
      <c r="X139" s="1060"/>
      <c r="Y139" s="1060"/>
      <c r="Z139" s="1060"/>
      <c r="AA139" s="1060"/>
      <c r="AB139" s="1060"/>
      <c r="AC139" s="480">
        <f>IFERROR(AVERAGE(AC135:AC138),0)</f>
        <v>1.0330965909090908</v>
      </c>
      <c r="AD139" s="480">
        <f>IFERROR(AVERAGE(AD135:AD138),0)</f>
        <v>1.0698958333333333</v>
      </c>
      <c r="AE139" s="480">
        <f>IFERROR(AVERAGE(AE135:AE138),0)</f>
        <v>0.82327713815789472</v>
      </c>
      <c r="AF139" s="1060"/>
      <c r="AG139" s="1060"/>
      <c r="AH139" s="1060"/>
      <c r="AI139" s="1060"/>
      <c r="AJ139" s="1060"/>
      <c r="AK139" s="1061"/>
      <c r="AL139" s="480">
        <f>IFERROR(AVERAGE(AL135:AL138),0)</f>
        <v>0.24999999999999997</v>
      </c>
      <c r="AM139" s="480">
        <f>IFERROR(AVERAGE(AM135:AM138),0)</f>
        <v>0.75276151315789464</v>
      </c>
      <c r="AN139" s="480">
        <f>IFERROR(AVERAGE(AN135:AN138),0)</f>
        <v>0.88554276315789471</v>
      </c>
      <c r="AO139" s="487"/>
      <c r="AP139" s="487"/>
      <c r="AQ139" s="487"/>
      <c r="AR139" s="487"/>
      <c r="AS139" s="487"/>
      <c r="AT139" s="487"/>
      <c r="AU139" s="487"/>
      <c r="AV139" s="487"/>
      <c r="AW139" s="582"/>
      <c r="AX139" s="494"/>
      <c r="AY139" s="654"/>
      <c r="AZ139" s="494"/>
      <c r="BA139" s="494"/>
    </row>
    <row r="140" spans="2:53" s="470" customFormat="1" ht="23.45" customHeight="1" thickBot="1">
      <c r="D140" s="472"/>
      <c r="AW140" s="472"/>
      <c r="AY140" s="654"/>
      <c r="AZ140" s="455"/>
    </row>
    <row r="141" spans="2:53" s="470" customFormat="1" ht="16.5" thickBot="1">
      <c r="C141" s="473" t="s">
        <v>884</v>
      </c>
      <c r="D141" s="503"/>
      <c r="E141" s="1577" t="s">
        <v>1136</v>
      </c>
      <c r="F141" s="1578"/>
      <c r="G141" s="1578"/>
      <c r="H141" s="1578"/>
      <c r="I141" s="1578"/>
      <c r="J141" s="1578"/>
      <c r="K141" s="1578"/>
      <c r="L141" s="1578"/>
      <c r="M141" s="1579"/>
      <c r="N141" s="1580" t="s">
        <v>1137</v>
      </c>
      <c r="O141" s="1581"/>
      <c r="P141" s="1581"/>
      <c r="Q141" s="1581"/>
      <c r="R141" s="1581"/>
      <c r="S141" s="1581"/>
      <c r="T141" s="1581"/>
      <c r="U141" s="1581"/>
      <c r="V141" s="1582"/>
      <c r="W141" s="1574" t="s">
        <v>1138</v>
      </c>
      <c r="X141" s="1575"/>
      <c r="Y141" s="1575"/>
      <c r="Z141" s="1575"/>
      <c r="AA141" s="1575"/>
      <c r="AB141" s="1575"/>
      <c r="AC141" s="1575"/>
      <c r="AD141" s="1575"/>
      <c r="AE141" s="1576"/>
      <c r="AF141" s="1580" t="s">
        <v>1052</v>
      </c>
      <c r="AG141" s="1581"/>
      <c r="AH141" s="1581"/>
      <c r="AI141" s="1581"/>
      <c r="AJ141" s="1581"/>
      <c r="AK141" s="1581"/>
      <c r="AL141" s="1581"/>
      <c r="AM141" s="1581"/>
      <c r="AN141" s="1582"/>
      <c r="AW141" s="472"/>
      <c r="AY141" s="654"/>
      <c r="AZ141" s="455"/>
    </row>
    <row r="142" spans="2:53" ht="33" customHeight="1">
      <c r="C142" s="1571" t="str">
        <f>+$C$10</f>
        <v>Identificación del Indicador</v>
      </c>
      <c r="D142" s="1584" t="s">
        <v>867</v>
      </c>
      <c r="E142" s="1567" t="s">
        <v>868</v>
      </c>
      <c r="F142" s="1568"/>
      <c r="G142" s="1569"/>
      <c r="H142" s="1570" t="s">
        <v>1140</v>
      </c>
      <c r="I142" s="1572" t="s">
        <v>1144</v>
      </c>
      <c r="J142" s="1570" t="s">
        <v>869</v>
      </c>
      <c r="K142" s="1570" t="s">
        <v>863</v>
      </c>
      <c r="L142" s="1570"/>
      <c r="M142" s="1570"/>
      <c r="N142" s="1567" t="s">
        <v>868</v>
      </c>
      <c r="O142" s="1568"/>
      <c r="P142" s="1569"/>
      <c r="Q142" s="1570" t="s">
        <v>1150</v>
      </c>
      <c r="R142" s="1572" t="s">
        <v>1141</v>
      </c>
      <c r="S142" s="1570" t="s">
        <v>869</v>
      </c>
      <c r="T142" s="1570" t="s">
        <v>863</v>
      </c>
      <c r="U142" s="1570"/>
      <c r="V142" s="1570"/>
      <c r="W142" s="1567" t="s">
        <v>868</v>
      </c>
      <c r="X142" s="1568"/>
      <c r="Y142" s="1569"/>
      <c r="Z142" s="1570" t="s">
        <v>1151</v>
      </c>
      <c r="AA142" s="1572" t="s">
        <v>1146</v>
      </c>
      <c r="AB142" s="1570" t="s">
        <v>869</v>
      </c>
      <c r="AC142" s="1570" t="s">
        <v>863</v>
      </c>
      <c r="AD142" s="1570"/>
      <c r="AE142" s="1570"/>
      <c r="AF142" s="1567" t="s">
        <v>868</v>
      </c>
      <c r="AG142" s="1568"/>
      <c r="AH142" s="1569"/>
      <c r="AI142" s="1570" t="s">
        <v>1152</v>
      </c>
      <c r="AJ142" s="1572" t="s">
        <v>1148</v>
      </c>
      <c r="AK142" s="1570" t="s">
        <v>869</v>
      </c>
      <c r="AL142" s="1570" t="s">
        <v>863</v>
      </c>
      <c r="AM142" s="1570"/>
      <c r="AN142" s="1570"/>
      <c r="AO142" s="1583" t="s">
        <v>715</v>
      </c>
      <c r="AP142" s="1583"/>
      <c r="AQ142" s="1583"/>
      <c r="AR142" s="1583"/>
      <c r="AS142" s="1583"/>
      <c r="AT142" s="1583"/>
      <c r="AU142" s="1583"/>
      <c r="AV142" s="1583"/>
      <c r="AW142" s="1571" t="s">
        <v>888</v>
      </c>
      <c r="AY142" s="654"/>
    </row>
    <row r="143" spans="2:53" ht="75" customHeight="1">
      <c r="C143" s="1571"/>
      <c r="D143" s="1584"/>
      <c r="E143" s="1017" t="s">
        <v>1153</v>
      </c>
      <c r="F143" s="1017" t="str">
        <f>+E141</f>
        <v>Primer Trimestre</v>
      </c>
      <c r="G143" s="1018" t="s">
        <v>1143</v>
      </c>
      <c r="H143" s="1571"/>
      <c r="I143" s="1573"/>
      <c r="J143" s="1571"/>
      <c r="K143" s="1017" t="str">
        <f>+$D$6</f>
        <v>Tercer Trimestre</v>
      </c>
      <c r="L143" s="1018" t="str">
        <f>+G143</f>
        <v>Acumulado
Corte 
31/03/2022</v>
      </c>
      <c r="M143" s="1019" t="s">
        <v>760</v>
      </c>
      <c r="N143" s="1017" t="s">
        <v>1153</v>
      </c>
      <c r="O143" s="1017" t="str">
        <f>+N141</f>
        <v>Segundo Trimestre</v>
      </c>
      <c r="P143" s="1018" t="s">
        <v>1142</v>
      </c>
      <c r="Q143" s="1571"/>
      <c r="R143" s="1573"/>
      <c r="S143" s="1571"/>
      <c r="T143" s="1017" t="str">
        <f>+O143</f>
        <v>Segundo Trimestre</v>
      </c>
      <c r="U143" s="1018" t="str">
        <f>+P143</f>
        <v>Acumulado Corte 
30/06/2022</v>
      </c>
      <c r="V143" s="1019" t="s">
        <v>760</v>
      </c>
      <c r="W143" s="1017" t="s">
        <v>1153</v>
      </c>
      <c r="X143" s="1017" t="str">
        <f>+W141</f>
        <v>Tercer Trimestre</v>
      </c>
      <c r="Y143" s="1018" t="s">
        <v>1145</v>
      </c>
      <c r="Z143" s="1571"/>
      <c r="AA143" s="1573"/>
      <c r="AB143" s="1571"/>
      <c r="AC143" s="1017" t="str">
        <f>+X143</f>
        <v>Tercer Trimestre</v>
      </c>
      <c r="AD143" s="1018" t="str">
        <f>+Y143</f>
        <v>Acumulado Corte 
30/09/2022</v>
      </c>
      <c r="AE143" s="1019" t="s">
        <v>760</v>
      </c>
      <c r="AF143" s="1017" t="s">
        <v>1153</v>
      </c>
      <c r="AG143" s="1017" t="str">
        <f>+AF141</f>
        <v>Cuarto Trimestre</v>
      </c>
      <c r="AH143" s="1018" t="s">
        <v>1147</v>
      </c>
      <c r="AI143" s="1571"/>
      <c r="AJ143" s="1573"/>
      <c r="AK143" s="1571"/>
      <c r="AL143" s="1017" t="str">
        <f>+AG143</f>
        <v>Cuarto Trimestre</v>
      </c>
      <c r="AM143" s="1018" t="str">
        <f>+AH143</f>
        <v>Acumulado Corte 
31/12/2022</v>
      </c>
      <c r="AN143" s="1019" t="s">
        <v>760</v>
      </c>
      <c r="AO143" s="1201" t="s">
        <v>870</v>
      </c>
      <c r="AP143" s="1202"/>
      <c r="AQ143" s="1203" t="s">
        <v>871</v>
      </c>
      <c r="AR143" s="1204"/>
      <c r="AS143" s="1204"/>
      <c r="AT143" s="1205"/>
      <c r="AU143" s="1206" t="s">
        <v>723</v>
      </c>
      <c r="AV143" s="1207"/>
      <c r="AW143" s="1571"/>
      <c r="AY143" s="654"/>
    </row>
    <row r="144" spans="2:53" ht="133.15" customHeight="1">
      <c r="B144" s="474">
        <f>+B138+1</f>
        <v>73</v>
      </c>
      <c r="C144" s="475" t="str">
        <f>+'Rango indicadores'!D74</f>
        <v>12-RI-01</v>
      </c>
      <c r="D144" s="475" t="str">
        <f>+'Rango indicadores'!E74</f>
        <v>Porcentaje de Comunicaciones oficiales con reparto realizado dentro de los 3 días hábiles desde su radicación</v>
      </c>
      <c r="E144" s="479">
        <f>+'Rango indicadores'!Q74</f>
        <v>0.95</v>
      </c>
      <c r="F144" s="507">
        <f>'1.Informe Seguimiento POA 2022'!O75</f>
        <v>0.94999999999999984</v>
      </c>
      <c r="G144" s="507">
        <f>'1.Informe Seguimiento POA 2022'!O75</f>
        <v>0.94999999999999984</v>
      </c>
      <c r="H144" s="921">
        <f>'1.Informe Seguimiento POA 2022'!P75</f>
        <v>0.98523333333333341</v>
      </c>
      <c r="I144" s="921">
        <f>'1.Informe Seguimiento POA 2022'!P75</f>
        <v>0.98523333333333341</v>
      </c>
      <c r="J144" s="921">
        <f t="shared" ref="J144:J147" si="262">I144</f>
        <v>0.98523333333333341</v>
      </c>
      <c r="K144" s="492">
        <f t="shared" ref="K144:K147" si="263">IF(AND(F144&gt;0),H144/F144,"No programado")</f>
        <v>1.0370877192982459</v>
      </c>
      <c r="L144" s="492">
        <f t="shared" ref="L144:L147" si="264">IF(AND(G144&gt;0),I144/G144,"No programado")</f>
        <v>1.0370877192982459</v>
      </c>
      <c r="M144" s="478">
        <f>IF(AND(E144&gt;0,$J144&gt;0),J144/$E144,0)*0.25</f>
        <v>0.25927192982456143</v>
      </c>
      <c r="N144" s="479">
        <f>+E144</f>
        <v>0.95</v>
      </c>
      <c r="O144" s="921">
        <f>+'1.Informe Seguimiento POA 2022'!Q75</f>
        <v>0.94999999999999984</v>
      </c>
      <c r="P144" s="1059">
        <f>IFERROR(AVERAGE(F144,O144),0)</f>
        <v>0.94999999999999984</v>
      </c>
      <c r="Q144" s="921">
        <f>'1.Informe Seguimiento POA 2022'!R75</f>
        <v>0.99406666666666654</v>
      </c>
      <c r="R144" s="479">
        <f>IFERROR(AVERAGE('1.Informe Seguimiento POA 2022'!P75,'1.Informe Seguimiento POA 2022'!R75),0)</f>
        <v>0.98964999999999992</v>
      </c>
      <c r="S144" s="479">
        <f>IFERROR(IF(OR($N144="",$N144=0),0,ROUNDDOWN(AVERAGE($H144,Q144),3)),0)</f>
        <v>0.98899999999999999</v>
      </c>
      <c r="T144" s="492">
        <f t="shared" ref="T144:T147" si="265">IF(AND(O144&gt;0),Q144/O144,"No programado")</f>
        <v>1.0463859649122806</v>
      </c>
      <c r="U144" s="492">
        <f t="shared" ref="U144:U147" si="266">IF(AND(P144&gt;0),R144/P144,"No programado")</f>
        <v>1.0417368421052633</v>
      </c>
      <c r="V144" s="478">
        <f>IF(AND(N144&gt;0,$S144&gt;0),S144/$N144,0)*0.5</f>
        <v>0.52052631578947373</v>
      </c>
      <c r="W144" s="479">
        <f>+N144</f>
        <v>0.95</v>
      </c>
      <c r="X144" s="507">
        <f>+'1.Informe Seguimiento POA 2022'!S75</f>
        <v>0.94999999999999984</v>
      </c>
      <c r="Y144" s="479">
        <f>IFERROR(AVERAGE('1.Informe Seguimiento POA 2022'!O75,'1.Informe Seguimiento POA 2022'!Q75,'1.Informe Seguimiento POA 2022'!S75),0)</f>
        <v>0.94999999999999984</v>
      </c>
      <c r="Z144" s="479">
        <f>+'1.Informe Seguimiento POA 2022'!T75</f>
        <v>0.97889999999999999</v>
      </c>
      <c r="AA144" s="479">
        <f>IFERROR(AVERAGE('1.Informe Seguimiento POA 2022'!R75,'1.Informe Seguimiento POA 2022'!P75,'1.Informe Seguimiento POA 2022'!T75),0)</f>
        <v>0.98606666666666654</v>
      </c>
      <c r="AB144" s="479">
        <f>IFERROR(IF(OR($W144="",$W144=0),0,ROUNDDOWN(AVERAGE($H144,Q144,Z144),3)),0)</f>
        <v>0.98599999999999999</v>
      </c>
      <c r="AC144" s="492">
        <f t="shared" ref="AC144:AC147" si="267">IF(AND(X144&gt;0),Z144/X144,"No programado")</f>
        <v>1.0304210526315791</v>
      </c>
      <c r="AD144" s="492">
        <f t="shared" ref="AD144:AD147" si="268">IF(AND(Y144&gt;0),AA144/Y144,"No programado")</f>
        <v>1.0379649122807018</v>
      </c>
      <c r="AE144" s="478">
        <f>IF(AND(W144&gt;0,$AB144&gt;0),AB144/$W144,0)*0.75</f>
        <v>0.7784210526315789</v>
      </c>
      <c r="AF144" s="479">
        <f>+W144</f>
        <v>0.95</v>
      </c>
      <c r="AG144" s="479">
        <f>+'1.Informe Seguimiento POA 2022'!U75</f>
        <v>0.94999999999999984</v>
      </c>
      <c r="AH144" s="479">
        <f>IFERROR(AVERAGE('1.Informe Seguimiento POA 2022'!O75,'1.Informe Seguimiento POA 2022'!Q75,'1.Informe Seguimiento POA 2022'!S75,'1.Informe Seguimiento POA 2022'!U75),0)</f>
        <v>0.94999999999999984</v>
      </c>
      <c r="AI144" s="890">
        <f>+'1.Informe Seguimiento POA 2022'!V75</f>
        <v>0</v>
      </c>
      <c r="AJ144" s="479">
        <f>IFERROR(AVERAGE('1.Informe Seguimiento POA 2022'!P75,'1.Informe Seguimiento POA 2022'!R75,'1.Informe Seguimiento POA 2022'!T75,'1.Informe Seguimiento POA 2022'!V75),0)</f>
        <v>0.73954999999999993</v>
      </c>
      <c r="AK144" s="479">
        <f>IFERROR(IF(OR($W144="",$W144=0),0,ROUNDDOWN(AVERAGE($H144,Q144,Z144,AI144),3)),0)</f>
        <v>0.73899999999999999</v>
      </c>
      <c r="AL144" s="492">
        <f t="shared" ref="AL144:AL147" si="269">IF(AND(AG144&gt;0),AI144/AG144,"No programado")</f>
        <v>0</v>
      </c>
      <c r="AM144" s="492">
        <f t="shared" ref="AM144:AM147" si="270">IF(AND(AH144&gt;0),AJ144/AH144,"No programado")</f>
        <v>0.77847368421052632</v>
      </c>
      <c r="AN144" s="478">
        <f t="shared" ref="AN144:AN147" si="271">IF(AND(AF144&gt;0,$J144&gt;0),AK144/$E144,0)</f>
        <v>0.77789473684210531</v>
      </c>
      <c r="AO144" s="482" t="str">
        <f>+'Rango indicadores'!H74</f>
        <v>Mayor A:</v>
      </c>
      <c r="AP144" s="477">
        <f>+'Rango indicadores'!I74</f>
        <v>95</v>
      </c>
      <c r="AQ144" s="477" t="str">
        <f>+'Rango indicadores'!J74</f>
        <v>Desde (&gt;=):</v>
      </c>
      <c r="AR144" s="477">
        <f>+'Rango indicadores'!K74</f>
        <v>90</v>
      </c>
      <c r="AS144" s="477" t="str">
        <f>+'Rango indicadores'!L74</f>
        <v>Hasta (&lt;=):</v>
      </c>
      <c r="AT144" s="477">
        <f>+'Rango indicadores'!M74</f>
        <v>95</v>
      </c>
      <c r="AU144" s="477" t="str">
        <f>+'Rango indicadores'!N74</f>
        <v>Menor A:</v>
      </c>
      <c r="AV144" s="477">
        <f>+'Rango indicadores'!O74</f>
        <v>90</v>
      </c>
      <c r="AW144" s="581" t="s">
        <v>1187</v>
      </c>
      <c r="AX144" s="578"/>
      <c r="AY144" s="889">
        <f t="shared" ref="AY144:AY146" si="272">+X144-Z144</f>
        <v>-2.8900000000000148E-2</v>
      </c>
      <c r="AZ144" s="578"/>
      <c r="BA144" s="455">
        <f>+AY144*100</f>
        <v>-2.8900000000000148</v>
      </c>
    </row>
    <row r="145" spans="2:53" ht="138" customHeight="1">
      <c r="B145" s="474">
        <f>B144+1</f>
        <v>74</v>
      </c>
      <c r="C145" s="475" t="str">
        <f>+'Rango indicadores'!D75</f>
        <v>12-RI-02</v>
      </c>
      <c r="D145" s="475" t="str">
        <f>+'Rango indicadores'!E75</f>
        <v>Porcentaje de documentación incorporada en el archivo central durante la vigencia.</v>
      </c>
      <c r="E145" s="479">
        <f>+'Rango indicadores'!Q75</f>
        <v>0.8</v>
      </c>
      <c r="F145" s="507">
        <f>'1.Informe Seguimiento POA 2022'!O76</f>
        <v>0.80000000000000016</v>
      </c>
      <c r="G145" s="507">
        <f>'1.Informe Seguimiento POA 2022'!O76</f>
        <v>0.80000000000000016</v>
      </c>
      <c r="H145" s="921">
        <f>'1.Informe Seguimiento POA 2022'!P76</f>
        <v>0.8753333333333333</v>
      </c>
      <c r="I145" s="921">
        <f>'1.Informe Seguimiento POA 2022'!P76</f>
        <v>0.8753333333333333</v>
      </c>
      <c r="J145" s="921">
        <f t="shared" si="262"/>
        <v>0.8753333333333333</v>
      </c>
      <c r="K145" s="492">
        <f t="shared" si="263"/>
        <v>1.0941666666666665</v>
      </c>
      <c r="L145" s="492">
        <f t="shared" si="264"/>
        <v>1.0941666666666665</v>
      </c>
      <c r="M145" s="478">
        <f>IF(AND(E145&gt;0,$J145&gt;0),J145/$E145,0)*0.25</f>
        <v>0.27354166666666663</v>
      </c>
      <c r="N145" s="479">
        <f t="shared" ref="N145:N147" si="273">+E145</f>
        <v>0.8</v>
      </c>
      <c r="O145" s="921">
        <f>+'1.Informe Seguimiento POA 2022'!Q76</f>
        <v>0.80000000000000016</v>
      </c>
      <c r="P145" s="1059">
        <f>IFERROR(AVERAGE(F145,O145),0)</f>
        <v>0.80000000000000016</v>
      </c>
      <c r="Q145" s="921">
        <f>'1.Informe Seguimiento POA 2022'!R76</f>
        <v>0.88233333333333341</v>
      </c>
      <c r="R145" s="479">
        <f>IFERROR(AVERAGE('1.Informe Seguimiento POA 2022'!P76,'1.Informe Seguimiento POA 2022'!R76),0)</f>
        <v>0.87883333333333336</v>
      </c>
      <c r="S145" s="479">
        <f>IFERROR(IF(OR($N145="",$N145=0),0,ROUNDDOWN(AVERAGE($H145,Q145),3)),0)</f>
        <v>0.878</v>
      </c>
      <c r="T145" s="492">
        <f t="shared" si="265"/>
        <v>1.1029166666666665</v>
      </c>
      <c r="U145" s="492">
        <f t="shared" si="266"/>
        <v>1.0985416666666665</v>
      </c>
      <c r="V145" s="478">
        <f>IF(AND(N145&gt;0,$S145&gt;0),S145/$N145,0)*0.5</f>
        <v>0.54874999999999996</v>
      </c>
      <c r="W145" s="479">
        <f t="shared" ref="W145:W147" si="274">+N145</f>
        <v>0.8</v>
      </c>
      <c r="X145" s="507">
        <f>+'1.Informe Seguimiento POA 2022'!S76</f>
        <v>0.80000000000000016</v>
      </c>
      <c r="Y145" s="479">
        <f>IFERROR(AVERAGE('1.Informe Seguimiento POA 2022'!O76,'1.Informe Seguimiento POA 2022'!Q76,'1.Informe Seguimiento POA 2022'!S76),0)</f>
        <v>0.80000000000000016</v>
      </c>
      <c r="Z145" s="479">
        <f>+'1.Informe Seguimiento POA 2022'!T76</f>
        <v>0.80166666666666675</v>
      </c>
      <c r="AA145" s="479">
        <f>IFERROR(AVERAGE('1.Informe Seguimiento POA 2022'!R76,'1.Informe Seguimiento POA 2022'!P76,'1.Informe Seguimiento POA 2022'!T76),0)</f>
        <v>0.85311111111111115</v>
      </c>
      <c r="AB145" s="479">
        <f>IFERROR(IF(OR($W145="",$W145=0),0,ROUNDDOWN(AVERAGE($H145,Q145,Z145),3)),0)</f>
        <v>0.85299999999999998</v>
      </c>
      <c r="AC145" s="492">
        <f t="shared" si="267"/>
        <v>1.0020833333333332</v>
      </c>
      <c r="AD145" s="492">
        <f t="shared" si="268"/>
        <v>1.0663888888888888</v>
      </c>
      <c r="AE145" s="478">
        <f>IF(AND(W145&gt;0,$AB145&gt;0),AB145/$W145,0)*0.75</f>
        <v>0.79968749999999988</v>
      </c>
      <c r="AF145" s="479">
        <f t="shared" ref="AF145:AF147" si="275">+W145</f>
        <v>0.8</v>
      </c>
      <c r="AG145" s="479">
        <f>+'1.Informe Seguimiento POA 2022'!U76</f>
        <v>0.80000000000000016</v>
      </c>
      <c r="AH145" s="479">
        <f>IFERROR(AVERAGE('1.Informe Seguimiento POA 2022'!O76,'1.Informe Seguimiento POA 2022'!Q76,'1.Informe Seguimiento POA 2022'!S76,'1.Informe Seguimiento POA 2022'!U76),0)</f>
        <v>0.80000000000000016</v>
      </c>
      <c r="AI145" s="890">
        <f>+'1.Informe Seguimiento POA 2022'!V76</f>
        <v>0</v>
      </c>
      <c r="AJ145" s="479">
        <f>IFERROR(AVERAGE('1.Informe Seguimiento POA 2022'!P76,'1.Informe Seguimiento POA 2022'!R76,'1.Informe Seguimiento POA 2022'!T76,'1.Informe Seguimiento POA 2022'!V76),0)</f>
        <v>0.63983333333333337</v>
      </c>
      <c r="AK145" s="479">
        <f>IFERROR(IF(OR($W145="",$W145=0),0,ROUNDDOWN(AVERAGE($H145,Q145,Z145,AI145),3)),0)</f>
        <v>0.63900000000000001</v>
      </c>
      <c r="AL145" s="492">
        <f t="shared" si="269"/>
        <v>0</v>
      </c>
      <c r="AM145" s="492">
        <f t="shared" si="270"/>
        <v>0.79979166666666657</v>
      </c>
      <c r="AN145" s="478">
        <f t="shared" si="271"/>
        <v>0.79874999999999996</v>
      </c>
      <c r="AO145" s="482" t="str">
        <f>+'Rango indicadores'!H75</f>
        <v>Mayor A:</v>
      </c>
      <c r="AP145" s="477">
        <f>+'Rango indicadores'!I75</f>
        <v>100</v>
      </c>
      <c r="AQ145" s="477" t="str">
        <f>+'Rango indicadores'!J75</f>
        <v>Desde (&gt;=):</v>
      </c>
      <c r="AR145" s="477">
        <f>+'Rango indicadores'!K75</f>
        <v>93</v>
      </c>
      <c r="AS145" s="477" t="str">
        <f>+'Rango indicadores'!L75</f>
        <v>Hasta (&lt;=):</v>
      </c>
      <c r="AT145" s="477">
        <f>+'Rango indicadores'!M75</f>
        <v>100</v>
      </c>
      <c r="AU145" s="477" t="str">
        <f>+'Rango indicadores'!N75</f>
        <v>Menor A:</v>
      </c>
      <c r="AV145" s="477">
        <f>+'Rango indicadores'!O75</f>
        <v>93</v>
      </c>
      <c r="AW145" s="581" t="s">
        <v>1188</v>
      </c>
      <c r="AX145" s="578"/>
      <c r="AY145" s="1139">
        <f t="shared" si="272"/>
        <v>-1.6666666666665941E-3</v>
      </c>
      <c r="AZ145" s="578"/>
    </row>
    <row r="146" spans="2:53" ht="108" customHeight="1">
      <c r="B146" s="474">
        <f>B145+1</f>
        <v>75</v>
      </c>
      <c r="C146" s="475" t="str">
        <f>+'Rango indicadores'!D76</f>
        <v>12-RI-03</v>
      </c>
      <c r="D146" s="475" t="str">
        <f>+'Rango indicadores'!E76</f>
        <v>Cantidad de actividades realizadas por año para el diseño, actualización o ajuste de los instrumentos archivísticos establecidos por norma</v>
      </c>
      <c r="E146" s="489">
        <f>+'Rango indicadores'!Q76</f>
        <v>25</v>
      </c>
      <c r="F146" s="489">
        <f>'1.Informe Seguimiento POA 2022'!O77</f>
        <v>5</v>
      </c>
      <c r="G146" s="489">
        <f>'1.Informe Seguimiento POA 2022'!O77</f>
        <v>5</v>
      </c>
      <c r="H146" s="489">
        <f>'1.Informe Seguimiento POA 2022'!P77</f>
        <v>6</v>
      </c>
      <c r="I146" s="489">
        <f>'1.Informe Seguimiento POA 2022'!P77</f>
        <v>6</v>
      </c>
      <c r="J146" s="489">
        <f t="shared" si="262"/>
        <v>6</v>
      </c>
      <c r="K146" s="492">
        <f t="shared" si="263"/>
        <v>1.2</v>
      </c>
      <c r="L146" s="492">
        <f t="shared" si="264"/>
        <v>1.2</v>
      </c>
      <c r="M146" s="478">
        <f>IF(AND(E146&gt;0,$J146&gt;0),J146/$E146,0)</f>
        <v>0.24</v>
      </c>
      <c r="N146" s="489">
        <f t="shared" si="273"/>
        <v>25</v>
      </c>
      <c r="O146" s="489">
        <f>+'1.Informe Seguimiento POA 2022'!Q77</f>
        <v>7</v>
      </c>
      <c r="P146" s="489">
        <f>+'1.Informe Seguimiento POA 2022'!O77+'1.Informe Seguimiento POA 2022'!Q77</f>
        <v>12</v>
      </c>
      <c r="Q146" s="489">
        <f>+'1.Informe Seguimiento POA 2022'!R77</f>
        <v>7.75</v>
      </c>
      <c r="R146" s="489">
        <f>+'1.Informe Seguimiento POA 2022'!P77+'1.Informe Seguimiento POA 2022'!R77</f>
        <v>13.75</v>
      </c>
      <c r="S146" s="489">
        <f t="shared" ref="S146" si="276">H146+Q146</f>
        <v>13.75</v>
      </c>
      <c r="T146" s="492">
        <f t="shared" si="265"/>
        <v>1.1071428571428572</v>
      </c>
      <c r="U146" s="492">
        <f t="shared" si="266"/>
        <v>1.1458333333333333</v>
      </c>
      <c r="V146" s="478">
        <f>IF(AND(N146&gt;0,$S146&gt;0),S146/$N146,0)</f>
        <v>0.55000000000000004</v>
      </c>
      <c r="W146" s="489">
        <f t="shared" si="274"/>
        <v>25</v>
      </c>
      <c r="X146" s="489">
        <f>+'1.Informe Seguimiento POA 2022'!S77</f>
        <v>7</v>
      </c>
      <c r="Y146" s="489">
        <f>+'1.Informe Seguimiento POA 2022'!O77+'1.Informe Seguimiento POA 2022'!Q77+'1.Informe Seguimiento POA 2022'!S77</f>
        <v>19</v>
      </c>
      <c r="Z146" s="489">
        <f>+'1.Informe Seguimiento POA 2022'!T77</f>
        <v>5.6</v>
      </c>
      <c r="AA146" s="489">
        <f>+'1.Informe Seguimiento POA 2022'!R77+'1.Informe Seguimiento POA 2022'!T77+'1.Informe Seguimiento POA 2022'!P77</f>
        <v>19.350000000000001</v>
      </c>
      <c r="AB146" s="489">
        <f t="shared" ref="AB146" si="277">H146+Q146+Z146</f>
        <v>19.350000000000001</v>
      </c>
      <c r="AC146" s="492">
        <f t="shared" si="267"/>
        <v>0.79999999999999993</v>
      </c>
      <c r="AD146" s="492">
        <f t="shared" si="268"/>
        <v>1.0184210526315791</v>
      </c>
      <c r="AE146" s="478">
        <f>IF(AND(W146&gt;0,$AB146&gt;0),AB146/$W146,0)</f>
        <v>0.77400000000000002</v>
      </c>
      <c r="AF146" s="489">
        <f t="shared" si="275"/>
        <v>25</v>
      </c>
      <c r="AG146" s="489">
        <f>+'1.Informe Seguimiento POA 2022'!U77</f>
        <v>6</v>
      </c>
      <c r="AH146" s="489">
        <f>+'1.Informe Seguimiento POA 2022'!O77+'1.Informe Seguimiento POA 2022'!Q77+'1.Informe Seguimiento POA 2022'!S77+'1.Informe Seguimiento POA 2022'!U77</f>
        <v>25</v>
      </c>
      <c r="AI146" s="489">
        <f>+'1.Informe Seguimiento POA 2022'!V77</f>
        <v>0</v>
      </c>
      <c r="AJ146" s="489">
        <f>+'1.Informe Seguimiento POA 2022'!P77+'1.Informe Seguimiento POA 2022'!R77+'1.Informe Seguimiento POA 2022'!T77+'1.Informe Seguimiento POA 2022'!V77</f>
        <v>19.350000000000001</v>
      </c>
      <c r="AK146" s="489">
        <f t="shared" ref="AK146:AK147" si="278">H146+Q146+Z146+AI146</f>
        <v>19.350000000000001</v>
      </c>
      <c r="AL146" s="492">
        <f t="shared" si="269"/>
        <v>0</v>
      </c>
      <c r="AM146" s="492">
        <f t="shared" si="270"/>
        <v>0.77400000000000002</v>
      </c>
      <c r="AN146" s="478">
        <f t="shared" si="271"/>
        <v>0.77400000000000002</v>
      </c>
      <c r="AO146" s="482" t="str">
        <f>+'Rango indicadores'!H76</f>
        <v>Mayor o igual A:</v>
      </c>
      <c r="AP146" s="477">
        <f>+'Rango indicadores'!I76</f>
        <v>100</v>
      </c>
      <c r="AQ146" s="477" t="str">
        <f>+'Rango indicadores'!J76</f>
        <v>Desde (&gt;):</v>
      </c>
      <c r="AR146" s="477">
        <f>+'Rango indicadores'!K76</f>
        <v>80</v>
      </c>
      <c r="AS146" s="477" t="str">
        <f>+'Rango indicadores'!L76</f>
        <v>Hasta (&lt;):</v>
      </c>
      <c r="AT146" s="477">
        <f>+'Rango indicadores'!M76</f>
        <v>100</v>
      </c>
      <c r="AU146" s="477" t="str">
        <f>+'Rango indicadores'!N76</f>
        <v>Menor o Igual A:</v>
      </c>
      <c r="AV146" s="477">
        <f>+'Rango indicadores'!O76</f>
        <v>80</v>
      </c>
      <c r="AW146" s="1078" t="s">
        <v>1212</v>
      </c>
      <c r="AX146" s="580"/>
      <c r="AY146" s="654">
        <f t="shared" si="272"/>
        <v>1.4000000000000004</v>
      </c>
      <c r="AZ146" s="580"/>
    </row>
    <row r="147" spans="2:53" ht="100.9" customHeight="1">
      <c r="B147" s="474">
        <f>B146+1</f>
        <v>76</v>
      </c>
      <c r="C147" s="475" t="str">
        <f>+'Rango indicadores'!D77</f>
        <v>12-RI-04</v>
      </c>
      <c r="D147" s="475" t="str">
        <f>+'Rango indicadores'!E77</f>
        <v>Cantidad de actividades realizadas por año para implementación de los instrumentos archivísticos establecidos por norma, y de herramientas de apoyo a la gestión documental.</v>
      </c>
      <c r="E147" s="489">
        <f>+'Rango indicadores'!Q77</f>
        <v>25</v>
      </c>
      <c r="F147" s="489">
        <f>'1.Informe Seguimiento POA 2022'!O78</f>
        <v>5</v>
      </c>
      <c r="G147" s="489">
        <f>'1.Informe Seguimiento POA 2022'!O78</f>
        <v>5</v>
      </c>
      <c r="H147" s="489">
        <f>'1.Informe Seguimiento POA 2022'!P78</f>
        <v>5</v>
      </c>
      <c r="I147" s="489">
        <f>'1.Informe Seguimiento POA 2022'!P78</f>
        <v>5</v>
      </c>
      <c r="J147" s="489">
        <f t="shared" si="262"/>
        <v>5</v>
      </c>
      <c r="K147" s="492">
        <f t="shared" si="263"/>
        <v>1</v>
      </c>
      <c r="L147" s="492">
        <f t="shared" si="264"/>
        <v>1</v>
      </c>
      <c r="M147" s="478">
        <f>IF(AND(E147&gt;0,$J147&gt;0),J147/$E147,0)</f>
        <v>0.2</v>
      </c>
      <c r="N147" s="489">
        <f t="shared" si="273"/>
        <v>25</v>
      </c>
      <c r="O147" s="489">
        <f>+'1.Informe Seguimiento POA 2022'!Q78</f>
        <v>7</v>
      </c>
      <c r="P147" s="489">
        <f>+'1.Informe Seguimiento POA 2022'!O78+'1.Informe Seguimiento POA 2022'!Q78</f>
        <v>12</v>
      </c>
      <c r="Q147" s="489">
        <f>+'1.Informe Seguimiento POA 2022'!R78</f>
        <v>7</v>
      </c>
      <c r="R147" s="489">
        <f>+'1.Informe Seguimiento POA 2022'!P78+'1.Informe Seguimiento POA 2022'!R78</f>
        <v>12</v>
      </c>
      <c r="S147" s="489">
        <f t="shared" ref="S147" si="279">H147+Q147</f>
        <v>12</v>
      </c>
      <c r="T147" s="492">
        <f t="shared" si="265"/>
        <v>1</v>
      </c>
      <c r="U147" s="492">
        <f t="shared" si="266"/>
        <v>1</v>
      </c>
      <c r="V147" s="478">
        <f>IF(AND(N147&gt;0,$S147&gt;0),S147/$N147,0)</f>
        <v>0.48</v>
      </c>
      <c r="W147" s="489">
        <f t="shared" si="274"/>
        <v>25</v>
      </c>
      <c r="X147" s="489">
        <f>+'1.Informe Seguimiento POA 2022'!S78</f>
        <v>7</v>
      </c>
      <c r="Y147" s="489">
        <f>+'1.Informe Seguimiento POA 2022'!O78+'1.Informe Seguimiento POA 2022'!Q78+'1.Informe Seguimiento POA 2022'!S78</f>
        <v>19</v>
      </c>
      <c r="Z147" s="489">
        <f>+'1.Informe Seguimiento POA 2022'!T78</f>
        <v>7.4</v>
      </c>
      <c r="AA147" s="489">
        <f>+'1.Informe Seguimiento POA 2022'!R78+'1.Informe Seguimiento POA 2022'!T78+'1.Informe Seguimiento POA 2022'!P78</f>
        <v>19.399999999999999</v>
      </c>
      <c r="AB147" s="489">
        <f t="shared" ref="AB147" si="280">H147+Q147+Z147</f>
        <v>19.399999999999999</v>
      </c>
      <c r="AC147" s="492">
        <f t="shared" si="267"/>
        <v>1.0571428571428572</v>
      </c>
      <c r="AD147" s="492">
        <f t="shared" si="268"/>
        <v>1.0210526315789472</v>
      </c>
      <c r="AE147" s="478">
        <f>IF(AND(W147&gt;0,$AB147&gt;0),AB147/$W147,0)</f>
        <v>0.77599999999999991</v>
      </c>
      <c r="AF147" s="489">
        <f t="shared" si="275"/>
        <v>25</v>
      </c>
      <c r="AG147" s="489">
        <f>+'1.Informe Seguimiento POA 2022'!U78</f>
        <v>6</v>
      </c>
      <c r="AH147" s="489">
        <f>+'1.Informe Seguimiento POA 2022'!O78+'1.Informe Seguimiento POA 2022'!Q78+'1.Informe Seguimiento POA 2022'!S78+'1.Informe Seguimiento POA 2022'!U78</f>
        <v>25</v>
      </c>
      <c r="AI147" s="489">
        <f>+'1.Informe Seguimiento POA 2022'!V78</f>
        <v>0</v>
      </c>
      <c r="AJ147" s="489">
        <f>+'1.Informe Seguimiento POA 2022'!P78+'1.Informe Seguimiento POA 2022'!R78+'1.Informe Seguimiento POA 2022'!T78+'1.Informe Seguimiento POA 2022'!V78</f>
        <v>19.399999999999999</v>
      </c>
      <c r="AK147" s="489">
        <f t="shared" si="278"/>
        <v>19.399999999999999</v>
      </c>
      <c r="AL147" s="492">
        <f t="shared" si="269"/>
        <v>0</v>
      </c>
      <c r="AM147" s="492">
        <f t="shared" si="270"/>
        <v>0.77599999999999991</v>
      </c>
      <c r="AN147" s="478">
        <f t="shared" si="271"/>
        <v>0.77599999999999991</v>
      </c>
      <c r="AO147" s="482" t="str">
        <f>+'Rango indicadores'!H77</f>
        <v>Mayor o igual A:</v>
      </c>
      <c r="AP147" s="477">
        <f>+'Rango indicadores'!I77</f>
        <v>100</v>
      </c>
      <c r="AQ147" s="477" t="str">
        <f>+'Rango indicadores'!J77</f>
        <v>Desde (&gt;):</v>
      </c>
      <c r="AR147" s="477">
        <f>+'Rango indicadores'!K77</f>
        <v>80</v>
      </c>
      <c r="AS147" s="477" t="str">
        <f>+'Rango indicadores'!L77</f>
        <v>Hasta (&lt;):</v>
      </c>
      <c r="AT147" s="477">
        <f>+'Rango indicadores'!M77</f>
        <v>100</v>
      </c>
      <c r="AU147" s="477" t="str">
        <f>+'Rango indicadores'!N77</f>
        <v>Menor o Igual A:</v>
      </c>
      <c r="AV147" s="477">
        <f>+'Rango indicadores'!O77</f>
        <v>80</v>
      </c>
      <c r="AW147" s="573" t="s">
        <v>1213</v>
      </c>
      <c r="AX147" s="580"/>
      <c r="AY147" s="654">
        <f>+X147-Z147</f>
        <v>-0.40000000000000036</v>
      </c>
      <c r="AZ147" s="580"/>
      <c r="BA147" s="496"/>
    </row>
    <row r="148" spans="2:53" ht="15.75">
      <c r="C148" s="1598" t="s">
        <v>872</v>
      </c>
      <c r="D148" s="1599"/>
      <c r="E148" s="1599"/>
      <c r="F148" s="1599"/>
      <c r="G148" s="1599"/>
      <c r="H148" s="1599"/>
      <c r="I148" s="1599"/>
      <c r="J148" s="1599"/>
      <c r="K148" s="480">
        <f>IFERROR(AVERAGE(K144:K147),0)</f>
        <v>1.0828135964912282</v>
      </c>
      <c r="L148" s="480">
        <f>IFERROR(AVERAGE(L144:L147),0)</f>
        <v>1.0828135964912282</v>
      </c>
      <c r="M148" s="480">
        <f>IFERROR(AVERAGE(M144:M147),0)</f>
        <v>0.24320339912280703</v>
      </c>
      <c r="N148" s="1060"/>
      <c r="O148" s="1060"/>
      <c r="P148" s="1060"/>
      <c r="Q148" s="1060"/>
      <c r="R148" s="1060"/>
      <c r="S148" s="1060"/>
      <c r="T148" s="480">
        <f>IFERROR(AVERAGE(T144:T147),0)</f>
        <v>1.0641113721804509</v>
      </c>
      <c r="U148" s="480">
        <f>IFERROR(AVERAGE(U144:U147),0)</f>
        <v>1.0715279605263157</v>
      </c>
      <c r="V148" s="480">
        <f>IFERROR(AVERAGE(V144:V147),0)</f>
        <v>0.52481907894736834</v>
      </c>
      <c r="W148" s="1060"/>
      <c r="X148" s="1060"/>
      <c r="Y148" s="1060"/>
      <c r="Z148" s="1060"/>
      <c r="AA148" s="1060"/>
      <c r="AB148" s="1060"/>
      <c r="AC148" s="480">
        <f>IFERROR(AVERAGE(AC144:AC147),0)</f>
        <v>0.97241181077694239</v>
      </c>
      <c r="AD148" s="480">
        <f>IFERROR(AVERAGE(AD144:AD147),0)</f>
        <v>1.0359568713450293</v>
      </c>
      <c r="AE148" s="480">
        <f>IFERROR(AVERAGE(AE144:AE147),0)</f>
        <v>0.78202713815789471</v>
      </c>
      <c r="AF148" s="1060"/>
      <c r="AG148" s="1060"/>
      <c r="AH148" s="1060"/>
      <c r="AI148" s="1060"/>
      <c r="AJ148" s="1060"/>
      <c r="AK148" s="1061"/>
      <c r="AL148" s="480">
        <f>IFERROR(AVERAGE(AL144:AL147),0)</f>
        <v>0</v>
      </c>
      <c r="AM148" s="480">
        <f>IFERROR(AVERAGE(AM144:AM147),0)</f>
        <v>0.78206633771929823</v>
      </c>
      <c r="AN148" s="480">
        <f>IFERROR(AVERAGE(AN144:AN147),0)</f>
        <v>0.78166118421052633</v>
      </c>
      <c r="AO148" s="487"/>
      <c r="AP148" s="487"/>
      <c r="AQ148" s="487"/>
      <c r="AR148" s="487"/>
      <c r="AS148" s="487"/>
      <c r="AT148" s="487"/>
      <c r="AU148" s="487"/>
      <c r="AV148" s="487"/>
      <c r="AW148" s="582"/>
      <c r="AY148" s="654"/>
    </row>
    <row r="149" spans="2:53" s="470" customFormat="1" ht="22.15" customHeight="1" thickBot="1">
      <c r="D149" s="472"/>
      <c r="AW149" s="472"/>
      <c r="AY149" s="654"/>
      <c r="AZ149" s="455"/>
    </row>
    <row r="150" spans="2:53" s="470" customFormat="1" ht="16.5" thickBot="1">
      <c r="C150" s="473" t="s">
        <v>885</v>
      </c>
      <c r="D150" s="503"/>
      <c r="E150" s="1577" t="s">
        <v>1136</v>
      </c>
      <c r="F150" s="1578"/>
      <c r="G150" s="1578"/>
      <c r="H150" s="1578"/>
      <c r="I150" s="1578"/>
      <c r="J150" s="1578"/>
      <c r="K150" s="1578"/>
      <c r="L150" s="1578"/>
      <c r="M150" s="1579"/>
      <c r="N150" s="1580" t="s">
        <v>1137</v>
      </c>
      <c r="O150" s="1581"/>
      <c r="P150" s="1581"/>
      <c r="Q150" s="1581"/>
      <c r="R150" s="1581"/>
      <c r="S150" s="1581"/>
      <c r="T150" s="1581"/>
      <c r="U150" s="1581"/>
      <c r="V150" s="1582"/>
      <c r="W150" s="1574" t="s">
        <v>1138</v>
      </c>
      <c r="X150" s="1575"/>
      <c r="Y150" s="1575"/>
      <c r="Z150" s="1575"/>
      <c r="AA150" s="1575"/>
      <c r="AB150" s="1575"/>
      <c r="AC150" s="1575"/>
      <c r="AD150" s="1575"/>
      <c r="AE150" s="1576"/>
      <c r="AF150" s="1580" t="s">
        <v>1052</v>
      </c>
      <c r="AG150" s="1581"/>
      <c r="AH150" s="1581"/>
      <c r="AI150" s="1581"/>
      <c r="AJ150" s="1581"/>
      <c r="AK150" s="1581"/>
      <c r="AL150" s="1581"/>
      <c r="AM150" s="1581"/>
      <c r="AN150" s="1582"/>
      <c r="AW150" s="472"/>
      <c r="AY150" s="654"/>
      <c r="AZ150" s="455"/>
    </row>
    <row r="151" spans="2:53" ht="30.75" customHeight="1">
      <c r="C151" s="1571" t="str">
        <f>+$C$10</f>
        <v>Identificación del Indicador</v>
      </c>
      <c r="D151" s="1584" t="s">
        <v>867</v>
      </c>
      <c r="E151" s="1567" t="s">
        <v>868</v>
      </c>
      <c r="F151" s="1568"/>
      <c r="G151" s="1569"/>
      <c r="H151" s="1570" t="s">
        <v>1140</v>
      </c>
      <c r="I151" s="1572" t="s">
        <v>1144</v>
      </c>
      <c r="J151" s="1570" t="s">
        <v>869</v>
      </c>
      <c r="K151" s="1570" t="s">
        <v>863</v>
      </c>
      <c r="L151" s="1570"/>
      <c r="M151" s="1570"/>
      <c r="N151" s="1567" t="s">
        <v>868</v>
      </c>
      <c r="O151" s="1568"/>
      <c r="P151" s="1569"/>
      <c r="Q151" s="1570" t="s">
        <v>1150</v>
      </c>
      <c r="R151" s="1572" t="s">
        <v>1141</v>
      </c>
      <c r="S151" s="1570" t="s">
        <v>869</v>
      </c>
      <c r="T151" s="1570" t="s">
        <v>863</v>
      </c>
      <c r="U151" s="1570"/>
      <c r="V151" s="1570"/>
      <c r="W151" s="1567" t="s">
        <v>868</v>
      </c>
      <c r="X151" s="1568"/>
      <c r="Y151" s="1569"/>
      <c r="Z151" s="1570" t="s">
        <v>1151</v>
      </c>
      <c r="AA151" s="1572" t="s">
        <v>1146</v>
      </c>
      <c r="AB151" s="1570" t="s">
        <v>869</v>
      </c>
      <c r="AC151" s="1570" t="s">
        <v>863</v>
      </c>
      <c r="AD151" s="1570"/>
      <c r="AE151" s="1570"/>
      <c r="AF151" s="1567" t="s">
        <v>868</v>
      </c>
      <c r="AG151" s="1568"/>
      <c r="AH151" s="1569"/>
      <c r="AI151" s="1570" t="s">
        <v>1152</v>
      </c>
      <c r="AJ151" s="1572" t="s">
        <v>1148</v>
      </c>
      <c r="AK151" s="1570" t="s">
        <v>869</v>
      </c>
      <c r="AL151" s="1570" t="s">
        <v>863</v>
      </c>
      <c r="AM151" s="1570"/>
      <c r="AN151" s="1570"/>
      <c r="AO151" s="1583" t="s">
        <v>715</v>
      </c>
      <c r="AP151" s="1583"/>
      <c r="AQ151" s="1583"/>
      <c r="AR151" s="1583"/>
      <c r="AS151" s="1583"/>
      <c r="AT151" s="1583"/>
      <c r="AU151" s="1583"/>
      <c r="AV151" s="1583"/>
      <c r="AW151" s="1571" t="s">
        <v>888</v>
      </c>
      <c r="AY151" s="654"/>
    </row>
    <row r="152" spans="2:53" ht="63" customHeight="1">
      <c r="C152" s="1571"/>
      <c r="D152" s="1584"/>
      <c r="E152" s="1017" t="s">
        <v>1153</v>
      </c>
      <c r="F152" s="1017" t="str">
        <f>+E150</f>
        <v>Primer Trimestre</v>
      </c>
      <c r="G152" s="1018" t="s">
        <v>1143</v>
      </c>
      <c r="H152" s="1571"/>
      <c r="I152" s="1573"/>
      <c r="J152" s="1571"/>
      <c r="K152" s="1017" t="str">
        <f>+$D$6</f>
        <v>Tercer Trimestre</v>
      </c>
      <c r="L152" s="1018" t="str">
        <f>+G152</f>
        <v>Acumulado
Corte 
31/03/2022</v>
      </c>
      <c r="M152" s="1019" t="s">
        <v>760</v>
      </c>
      <c r="N152" s="1017" t="s">
        <v>1153</v>
      </c>
      <c r="O152" s="1017" t="str">
        <f>+N150</f>
        <v>Segundo Trimestre</v>
      </c>
      <c r="P152" s="1018" t="s">
        <v>1142</v>
      </c>
      <c r="Q152" s="1571"/>
      <c r="R152" s="1573"/>
      <c r="S152" s="1571"/>
      <c r="T152" s="1017" t="str">
        <f>+O152</f>
        <v>Segundo Trimestre</v>
      </c>
      <c r="U152" s="1018" t="str">
        <f>+P152</f>
        <v>Acumulado Corte 
30/06/2022</v>
      </c>
      <c r="V152" s="1019" t="s">
        <v>760</v>
      </c>
      <c r="W152" s="1017" t="s">
        <v>1153</v>
      </c>
      <c r="X152" s="1017" t="str">
        <f>+W150</f>
        <v>Tercer Trimestre</v>
      </c>
      <c r="Y152" s="1018" t="s">
        <v>1145</v>
      </c>
      <c r="Z152" s="1571"/>
      <c r="AA152" s="1573"/>
      <c r="AB152" s="1571"/>
      <c r="AC152" s="1017" t="str">
        <f>+X152</f>
        <v>Tercer Trimestre</v>
      </c>
      <c r="AD152" s="1018" t="str">
        <f>+Y152</f>
        <v>Acumulado Corte 
30/09/2022</v>
      </c>
      <c r="AE152" s="1019" t="s">
        <v>760</v>
      </c>
      <c r="AF152" s="1017" t="s">
        <v>1153</v>
      </c>
      <c r="AG152" s="1017" t="str">
        <f>+AF150</f>
        <v>Cuarto Trimestre</v>
      </c>
      <c r="AH152" s="1018" t="s">
        <v>1147</v>
      </c>
      <c r="AI152" s="1571"/>
      <c r="AJ152" s="1573"/>
      <c r="AK152" s="1571"/>
      <c r="AL152" s="1017" t="str">
        <f>+AG152</f>
        <v>Cuarto Trimestre</v>
      </c>
      <c r="AM152" s="1018" t="str">
        <f>+AH152</f>
        <v>Acumulado Corte 
31/12/2022</v>
      </c>
      <c r="AN152" s="1019" t="s">
        <v>760</v>
      </c>
      <c r="AO152" s="1201" t="s">
        <v>870</v>
      </c>
      <c r="AP152" s="1202"/>
      <c r="AQ152" s="1203" t="s">
        <v>871</v>
      </c>
      <c r="AR152" s="1204"/>
      <c r="AS152" s="1204"/>
      <c r="AT152" s="1205"/>
      <c r="AU152" s="1206" t="s">
        <v>723</v>
      </c>
      <c r="AV152" s="1207"/>
      <c r="AW152" s="1571"/>
      <c r="AY152" s="654"/>
    </row>
    <row r="153" spans="2:53" ht="99.6" customHeight="1">
      <c r="B153" s="474">
        <f>1+B147</f>
        <v>77</v>
      </c>
      <c r="C153" s="475" t="str">
        <f>+'Rango indicadores'!D78</f>
        <v>13-RI-01</v>
      </c>
      <c r="D153" s="475" t="str">
        <f>+'Rango indicadores'!E78</f>
        <v>Porcentaje de procesos judiciales en los que se vincule o demande a la Entidad, objeto de representación oportuna</v>
      </c>
      <c r="E153" s="479">
        <f>+'Rango indicadores'!Q78</f>
        <v>1</v>
      </c>
      <c r="F153" s="507">
        <f>'1.Informe Seguimiento POA 2022'!O79</f>
        <v>1</v>
      </c>
      <c r="G153" s="507">
        <f>'1.Informe Seguimiento POA 2022'!O79</f>
        <v>1</v>
      </c>
      <c r="H153" s="921">
        <f>'1.Informe Seguimiento POA 2022'!P79</f>
        <v>1</v>
      </c>
      <c r="I153" s="921">
        <f>'1.Informe Seguimiento POA 2022'!P79</f>
        <v>1</v>
      </c>
      <c r="J153" s="921">
        <f t="shared" ref="J153:J157" si="281">I153</f>
        <v>1</v>
      </c>
      <c r="K153" s="492">
        <f t="shared" ref="K153" si="282">IF(AND(F153&gt;0),H153/F153,"No programado")</f>
        <v>1</v>
      </c>
      <c r="L153" s="492">
        <f t="shared" ref="L153" si="283">IF(AND(G153&gt;0),I153/G153,"No programado")</f>
        <v>1</v>
      </c>
      <c r="M153" s="478">
        <f>IF(AND(E153&gt;0,$J153&gt;0),J153/$E153,0)*0.25</f>
        <v>0.25</v>
      </c>
      <c r="N153" s="479">
        <f>+E153</f>
        <v>1</v>
      </c>
      <c r="O153" s="921">
        <f>+'1.Informe Seguimiento POA 2022'!Q79</f>
        <v>1</v>
      </c>
      <c r="P153" s="1059">
        <f>IFERROR(AVERAGE(F153,O153),0)</f>
        <v>1</v>
      </c>
      <c r="Q153" s="921">
        <f>'1.Informe Seguimiento POA 2022'!R79</f>
        <v>1</v>
      </c>
      <c r="R153" s="479">
        <f>IFERROR(AVERAGE('1.Informe Seguimiento POA 2022'!P79,'1.Informe Seguimiento POA 2022'!R79),0)</f>
        <v>1</v>
      </c>
      <c r="S153" s="479">
        <f>IFERROR(IF(OR($N153="",$N153=0),0,ROUNDDOWN(AVERAGE($H153,Q153),3)),0)</f>
        <v>1</v>
      </c>
      <c r="T153" s="492">
        <f t="shared" ref="T153:T157" si="284">IF(AND(O153&gt;0),Q153/O153,"No programado")</f>
        <v>1</v>
      </c>
      <c r="U153" s="492">
        <f t="shared" ref="U153:U157" si="285">IF(AND(P153&gt;0),R153/P153,"No programado")</f>
        <v>1</v>
      </c>
      <c r="V153" s="478">
        <f>IF(AND(N153&gt;0,$S153&gt;0),S153/$N153,0)*0.5</f>
        <v>0.5</v>
      </c>
      <c r="W153" s="479">
        <f>+N153</f>
        <v>1</v>
      </c>
      <c r="X153" s="507">
        <f>+'1.Informe Seguimiento POA 2022'!S79</f>
        <v>1</v>
      </c>
      <c r="Y153" s="479">
        <f>IFERROR(AVERAGE('1.Informe Seguimiento POA 2022'!O79,'1.Informe Seguimiento POA 2022'!Q79,'1.Informe Seguimiento POA 2022'!S79),0)</f>
        <v>1</v>
      </c>
      <c r="Z153" s="479">
        <f>+'1.Informe Seguimiento POA 2022'!T79</f>
        <v>1</v>
      </c>
      <c r="AA153" s="479">
        <f>IFERROR(AVERAGE('1.Informe Seguimiento POA 2022'!R79,'1.Informe Seguimiento POA 2022'!P79,'1.Informe Seguimiento POA 2022'!T79),0)</f>
        <v>1</v>
      </c>
      <c r="AB153" s="479">
        <f>IFERROR(IF(OR($W153="",$W153=0),0,ROUNDDOWN(AVERAGE($H153,Q153,Z153),3)),0)</f>
        <v>1</v>
      </c>
      <c r="AC153" s="492">
        <f t="shared" ref="AC153:AC157" si="286">IF(AND(X153&gt;0),Z153/X153,"No programado")</f>
        <v>1</v>
      </c>
      <c r="AD153" s="492">
        <f t="shared" ref="AD153:AD157" si="287">IF(AND(Y153&gt;0),AA153/Y153,"No programado")</f>
        <v>1</v>
      </c>
      <c r="AE153" s="478">
        <f>IF(AND(W153&gt;0,$AB153&gt;0),AB153/$W153,0)*0.75</f>
        <v>0.75</v>
      </c>
      <c r="AF153" s="479">
        <f>+W153</f>
        <v>1</v>
      </c>
      <c r="AG153" s="479">
        <f>+'1.Informe Seguimiento POA 2022'!U79</f>
        <v>1</v>
      </c>
      <c r="AH153" s="479">
        <f>IFERROR(AVERAGE('1.Informe Seguimiento POA 2022'!O79,'1.Informe Seguimiento POA 2022'!Q79,'1.Informe Seguimiento POA 2022'!S79,'1.Informe Seguimiento POA 2022'!U79),0)</f>
        <v>1</v>
      </c>
      <c r="AI153" s="479">
        <f>+'1.Informe Seguimiento POA 2022'!V79</f>
        <v>0</v>
      </c>
      <c r="AJ153" s="479">
        <f>IFERROR(AVERAGE('1.Informe Seguimiento POA 2022'!P79,'1.Informe Seguimiento POA 2022'!R79,'1.Informe Seguimiento POA 2022'!T79,'1.Informe Seguimiento POA 2022'!V79),0)</f>
        <v>0.75</v>
      </c>
      <c r="AK153" s="479">
        <f>IFERROR(IF(OR($W153="",$W153=0),0,ROUNDDOWN(AVERAGE($H153,Q153,Z153,AI153),3)),0)</f>
        <v>0.75</v>
      </c>
      <c r="AL153" s="492">
        <f t="shared" ref="AL153:AL157" si="288">IF(AND(AG153&gt;0),AI153/AG153,"No programado")</f>
        <v>0</v>
      </c>
      <c r="AM153" s="492">
        <f t="shared" ref="AM153:AM157" si="289">IF(AND(AH153&gt;0),AJ153/AH153,"No programado")</f>
        <v>0.75</v>
      </c>
      <c r="AN153" s="478">
        <f t="shared" ref="AN153:AN157" si="290">IF(AND(AF153&gt;0,$J153&gt;0),AK153/$E153,0)</f>
        <v>0.75</v>
      </c>
      <c r="AO153" s="482" t="str">
        <f>+'Rango indicadores'!H78</f>
        <v>Mayor o igual A:</v>
      </c>
      <c r="AP153" s="477">
        <f>+'Rango indicadores'!I78</f>
        <v>100</v>
      </c>
      <c r="AQ153" s="477" t="str">
        <f>+'Rango indicadores'!J78</f>
        <v>Desde (&gt;):</v>
      </c>
      <c r="AR153" s="477">
        <f>+'Rango indicadores'!K78</f>
        <v>90</v>
      </c>
      <c r="AS153" s="477" t="str">
        <f>+'Rango indicadores'!L78</f>
        <v>Hasta (&lt;):</v>
      </c>
      <c r="AT153" s="477">
        <f>+'Rango indicadores'!M78</f>
        <v>100</v>
      </c>
      <c r="AU153" s="477" t="str">
        <f>+'Rango indicadores'!N78</f>
        <v>Menor o Igual A:</v>
      </c>
      <c r="AV153" s="477">
        <f>+'Rango indicadores'!O78</f>
        <v>90</v>
      </c>
      <c r="AW153" s="581" t="s">
        <v>1166</v>
      </c>
      <c r="AY153" s="654"/>
    </row>
    <row r="154" spans="2:53" ht="97.9" customHeight="1">
      <c r="B154" s="474">
        <f>B153+1</f>
        <v>78</v>
      </c>
      <c r="C154" s="475" t="str">
        <f>+'Rango indicadores'!D79</f>
        <v>13-RI-02</v>
      </c>
      <c r="D154" s="475" t="str">
        <f>+'Rango indicadores'!E79</f>
        <v xml:space="preserve">Porcentaje de acciones de tutela en las cuales se defienda judicialmente a la Entidad oportunamente </v>
      </c>
      <c r="E154" s="479">
        <f>+'Rango indicadores'!Q79</f>
        <v>1</v>
      </c>
      <c r="F154" s="507">
        <f>'1.Informe Seguimiento POA 2022'!O80</f>
        <v>1</v>
      </c>
      <c r="G154" s="507">
        <f>'1.Informe Seguimiento POA 2022'!O80</f>
        <v>1</v>
      </c>
      <c r="H154" s="921">
        <f>'1.Informe Seguimiento POA 2022'!P80</f>
        <v>1</v>
      </c>
      <c r="I154" s="921">
        <f>'1.Informe Seguimiento POA 2022'!P80</f>
        <v>1</v>
      </c>
      <c r="J154" s="921">
        <f t="shared" si="281"/>
        <v>1</v>
      </c>
      <c r="K154" s="492">
        <f t="shared" ref="K154:K157" si="291">IF(AND(F154&gt;0),H154/F154,"No programado")</f>
        <v>1</v>
      </c>
      <c r="L154" s="492">
        <f t="shared" ref="L154:L157" si="292">IF(AND(G154&gt;0),I154/G154,"No programado")</f>
        <v>1</v>
      </c>
      <c r="M154" s="478">
        <f t="shared" ref="M154:M157" si="293">IF(AND(E154&gt;0,$J154&gt;0),J154/$E154,0)*0.25</f>
        <v>0.25</v>
      </c>
      <c r="N154" s="479">
        <f t="shared" ref="N154:N157" si="294">+E154</f>
        <v>1</v>
      </c>
      <c r="O154" s="921">
        <f>+'1.Informe Seguimiento POA 2022'!Q80</f>
        <v>1</v>
      </c>
      <c r="P154" s="1059">
        <f t="shared" ref="P154:P157" si="295">IFERROR(AVERAGE(F154,O154),0)</f>
        <v>1</v>
      </c>
      <c r="Q154" s="921">
        <f>'1.Informe Seguimiento POA 2022'!R80</f>
        <v>1</v>
      </c>
      <c r="R154" s="479">
        <f>IFERROR(AVERAGE('1.Informe Seguimiento POA 2022'!P80,'1.Informe Seguimiento POA 2022'!R80),0)</f>
        <v>1</v>
      </c>
      <c r="S154" s="479">
        <f t="shared" ref="S154:S157" si="296">IFERROR(IF(OR($N154="",$N154=0),0,ROUNDDOWN(AVERAGE($H154,Q154),3)),0)</f>
        <v>1</v>
      </c>
      <c r="T154" s="492">
        <f t="shared" si="284"/>
        <v>1</v>
      </c>
      <c r="U154" s="492">
        <f t="shared" si="285"/>
        <v>1</v>
      </c>
      <c r="V154" s="478">
        <f>IF(AND(N154&gt;0,$S154&gt;0),S154/$N154,0)*0.5</f>
        <v>0.5</v>
      </c>
      <c r="W154" s="479">
        <f t="shared" ref="W154:W157" si="297">+N154</f>
        <v>1</v>
      </c>
      <c r="X154" s="507">
        <f>+'1.Informe Seguimiento POA 2022'!S80</f>
        <v>1</v>
      </c>
      <c r="Y154" s="479">
        <f>IFERROR(AVERAGE('1.Informe Seguimiento POA 2022'!O80,'1.Informe Seguimiento POA 2022'!Q80,'1.Informe Seguimiento POA 2022'!S80),0)</f>
        <v>1</v>
      </c>
      <c r="Z154" s="479">
        <f>+'1.Informe Seguimiento POA 2022'!T80</f>
        <v>1</v>
      </c>
      <c r="AA154" s="479">
        <f>IFERROR(AVERAGE('1.Informe Seguimiento POA 2022'!R80,'1.Informe Seguimiento POA 2022'!P80,'1.Informe Seguimiento POA 2022'!T80),0)</f>
        <v>1</v>
      </c>
      <c r="AB154" s="479">
        <f t="shared" ref="AB154:AB157" si="298">IFERROR(IF(OR($W154="",$W154=0),0,ROUNDDOWN(AVERAGE($H154,Q154,Z154),3)),0)</f>
        <v>1</v>
      </c>
      <c r="AC154" s="492">
        <f t="shared" si="286"/>
        <v>1</v>
      </c>
      <c r="AD154" s="492">
        <f t="shared" si="287"/>
        <v>1</v>
      </c>
      <c r="AE154" s="478">
        <f>IF(AND(W154&gt;0,$AB154&gt;0),AB154/$W154,0)*0.75</f>
        <v>0.75</v>
      </c>
      <c r="AF154" s="479">
        <f t="shared" ref="AF154:AF157" si="299">+W154</f>
        <v>1</v>
      </c>
      <c r="AG154" s="479">
        <f>+'1.Informe Seguimiento POA 2022'!U80</f>
        <v>1</v>
      </c>
      <c r="AH154" s="479">
        <f>IFERROR(AVERAGE('1.Informe Seguimiento POA 2022'!O80,'1.Informe Seguimiento POA 2022'!Q80,'1.Informe Seguimiento POA 2022'!S80,'1.Informe Seguimiento POA 2022'!U80),0)</f>
        <v>1</v>
      </c>
      <c r="AI154" s="479">
        <f>+'1.Informe Seguimiento POA 2022'!V80</f>
        <v>0</v>
      </c>
      <c r="AJ154" s="479">
        <f>IFERROR(AVERAGE('1.Informe Seguimiento POA 2022'!P80,'1.Informe Seguimiento POA 2022'!R80,'1.Informe Seguimiento POA 2022'!T80,'1.Informe Seguimiento POA 2022'!V80),0)</f>
        <v>0.75</v>
      </c>
      <c r="AK154" s="479">
        <f t="shared" ref="AK154:AK157" si="300">IFERROR(IF(OR($W154="",$W154=0),0,ROUNDDOWN(AVERAGE($H154,Q154,Z154,AI154),3)),0)</f>
        <v>0.75</v>
      </c>
      <c r="AL154" s="492">
        <f t="shared" si="288"/>
        <v>0</v>
      </c>
      <c r="AM154" s="492">
        <f t="shared" si="289"/>
        <v>0.75</v>
      </c>
      <c r="AN154" s="478">
        <f t="shared" si="290"/>
        <v>0.75</v>
      </c>
      <c r="AO154" s="482" t="str">
        <f>+'Rango indicadores'!H79</f>
        <v>Mayor o igual A:</v>
      </c>
      <c r="AP154" s="477">
        <f>+'Rango indicadores'!I79</f>
        <v>100</v>
      </c>
      <c r="AQ154" s="477" t="str">
        <f>+'Rango indicadores'!J79</f>
        <v>Desde (&gt;):</v>
      </c>
      <c r="AR154" s="477">
        <f>+'Rango indicadores'!K79</f>
        <v>90</v>
      </c>
      <c r="AS154" s="477" t="str">
        <f>+'Rango indicadores'!L79</f>
        <v>Hasta (&lt;):</v>
      </c>
      <c r="AT154" s="477">
        <f>+'Rango indicadores'!M79</f>
        <v>100</v>
      </c>
      <c r="AU154" s="477" t="str">
        <f>+'Rango indicadores'!N79</f>
        <v>Menor o Igual A:</v>
      </c>
      <c r="AV154" s="477">
        <f>+'Rango indicadores'!O79</f>
        <v>90</v>
      </c>
      <c r="AW154" s="581" t="s">
        <v>1166</v>
      </c>
      <c r="AY154" s="654"/>
    </row>
    <row r="155" spans="2:53" ht="97.9" customHeight="1">
      <c r="B155" s="474">
        <f t="shared" ref="B155:B157" si="301">B154+1</f>
        <v>79</v>
      </c>
      <c r="C155" s="475" t="str">
        <f>+'Rango indicadores'!D80</f>
        <v>13-RI-03</v>
      </c>
      <c r="D155" s="475" t="str">
        <f>+'Rango indicadores'!E80</f>
        <v>Porcentaje de conceptos de competencia de la dependencia emitidos oportunamente</v>
      </c>
      <c r="E155" s="479">
        <f>+'Rango indicadores'!Q80</f>
        <v>1</v>
      </c>
      <c r="F155" s="507">
        <f>'1.Informe Seguimiento POA 2022'!O81</f>
        <v>1</v>
      </c>
      <c r="G155" s="507">
        <f>'1.Informe Seguimiento POA 2022'!O81</f>
        <v>1</v>
      </c>
      <c r="H155" s="921">
        <f>'1.Informe Seguimiento POA 2022'!P81</f>
        <v>1</v>
      </c>
      <c r="I155" s="921">
        <f>'1.Informe Seguimiento POA 2022'!P81</f>
        <v>1</v>
      </c>
      <c r="J155" s="921">
        <f t="shared" si="281"/>
        <v>1</v>
      </c>
      <c r="K155" s="492">
        <f t="shared" si="291"/>
        <v>1</v>
      </c>
      <c r="L155" s="492">
        <f t="shared" si="292"/>
        <v>1</v>
      </c>
      <c r="M155" s="478">
        <f t="shared" si="293"/>
        <v>0.25</v>
      </c>
      <c r="N155" s="479">
        <f t="shared" si="294"/>
        <v>1</v>
      </c>
      <c r="O155" s="921">
        <f>+'1.Informe Seguimiento POA 2022'!Q81</f>
        <v>1</v>
      </c>
      <c r="P155" s="1059">
        <f t="shared" si="295"/>
        <v>1</v>
      </c>
      <c r="Q155" s="921">
        <f>'1.Informe Seguimiento POA 2022'!R81</f>
        <v>1</v>
      </c>
      <c r="R155" s="479">
        <f>IFERROR(AVERAGE('1.Informe Seguimiento POA 2022'!P81,'1.Informe Seguimiento POA 2022'!R81),0)</f>
        <v>1</v>
      </c>
      <c r="S155" s="479">
        <f t="shared" si="296"/>
        <v>1</v>
      </c>
      <c r="T155" s="492">
        <f t="shared" si="284"/>
        <v>1</v>
      </c>
      <c r="U155" s="492">
        <f t="shared" si="285"/>
        <v>1</v>
      </c>
      <c r="V155" s="478">
        <f>IF(AND(N155&gt;0,$S155&gt;0),S155/$N155,0)*0.5</f>
        <v>0.5</v>
      </c>
      <c r="W155" s="479">
        <f t="shared" si="297"/>
        <v>1</v>
      </c>
      <c r="X155" s="507">
        <f>+'1.Informe Seguimiento POA 2022'!S81</f>
        <v>1</v>
      </c>
      <c r="Y155" s="479">
        <f>IFERROR(AVERAGE('1.Informe Seguimiento POA 2022'!O81,'1.Informe Seguimiento POA 2022'!Q81,'1.Informe Seguimiento POA 2022'!S81),0)</f>
        <v>1</v>
      </c>
      <c r="Z155" s="479">
        <f>+'1.Informe Seguimiento POA 2022'!T81</f>
        <v>1</v>
      </c>
      <c r="AA155" s="479">
        <f>IFERROR(AVERAGE('1.Informe Seguimiento POA 2022'!R81,'1.Informe Seguimiento POA 2022'!P81,'1.Informe Seguimiento POA 2022'!T81),0)</f>
        <v>1</v>
      </c>
      <c r="AB155" s="479">
        <f t="shared" si="298"/>
        <v>1</v>
      </c>
      <c r="AC155" s="492">
        <f t="shared" si="286"/>
        <v>1</v>
      </c>
      <c r="AD155" s="492">
        <f t="shared" si="287"/>
        <v>1</v>
      </c>
      <c r="AE155" s="478">
        <f>IF(AND(W155&gt;0,$AB155&gt;0),AB155/$W155,0)*0.75</f>
        <v>0.75</v>
      </c>
      <c r="AF155" s="479">
        <f t="shared" si="299"/>
        <v>1</v>
      </c>
      <c r="AG155" s="479">
        <f>+'1.Informe Seguimiento POA 2022'!U81</f>
        <v>1</v>
      </c>
      <c r="AH155" s="479">
        <f>IFERROR(AVERAGE('1.Informe Seguimiento POA 2022'!O81,'1.Informe Seguimiento POA 2022'!Q81,'1.Informe Seguimiento POA 2022'!S81,'1.Informe Seguimiento POA 2022'!U81),0)</f>
        <v>1</v>
      </c>
      <c r="AI155" s="479">
        <f>+'1.Informe Seguimiento POA 2022'!V81</f>
        <v>0</v>
      </c>
      <c r="AJ155" s="479">
        <f>IFERROR(AVERAGE('1.Informe Seguimiento POA 2022'!P81,'1.Informe Seguimiento POA 2022'!R81,'1.Informe Seguimiento POA 2022'!T81,'1.Informe Seguimiento POA 2022'!V81),0)</f>
        <v>0.75</v>
      </c>
      <c r="AK155" s="479">
        <f t="shared" si="300"/>
        <v>0.75</v>
      </c>
      <c r="AL155" s="492">
        <f t="shared" si="288"/>
        <v>0</v>
      </c>
      <c r="AM155" s="492">
        <f t="shared" si="289"/>
        <v>0.75</v>
      </c>
      <c r="AN155" s="478">
        <f t="shared" si="290"/>
        <v>0.75</v>
      </c>
      <c r="AO155" s="482" t="str">
        <f>+'Rango indicadores'!H80</f>
        <v>Mayor o igual A:</v>
      </c>
      <c r="AP155" s="477">
        <f>+'Rango indicadores'!I80</f>
        <v>100</v>
      </c>
      <c r="AQ155" s="477" t="str">
        <f>+'Rango indicadores'!J80</f>
        <v>Desde (&gt;):</v>
      </c>
      <c r="AR155" s="477">
        <f>+'Rango indicadores'!K80</f>
        <v>90</v>
      </c>
      <c r="AS155" s="477" t="str">
        <f>+'Rango indicadores'!L80</f>
        <v>Hasta (&lt;):</v>
      </c>
      <c r="AT155" s="477">
        <f>+'Rango indicadores'!M80</f>
        <v>100</v>
      </c>
      <c r="AU155" s="477" t="str">
        <f>+'Rango indicadores'!N80</f>
        <v>Menor o Igual A:</v>
      </c>
      <c r="AV155" s="477">
        <f>+'Rango indicadores'!O80</f>
        <v>90</v>
      </c>
      <c r="AW155" s="581" t="s">
        <v>1166</v>
      </c>
      <c r="AY155" s="654"/>
    </row>
    <row r="156" spans="2:53" ht="97.9" customHeight="1">
      <c r="B156" s="474">
        <f t="shared" si="301"/>
        <v>80</v>
      </c>
      <c r="C156" s="475" t="str">
        <f>+'Rango indicadores'!D81</f>
        <v>13-RI-04</v>
      </c>
      <c r="D156" s="475" t="str">
        <f>+'Rango indicadores'!E81</f>
        <v>Porcentaje de reportes de la base de datos de sanciones disciplinarias registrados</v>
      </c>
      <c r="E156" s="479">
        <f>+'Rango indicadores'!Q81</f>
        <v>1</v>
      </c>
      <c r="F156" s="507">
        <f>'1.Informe Seguimiento POA 2022'!O82</f>
        <v>1</v>
      </c>
      <c r="G156" s="507">
        <f>'1.Informe Seguimiento POA 2022'!O82</f>
        <v>1</v>
      </c>
      <c r="H156" s="921">
        <f>'1.Informe Seguimiento POA 2022'!P82</f>
        <v>1</v>
      </c>
      <c r="I156" s="921">
        <f>'1.Informe Seguimiento POA 2022'!P82</f>
        <v>1</v>
      </c>
      <c r="J156" s="921">
        <f t="shared" si="281"/>
        <v>1</v>
      </c>
      <c r="K156" s="492">
        <f t="shared" si="291"/>
        <v>1</v>
      </c>
      <c r="L156" s="492">
        <f t="shared" si="292"/>
        <v>1</v>
      </c>
      <c r="M156" s="478">
        <f t="shared" si="293"/>
        <v>0.25</v>
      </c>
      <c r="N156" s="479">
        <f t="shared" si="294"/>
        <v>1</v>
      </c>
      <c r="O156" s="921">
        <f>+'1.Informe Seguimiento POA 2022'!Q82</f>
        <v>1</v>
      </c>
      <c r="P156" s="1059">
        <f t="shared" si="295"/>
        <v>1</v>
      </c>
      <c r="Q156" s="921">
        <f>'1.Informe Seguimiento POA 2022'!R82</f>
        <v>1</v>
      </c>
      <c r="R156" s="479">
        <f>IFERROR(AVERAGE('1.Informe Seguimiento POA 2022'!P82,'1.Informe Seguimiento POA 2022'!R82),0)</f>
        <v>1</v>
      </c>
      <c r="S156" s="479">
        <f t="shared" si="296"/>
        <v>1</v>
      </c>
      <c r="T156" s="492">
        <f t="shared" si="284"/>
        <v>1</v>
      </c>
      <c r="U156" s="492">
        <f t="shared" si="285"/>
        <v>1</v>
      </c>
      <c r="V156" s="478">
        <f>IF(AND(N156&gt;0,$S156&gt;0),S156/$N156,0)*0.5</f>
        <v>0.5</v>
      </c>
      <c r="W156" s="479">
        <f t="shared" si="297"/>
        <v>1</v>
      </c>
      <c r="X156" s="507">
        <f>+'1.Informe Seguimiento POA 2022'!S82</f>
        <v>1</v>
      </c>
      <c r="Y156" s="479">
        <f>IFERROR(AVERAGE('1.Informe Seguimiento POA 2022'!O82,'1.Informe Seguimiento POA 2022'!Q82,'1.Informe Seguimiento POA 2022'!S82),0)</f>
        <v>1</v>
      </c>
      <c r="Z156" s="479">
        <f>+'1.Informe Seguimiento POA 2022'!T82</f>
        <v>1</v>
      </c>
      <c r="AA156" s="479">
        <f>IFERROR(AVERAGE('1.Informe Seguimiento POA 2022'!R82,'1.Informe Seguimiento POA 2022'!P82,'1.Informe Seguimiento POA 2022'!T82),0)</f>
        <v>1</v>
      </c>
      <c r="AB156" s="479">
        <f t="shared" si="298"/>
        <v>1</v>
      </c>
      <c r="AC156" s="492">
        <f t="shared" si="286"/>
        <v>1</v>
      </c>
      <c r="AD156" s="492">
        <f t="shared" si="287"/>
        <v>1</v>
      </c>
      <c r="AE156" s="478">
        <f>IF(AND(W156&gt;0,$AB156&gt;0),AB156/$W156,0)*0.75</f>
        <v>0.75</v>
      </c>
      <c r="AF156" s="479">
        <f t="shared" si="299"/>
        <v>1</v>
      </c>
      <c r="AG156" s="479">
        <f>+'1.Informe Seguimiento POA 2022'!U82</f>
        <v>1</v>
      </c>
      <c r="AH156" s="479">
        <f>IFERROR(AVERAGE('1.Informe Seguimiento POA 2022'!O82,'1.Informe Seguimiento POA 2022'!Q82,'1.Informe Seguimiento POA 2022'!S82,'1.Informe Seguimiento POA 2022'!U82),0)</f>
        <v>1</v>
      </c>
      <c r="AI156" s="479">
        <f>+'1.Informe Seguimiento POA 2022'!V82</f>
        <v>0</v>
      </c>
      <c r="AJ156" s="479">
        <f>IFERROR(AVERAGE('1.Informe Seguimiento POA 2022'!P82,'1.Informe Seguimiento POA 2022'!R82,'1.Informe Seguimiento POA 2022'!T82,'1.Informe Seguimiento POA 2022'!V82),0)</f>
        <v>0.75</v>
      </c>
      <c r="AK156" s="479">
        <f t="shared" si="300"/>
        <v>0.75</v>
      </c>
      <c r="AL156" s="492">
        <f t="shared" si="288"/>
        <v>0</v>
      </c>
      <c r="AM156" s="492">
        <f t="shared" si="289"/>
        <v>0.75</v>
      </c>
      <c r="AN156" s="478">
        <f t="shared" si="290"/>
        <v>0.75</v>
      </c>
      <c r="AO156" s="482" t="str">
        <f>+'Rango indicadores'!H81</f>
        <v>Mayor o igual A:</v>
      </c>
      <c r="AP156" s="477">
        <f>+'Rango indicadores'!I81</f>
        <v>100</v>
      </c>
      <c r="AQ156" s="477" t="str">
        <f>+'Rango indicadores'!J81</f>
        <v>Desde (&gt;):</v>
      </c>
      <c r="AR156" s="477">
        <f>+'Rango indicadores'!K81</f>
        <v>90</v>
      </c>
      <c r="AS156" s="477" t="str">
        <f>+'Rango indicadores'!L81</f>
        <v>Hasta (&lt;):</v>
      </c>
      <c r="AT156" s="477">
        <f>+'Rango indicadores'!M81</f>
        <v>100</v>
      </c>
      <c r="AU156" s="477" t="str">
        <f>+'Rango indicadores'!N81</f>
        <v>Menor o Igual A:</v>
      </c>
      <c r="AV156" s="477">
        <f>+'Rango indicadores'!O81</f>
        <v>90</v>
      </c>
      <c r="AW156" s="581" t="s">
        <v>1166</v>
      </c>
      <c r="AY156" s="654"/>
    </row>
    <row r="157" spans="2:53" ht="97.9" customHeight="1">
      <c r="B157" s="474">
        <f t="shared" si="301"/>
        <v>81</v>
      </c>
      <c r="C157" s="475" t="str">
        <f>+'Rango indicadores'!D82</f>
        <v>13-RI-05</v>
      </c>
      <c r="D157" s="475" t="str">
        <f>+'Rango indicadores'!E82</f>
        <v>Porcentaje de antecedentes disciplinarios expedidos</v>
      </c>
      <c r="E157" s="479">
        <f>+'Rango indicadores'!Q82</f>
        <v>1</v>
      </c>
      <c r="F157" s="507">
        <f>'1.Informe Seguimiento POA 2022'!O83</f>
        <v>1</v>
      </c>
      <c r="G157" s="507">
        <f>'1.Informe Seguimiento POA 2022'!O83</f>
        <v>1</v>
      </c>
      <c r="H157" s="921">
        <f>'1.Informe Seguimiento POA 2022'!P83</f>
        <v>1</v>
      </c>
      <c r="I157" s="921">
        <f>'1.Informe Seguimiento POA 2022'!P83</f>
        <v>1</v>
      </c>
      <c r="J157" s="921">
        <f t="shared" si="281"/>
        <v>1</v>
      </c>
      <c r="K157" s="492">
        <f t="shared" si="291"/>
        <v>1</v>
      </c>
      <c r="L157" s="492">
        <f t="shared" si="292"/>
        <v>1</v>
      </c>
      <c r="M157" s="478">
        <f t="shared" si="293"/>
        <v>0.25</v>
      </c>
      <c r="N157" s="479">
        <f t="shared" si="294"/>
        <v>1</v>
      </c>
      <c r="O157" s="921">
        <f>+'1.Informe Seguimiento POA 2022'!Q83</f>
        <v>1</v>
      </c>
      <c r="P157" s="1059">
        <f t="shared" si="295"/>
        <v>1</v>
      </c>
      <c r="Q157" s="921">
        <f>'1.Informe Seguimiento POA 2022'!R83</f>
        <v>1</v>
      </c>
      <c r="R157" s="479">
        <f>IFERROR(AVERAGE('1.Informe Seguimiento POA 2022'!P83,'1.Informe Seguimiento POA 2022'!R83),0)</f>
        <v>1</v>
      </c>
      <c r="S157" s="479">
        <f t="shared" si="296"/>
        <v>1</v>
      </c>
      <c r="T157" s="492">
        <f t="shared" si="284"/>
        <v>1</v>
      </c>
      <c r="U157" s="492">
        <f t="shared" si="285"/>
        <v>1</v>
      </c>
      <c r="V157" s="478">
        <f>IF(AND(N157&gt;0,$S157&gt;0),S157/$N157,0)*0.5</f>
        <v>0.5</v>
      </c>
      <c r="W157" s="479">
        <f t="shared" si="297"/>
        <v>1</v>
      </c>
      <c r="X157" s="507">
        <f>+'1.Informe Seguimiento POA 2022'!S83</f>
        <v>1</v>
      </c>
      <c r="Y157" s="479">
        <f>IFERROR(AVERAGE('1.Informe Seguimiento POA 2022'!O83,'1.Informe Seguimiento POA 2022'!Q83,'1.Informe Seguimiento POA 2022'!S83),0)</f>
        <v>1</v>
      </c>
      <c r="Z157" s="479">
        <f>+'1.Informe Seguimiento POA 2022'!T83</f>
        <v>1</v>
      </c>
      <c r="AA157" s="479">
        <f>IFERROR(AVERAGE('1.Informe Seguimiento POA 2022'!R83,'1.Informe Seguimiento POA 2022'!P83,'1.Informe Seguimiento POA 2022'!T83),0)</f>
        <v>1</v>
      </c>
      <c r="AB157" s="479">
        <f t="shared" si="298"/>
        <v>1</v>
      </c>
      <c r="AC157" s="492">
        <f t="shared" si="286"/>
        <v>1</v>
      </c>
      <c r="AD157" s="492">
        <f t="shared" si="287"/>
        <v>1</v>
      </c>
      <c r="AE157" s="478">
        <f>IF(AND(W157&gt;0,$AB157&gt;0),AB157/$W157,0)*0.75</f>
        <v>0.75</v>
      </c>
      <c r="AF157" s="479">
        <f t="shared" si="299"/>
        <v>1</v>
      </c>
      <c r="AG157" s="479">
        <f>+'1.Informe Seguimiento POA 2022'!U83</f>
        <v>1</v>
      </c>
      <c r="AH157" s="479">
        <f>IFERROR(AVERAGE('1.Informe Seguimiento POA 2022'!O83,'1.Informe Seguimiento POA 2022'!Q83,'1.Informe Seguimiento POA 2022'!S83,'1.Informe Seguimiento POA 2022'!U83),0)</f>
        <v>1</v>
      </c>
      <c r="AI157" s="479">
        <f>+'1.Informe Seguimiento POA 2022'!V83</f>
        <v>0</v>
      </c>
      <c r="AJ157" s="479">
        <f>IFERROR(AVERAGE('1.Informe Seguimiento POA 2022'!P83,'1.Informe Seguimiento POA 2022'!R83,'1.Informe Seguimiento POA 2022'!T83,'1.Informe Seguimiento POA 2022'!V83),0)</f>
        <v>0.75</v>
      </c>
      <c r="AK157" s="479">
        <f t="shared" si="300"/>
        <v>0.75</v>
      </c>
      <c r="AL157" s="492">
        <f t="shared" si="288"/>
        <v>0</v>
      </c>
      <c r="AM157" s="492">
        <f t="shared" si="289"/>
        <v>0.75</v>
      </c>
      <c r="AN157" s="478">
        <f t="shared" si="290"/>
        <v>0.75</v>
      </c>
      <c r="AO157" s="482" t="str">
        <f>+'Rango indicadores'!H82</f>
        <v>Mayor o igual A:</v>
      </c>
      <c r="AP157" s="477">
        <f>+'Rango indicadores'!I82</f>
        <v>100</v>
      </c>
      <c r="AQ157" s="477" t="str">
        <f>+'Rango indicadores'!J82</f>
        <v>Desde (&gt;):</v>
      </c>
      <c r="AR157" s="477">
        <f>+'Rango indicadores'!K82</f>
        <v>90</v>
      </c>
      <c r="AS157" s="477" t="str">
        <f>+'Rango indicadores'!L82</f>
        <v>Hasta (&lt;):</v>
      </c>
      <c r="AT157" s="477">
        <f>+'Rango indicadores'!M82</f>
        <v>100</v>
      </c>
      <c r="AU157" s="477" t="str">
        <f>+'Rango indicadores'!N82</f>
        <v>Menor o Igual A:</v>
      </c>
      <c r="AV157" s="477">
        <f>+'Rango indicadores'!O82</f>
        <v>90</v>
      </c>
      <c r="AW157" s="581" t="s">
        <v>1166</v>
      </c>
      <c r="AY157" s="654"/>
    </row>
    <row r="158" spans="2:53" ht="15.75">
      <c r="C158" s="1598" t="s">
        <v>872</v>
      </c>
      <c r="D158" s="1599"/>
      <c r="E158" s="1599"/>
      <c r="F158" s="1599"/>
      <c r="G158" s="1599"/>
      <c r="H158" s="1599"/>
      <c r="I158" s="1599"/>
      <c r="J158" s="1599"/>
      <c r="K158" s="480">
        <f>IFERROR(AVERAGE(K153:K157),0)</f>
        <v>1</v>
      </c>
      <c r="L158" s="480">
        <f>IFERROR(AVERAGE(L153:L157),0)</f>
        <v>1</v>
      </c>
      <c r="M158" s="480">
        <f>IFERROR(AVERAGE(M153:M157),0)</f>
        <v>0.25</v>
      </c>
      <c r="N158" s="1060"/>
      <c r="O158" s="1060"/>
      <c r="P158" s="1060"/>
      <c r="Q158" s="1060"/>
      <c r="R158" s="1060"/>
      <c r="S158" s="1060"/>
      <c r="T158" s="480">
        <f>IFERROR(AVERAGE(T153:T157),0)</f>
        <v>1</v>
      </c>
      <c r="U158" s="480">
        <f>IFERROR(AVERAGE(U153:U157),0)</f>
        <v>1</v>
      </c>
      <c r="V158" s="480">
        <f>IFERROR(AVERAGE(V153:V157),0)</f>
        <v>0.5</v>
      </c>
      <c r="W158" s="1060"/>
      <c r="X158" s="1060"/>
      <c r="Y158" s="1060"/>
      <c r="Z158" s="1060"/>
      <c r="AA158" s="1060"/>
      <c r="AB158" s="1060"/>
      <c r="AC158" s="480">
        <f>IFERROR(AVERAGE(AC153:AC157),0)</f>
        <v>1</v>
      </c>
      <c r="AD158" s="480">
        <f>IFERROR(AVERAGE(AD153:AD157),0)</f>
        <v>1</v>
      </c>
      <c r="AE158" s="480">
        <f>IFERROR(AVERAGE(AE153:AE157),0)</f>
        <v>0.75</v>
      </c>
      <c r="AF158" s="1060"/>
      <c r="AG158" s="1060"/>
      <c r="AH158" s="1060"/>
      <c r="AI158" s="1060"/>
      <c r="AJ158" s="1060"/>
      <c r="AK158" s="1061"/>
      <c r="AL158" s="480">
        <f>IFERROR(AVERAGE(AL153:AL157),0)</f>
        <v>0</v>
      </c>
      <c r="AM158" s="480">
        <f>IFERROR(AVERAGE(AM153:AM157),0)</f>
        <v>0.75</v>
      </c>
      <c r="AN158" s="480">
        <f>IFERROR(AVERAGE(AN153:AN157),0)</f>
        <v>0.75</v>
      </c>
      <c r="AO158" s="487"/>
      <c r="AP158" s="487"/>
      <c r="AQ158" s="487"/>
      <c r="AR158" s="487"/>
      <c r="AS158" s="487"/>
      <c r="AT158" s="487"/>
      <c r="AU158" s="487"/>
      <c r="AV158" s="487"/>
      <c r="AW158" s="582"/>
      <c r="AY158" s="654"/>
    </row>
    <row r="159" spans="2:53" ht="25.15" customHeight="1" thickBot="1">
      <c r="C159" s="499"/>
      <c r="D159" s="506"/>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499"/>
      <c r="AJ159" s="499"/>
      <c r="AK159" s="499"/>
      <c r="AL159" s="469"/>
      <c r="AM159" s="469"/>
      <c r="AN159" s="487"/>
      <c r="AO159" s="487"/>
      <c r="AP159" s="487"/>
      <c r="AQ159" s="487"/>
      <c r="AR159" s="487"/>
      <c r="AS159" s="487"/>
      <c r="AT159" s="487"/>
      <c r="AU159" s="487"/>
      <c r="AV159" s="487"/>
      <c r="AW159" s="582"/>
      <c r="AY159" s="654"/>
    </row>
    <row r="160" spans="2:53" s="470" customFormat="1" ht="16.5" thickBot="1">
      <c r="C160" s="473" t="s">
        <v>886</v>
      </c>
      <c r="D160" s="503"/>
      <c r="E160" s="1577" t="s">
        <v>1136</v>
      </c>
      <c r="F160" s="1578"/>
      <c r="G160" s="1578"/>
      <c r="H160" s="1578"/>
      <c r="I160" s="1578"/>
      <c r="J160" s="1578"/>
      <c r="K160" s="1578"/>
      <c r="L160" s="1578"/>
      <c r="M160" s="1579"/>
      <c r="N160" s="1580" t="s">
        <v>1137</v>
      </c>
      <c r="O160" s="1581"/>
      <c r="P160" s="1581"/>
      <c r="Q160" s="1581"/>
      <c r="R160" s="1581"/>
      <c r="S160" s="1581"/>
      <c r="T160" s="1581"/>
      <c r="U160" s="1581"/>
      <c r="V160" s="1582"/>
      <c r="W160" s="1574" t="s">
        <v>1138</v>
      </c>
      <c r="X160" s="1575"/>
      <c r="Y160" s="1575"/>
      <c r="Z160" s="1575"/>
      <c r="AA160" s="1575"/>
      <c r="AB160" s="1575"/>
      <c r="AC160" s="1575"/>
      <c r="AD160" s="1575"/>
      <c r="AE160" s="1576"/>
      <c r="AF160" s="1580" t="s">
        <v>1052</v>
      </c>
      <c r="AG160" s="1581"/>
      <c r="AH160" s="1581"/>
      <c r="AI160" s="1581"/>
      <c r="AJ160" s="1581"/>
      <c r="AK160" s="1581"/>
      <c r="AL160" s="1581"/>
      <c r="AM160" s="1581"/>
      <c r="AN160" s="1582"/>
      <c r="AW160" s="472"/>
      <c r="AY160" s="654"/>
      <c r="AZ160" s="455"/>
    </row>
    <row r="161" spans="2:52" ht="27" customHeight="1">
      <c r="C161" s="1571" t="str">
        <f>+$C$10</f>
        <v>Identificación del Indicador</v>
      </c>
      <c r="D161" s="1584" t="s">
        <v>867</v>
      </c>
      <c r="E161" s="1567" t="s">
        <v>868</v>
      </c>
      <c r="F161" s="1568"/>
      <c r="G161" s="1569"/>
      <c r="H161" s="1570" t="s">
        <v>1140</v>
      </c>
      <c r="I161" s="1572" t="s">
        <v>1144</v>
      </c>
      <c r="J161" s="1570" t="s">
        <v>869</v>
      </c>
      <c r="K161" s="1570" t="s">
        <v>863</v>
      </c>
      <c r="L161" s="1570"/>
      <c r="M161" s="1570"/>
      <c r="N161" s="1567" t="s">
        <v>868</v>
      </c>
      <c r="O161" s="1568"/>
      <c r="P161" s="1569"/>
      <c r="Q161" s="1570" t="s">
        <v>1150</v>
      </c>
      <c r="R161" s="1572" t="s">
        <v>1141</v>
      </c>
      <c r="S161" s="1570" t="s">
        <v>869</v>
      </c>
      <c r="T161" s="1570" t="s">
        <v>863</v>
      </c>
      <c r="U161" s="1570"/>
      <c r="V161" s="1570"/>
      <c r="W161" s="1567" t="s">
        <v>868</v>
      </c>
      <c r="X161" s="1568"/>
      <c r="Y161" s="1569"/>
      <c r="Z161" s="1570" t="s">
        <v>1151</v>
      </c>
      <c r="AA161" s="1572" t="s">
        <v>1146</v>
      </c>
      <c r="AB161" s="1570" t="s">
        <v>869</v>
      </c>
      <c r="AC161" s="1570" t="s">
        <v>863</v>
      </c>
      <c r="AD161" s="1570"/>
      <c r="AE161" s="1570"/>
      <c r="AF161" s="1567" t="s">
        <v>868</v>
      </c>
      <c r="AG161" s="1568"/>
      <c r="AH161" s="1569"/>
      <c r="AI161" s="1570" t="s">
        <v>1152</v>
      </c>
      <c r="AJ161" s="1572" t="s">
        <v>1148</v>
      </c>
      <c r="AK161" s="1570" t="s">
        <v>869</v>
      </c>
      <c r="AL161" s="1570" t="s">
        <v>863</v>
      </c>
      <c r="AM161" s="1570"/>
      <c r="AN161" s="1570"/>
      <c r="AO161" s="1583" t="s">
        <v>715</v>
      </c>
      <c r="AP161" s="1583"/>
      <c r="AQ161" s="1583"/>
      <c r="AR161" s="1583"/>
      <c r="AS161" s="1583"/>
      <c r="AT161" s="1583"/>
      <c r="AU161" s="1583"/>
      <c r="AV161" s="1583"/>
      <c r="AW161" s="1571" t="s">
        <v>888</v>
      </c>
      <c r="AY161" s="654"/>
    </row>
    <row r="162" spans="2:52" ht="46.15" customHeight="1">
      <c r="C162" s="1571"/>
      <c r="D162" s="1584"/>
      <c r="E162" s="1017" t="s">
        <v>1153</v>
      </c>
      <c r="F162" s="1017" t="str">
        <f>+E160</f>
        <v>Primer Trimestre</v>
      </c>
      <c r="G162" s="1018" t="s">
        <v>1143</v>
      </c>
      <c r="H162" s="1571"/>
      <c r="I162" s="1573"/>
      <c r="J162" s="1571"/>
      <c r="K162" s="1017" t="str">
        <f>+$D$6</f>
        <v>Tercer Trimestre</v>
      </c>
      <c r="L162" s="1018" t="str">
        <f>+G162</f>
        <v>Acumulado
Corte 
31/03/2022</v>
      </c>
      <c r="M162" s="1019" t="s">
        <v>760</v>
      </c>
      <c r="N162" s="1017" t="s">
        <v>1153</v>
      </c>
      <c r="O162" s="1017" t="str">
        <f>+N160</f>
        <v>Segundo Trimestre</v>
      </c>
      <c r="P162" s="1018" t="s">
        <v>1142</v>
      </c>
      <c r="Q162" s="1571"/>
      <c r="R162" s="1573"/>
      <c r="S162" s="1571"/>
      <c r="T162" s="1017" t="str">
        <f>+O162</f>
        <v>Segundo Trimestre</v>
      </c>
      <c r="U162" s="1018" t="str">
        <f>+P162</f>
        <v>Acumulado Corte 
30/06/2022</v>
      </c>
      <c r="V162" s="1019" t="s">
        <v>760</v>
      </c>
      <c r="W162" s="1017" t="s">
        <v>1153</v>
      </c>
      <c r="X162" s="1017" t="str">
        <f>+W160</f>
        <v>Tercer Trimestre</v>
      </c>
      <c r="Y162" s="1018" t="s">
        <v>1145</v>
      </c>
      <c r="Z162" s="1571"/>
      <c r="AA162" s="1573"/>
      <c r="AB162" s="1571"/>
      <c r="AC162" s="1017" t="str">
        <f>+X162</f>
        <v>Tercer Trimestre</v>
      </c>
      <c r="AD162" s="1018" t="str">
        <f>+Y162</f>
        <v>Acumulado Corte 
30/09/2022</v>
      </c>
      <c r="AE162" s="1019" t="s">
        <v>760</v>
      </c>
      <c r="AF162" s="1017" t="s">
        <v>1153</v>
      </c>
      <c r="AG162" s="1017" t="str">
        <f>+AF160</f>
        <v>Cuarto Trimestre</v>
      </c>
      <c r="AH162" s="1018" t="s">
        <v>1147</v>
      </c>
      <c r="AI162" s="1571"/>
      <c r="AJ162" s="1573"/>
      <c r="AK162" s="1571"/>
      <c r="AL162" s="1017" t="str">
        <f>+AG162</f>
        <v>Cuarto Trimestre</v>
      </c>
      <c r="AM162" s="1018" t="str">
        <f>+AH162</f>
        <v>Acumulado Corte 
31/12/2022</v>
      </c>
      <c r="AN162" s="1019" t="s">
        <v>760</v>
      </c>
      <c r="AO162" s="1201" t="s">
        <v>870</v>
      </c>
      <c r="AP162" s="1202"/>
      <c r="AQ162" s="1203" t="s">
        <v>871</v>
      </c>
      <c r="AR162" s="1204"/>
      <c r="AS162" s="1204"/>
      <c r="AT162" s="1205"/>
      <c r="AU162" s="1206" t="s">
        <v>723</v>
      </c>
      <c r="AV162" s="1207"/>
      <c r="AW162" s="1571"/>
      <c r="AY162" s="654"/>
    </row>
    <row r="163" spans="2:52" ht="197.25" customHeight="1">
      <c r="B163" s="474">
        <f>+B157+1</f>
        <v>82</v>
      </c>
      <c r="C163" s="475" t="str">
        <f>+'Rango indicadores'!D86</f>
        <v>15-RI-01</v>
      </c>
      <c r="D163" s="475" t="str">
        <f>+'Rango indicadores'!E86</f>
        <v>Medidas de preservación del orden interno emitidas</v>
      </c>
      <c r="E163" s="500">
        <f>+'Rango indicadores'!Q86</f>
        <v>52</v>
      </c>
      <c r="F163" s="489">
        <f>'1.Informe Seguimiento POA 2022'!O87</f>
        <v>6</v>
      </c>
      <c r="G163" s="489">
        <f>'1.Informe Seguimiento POA 2022'!O87</f>
        <v>6</v>
      </c>
      <c r="H163" s="489">
        <f>'1.Informe Seguimiento POA 2022'!P87</f>
        <v>26</v>
      </c>
      <c r="I163" s="489">
        <f>'1.Informe Seguimiento POA 2022'!P87</f>
        <v>26</v>
      </c>
      <c r="J163" s="489">
        <f t="shared" ref="J163:J165" si="302">I163</f>
        <v>26</v>
      </c>
      <c r="K163" s="492">
        <f t="shared" ref="K163" si="303">IF(AND(F163&gt;0),H163/F163,"No programado")</f>
        <v>4.333333333333333</v>
      </c>
      <c r="L163" s="492">
        <f t="shared" ref="L163" si="304">IF(AND(G163&gt;0),I163/G163,"No programado")</f>
        <v>4.333333333333333</v>
      </c>
      <c r="M163" s="478">
        <f t="shared" ref="M163" si="305">IF(AND(E163&gt;0,$J163&gt;0),J163/$E163,0)</f>
        <v>0.5</v>
      </c>
      <c r="N163" s="500">
        <f>E163</f>
        <v>52</v>
      </c>
      <c r="O163" s="489">
        <f>+'1.Informe Seguimiento POA 2022'!Q87</f>
        <v>6</v>
      </c>
      <c r="P163" s="489">
        <f>+'1.Informe Seguimiento POA 2022'!O87+'1.Informe Seguimiento POA 2022'!Q87</f>
        <v>12</v>
      </c>
      <c r="Q163" s="489">
        <f>+'1.Informe Seguimiento POA 2022'!R87</f>
        <v>14</v>
      </c>
      <c r="R163" s="489">
        <f>+'1.Informe Seguimiento POA 2022'!P87+'1.Informe Seguimiento POA 2022'!R87</f>
        <v>40</v>
      </c>
      <c r="S163" s="489">
        <f t="shared" ref="S163" si="306">H163+Q163</f>
        <v>40</v>
      </c>
      <c r="T163" s="492">
        <f t="shared" ref="T163:T165" si="307">IF(AND(O163&gt;0),Q163/O163,"No programado")</f>
        <v>2.3333333333333335</v>
      </c>
      <c r="U163" s="492">
        <f t="shared" ref="U163:U165" si="308">IF(AND(P163&gt;0),R163/P163,"No programado")</f>
        <v>3.3333333333333335</v>
      </c>
      <c r="V163" s="478">
        <f>IF(AND(N163&gt;0,$S163&gt;0),S163/$N163,0)</f>
        <v>0.76923076923076927</v>
      </c>
      <c r="W163" s="500">
        <f>N163</f>
        <v>52</v>
      </c>
      <c r="X163" s="489">
        <f>+'1.Informe Seguimiento POA 2022'!S87</f>
        <v>21</v>
      </c>
      <c r="Y163" s="489">
        <f>+'1.Informe Seguimiento POA 2022'!O87+'1.Informe Seguimiento POA 2022'!Q87+'1.Informe Seguimiento POA 2022'!S87</f>
        <v>33</v>
      </c>
      <c r="Z163" s="489">
        <f>+'1.Informe Seguimiento POA 2022'!T87</f>
        <v>16</v>
      </c>
      <c r="AA163" s="489">
        <f>+'1.Informe Seguimiento POA 2022'!R87+'1.Informe Seguimiento POA 2022'!T87+'1.Informe Seguimiento POA 2022'!P87</f>
        <v>56</v>
      </c>
      <c r="AB163" s="489">
        <f t="shared" ref="AB163" si="309">H163+Q163+Z163</f>
        <v>56</v>
      </c>
      <c r="AC163" s="492">
        <f t="shared" ref="AC163:AC165" si="310">IF(AND(X163&gt;0),Z163/X163,"No programado")</f>
        <v>0.76190476190476186</v>
      </c>
      <c r="AD163" s="492">
        <f t="shared" ref="AD163:AD165" si="311">IF(AND(Y163&gt;0),AA163/Y163,"No programado")</f>
        <v>1.696969696969697</v>
      </c>
      <c r="AE163" s="478">
        <f>IF(AND(W163&gt;0,$AB163&gt;0),AB163/$W163,0)</f>
        <v>1.0769230769230769</v>
      </c>
      <c r="AF163" s="500">
        <f>W163</f>
        <v>52</v>
      </c>
      <c r="AG163" s="500">
        <f>+'1.Informe Seguimiento POA 2022'!U87</f>
        <v>19</v>
      </c>
      <c r="AH163" s="500">
        <f>+'1.Informe Seguimiento POA 2022'!O87+'1.Informe Seguimiento POA 2022'!Q87+'1.Informe Seguimiento POA 2022'!S87+'1.Informe Seguimiento POA 2022'!U87</f>
        <v>52</v>
      </c>
      <c r="AI163" s="500">
        <f>+'1.Informe Seguimiento POA 2022'!V87</f>
        <v>0</v>
      </c>
      <c r="AJ163" s="500">
        <f>+'1.Informe Seguimiento POA 2022'!P87+'1.Informe Seguimiento POA 2022'!R87+'1.Informe Seguimiento POA 2022'!T87+'1.Informe Seguimiento POA 2022'!V87</f>
        <v>56</v>
      </c>
      <c r="AK163" s="489">
        <f t="shared" ref="AK163:AK165" si="312">H163+Q163+Z163+AI163</f>
        <v>56</v>
      </c>
      <c r="AL163" s="492">
        <f t="shared" ref="AL163:AL165" si="313">IF(AND(AG163&gt;0),AI163/AG163,"No programado")</f>
        <v>0</v>
      </c>
      <c r="AM163" s="492">
        <f t="shared" ref="AM163:AM165" si="314">IF(AND(AH163&gt;0),AJ163/AH163,"No programado")</f>
        <v>1.0769230769230769</v>
      </c>
      <c r="AN163" s="478">
        <f t="shared" ref="AN163:AN165" si="315">IF(AND(AF163&gt;0,$J163&gt;0),AK163/$E163,0)</f>
        <v>1.0769230769230769</v>
      </c>
      <c r="AO163" s="482" t="str">
        <f>+'Rango indicadores'!H86</f>
        <v>Mayor o igual A:</v>
      </c>
      <c r="AP163" s="477">
        <f>+'Rango indicadores'!I86</f>
        <v>100</v>
      </c>
      <c r="AQ163" s="477" t="str">
        <f>+'Rango indicadores'!J86</f>
        <v>Desde (&gt;):</v>
      </c>
      <c r="AR163" s="477">
        <f>+'Rango indicadores'!K86</f>
        <v>79</v>
      </c>
      <c r="AS163" s="477" t="str">
        <f>+'Rango indicadores'!L86</f>
        <v>Hasta (&lt;):</v>
      </c>
      <c r="AT163" s="477">
        <f>+'Rango indicadores'!M86</f>
        <v>100</v>
      </c>
      <c r="AU163" s="477" t="str">
        <f>+'Rango indicadores'!N86</f>
        <v>Menor o Igual A:</v>
      </c>
      <c r="AV163" s="477">
        <f>+'Rango indicadores'!O86</f>
        <v>79</v>
      </c>
      <c r="AW163" s="581" t="s">
        <v>1218</v>
      </c>
      <c r="AX163" s="685"/>
      <c r="AY163" s="654">
        <f t="shared" ref="AY163:AZ165" si="316">+X163-Z163</f>
        <v>5</v>
      </c>
      <c r="AZ163" s="654">
        <f t="shared" si="316"/>
        <v>-23</v>
      </c>
    </row>
    <row r="164" spans="2:52" ht="130.5" customHeight="1">
      <c r="B164" s="474">
        <f>B163+1</f>
        <v>83</v>
      </c>
      <c r="C164" s="475" t="str">
        <f>+'Rango indicadores'!D87</f>
        <v>15-RI-02</v>
      </c>
      <c r="D164" s="475" t="str">
        <f>+'Rango indicadores'!E87</f>
        <v>Jornadas de sensibilización realizadas</v>
      </c>
      <c r="E164" s="500">
        <f>+'Rango indicadores'!Q87</f>
        <v>6</v>
      </c>
      <c r="F164" s="489">
        <f>'1.Informe Seguimiento POA 2022'!O88</f>
        <v>0</v>
      </c>
      <c r="G164" s="489">
        <f>'1.Informe Seguimiento POA 2022'!O88</f>
        <v>0</v>
      </c>
      <c r="H164" s="489">
        <f>'1.Informe Seguimiento POA 2022'!P88</f>
        <v>1</v>
      </c>
      <c r="I164" s="489">
        <f>'1.Informe Seguimiento POA 2022'!P88</f>
        <v>1</v>
      </c>
      <c r="J164" s="489">
        <f t="shared" si="302"/>
        <v>1</v>
      </c>
      <c r="K164" s="492" t="str">
        <f t="shared" ref="K164:K165" si="317">IF(AND(F164&gt;0),H164/F164,"No programado")</f>
        <v>No programado</v>
      </c>
      <c r="L164" s="492" t="str">
        <f t="shared" ref="L164:L165" si="318">IF(AND(G164&gt;0),I164/G164,"No programado")</f>
        <v>No programado</v>
      </c>
      <c r="M164" s="478">
        <f t="shared" ref="M164:M165" si="319">IF(AND(E164&gt;0,$J164&gt;0),J164/$E164,0)</f>
        <v>0.16666666666666666</v>
      </c>
      <c r="N164" s="500">
        <f t="shared" ref="N164:N165" si="320">E164</f>
        <v>6</v>
      </c>
      <c r="O164" s="489">
        <f>+'1.Informe Seguimiento POA 2022'!Q88</f>
        <v>2</v>
      </c>
      <c r="P164" s="489">
        <f>+'1.Informe Seguimiento POA 2022'!O88+'1.Informe Seguimiento POA 2022'!Q88</f>
        <v>2</v>
      </c>
      <c r="Q164" s="489">
        <f>+'1.Informe Seguimiento POA 2022'!R88</f>
        <v>1</v>
      </c>
      <c r="R164" s="489">
        <f>+'1.Informe Seguimiento POA 2022'!P88+'1.Informe Seguimiento POA 2022'!R88</f>
        <v>2</v>
      </c>
      <c r="S164" s="489">
        <f t="shared" ref="S164:S165" si="321">H164+Q164</f>
        <v>2</v>
      </c>
      <c r="T164" s="492">
        <f t="shared" si="307"/>
        <v>0.5</v>
      </c>
      <c r="U164" s="492">
        <f t="shared" si="308"/>
        <v>1</v>
      </c>
      <c r="V164" s="478">
        <f>IF(AND(N164&gt;0,$S164&gt;0),S164/$N164,0)</f>
        <v>0.33333333333333331</v>
      </c>
      <c r="W164" s="500">
        <f t="shared" ref="W164:W165" si="322">N164</f>
        <v>6</v>
      </c>
      <c r="X164" s="489">
        <f>+'1.Informe Seguimiento POA 2022'!S88</f>
        <v>3</v>
      </c>
      <c r="Y164" s="489">
        <f>+'1.Informe Seguimiento POA 2022'!O88+'1.Informe Seguimiento POA 2022'!Q88+'1.Informe Seguimiento POA 2022'!S88</f>
        <v>5</v>
      </c>
      <c r="Z164" s="489">
        <f>+'1.Informe Seguimiento POA 2022'!T88</f>
        <v>2</v>
      </c>
      <c r="AA164" s="489">
        <f>+'1.Informe Seguimiento POA 2022'!R88+'1.Informe Seguimiento POA 2022'!T88+'1.Informe Seguimiento POA 2022'!P88</f>
        <v>4</v>
      </c>
      <c r="AB164" s="489">
        <f t="shared" ref="AB164:AB165" si="323">H164+Q164+Z164</f>
        <v>4</v>
      </c>
      <c r="AC164" s="492">
        <f t="shared" si="310"/>
        <v>0.66666666666666663</v>
      </c>
      <c r="AD164" s="492">
        <f t="shared" si="311"/>
        <v>0.8</v>
      </c>
      <c r="AE164" s="478">
        <f>IF(AND(W164&gt;0,$AB164&gt;0),AB164/$W164,0)</f>
        <v>0.66666666666666663</v>
      </c>
      <c r="AF164" s="500">
        <f t="shared" ref="AF164:AF165" si="324">W164</f>
        <v>6</v>
      </c>
      <c r="AG164" s="500">
        <f>+'1.Informe Seguimiento POA 2022'!U88</f>
        <v>1</v>
      </c>
      <c r="AH164" s="500">
        <f>+'1.Informe Seguimiento POA 2022'!O88+'1.Informe Seguimiento POA 2022'!Q88+'1.Informe Seguimiento POA 2022'!S88+'1.Informe Seguimiento POA 2022'!U88</f>
        <v>6</v>
      </c>
      <c r="AI164" s="500">
        <f>+'1.Informe Seguimiento POA 2022'!V88</f>
        <v>0</v>
      </c>
      <c r="AJ164" s="500">
        <f>+'1.Informe Seguimiento POA 2022'!P88+'1.Informe Seguimiento POA 2022'!R88+'1.Informe Seguimiento POA 2022'!T88+'1.Informe Seguimiento POA 2022'!V88</f>
        <v>4</v>
      </c>
      <c r="AK164" s="489">
        <f t="shared" si="312"/>
        <v>4</v>
      </c>
      <c r="AL164" s="492">
        <f t="shared" si="313"/>
        <v>0</v>
      </c>
      <c r="AM164" s="492">
        <f t="shared" si="314"/>
        <v>0.66666666666666663</v>
      </c>
      <c r="AN164" s="478">
        <f t="shared" si="315"/>
        <v>0.66666666666666663</v>
      </c>
      <c r="AO164" s="482" t="str">
        <f>+'Rango indicadores'!H87</f>
        <v>Mayor o igual A:</v>
      </c>
      <c r="AP164" s="477">
        <f>+'Rango indicadores'!I87</f>
        <v>100</v>
      </c>
      <c r="AQ164" s="477" t="str">
        <f>+'Rango indicadores'!J87</f>
        <v>Desde (&gt;):</v>
      </c>
      <c r="AR164" s="477">
        <f>+'Rango indicadores'!K87</f>
        <v>99</v>
      </c>
      <c r="AS164" s="477" t="str">
        <f>+'Rango indicadores'!L87</f>
        <v>Hasta (&lt;):</v>
      </c>
      <c r="AT164" s="477">
        <f>+'Rango indicadores'!M87</f>
        <v>100</v>
      </c>
      <c r="AU164" s="477" t="str">
        <f>+'Rango indicadores'!N87</f>
        <v>Menor o Igual A:</v>
      </c>
      <c r="AV164" s="477">
        <f>+'Rango indicadores'!O87</f>
        <v>99</v>
      </c>
      <c r="AW164" s="581" t="s">
        <v>1229</v>
      </c>
      <c r="AX164" s="580"/>
      <c r="AY164" s="654">
        <f t="shared" si="316"/>
        <v>1</v>
      </c>
      <c r="AZ164" s="580"/>
    </row>
    <row r="165" spans="2:52" ht="201" customHeight="1">
      <c r="B165" s="474">
        <f t="shared" ref="B165" si="325">B164+1</f>
        <v>84</v>
      </c>
      <c r="C165" s="475" t="str">
        <f>+'Rango indicadores'!D88</f>
        <v>15-RI-03</v>
      </c>
      <c r="D165" s="475" t="str">
        <f>+'Rango indicadores'!E88</f>
        <v>Procesos disciplinarios con decisión de fondo proferida</v>
      </c>
      <c r="E165" s="500">
        <f>+'Rango indicadores'!Q88</f>
        <v>100</v>
      </c>
      <c r="F165" s="489">
        <f>'1.Informe Seguimiento POA 2022'!O89</f>
        <v>23</v>
      </c>
      <c r="G165" s="489">
        <f>'1.Informe Seguimiento POA 2022'!O89</f>
        <v>23</v>
      </c>
      <c r="H165" s="489">
        <f>'1.Informe Seguimiento POA 2022'!P89</f>
        <v>30</v>
      </c>
      <c r="I165" s="489">
        <f>'1.Informe Seguimiento POA 2022'!P89</f>
        <v>30</v>
      </c>
      <c r="J165" s="489">
        <f t="shared" si="302"/>
        <v>30</v>
      </c>
      <c r="K165" s="492">
        <f t="shared" si="317"/>
        <v>1.3043478260869565</v>
      </c>
      <c r="L165" s="492">
        <f t="shared" si="318"/>
        <v>1.3043478260869565</v>
      </c>
      <c r="M165" s="478">
        <f t="shared" si="319"/>
        <v>0.3</v>
      </c>
      <c r="N165" s="500">
        <f t="shared" si="320"/>
        <v>100</v>
      </c>
      <c r="O165" s="489">
        <f>+'1.Informe Seguimiento POA 2022'!Q89</f>
        <v>30</v>
      </c>
      <c r="P165" s="489">
        <f>+'1.Informe Seguimiento POA 2022'!O89+'1.Informe Seguimiento POA 2022'!Q89</f>
        <v>53</v>
      </c>
      <c r="Q165" s="489">
        <f>+'1.Informe Seguimiento POA 2022'!R89</f>
        <v>46</v>
      </c>
      <c r="R165" s="489">
        <f>+'1.Informe Seguimiento POA 2022'!P89+'1.Informe Seguimiento POA 2022'!R89</f>
        <v>76</v>
      </c>
      <c r="S165" s="489">
        <f t="shared" si="321"/>
        <v>76</v>
      </c>
      <c r="T165" s="492">
        <f t="shared" si="307"/>
        <v>1.5333333333333334</v>
      </c>
      <c r="U165" s="492">
        <f t="shared" si="308"/>
        <v>1.4339622641509433</v>
      </c>
      <c r="V165" s="478">
        <f>IF(AND(N165&gt;0,$S165&gt;0),S165/$N165,0)</f>
        <v>0.76</v>
      </c>
      <c r="W165" s="500">
        <f t="shared" si="322"/>
        <v>100</v>
      </c>
      <c r="X165" s="489">
        <f>+'1.Informe Seguimiento POA 2022'!S89</f>
        <v>30</v>
      </c>
      <c r="Y165" s="489">
        <f>+'1.Informe Seguimiento POA 2022'!O89+'1.Informe Seguimiento POA 2022'!Q89+'1.Informe Seguimiento POA 2022'!S89</f>
        <v>83</v>
      </c>
      <c r="Z165" s="489">
        <f>+'1.Informe Seguimiento POA 2022'!T89</f>
        <v>51</v>
      </c>
      <c r="AA165" s="489">
        <f>+'1.Informe Seguimiento POA 2022'!R89+'1.Informe Seguimiento POA 2022'!T89+'1.Informe Seguimiento POA 2022'!P89</f>
        <v>127</v>
      </c>
      <c r="AB165" s="489">
        <f t="shared" si="323"/>
        <v>127</v>
      </c>
      <c r="AC165" s="492">
        <f t="shared" si="310"/>
        <v>1.7</v>
      </c>
      <c r="AD165" s="492">
        <f t="shared" si="311"/>
        <v>1.5301204819277108</v>
      </c>
      <c r="AE165" s="478">
        <f>IF(AND(W165&gt;0,$AB165&gt;0),AB165/$W165,0)</f>
        <v>1.27</v>
      </c>
      <c r="AF165" s="500">
        <f t="shared" si="324"/>
        <v>100</v>
      </c>
      <c r="AG165" s="500">
        <f>+'1.Informe Seguimiento POA 2022'!U89</f>
        <v>17</v>
      </c>
      <c r="AH165" s="500">
        <f>+'1.Informe Seguimiento POA 2022'!O89+'1.Informe Seguimiento POA 2022'!Q89+'1.Informe Seguimiento POA 2022'!S89+'1.Informe Seguimiento POA 2022'!U89</f>
        <v>100</v>
      </c>
      <c r="AI165" s="500">
        <f>+'1.Informe Seguimiento POA 2022'!V89</f>
        <v>0</v>
      </c>
      <c r="AJ165" s="500">
        <f>+'1.Informe Seguimiento POA 2022'!P89+'1.Informe Seguimiento POA 2022'!R89+'1.Informe Seguimiento POA 2022'!T89+'1.Informe Seguimiento POA 2022'!V89</f>
        <v>127</v>
      </c>
      <c r="AK165" s="489">
        <f t="shared" si="312"/>
        <v>127</v>
      </c>
      <c r="AL165" s="492">
        <f t="shared" si="313"/>
        <v>0</v>
      </c>
      <c r="AM165" s="492">
        <f t="shared" si="314"/>
        <v>1.27</v>
      </c>
      <c r="AN165" s="478">
        <f t="shared" si="315"/>
        <v>1.27</v>
      </c>
      <c r="AO165" s="482" t="str">
        <f>+'Rango indicadores'!H88</f>
        <v>Mayor o igual A:</v>
      </c>
      <c r="AP165" s="477">
        <f>+'Rango indicadores'!I88</f>
        <v>100</v>
      </c>
      <c r="AQ165" s="477" t="str">
        <f>+'Rango indicadores'!J88</f>
        <v>Desde (&gt;):</v>
      </c>
      <c r="AR165" s="477">
        <f>+'Rango indicadores'!K88</f>
        <v>70</v>
      </c>
      <c r="AS165" s="477" t="str">
        <f>+'Rango indicadores'!L88</f>
        <v>Hasta (&lt;):</v>
      </c>
      <c r="AT165" s="477">
        <f>+'Rango indicadores'!M88</f>
        <v>100</v>
      </c>
      <c r="AU165" s="477" t="str">
        <f>+'Rango indicadores'!N88</f>
        <v>Menor o Igual A:</v>
      </c>
      <c r="AV165" s="477">
        <f>+'Rango indicadores'!O88</f>
        <v>70</v>
      </c>
      <c r="AW165" s="1078" t="s">
        <v>1217</v>
      </c>
      <c r="AX165" s="580"/>
      <c r="AY165" s="654">
        <f t="shared" si="316"/>
        <v>-21</v>
      </c>
      <c r="AZ165" s="654">
        <f t="shared" si="316"/>
        <v>-44</v>
      </c>
    </row>
    <row r="166" spans="2:52" ht="15.75">
      <c r="C166" s="1598" t="s">
        <v>872</v>
      </c>
      <c r="D166" s="1599"/>
      <c r="E166" s="1599"/>
      <c r="F166" s="1599"/>
      <c r="G166" s="1599"/>
      <c r="H166" s="1599"/>
      <c r="I166" s="1599"/>
      <c r="J166" s="1599"/>
      <c r="K166" s="480">
        <f>IFERROR(AVERAGE(K163:K165),0)</f>
        <v>2.8188405797101446</v>
      </c>
      <c r="L166" s="480">
        <f>IFERROR(AVERAGE(L163:L165),0)</f>
        <v>2.8188405797101446</v>
      </c>
      <c r="M166" s="480">
        <f>IFERROR(AVERAGE(M163:M165),0)</f>
        <v>0.32222222222222219</v>
      </c>
      <c r="N166" s="1060"/>
      <c r="O166" s="1060"/>
      <c r="P166" s="1060"/>
      <c r="Q166" s="1060"/>
      <c r="R166" s="1060"/>
      <c r="S166" s="1060"/>
      <c r="T166" s="480">
        <f>IFERROR(AVERAGE(T163:T165),0)</f>
        <v>1.4555555555555557</v>
      </c>
      <c r="U166" s="480">
        <f>IFERROR(AVERAGE(U163:U165),0)</f>
        <v>1.9224318658280923</v>
      </c>
      <c r="V166" s="480">
        <f>IFERROR(AVERAGE(V163:V165),0)</f>
        <v>0.62085470085470085</v>
      </c>
      <c r="W166" s="1060"/>
      <c r="X166" s="1060"/>
      <c r="Y166" s="1060"/>
      <c r="Z166" s="1060"/>
      <c r="AA166" s="1060"/>
      <c r="AB166" s="1060"/>
      <c r="AC166" s="480">
        <f>IFERROR(AVERAGE(AC163:AC165),0)</f>
        <v>1.0428571428571427</v>
      </c>
      <c r="AD166" s="480">
        <f>IFERROR(AVERAGE(AD163:AD165),0)</f>
        <v>1.3423633929658028</v>
      </c>
      <c r="AE166" s="480">
        <f>IFERROR(AVERAGE(AE163:AE165),0)</f>
        <v>1.0045299145299145</v>
      </c>
      <c r="AF166" s="1060"/>
      <c r="AG166" s="1060"/>
      <c r="AH166" s="1060"/>
      <c r="AI166" s="1060"/>
      <c r="AJ166" s="1060"/>
      <c r="AK166" s="1061"/>
      <c r="AL166" s="480">
        <f>IFERROR(AVERAGE(AL163:AL165),0)</f>
        <v>0</v>
      </c>
      <c r="AM166" s="480">
        <f>IFERROR(AVERAGE(AM163:AM165),0)</f>
        <v>1.0045299145299145</v>
      </c>
      <c r="AN166" s="480">
        <f>IFERROR(AVERAGE(AN163:AN165),0)</f>
        <v>1.0045299145299145</v>
      </c>
      <c r="AO166" s="487"/>
      <c r="AP166" s="487"/>
      <c r="AQ166" s="487"/>
      <c r="AR166" s="487"/>
      <c r="AS166" s="487"/>
      <c r="AT166" s="487"/>
      <c r="AU166" s="487"/>
      <c r="AV166" s="487"/>
      <c r="AW166" s="582"/>
      <c r="AY166" s="654"/>
    </row>
    <row r="167" spans="2:52" s="470" customFormat="1" ht="23.45" customHeight="1" thickBot="1">
      <c r="D167" s="472"/>
      <c r="AW167" s="472"/>
      <c r="AY167" s="654"/>
      <c r="AZ167" s="455"/>
    </row>
    <row r="168" spans="2:52" s="470" customFormat="1" ht="16.5" thickBot="1">
      <c r="C168" s="473" t="s">
        <v>887</v>
      </c>
      <c r="D168" s="503"/>
      <c r="E168" s="1577" t="s">
        <v>1136</v>
      </c>
      <c r="F168" s="1578"/>
      <c r="G168" s="1578"/>
      <c r="H168" s="1578"/>
      <c r="I168" s="1578"/>
      <c r="J168" s="1578"/>
      <c r="K168" s="1578"/>
      <c r="L168" s="1578"/>
      <c r="M168" s="1579"/>
      <c r="N168" s="1580" t="s">
        <v>1137</v>
      </c>
      <c r="O168" s="1581"/>
      <c r="P168" s="1581"/>
      <c r="Q168" s="1581"/>
      <c r="R168" s="1581"/>
      <c r="S168" s="1581"/>
      <c r="T168" s="1581"/>
      <c r="U168" s="1581"/>
      <c r="V168" s="1582"/>
      <c r="W168" s="1574" t="s">
        <v>1138</v>
      </c>
      <c r="X168" s="1575"/>
      <c r="Y168" s="1575"/>
      <c r="Z168" s="1575"/>
      <c r="AA168" s="1575"/>
      <c r="AB168" s="1575"/>
      <c r="AC168" s="1575"/>
      <c r="AD168" s="1575"/>
      <c r="AE168" s="1576"/>
      <c r="AF168" s="1580" t="s">
        <v>1052</v>
      </c>
      <c r="AG168" s="1581"/>
      <c r="AH168" s="1581"/>
      <c r="AI168" s="1581"/>
      <c r="AJ168" s="1581"/>
      <c r="AK168" s="1581"/>
      <c r="AL168" s="1581"/>
      <c r="AM168" s="1581"/>
      <c r="AN168" s="1582"/>
      <c r="AW168" s="472"/>
      <c r="AY168" s="654"/>
      <c r="AZ168" s="455"/>
    </row>
    <row r="169" spans="2:52" ht="24.6" customHeight="1">
      <c r="C169" s="1571" t="str">
        <f>+$C$10</f>
        <v>Identificación del Indicador</v>
      </c>
      <c r="D169" s="1584" t="s">
        <v>867</v>
      </c>
      <c r="E169" s="1567" t="s">
        <v>868</v>
      </c>
      <c r="F169" s="1568"/>
      <c r="G169" s="1569"/>
      <c r="H169" s="1570" t="s">
        <v>1140</v>
      </c>
      <c r="I169" s="1572" t="s">
        <v>1144</v>
      </c>
      <c r="J169" s="1570" t="s">
        <v>869</v>
      </c>
      <c r="K169" s="1570" t="s">
        <v>863</v>
      </c>
      <c r="L169" s="1570"/>
      <c r="M169" s="1570"/>
      <c r="N169" s="1567" t="s">
        <v>868</v>
      </c>
      <c r="O169" s="1568"/>
      <c r="P169" s="1569"/>
      <c r="Q169" s="1570" t="s">
        <v>1150</v>
      </c>
      <c r="R169" s="1572" t="s">
        <v>1141</v>
      </c>
      <c r="S169" s="1570" t="s">
        <v>869</v>
      </c>
      <c r="T169" s="1570" t="s">
        <v>863</v>
      </c>
      <c r="U169" s="1570"/>
      <c r="V169" s="1570"/>
      <c r="W169" s="1567" t="s">
        <v>868</v>
      </c>
      <c r="X169" s="1568"/>
      <c r="Y169" s="1569"/>
      <c r="Z169" s="1570" t="s">
        <v>1151</v>
      </c>
      <c r="AA169" s="1572" t="s">
        <v>1146</v>
      </c>
      <c r="AB169" s="1570" t="s">
        <v>869</v>
      </c>
      <c r="AC169" s="1570" t="s">
        <v>863</v>
      </c>
      <c r="AD169" s="1570"/>
      <c r="AE169" s="1570"/>
      <c r="AF169" s="1567" t="s">
        <v>868</v>
      </c>
      <c r="AG169" s="1568"/>
      <c r="AH169" s="1569"/>
      <c r="AI169" s="1570" t="s">
        <v>1152</v>
      </c>
      <c r="AJ169" s="1572" t="s">
        <v>1148</v>
      </c>
      <c r="AK169" s="1570" t="s">
        <v>869</v>
      </c>
      <c r="AL169" s="1570" t="s">
        <v>863</v>
      </c>
      <c r="AM169" s="1570"/>
      <c r="AN169" s="1570"/>
      <c r="AO169" s="1583" t="s">
        <v>715</v>
      </c>
      <c r="AP169" s="1583"/>
      <c r="AQ169" s="1583"/>
      <c r="AR169" s="1583"/>
      <c r="AS169" s="1583"/>
      <c r="AT169" s="1583"/>
      <c r="AU169" s="1583"/>
      <c r="AV169" s="1583"/>
      <c r="AW169" s="1571" t="s">
        <v>888</v>
      </c>
      <c r="AY169" s="654"/>
    </row>
    <row r="170" spans="2:52" ht="50.45" customHeight="1">
      <c r="C170" s="1571"/>
      <c r="D170" s="1584"/>
      <c r="E170" s="1017" t="s">
        <v>1153</v>
      </c>
      <c r="F170" s="1017" t="str">
        <f>+E168</f>
        <v>Primer Trimestre</v>
      </c>
      <c r="G170" s="1018" t="s">
        <v>1143</v>
      </c>
      <c r="H170" s="1571"/>
      <c r="I170" s="1573"/>
      <c r="J170" s="1571"/>
      <c r="K170" s="1017" t="str">
        <f>+$D$6</f>
        <v>Tercer Trimestre</v>
      </c>
      <c r="L170" s="1018" t="str">
        <f>+G170</f>
        <v>Acumulado
Corte 
31/03/2022</v>
      </c>
      <c r="M170" s="1019" t="s">
        <v>760</v>
      </c>
      <c r="N170" s="1017" t="s">
        <v>1153</v>
      </c>
      <c r="O170" s="1017" t="str">
        <f>+N168</f>
        <v>Segundo Trimestre</v>
      </c>
      <c r="P170" s="1018" t="s">
        <v>1142</v>
      </c>
      <c r="Q170" s="1571"/>
      <c r="R170" s="1573"/>
      <c r="S170" s="1571"/>
      <c r="T170" s="1017" t="str">
        <f>+O170</f>
        <v>Segundo Trimestre</v>
      </c>
      <c r="U170" s="1018" t="str">
        <f>+P170</f>
        <v>Acumulado Corte 
30/06/2022</v>
      </c>
      <c r="V170" s="1019" t="s">
        <v>760</v>
      </c>
      <c r="W170" s="1017" t="s">
        <v>1153</v>
      </c>
      <c r="X170" s="1017" t="str">
        <f>+W168</f>
        <v>Tercer Trimestre</v>
      </c>
      <c r="Y170" s="1018" t="s">
        <v>1145</v>
      </c>
      <c r="Z170" s="1571"/>
      <c r="AA170" s="1573"/>
      <c r="AB170" s="1571"/>
      <c r="AC170" s="1017" t="str">
        <f>+X170</f>
        <v>Tercer Trimestre</v>
      </c>
      <c r="AD170" s="1018" t="str">
        <f>+Y170</f>
        <v>Acumulado Corte 
30/09/2022</v>
      </c>
      <c r="AE170" s="1019" t="s">
        <v>760</v>
      </c>
      <c r="AF170" s="1017" t="s">
        <v>1153</v>
      </c>
      <c r="AG170" s="1017" t="str">
        <f>+AF168</f>
        <v>Cuarto Trimestre</v>
      </c>
      <c r="AH170" s="1018" t="s">
        <v>1147</v>
      </c>
      <c r="AI170" s="1571"/>
      <c r="AJ170" s="1573"/>
      <c r="AK170" s="1571"/>
      <c r="AL170" s="1017" t="str">
        <f>+AG170</f>
        <v>Cuarto Trimestre</v>
      </c>
      <c r="AM170" s="1018" t="str">
        <f>+AH170</f>
        <v>Acumulado Corte 
31/12/2022</v>
      </c>
      <c r="AN170" s="1019" t="s">
        <v>760</v>
      </c>
      <c r="AO170" s="1201" t="s">
        <v>870</v>
      </c>
      <c r="AP170" s="1202"/>
      <c r="AQ170" s="1203" t="s">
        <v>871</v>
      </c>
      <c r="AR170" s="1204"/>
      <c r="AS170" s="1204"/>
      <c r="AT170" s="1205"/>
      <c r="AU170" s="1206" t="s">
        <v>723</v>
      </c>
      <c r="AV170" s="1207"/>
      <c r="AW170" s="1571"/>
      <c r="AY170" s="654"/>
    </row>
    <row r="171" spans="2:52" ht="51">
      <c r="B171" s="474">
        <f>+B165+1</f>
        <v>85</v>
      </c>
      <c r="C171" s="475" t="str">
        <f>+'Rango indicadores'!D89</f>
        <v>16-RI-01</v>
      </c>
      <c r="D171" s="475" t="str">
        <f>+'Rango indicadores'!E89</f>
        <v>Programa anual de auditorías ejecutado.</v>
      </c>
      <c r="E171" s="500">
        <f>+'Rango indicadores'!Q89</f>
        <v>1</v>
      </c>
      <c r="F171" s="515">
        <f>'1.Informe Seguimiento POA 2022'!O90</f>
        <v>0.35</v>
      </c>
      <c r="G171" s="515">
        <f>'1.Informe Seguimiento POA 2022'!O90</f>
        <v>0.35</v>
      </c>
      <c r="H171" s="515">
        <f>'1.Informe Seguimiento POA 2022'!P90</f>
        <v>0.35</v>
      </c>
      <c r="I171" s="515">
        <f>'1.Informe Seguimiento POA 2022'!P90</f>
        <v>0.35</v>
      </c>
      <c r="J171" s="515">
        <f t="shared" ref="J171:J173" si="326">I171</f>
        <v>0.35</v>
      </c>
      <c r="K171" s="492">
        <f t="shared" ref="K171" si="327">IF(AND(F171&gt;0),H171/F171,"No programado")</f>
        <v>1</v>
      </c>
      <c r="L171" s="492">
        <f t="shared" ref="L171" si="328">IF(AND(G171&gt;0),I171/G171,"No programado")</f>
        <v>1</v>
      </c>
      <c r="M171" s="478">
        <f t="shared" ref="M171" si="329">IF(AND(E171&gt;0,$J171&gt;0),J171/$E171,0)</f>
        <v>0.35</v>
      </c>
      <c r="N171" s="500">
        <f t="shared" ref="N171" si="330">E171</f>
        <v>1</v>
      </c>
      <c r="O171" s="515">
        <f>+'1.Informe Seguimiento POA 2022'!Q90</f>
        <v>0.15</v>
      </c>
      <c r="P171" s="515">
        <f>+'1.Informe Seguimiento POA 2022'!O90+'1.Informe Seguimiento POA 2022'!Q90</f>
        <v>0.5</v>
      </c>
      <c r="Q171" s="515">
        <f>+'1.Informe Seguimiento POA 2022'!R90</f>
        <v>0.15</v>
      </c>
      <c r="R171" s="515">
        <f>+'1.Informe Seguimiento POA 2022'!P90+'1.Informe Seguimiento POA 2022'!R90</f>
        <v>0.5</v>
      </c>
      <c r="S171" s="515">
        <f t="shared" ref="S171" si="331">H171+Q171</f>
        <v>0.5</v>
      </c>
      <c r="T171" s="492">
        <f t="shared" ref="T171:T173" si="332">IF(AND(O171&gt;0),Q171/O171,"No programado")</f>
        <v>1</v>
      </c>
      <c r="U171" s="492">
        <f t="shared" ref="U171:U173" si="333">IF(AND(P171&gt;0),R171/P171,"No programado")</f>
        <v>1</v>
      </c>
      <c r="V171" s="478">
        <f>IF(AND(N171&gt;0,$S171&gt;0),S171/$N171,0)</f>
        <v>0.5</v>
      </c>
      <c r="W171" s="500">
        <f t="shared" ref="W171:W173" si="334">N171</f>
        <v>1</v>
      </c>
      <c r="X171" s="515">
        <f>+'1.Informe Seguimiento POA 2022'!S90</f>
        <v>0.44000000000000006</v>
      </c>
      <c r="Y171" s="515">
        <f>+'1.Informe Seguimiento POA 2022'!O90+'1.Informe Seguimiento POA 2022'!Q90+'1.Informe Seguimiento POA 2022'!S90</f>
        <v>0.94000000000000006</v>
      </c>
      <c r="Z171" s="515">
        <f>+'1.Informe Seguimiento POA 2022'!T90</f>
        <v>0.44000000000000006</v>
      </c>
      <c r="AA171" s="515">
        <f>+'1.Informe Seguimiento POA 2022'!R90+'1.Informe Seguimiento POA 2022'!T90+'1.Informe Seguimiento POA 2022'!P90</f>
        <v>0.94000000000000006</v>
      </c>
      <c r="AB171" s="515">
        <f t="shared" ref="AB171" si="335">H171+Q171+Z171</f>
        <v>0.94000000000000006</v>
      </c>
      <c r="AC171" s="492">
        <f t="shared" ref="AC171:AC173" si="336">IF(AND(X171&gt;0),Z171/X171,"No programado")</f>
        <v>1</v>
      </c>
      <c r="AD171" s="492">
        <f t="shared" ref="AD171:AD173" si="337">IF(AND(Y171&gt;0),AA171/Y171,"No programado")</f>
        <v>1</v>
      </c>
      <c r="AE171" s="478">
        <f>IF(AND(W171&gt;0,$AB171&gt;0),AB171/$W171,0)</f>
        <v>0.94000000000000006</v>
      </c>
      <c r="AF171" s="500">
        <f t="shared" ref="AF171:AF173" si="338">W171</f>
        <v>1</v>
      </c>
      <c r="AG171" s="515">
        <f>+'1.Informe Seguimiento POA 2022'!U90</f>
        <v>0.06</v>
      </c>
      <c r="AH171" s="515">
        <f>+'1.Informe Seguimiento POA 2022'!O90+'1.Informe Seguimiento POA 2022'!Q90+'1.Informe Seguimiento POA 2022'!S90+'1.Informe Seguimiento POA 2022'!U90</f>
        <v>1</v>
      </c>
      <c r="AI171" s="515">
        <f>+'1.Informe Seguimiento POA 2022'!V90</f>
        <v>0</v>
      </c>
      <c r="AJ171" s="515">
        <f>+'1.Informe Seguimiento POA 2022'!P90+'1.Informe Seguimiento POA 2022'!R90+'1.Informe Seguimiento POA 2022'!T90+'1.Informe Seguimiento POA 2022'!V90</f>
        <v>0.94000000000000006</v>
      </c>
      <c r="AK171" s="489">
        <f t="shared" ref="AK171:AK173" si="339">H171+Q171+Z171+AI171</f>
        <v>0.94000000000000006</v>
      </c>
      <c r="AL171" s="482">
        <f t="shared" ref="AL171:AM173" si="340">IF(AND(AG171&gt;0),AI171/AG171,"No programado")</f>
        <v>0</v>
      </c>
      <c r="AM171" s="482">
        <f>IF(AND(AH171&gt;0),AJ171/AH171,"No programado")</f>
        <v>0.94000000000000006</v>
      </c>
      <c r="AN171" s="478">
        <f t="shared" ref="AN171:AN173" si="341">IF(AND(AF171&gt;0,$J171&gt;0),AK171/$E171,0)</f>
        <v>0.94000000000000006</v>
      </c>
      <c r="AO171" s="482" t="str">
        <f>+'Rango indicadores'!H89</f>
        <v>Mayor o igual A:</v>
      </c>
      <c r="AP171" s="477">
        <f>+'Rango indicadores'!I89</f>
        <v>90</v>
      </c>
      <c r="AQ171" s="477" t="str">
        <f>+'Rango indicadores'!J89</f>
        <v>Desde (&gt;):</v>
      </c>
      <c r="AR171" s="477">
        <f>+'Rango indicadores'!K89</f>
        <v>69</v>
      </c>
      <c r="AS171" s="477" t="str">
        <f>+'Rango indicadores'!L89</f>
        <v>Hasta (&lt;):</v>
      </c>
      <c r="AT171" s="477">
        <f>+'Rango indicadores'!M89</f>
        <v>90</v>
      </c>
      <c r="AU171" s="477" t="str">
        <f>+'Rango indicadores'!N89</f>
        <v>Menor o Igual A:</v>
      </c>
      <c r="AV171" s="477">
        <f>+'Rango indicadores'!O89</f>
        <v>69</v>
      </c>
      <c r="AW171" s="573" t="s">
        <v>1186</v>
      </c>
      <c r="AX171" s="580"/>
      <c r="AY171" s="654"/>
      <c r="AZ171" s="580"/>
    </row>
    <row r="172" spans="2:52" ht="38.450000000000003" customHeight="1">
      <c r="B172" s="474">
        <f>B171+1</f>
        <v>86</v>
      </c>
      <c r="C172" s="475" t="str">
        <f>+'Rango indicadores'!D90</f>
        <v>16-RI-02</v>
      </c>
      <c r="D172" s="475" t="str">
        <f>+'Rango indicadores'!E90</f>
        <v>Estrategia de Sensibilización acerca de la Cultura del Control realizada</v>
      </c>
      <c r="E172" s="500">
        <f>+'Rango indicadores'!Q90</f>
        <v>1</v>
      </c>
      <c r="F172" s="515">
        <f>'1.Informe Seguimiento POA 2022'!O91</f>
        <v>0</v>
      </c>
      <c r="G172" s="515">
        <f>'1.Informe Seguimiento POA 2022'!O91</f>
        <v>0</v>
      </c>
      <c r="H172" s="515">
        <f>'1.Informe Seguimiento POA 2022'!P91</f>
        <v>0</v>
      </c>
      <c r="I172" s="515">
        <f>'1.Informe Seguimiento POA 2022'!P91</f>
        <v>0</v>
      </c>
      <c r="J172" s="515">
        <f t="shared" si="326"/>
        <v>0</v>
      </c>
      <c r="K172" s="492" t="str">
        <f t="shared" ref="K172:K173" si="342">IF(AND(F172&gt;0),H172/F172,"No programado")</f>
        <v>No programado</v>
      </c>
      <c r="L172" s="492" t="str">
        <f t="shared" ref="L172:L173" si="343">IF(AND(G172&gt;0),I172/G172,"No programado")</f>
        <v>No programado</v>
      </c>
      <c r="M172" s="478">
        <f t="shared" ref="M172:M173" si="344">IF(AND(E172&gt;0,$J172&gt;0),J172/$E172,0)</f>
        <v>0</v>
      </c>
      <c r="N172" s="500">
        <f t="shared" ref="N172:N173" si="345">E172</f>
        <v>1</v>
      </c>
      <c r="O172" s="515">
        <f>+'1.Informe Seguimiento POA 2022'!Q91</f>
        <v>0</v>
      </c>
      <c r="P172" s="515">
        <f>+'1.Informe Seguimiento POA 2022'!O91+'1.Informe Seguimiento POA 2022'!Q91</f>
        <v>0</v>
      </c>
      <c r="Q172" s="515">
        <f>+'1.Informe Seguimiento POA 2022'!R91</f>
        <v>0</v>
      </c>
      <c r="R172" s="515">
        <f>+'1.Informe Seguimiento POA 2022'!P91+'1.Informe Seguimiento POA 2022'!R91</f>
        <v>0</v>
      </c>
      <c r="S172" s="515">
        <f t="shared" ref="S172:S173" si="346">H172+Q172</f>
        <v>0</v>
      </c>
      <c r="T172" s="492" t="str">
        <f t="shared" si="332"/>
        <v>No programado</v>
      </c>
      <c r="U172" s="492" t="str">
        <f t="shared" si="333"/>
        <v>No programado</v>
      </c>
      <c r="V172" s="478">
        <f>IF(AND(N172&gt;0,$S172&gt;0),S172/$N172,0)</f>
        <v>0</v>
      </c>
      <c r="W172" s="500">
        <f t="shared" si="334"/>
        <v>1</v>
      </c>
      <c r="X172" s="515">
        <f>+'1.Informe Seguimiento POA 2022'!S91</f>
        <v>0</v>
      </c>
      <c r="Y172" s="515">
        <f>+'1.Informe Seguimiento POA 2022'!O91+'1.Informe Seguimiento POA 2022'!Q91+'1.Informe Seguimiento POA 2022'!S91</f>
        <v>0</v>
      </c>
      <c r="Z172" s="515">
        <f>+'1.Informe Seguimiento POA 2022'!T91</f>
        <v>0</v>
      </c>
      <c r="AA172" s="515">
        <f>+'1.Informe Seguimiento POA 2022'!R91+'1.Informe Seguimiento POA 2022'!T91+'1.Informe Seguimiento POA 2022'!P91</f>
        <v>0</v>
      </c>
      <c r="AB172" s="515">
        <f t="shared" ref="AB172:AB173" si="347">H172+Q172+Z172</f>
        <v>0</v>
      </c>
      <c r="AC172" s="492" t="str">
        <f t="shared" si="336"/>
        <v>No programado</v>
      </c>
      <c r="AD172" s="492" t="str">
        <f t="shared" si="337"/>
        <v>No programado</v>
      </c>
      <c r="AE172" s="478">
        <f>IF(AND(W172&gt;0,$AB172&gt;0),AB172/$W172,0)</f>
        <v>0</v>
      </c>
      <c r="AF172" s="500">
        <f t="shared" si="338"/>
        <v>1</v>
      </c>
      <c r="AG172" s="515">
        <f>+'1.Informe Seguimiento POA 2022'!U91</f>
        <v>1</v>
      </c>
      <c r="AH172" s="515">
        <f>+'1.Informe Seguimiento POA 2022'!O91+'1.Informe Seguimiento POA 2022'!Q91+'1.Informe Seguimiento POA 2022'!S91+'1.Informe Seguimiento POA 2022'!U91</f>
        <v>1</v>
      </c>
      <c r="AI172" s="515">
        <f>+'1.Informe Seguimiento POA 2022'!V91</f>
        <v>0</v>
      </c>
      <c r="AJ172" s="515">
        <f>+'1.Informe Seguimiento POA 2022'!P91+'1.Informe Seguimiento POA 2022'!R91+'1.Informe Seguimiento POA 2022'!T91+'1.Informe Seguimiento POA 2022'!V91</f>
        <v>0</v>
      </c>
      <c r="AK172" s="489">
        <f t="shared" si="339"/>
        <v>0</v>
      </c>
      <c r="AL172" s="483">
        <f t="shared" si="340"/>
        <v>0</v>
      </c>
      <c r="AM172" s="483">
        <f t="shared" si="340"/>
        <v>0</v>
      </c>
      <c r="AN172" s="478">
        <f t="shared" si="341"/>
        <v>0</v>
      </c>
      <c r="AO172" s="482" t="str">
        <f>+'Rango indicadores'!H90</f>
        <v>Mayor o igual A:</v>
      </c>
      <c r="AP172" s="477">
        <f>+'Rango indicadores'!I90</f>
        <v>90</v>
      </c>
      <c r="AQ172" s="477" t="str">
        <f>+'Rango indicadores'!J90</f>
        <v>Desde (&gt;):</v>
      </c>
      <c r="AR172" s="477">
        <f>+'Rango indicadores'!K90</f>
        <v>69</v>
      </c>
      <c r="AS172" s="477" t="str">
        <f>+'Rango indicadores'!L90</f>
        <v>Hasta (&lt;):</v>
      </c>
      <c r="AT172" s="477">
        <f>+'Rango indicadores'!M90</f>
        <v>90</v>
      </c>
      <c r="AU172" s="477" t="str">
        <f>+'Rango indicadores'!N90</f>
        <v>Menor o Igual A:</v>
      </c>
      <c r="AV172" s="477">
        <f>+'Rango indicadores'!O90</f>
        <v>69</v>
      </c>
      <c r="AW172" s="581" t="s">
        <v>1165</v>
      </c>
      <c r="AX172" s="580"/>
      <c r="AY172" s="654"/>
      <c r="AZ172" s="580"/>
    </row>
    <row r="173" spans="2:52" ht="38.450000000000003" customHeight="1">
      <c r="B173" s="474">
        <f t="shared" ref="B173" si="348">B172+1</f>
        <v>87</v>
      </c>
      <c r="C173" s="475" t="str">
        <f>+'Rango indicadores'!D91</f>
        <v>16-RI-03</v>
      </c>
      <c r="D173" s="475" t="str">
        <f>+'Rango indicadores'!E91</f>
        <v>Sensibilización a Directivos y Referentes de Gestión sobre la Séptima Dimensión del MIPG realizada</v>
      </c>
      <c r="E173" s="500">
        <f>+'Rango indicadores'!Q91</f>
        <v>1</v>
      </c>
      <c r="F173" s="515">
        <f>'1.Informe Seguimiento POA 2022'!O92</f>
        <v>0</v>
      </c>
      <c r="G173" s="515">
        <f>'1.Informe Seguimiento POA 2022'!O92</f>
        <v>0</v>
      </c>
      <c r="H173" s="515">
        <f>'1.Informe Seguimiento POA 2022'!P92</f>
        <v>0</v>
      </c>
      <c r="I173" s="515">
        <f>'1.Informe Seguimiento POA 2022'!P92</f>
        <v>0</v>
      </c>
      <c r="J173" s="515">
        <f t="shared" si="326"/>
        <v>0</v>
      </c>
      <c r="K173" s="492" t="str">
        <f t="shared" si="342"/>
        <v>No programado</v>
      </c>
      <c r="L173" s="492" t="str">
        <f t="shared" si="343"/>
        <v>No programado</v>
      </c>
      <c r="M173" s="478">
        <f t="shared" si="344"/>
        <v>0</v>
      </c>
      <c r="N173" s="500">
        <f t="shared" si="345"/>
        <v>1</v>
      </c>
      <c r="O173" s="515">
        <f>+'1.Informe Seguimiento POA 2022'!Q92</f>
        <v>1</v>
      </c>
      <c r="P173" s="515">
        <f>+'1.Informe Seguimiento POA 2022'!O92+'1.Informe Seguimiento POA 2022'!Q92</f>
        <v>1</v>
      </c>
      <c r="Q173" s="515">
        <f>+'1.Informe Seguimiento POA 2022'!R92</f>
        <v>1</v>
      </c>
      <c r="R173" s="515">
        <f>+'1.Informe Seguimiento POA 2022'!P92+'1.Informe Seguimiento POA 2022'!R92</f>
        <v>1</v>
      </c>
      <c r="S173" s="515">
        <f t="shared" si="346"/>
        <v>1</v>
      </c>
      <c r="T173" s="492">
        <f t="shared" si="332"/>
        <v>1</v>
      </c>
      <c r="U173" s="492">
        <f t="shared" si="333"/>
        <v>1</v>
      </c>
      <c r="V173" s="478">
        <f>IF(AND(N173&gt;0,$S173&gt;0),S173/$N173,0)</f>
        <v>1</v>
      </c>
      <c r="W173" s="500">
        <f t="shared" si="334"/>
        <v>1</v>
      </c>
      <c r="X173" s="515">
        <f>+'1.Informe Seguimiento POA 2022'!S92</f>
        <v>0</v>
      </c>
      <c r="Y173" s="515">
        <f>+'1.Informe Seguimiento POA 2022'!O92+'1.Informe Seguimiento POA 2022'!Q92+'1.Informe Seguimiento POA 2022'!S92</f>
        <v>1</v>
      </c>
      <c r="Z173" s="515">
        <f>+'1.Informe Seguimiento POA 2022'!T92</f>
        <v>0</v>
      </c>
      <c r="AA173" s="515">
        <f>+'1.Informe Seguimiento POA 2022'!R92+'1.Informe Seguimiento POA 2022'!T92+'1.Informe Seguimiento POA 2022'!P92</f>
        <v>1</v>
      </c>
      <c r="AB173" s="515">
        <f t="shared" si="347"/>
        <v>1</v>
      </c>
      <c r="AC173" s="492" t="str">
        <f t="shared" si="336"/>
        <v>No programado</v>
      </c>
      <c r="AD173" s="492">
        <f t="shared" si="337"/>
        <v>1</v>
      </c>
      <c r="AE173" s="478">
        <f>IF(AND(W173&gt;0,$AB173&gt;0),AB173/$W173,0)</f>
        <v>1</v>
      </c>
      <c r="AF173" s="500">
        <f t="shared" si="338"/>
        <v>1</v>
      </c>
      <c r="AG173" s="515">
        <f>+'1.Informe Seguimiento POA 2022'!U92</f>
        <v>0</v>
      </c>
      <c r="AH173" s="515">
        <f>+'1.Informe Seguimiento POA 2022'!O92+'1.Informe Seguimiento POA 2022'!Q92+'1.Informe Seguimiento POA 2022'!S92+'1.Informe Seguimiento POA 2022'!U92</f>
        <v>1</v>
      </c>
      <c r="AI173" s="515">
        <f>+'1.Informe Seguimiento POA 2022'!V92</f>
        <v>0</v>
      </c>
      <c r="AJ173" s="515">
        <f>+'1.Informe Seguimiento POA 2022'!P92+'1.Informe Seguimiento POA 2022'!R92+'1.Informe Seguimiento POA 2022'!T92+'1.Informe Seguimiento POA 2022'!V92</f>
        <v>1</v>
      </c>
      <c r="AK173" s="489">
        <f t="shared" si="339"/>
        <v>1</v>
      </c>
      <c r="AL173" s="483" t="str">
        <f t="shared" si="340"/>
        <v>No programado</v>
      </c>
      <c r="AM173" s="483">
        <f t="shared" si="340"/>
        <v>1</v>
      </c>
      <c r="AN173" s="478">
        <f t="shared" si="341"/>
        <v>0</v>
      </c>
      <c r="AO173" s="482" t="str">
        <f>+'Rango indicadores'!H91</f>
        <v>Mayor o igual A:</v>
      </c>
      <c r="AP173" s="477">
        <f>+'Rango indicadores'!I91</f>
        <v>90</v>
      </c>
      <c r="AQ173" s="477" t="str">
        <f>+'Rango indicadores'!J91</f>
        <v>Desde (&gt;):</v>
      </c>
      <c r="AR173" s="477">
        <f>+'Rango indicadores'!K91</f>
        <v>69</v>
      </c>
      <c r="AS173" s="477" t="str">
        <f>+'Rango indicadores'!L91</f>
        <v>Hasta (&lt;):</v>
      </c>
      <c r="AT173" s="477">
        <f>+'Rango indicadores'!M91</f>
        <v>90</v>
      </c>
      <c r="AU173" s="477" t="str">
        <f>+'Rango indicadores'!N91</f>
        <v>Menor o Igual A:</v>
      </c>
      <c r="AV173" s="477">
        <f>+'Rango indicadores'!O91</f>
        <v>69</v>
      </c>
      <c r="AW173" s="581" t="s">
        <v>1214</v>
      </c>
      <c r="AX173" s="580"/>
      <c r="AY173" s="654"/>
      <c r="AZ173" s="580"/>
    </row>
    <row r="174" spans="2:52" ht="15.75">
      <c r="C174" s="1598" t="s">
        <v>872</v>
      </c>
      <c r="D174" s="1599"/>
      <c r="E174" s="1599"/>
      <c r="F174" s="1599"/>
      <c r="G174" s="1599"/>
      <c r="H174" s="1599"/>
      <c r="I174" s="1599"/>
      <c r="J174" s="1599"/>
      <c r="K174" s="480">
        <f>IFERROR(AVERAGE(K171:K173),0)</f>
        <v>1</v>
      </c>
      <c r="L174" s="480">
        <f>IFERROR(AVERAGE(L171:L173),0)</f>
        <v>1</v>
      </c>
      <c r="M174" s="480">
        <f>IFERROR(AVERAGE(M171:M173),0)</f>
        <v>0.11666666666666665</v>
      </c>
      <c r="N174" s="1060"/>
      <c r="O174" s="1060"/>
      <c r="P174" s="1060"/>
      <c r="Q174" s="1060"/>
      <c r="R174" s="1060"/>
      <c r="S174" s="1060"/>
      <c r="T174" s="480">
        <f>IFERROR(AVERAGE(T171:T173),0)</f>
        <v>1</v>
      </c>
      <c r="U174" s="480">
        <f>IFERROR(AVERAGE(U171:U173),0)</f>
        <v>1</v>
      </c>
      <c r="V174" s="480">
        <f>IFERROR(AVERAGE(V171:V173),0)</f>
        <v>0.5</v>
      </c>
      <c r="W174" s="1060"/>
      <c r="X174" s="1060"/>
      <c r="Y174" s="1060"/>
      <c r="Z174" s="1060"/>
      <c r="AA174" s="1060"/>
      <c r="AB174" s="1060"/>
      <c r="AC174" s="480">
        <f>IFERROR(AVERAGE(AC171:AC173),0)</f>
        <v>1</v>
      </c>
      <c r="AD174" s="480">
        <f>IFERROR(AVERAGE(AD171:AD173),0)</f>
        <v>1</v>
      </c>
      <c r="AE174" s="480">
        <f>IFERROR(AVERAGE(AE171:AE173),0)</f>
        <v>0.64666666666666661</v>
      </c>
      <c r="AF174" s="1060"/>
      <c r="AG174" s="1060"/>
      <c r="AH174" s="1060"/>
      <c r="AI174" s="1060"/>
      <c r="AJ174" s="1060"/>
      <c r="AK174" s="1061"/>
      <c r="AL174" s="480">
        <f>IFERROR(AVERAGE(AL171:AL173),0)</f>
        <v>0</v>
      </c>
      <c r="AM174" s="480">
        <f>IFERROR(AVERAGE(AM171:AM173),0)</f>
        <v>0.64666666666666661</v>
      </c>
      <c r="AN174" s="480">
        <f>IFERROR(AVERAGE(AN171:AN173),0)</f>
        <v>0.31333333333333335</v>
      </c>
      <c r="AO174" s="487"/>
      <c r="AP174" s="487"/>
      <c r="AQ174" s="487"/>
      <c r="AR174" s="487"/>
      <c r="AS174" s="487"/>
      <c r="AT174" s="487"/>
      <c r="AU174" s="487"/>
      <c r="AV174" s="487"/>
      <c r="AW174" s="582"/>
    </row>
    <row r="175" spans="2:52" s="470" customFormat="1">
      <c r="D175" s="472"/>
      <c r="AW175" s="472"/>
      <c r="AY175" s="455"/>
      <c r="AZ175" s="455"/>
    </row>
    <row r="176" spans="2:52">
      <c r="C176" s="455" t="s">
        <v>1245</v>
      </c>
      <c r="E176" s="455"/>
      <c r="F176" s="455"/>
      <c r="G176" s="455"/>
      <c r="H176" s="455"/>
      <c r="I176" s="455"/>
      <c r="J176" s="455"/>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455"/>
    </row>
    <row r="177" spans="5:32"/>
    <row r="178" spans="5:32">
      <c r="E178" s="455"/>
      <c r="F178" s="455"/>
      <c r="G178" s="455"/>
      <c r="H178" s="455"/>
      <c r="I178" s="455"/>
      <c r="J178" s="455"/>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455"/>
    </row>
    <row r="179" spans="5:32">
      <c r="E179" s="455"/>
      <c r="F179" s="455"/>
      <c r="G179" s="455"/>
      <c r="H179" s="455"/>
      <c r="I179" s="455"/>
      <c r="J179" s="455"/>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455"/>
    </row>
    <row r="180" spans="5:32">
      <c r="E180" s="455"/>
      <c r="F180" s="455"/>
      <c r="G180" s="455"/>
      <c r="H180" s="455"/>
      <c r="I180" s="455"/>
      <c r="J180" s="455"/>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455"/>
    </row>
    <row r="181" spans="5:32">
      <c r="E181" s="455"/>
      <c r="F181" s="455"/>
      <c r="G181" s="455"/>
      <c r="H181" s="455"/>
      <c r="I181" s="455"/>
      <c r="J181" s="455"/>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455"/>
    </row>
    <row r="182" spans="5:32">
      <c r="E182" s="455"/>
      <c r="F182" s="455"/>
      <c r="G182" s="455"/>
      <c r="H182" s="455"/>
      <c r="I182" s="455"/>
      <c r="J182" s="455"/>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455"/>
    </row>
    <row r="183" spans="5:32">
      <c r="E183" s="455"/>
      <c r="F183" s="455"/>
      <c r="G183" s="455"/>
      <c r="H183" s="455"/>
      <c r="I183" s="455"/>
      <c r="J183" s="455"/>
      <c r="K183" s="455"/>
      <c r="L183" s="455"/>
      <c r="M183" s="455"/>
      <c r="N183" s="455"/>
      <c r="O183" s="455"/>
      <c r="P183" s="455"/>
      <c r="Q183" s="455"/>
      <c r="R183" s="455"/>
      <c r="S183" s="455"/>
      <c r="T183" s="455"/>
      <c r="U183" s="455"/>
      <c r="V183" s="455"/>
      <c r="W183" s="455"/>
      <c r="X183" s="455"/>
      <c r="Y183" s="455"/>
      <c r="Z183" s="455"/>
      <c r="AA183" s="455"/>
      <c r="AB183" s="455"/>
      <c r="AC183" s="455"/>
      <c r="AD183" s="455"/>
      <c r="AE183" s="455"/>
      <c r="AF183" s="455"/>
    </row>
    <row r="184" spans="5:32">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5"/>
      <c r="AF184" s="455"/>
    </row>
    <row r="185" spans="5:32"/>
    <row r="186" spans="5:32"/>
    <row r="187" spans="5:32"/>
    <row r="188" spans="5:32"/>
    <row r="189" spans="5:32"/>
    <row r="190" spans="5:32"/>
    <row r="191" spans="5:32"/>
    <row r="192" spans="5:3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sheetData>
  <sheetProtection algorithmName="SHA-512" hashValue="frdzgvngI58pi2XmhAzjkMqAfhKo8AQ/7alpo4s7Xim0NXKO/f+Uubu6ElboOt5J5FrNw0HK3XfMAmoGtDFqUA==" saltValue="XwIVgp46PtY7PRgYeNCYFg==" spinCount="100000" sheet="1" objects="1" scenarios="1"/>
  <mergeCells count="518">
    <mergeCell ref="C122:J122"/>
    <mergeCell ref="C130:J130"/>
    <mergeCell ref="C139:J139"/>
    <mergeCell ref="C148:J148"/>
    <mergeCell ref="C158:J158"/>
    <mergeCell ref="C166:J166"/>
    <mergeCell ref="C174:J174"/>
    <mergeCell ref="C16:J16"/>
    <mergeCell ref="C25:J25"/>
    <mergeCell ref="C37:J37"/>
    <mergeCell ref="C44:J44"/>
    <mergeCell ref="C52:J52"/>
    <mergeCell ref="C77:J77"/>
    <mergeCell ref="C89:J89"/>
    <mergeCell ref="C102:J102"/>
    <mergeCell ref="C115:J115"/>
    <mergeCell ref="E18:M18"/>
    <mergeCell ref="E27:M27"/>
    <mergeCell ref="E46:M46"/>
    <mergeCell ref="E54:M54"/>
    <mergeCell ref="E79:M79"/>
    <mergeCell ref="E91:M91"/>
    <mergeCell ref="E104:M104"/>
    <mergeCell ref="E117:M117"/>
    <mergeCell ref="E39:M39"/>
    <mergeCell ref="N39:V39"/>
    <mergeCell ref="W39:AE39"/>
    <mergeCell ref="AF39:AN39"/>
    <mergeCell ref="E40:G40"/>
    <mergeCell ref="H40:H41"/>
    <mergeCell ref="I40:I41"/>
    <mergeCell ref="J40:J41"/>
    <mergeCell ref="K40:M40"/>
    <mergeCell ref="N40:P40"/>
    <mergeCell ref="Q40:Q41"/>
    <mergeCell ref="R40:R41"/>
    <mergeCell ref="S40:S41"/>
    <mergeCell ref="T40:V40"/>
    <mergeCell ref="W40:Y40"/>
    <mergeCell ref="Z40:Z41"/>
    <mergeCell ref="AA40:AA41"/>
    <mergeCell ref="AB40:AB41"/>
    <mergeCell ref="AC40:AE40"/>
    <mergeCell ref="AF40:AH40"/>
    <mergeCell ref="AC118:AE118"/>
    <mergeCell ref="AF118:AH118"/>
    <mergeCell ref="N117:V117"/>
    <mergeCell ref="W117:AE117"/>
    <mergeCell ref="AF117:AN117"/>
    <mergeCell ref="S125:S126"/>
    <mergeCell ref="T125:V125"/>
    <mergeCell ref="W125:Y125"/>
    <mergeCell ref="Z125:Z126"/>
    <mergeCell ref="AA125:AA126"/>
    <mergeCell ref="AB125:AB126"/>
    <mergeCell ref="AC125:AE125"/>
    <mergeCell ref="AF125:AH125"/>
    <mergeCell ref="AL118:AN118"/>
    <mergeCell ref="AF92:AH92"/>
    <mergeCell ref="N91:V91"/>
    <mergeCell ref="W91:AE91"/>
    <mergeCell ref="AF91:AN91"/>
    <mergeCell ref="S105:S106"/>
    <mergeCell ref="T105:V105"/>
    <mergeCell ref="W105:Y105"/>
    <mergeCell ref="Z105:Z106"/>
    <mergeCell ref="AA105:AA106"/>
    <mergeCell ref="AB105:AB106"/>
    <mergeCell ref="AC105:AE105"/>
    <mergeCell ref="AF105:AH105"/>
    <mergeCell ref="AK92:AK93"/>
    <mergeCell ref="AL92:AN92"/>
    <mergeCell ref="N104:V104"/>
    <mergeCell ref="W104:AE104"/>
    <mergeCell ref="AF104:AN104"/>
    <mergeCell ref="AC55:AE55"/>
    <mergeCell ref="AF55:AH55"/>
    <mergeCell ref="N54:V54"/>
    <mergeCell ref="W54:AE54"/>
    <mergeCell ref="AF54:AN54"/>
    <mergeCell ref="S80:S81"/>
    <mergeCell ref="T80:V80"/>
    <mergeCell ref="W80:Y80"/>
    <mergeCell ref="Z80:Z81"/>
    <mergeCell ref="AA80:AA81"/>
    <mergeCell ref="AB80:AB81"/>
    <mergeCell ref="AC80:AE80"/>
    <mergeCell ref="AF80:AH80"/>
    <mergeCell ref="AL55:AN55"/>
    <mergeCell ref="N79:V79"/>
    <mergeCell ref="W79:AE79"/>
    <mergeCell ref="AF79:AN79"/>
    <mergeCell ref="AC28:AE28"/>
    <mergeCell ref="AF28:AH28"/>
    <mergeCell ref="N27:V27"/>
    <mergeCell ref="W27:AE27"/>
    <mergeCell ref="AF27:AN27"/>
    <mergeCell ref="S47:S48"/>
    <mergeCell ref="T47:V47"/>
    <mergeCell ref="W47:Y47"/>
    <mergeCell ref="Z47:Z48"/>
    <mergeCell ref="AA47:AA48"/>
    <mergeCell ref="AB47:AB48"/>
    <mergeCell ref="AC47:AE47"/>
    <mergeCell ref="AF47:AH47"/>
    <mergeCell ref="AL28:AN28"/>
    <mergeCell ref="AL40:AN40"/>
    <mergeCell ref="N46:V46"/>
    <mergeCell ref="W46:AE46"/>
    <mergeCell ref="AF46:AN46"/>
    <mergeCell ref="D10:D11"/>
    <mergeCell ref="AL10:AN10"/>
    <mergeCell ref="C2:C6"/>
    <mergeCell ref="AO10:AV10"/>
    <mergeCell ref="AW10:AW11"/>
    <mergeCell ref="AO11:AP11"/>
    <mergeCell ref="AQ11:AT11"/>
    <mergeCell ref="AU11:AV11"/>
    <mergeCell ref="C10:C11"/>
    <mergeCell ref="AI10:AI11"/>
    <mergeCell ref="AJ10:AJ11"/>
    <mergeCell ref="AK10:AK11"/>
    <mergeCell ref="D2:AK2"/>
    <mergeCell ref="D3:AK3"/>
    <mergeCell ref="D5:AK5"/>
    <mergeCell ref="D6:AK6"/>
    <mergeCell ref="E10:G10"/>
    <mergeCell ref="N10:P10"/>
    <mergeCell ref="D4:AK4"/>
    <mergeCell ref="W10:Y10"/>
    <mergeCell ref="AF9:AN9"/>
    <mergeCell ref="K10:M10"/>
    <mergeCell ref="E9:M9"/>
    <mergeCell ref="N9:V9"/>
    <mergeCell ref="AO19:AV19"/>
    <mergeCell ref="AW19:AW20"/>
    <mergeCell ref="AO20:AP20"/>
    <mergeCell ref="AQ20:AT20"/>
    <mergeCell ref="AU20:AV20"/>
    <mergeCell ref="C19:C20"/>
    <mergeCell ref="AI19:AI20"/>
    <mergeCell ref="AJ19:AJ20"/>
    <mergeCell ref="AK19:AK20"/>
    <mergeCell ref="D19:D20"/>
    <mergeCell ref="S19:S20"/>
    <mergeCell ref="T19:V19"/>
    <mergeCell ref="W19:Y19"/>
    <mergeCell ref="Z19:Z20"/>
    <mergeCell ref="AA19:AA20"/>
    <mergeCell ref="AB19:AB20"/>
    <mergeCell ref="AC19:AE19"/>
    <mergeCell ref="AF19:AH19"/>
    <mergeCell ref="N18:V18"/>
    <mergeCell ref="W18:AE18"/>
    <mergeCell ref="AF18:AN18"/>
    <mergeCell ref="E19:G19"/>
    <mergeCell ref="H19:H20"/>
    <mergeCell ref="I19:I20"/>
    <mergeCell ref="J19:J20"/>
    <mergeCell ref="K19:M19"/>
    <mergeCell ref="N19:P19"/>
    <mergeCell ref="Q19:Q20"/>
    <mergeCell ref="R19:R20"/>
    <mergeCell ref="AL19:AN19"/>
    <mergeCell ref="AO28:AV28"/>
    <mergeCell ref="AW28:AW29"/>
    <mergeCell ref="AO29:AP29"/>
    <mergeCell ref="AQ29:AT29"/>
    <mergeCell ref="AU29:AV29"/>
    <mergeCell ref="C28:C29"/>
    <mergeCell ref="AI28:AI29"/>
    <mergeCell ref="AJ28:AJ29"/>
    <mergeCell ref="AK28:AK29"/>
    <mergeCell ref="D28:D29"/>
    <mergeCell ref="E28:G28"/>
    <mergeCell ref="H28:H29"/>
    <mergeCell ref="I28:I29"/>
    <mergeCell ref="J28:J29"/>
    <mergeCell ref="K28:M28"/>
    <mergeCell ref="N28:P28"/>
    <mergeCell ref="Q28:Q29"/>
    <mergeCell ref="R28:R29"/>
    <mergeCell ref="S28:S29"/>
    <mergeCell ref="T28:V28"/>
    <mergeCell ref="W28:Y28"/>
    <mergeCell ref="Z28:Z29"/>
    <mergeCell ref="AA28:AA29"/>
    <mergeCell ref="AB28:AB29"/>
    <mergeCell ref="AO40:AV40"/>
    <mergeCell ref="AW40:AW41"/>
    <mergeCell ref="AO41:AP41"/>
    <mergeCell ref="AQ41:AT41"/>
    <mergeCell ref="AU41:AV41"/>
    <mergeCell ref="C40:C41"/>
    <mergeCell ref="AI40:AI41"/>
    <mergeCell ref="AJ40:AJ41"/>
    <mergeCell ref="AK40:AK41"/>
    <mergeCell ref="D40:D41"/>
    <mergeCell ref="AO47:AV47"/>
    <mergeCell ref="AW47:AW48"/>
    <mergeCell ref="AO48:AP48"/>
    <mergeCell ref="AQ48:AT48"/>
    <mergeCell ref="AU48:AV48"/>
    <mergeCell ref="C47:C48"/>
    <mergeCell ref="AI47:AI48"/>
    <mergeCell ref="AJ47:AJ48"/>
    <mergeCell ref="AK47:AK48"/>
    <mergeCell ref="D47:D48"/>
    <mergeCell ref="E47:G47"/>
    <mergeCell ref="H47:H48"/>
    <mergeCell ref="I47:I48"/>
    <mergeCell ref="J47:J48"/>
    <mergeCell ref="K47:M47"/>
    <mergeCell ref="N47:P47"/>
    <mergeCell ref="Q47:Q48"/>
    <mergeCell ref="R47:R48"/>
    <mergeCell ref="AL47:AN47"/>
    <mergeCell ref="AO55:AV55"/>
    <mergeCell ref="AW55:AW56"/>
    <mergeCell ref="AO56:AP56"/>
    <mergeCell ref="AQ56:AT56"/>
    <mergeCell ref="AU56:AV56"/>
    <mergeCell ref="C55:C56"/>
    <mergeCell ref="AI55:AI56"/>
    <mergeCell ref="AJ55:AJ56"/>
    <mergeCell ref="AK55:AK56"/>
    <mergeCell ref="D55:D56"/>
    <mergeCell ref="E55:G55"/>
    <mergeCell ref="H55:H56"/>
    <mergeCell ref="I55:I56"/>
    <mergeCell ref="J55:J56"/>
    <mergeCell ref="K55:M55"/>
    <mergeCell ref="N55:P55"/>
    <mergeCell ref="Q55:Q56"/>
    <mergeCell ref="R55:R56"/>
    <mergeCell ref="S55:S56"/>
    <mergeCell ref="T55:V55"/>
    <mergeCell ref="W55:Y55"/>
    <mergeCell ref="Z55:Z56"/>
    <mergeCell ref="AA55:AA56"/>
    <mergeCell ref="AB55:AB56"/>
    <mergeCell ref="AO80:AV80"/>
    <mergeCell ref="AW80:AW81"/>
    <mergeCell ref="AO81:AP81"/>
    <mergeCell ref="AQ81:AT81"/>
    <mergeCell ref="AU81:AV81"/>
    <mergeCell ref="C80:C81"/>
    <mergeCell ref="AI80:AI81"/>
    <mergeCell ref="AJ80:AJ81"/>
    <mergeCell ref="D80:D81"/>
    <mergeCell ref="E80:G80"/>
    <mergeCell ref="H80:H81"/>
    <mergeCell ref="I80:I81"/>
    <mergeCell ref="J80:J81"/>
    <mergeCell ref="K80:M80"/>
    <mergeCell ref="N80:P80"/>
    <mergeCell ref="Q80:Q81"/>
    <mergeCell ref="R80:R81"/>
    <mergeCell ref="AK80:AK81"/>
    <mergeCell ref="AL80:AN80"/>
    <mergeCell ref="AO92:AV92"/>
    <mergeCell ref="AW92:AW93"/>
    <mergeCell ref="AO93:AP93"/>
    <mergeCell ref="AQ93:AT93"/>
    <mergeCell ref="AU93:AV93"/>
    <mergeCell ref="C92:C93"/>
    <mergeCell ref="AI92:AI93"/>
    <mergeCell ref="AJ92:AJ93"/>
    <mergeCell ref="D92:D93"/>
    <mergeCell ref="E92:G92"/>
    <mergeCell ref="H92:H93"/>
    <mergeCell ref="I92:I93"/>
    <mergeCell ref="J92:J93"/>
    <mergeCell ref="K92:M92"/>
    <mergeCell ref="N92:P92"/>
    <mergeCell ref="Q92:Q93"/>
    <mergeCell ref="R92:R93"/>
    <mergeCell ref="S92:S93"/>
    <mergeCell ref="T92:V92"/>
    <mergeCell ref="W92:Y92"/>
    <mergeCell ref="Z92:Z93"/>
    <mergeCell ref="AA92:AA93"/>
    <mergeCell ref="AB92:AB93"/>
    <mergeCell ref="AC92:AE92"/>
    <mergeCell ref="AO105:AV105"/>
    <mergeCell ref="AW105:AW106"/>
    <mergeCell ref="AO106:AP106"/>
    <mergeCell ref="AQ106:AT106"/>
    <mergeCell ref="AU106:AV106"/>
    <mergeCell ref="C105:C106"/>
    <mergeCell ref="AI105:AI106"/>
    <mergeCell ref="AJ105:AJ106"/>
    <mergeCell ref="AK105:AK106"/>
    <mergeCell ref="D105:D106"/>
    <mergeCell ref="E105:G105"/>
    <mergeCell ref="H105:H106"/>
    <mergeCell ref="I105:I106"/>
    <mergeCell ref="J105:J106"/>
    <mergeCell ref="K105:M105"/>
    <mergeCell ref="N105:P105"/>
    <mergeCell ref="Q105:Q106"/>
    <mergeCell ref="R105:R106"/>
    <mergeCell ref="AL105:AN105"/>
    <mergeCell ref="AO118:AV118"/>
    <mergeCell ref="AW118:AW119"/>
    <mergeCell ref="AO119:AP119"/>
    <mergeCell ref="AQ119:AT119"/>
    <mergeCell ref="AU119:AV119"/>
    <mergeCell ref="C118:C119"/>
    <mergeCell ref="AI118:AI119"/>
    <mergeCell ref="AJ118:AJ119"/>
    <mergeCell ref="AK118:AK119"/>
    <mergeCell ref="D118:D119"/>
    <mergeCell ref="E118:G118"/>
    <mergeCell ref="H118:H119"/>
    <mergeCell ref="I118:I119"/>
    <mergeCell ref="J118:J119"/>
    <mergeCell ref="K118:M118"/>
    <mergeCell ref="N118:P118"/>
    <mergeCell ref="Q118:Q119"/>
    <mergeCell ref="R118:R119"/>
    <mergeCell ref="S118:S119"/>
    <mergeCell ref="T118:V118"/>
    <mergeCell ref="W118:Y118"/>
    <mergeCell ref="Z118:Z119"/>
    <mergeCell ref="AA118:AA119"/>
    <mergeCell ref="AB118:AB119"/>
    <mergeCell ref="AO125:AV125"/>
    <mergeCell ref="AW125:AW126"/>
    <mergeCell ref="AO126:AP126"/>
    <mergeCell ref="AQ126:AT126"/>
    <mergeCell ref="AU126:AV126"/>
    <mergeCell ref="C125:C126"/>
    <mergeCell ref="AI125:AI126"/>
    <mergeCell ref="AJ125:AJ126"/>
    <mergeCell ref="AK125:AK126"/>
    <mergeCell ref="D125:D126"/>
    <mergeCell ref="E124:M124"/>
    <mergeCell ref="N124:V124"/>
    <mergeCell ref="W124:AE124"/>
    <mergeCell ref="AF124:AN124"/>
    <mergeCell ref="E125:G125"/>
    <mergeCell ref="H125:H126"/>
    <mergeCell ref="I125:I126"/>
    <mergeCell ref="J125:J126"/>
    <mergeCell ref="K125:M125"/>
    <mergeCell ref="N125:P125"/>
    <mergeCell ref="Q125:Q126"/>
    <mergeCell ref="R125:R126"/>
    <mergeCell ref="AL125:AN125"/>
    <mergeCell ref="AO133:AV133"/>
    <mergeCell ref="AW133:AW134"/>
    <mergeCell ref="AO134:AP134"/>
    <mergeCell ref="AQ134:AT134"/>
    <mergeCell ref="AU134:AV134"/>
    <mergeCell ref="C133:C134"/>
    <mergeCell ref="AI133:AI134"/>
    <mergeCell ref="AJ133:AJ134"/>
    <mergeCell ref="AK133:AK134"/>
    <mergeCell ref="D133:D134"/>
    <mergeCell ref="R133:R134"/>
    <mergeCell ref="S133:S134"/>
    <mergeCell ref="T133:V133"/>
    <mergeCell ref="W133:Y133"/>
    <mergeCell ref="Z133:Z134"/>
    <mergeCell ref="AA133:AA134"/>
    <mergeCell ref="AB133:AB134"/>
    <mergeCell ref="AC133:AE133"/>
    <mergeCell ref="AF133:AH133"/>
    <mergeCell ref="E132:M132"/>
    <mergeCell ref="N132:V132"/>
    <mergeCell ref="W132:AE132"/>
    <mergeCell ref="AF132:AN132"/>
    <mergeCell ref="E133:G133"/>
    <mergeCell ref="H133:H134"/>
    <mergeCell ref="I133:I134"/>
    <mergeCell ref="J133:J134"/>
    <mergeCell ref="K133:M133"/>
    <mergeCell ref="N133:P133"/>
    <mergeCell ref="Q133:Q134"/>
    <mergeCell ref="AL133:AN133"/>
    <mergeCell ref="AO142:AV142"/>
    <mergeCell ref="AW142:AW143"/>
    <mergeCell ref="AO143:AP143"/>
    <mergeCell ref="AQ143:AT143"/>
    <mergeCell ref="AU143:AV143"/>
    <mergeCell ref="C142:C143"/>
    <mergeCell ref="AI142:AI143"/>
    <mergeCell ref="AJ142:AJ143"/>
    <mergeCell ref="AK142:AK143"/>
    <mergeCell ref="D142:D143"/>
    <mergeCell ref="S142:S143"/>
    <mergeCell ref="T142:V142"/>
    <mergeCell ref="W142:Y142"/>
    <mergeCell ref="Z142:Z143"/>
    <mergeCell ref="AA142:AA143"/>
    <mergeCell ref="AB142:AB143"/>
    <mergeCell ref="AC142:AE142"/>
    <mergeCell ref="AF142:AH142"/>
    <mergeCell ref="E141:M141"/>
    <mergeCell ref="N141:V141"/>
    <mergeCell ref="W141:AE141"/>
    <mergeCell ref="AF141:AN141"/>
    <mergeCell ref="E142:G142"/>
    <mergeCell ref="H142:H143"/>
    <mergeCell ref="I142:I143"/>
    <mergeCell ref="J142:J143"/>
    <mergeCell ref="K142:M142"/>
    <mergeCell ref="N142:P142"/>
    <mergeCell ref="Q142:Q143"/>
    <mergeCell ref="R142:R143"/>
    <mergeCell ref="AL142:AN142"/>
    <mergeCell ref="AO151:AV151"/>
    <mergeCell ref="AW151:AW152"/>
    <mergeCell ref="AO152:AP152"/>
    <mergeCell ref="AQ152:AT152"/>
    <mergeCell ref="AU152:AV152"/>
    <mergeCell ref="C151:C152"/>
    <mergeCell ref="AI151:AI152"/>
    <mergeCell ref="AJ151:AJ152"/>
    <mergeCell ref="AK151:AK152"/>
    <mergeCell ref="D151:D152"/>
    <mergeCell ref="S151:S152"/>
    <mergeCell ref="T151:V151"/>
    <mergeCell ref="W151:Y151"/>
    <mergeCell ref="Z151:Z152"/>
    <mergeCell ref="AA151:AA152"/>
    <mergeCell ref="AB151:AB152"/>
    <mergeCell ref="AC151:AE151"/>
    <mergeCell ref="AF151:AH151"/>
    <mergeCell ref="E150:M150"/>
    <mergeCell ref="N150:V150"/>
    <mergeCell ref="W150:AE150"/>
    <mergeCell ref="AF150:AN150"/>
    <mergeCell ref="E151:G151"/>
    <mergeCell ref="H151:H152"/>
    <mergeCell ref="I151:I152"/>
    <mergeCell ref="J151:J152"/>
    <mergeCell ref="K151:M151"/>
    <mergeCell ref="N151:P151"/>
    <mergeCell ref="Q151:Q152"/>
    <mergeCell ref="R151:R152"/>
    <mergeCell ref="AL151:AN151"/>
    <mergeCell ref="AO161:AV161"/>
    <mergeCell ref="AW161:AW162"/>
    <mergeCell ref="AO162:AP162"/>
    <mergeCell ref="AQ162:AT162"/>
    <mergeCell ref="AU162:AV162"/>
    <mergeCell ref="C161:C162"/>
    <mergeCell ref="AI161:AI162"/>
    <mergeCell ref="AJ161:AJ162"/>
    <mergeCell ref="AK161:AK162"/>
    <mergeCell ref="D161:D162"/>
    <mergeCell ref="AF161:AH161"/>
    <mergeCell ref="R161:R162"/>
    <mergeCell ref="S161:S162"/>
    <mergeCell ref="T161:V161"/>
    <mergeCell ref="W161:Y161"/>
    <mergeCell ref="Z161:Z162"/>
    <mergeCell ref="AA161:AA162"/>
    <mergeCell ref="AB161:AB162"/>
    <mergeCell ref="AC161:AE161"/>
    <mergeCell ref="E160:M160"/>
    <mergeCell ref="N160:V160"/>
    <mergeCell ref="W160:AE160"/>
    <mergeCell ref="AF160:AN160"/>
    <mergeCell ref="E161:G161"/>
    <mergeCell ref="H161:H162"/>
    <mergeCell ref="I161:I162"/>
    <mergeCell ref="J161:J162"/>
    <mergeCell ref="K161:M161"/>
    <mergeCell ref="N161:P161"/>
    <mergeCell ref="Q161:Q162"/>
    <mergeCell ref="AL161:AN161"/>
    <mergeCell ref="AO169:AV169"/>
    <mergeCell ref="AW169:AW170"/>
    <mergeCell ref="AO170:AP170"/>
    <mergeCell ref="AQ170:AT170"/>
    <mergeCell ref="AU170:AV170"/>
    <mergeCell ref="C169:C170"/>
    <mergeCell ref="AI169:AI170"/>
    <mergeCell ref="AJ169:AJ170"/>
    <mergeCell ref="AK169:AK170"/>
    <mergeCell ref="D169:D170"/>
    <mergeCell ref="W169:Y169"/>
    <mergeCell ref="Z169:Z170"/>
    <mergeCell ref="AA169:AA170"/>
    <mergeCell ref="AB169:AB170"/>
    <mergeCell ref="AC169:AE169"/>
    <mergeCell ref="AF169:AH169"/>
    <mergeCell ref="Q169:Q170"/>
    <mergeCell ref="R169:R170"/>
    <mergeCell ref="S169:S170"/>
    <mergeCell ref="E168:M168"/>
    <mergeCell ref="N168:V168"/>
    <mergeCell ref="W168:AE168"/>
    <mergeCell ref="AF168:AN168"/>
    <mergeCell ref="E169:G169"/>
    <mergeCell ref="H169:H170"/>
    <mergeCell ref="I169:I170"/>
    <mergeCell ref="J169:J170"/>
    <mergeCell ref="K169:M169"/>
    <mergeCell ref="N169:P169"/>
    <mergeCell ref="T169:V169"/>
    <mergeCell ref="AL169:AN169"/>
    <mergeCell ref="AF10:AH10"/>
    <mergeCell ref="H10:H11"/>
    <mergeCell ref="I10:I11"/>
    <mergeCell ref="J10:J11"/>
    <mergeCell ref="Q10:Q11"/>
    <mergeCell ref="R10:R11"/>
    <mergeCell ref="S10:S11"/>
    <mergeCell ref="T10:V10"/>
    <mergeCell ref="W9:AE9"/>
    <mergeCell ref="Z10:Z11"/>
    <mergeCell ref="AA10:AA11"/>
    <mergeCell ref="AB10:AB11"/>
    <mergeCell ref="AC10:AE10"/>
  </mergeCells>
  <conditionalFormatting sqref="AL21:AM24">
    <cfRule type="cellIs" dxfId="822" priority="1044" operator="equal">
      <formula>"No programado"</formula>
    </cfRule>
    <cfRule type="cellIs" dxfId="821" priority="1168" operator="lessThanOrEqual">
      <formula>0.6</formula>
    </cfRule>
    <cfRule type="cellIs" dxfId="820" priority="1169" operator="between">
      <formula>0.600000000001</formula>
      <formula>0.99999999999999</formula>
    </cfRule>
    <cfRule type="cellIs" dxfId="819" priority="1170" operator="equal">
      <formula>1</formula>
    </cfRule>
  </conditionalFormatting>
  <conditionalFormatting sqref="AL49:AM51">
    <cfRule type="cellIs" dxfId="818" priority="1041" operator="equal">
      <formula>"No programado"</formula>
    </cfRule>
    <cfRule type="cellIs" dxfId="817" priority="1153" operator="between">
      <formula>0.7</formula>
      <formula>0.8999999999999</formula>
    </cfRule>
    <cfRule type="cellIs" dxfId="816" priority="1154" operator="lessThan">
      <formula>0.7</formula>
    </cfRule>
    <cfRule type="cellIs" dxfId="815" priority="1155" operator="between">
      <formula>0.90000000000001</formula>
      <formula>1</formula>
    </cfRule>
    <cfRule type="cellIs" dxfId="814" priority="1156" operator="greaterThan">
      <formula>1</formula>
    </cfRule>
  </conditionalFormatting>
  <conditionalFormatting sqref="AL13:AM13">
    <cfRule type="cellIs" dxfId="813" priority="1174" operator="between">
      <formula>0.95001</formula>
      <formula>1</formula>
    </cfRule>
  </conditionalFormatting>
  <conditionalFormatting sqref="AL42:AM43">
    <cfRule type="cellIs" dxfId="812" priority="1042" operator="equal">
      <formula>"No programado"</formula>
    </cfRule>
    <cfRule type="cellIs" dxfId="811" priority="1157" operator="lessThan">
      <formula>0.75</formula>
    </cfRule>
    <cfRule type="cellIs" dxfId="810" priority="1158" operator="between">
      <formula>0.75</formula>
      <formula>0.899999999999</formula>
    </cfRule>
    <cfRule type="cellIs" dxfId="809" priority="1159" operator="between">
      <formula>0.90000000000001</formula>
      <formula>1</formula>
    </cfRule>
    <cfRule type="cellIs" dxfId="808" priority="1160" operator="greaterThan">
      <formula>1</formula>
    </cfRule>
  </conditionalFormatting>
  <conditionalFormatting sqref="AL12:AM15">
    <cfRule type="cellIs" dxfId="807" priority="1167" operator="equal">
      <formula>"No programado"</formula>
    </cfRule>
    <cfRule type="cellIs" dxfId="806" priority="1176" operator="greaterThan">
      <formula>1</formula>
    </cfRule>
  </conditionalFormatting>
  <conditionalFormatting sqref="AL12:AM13">
    <cfRule type="cellIs" dxfId="805" priority="1051" operator="between">
      <formula>0.8</formula>
      <formula>0.95</formula>
    </cfRule>
    <cfRule type="cellIs" dxfId="804" priority="1173" operator="lessThan">
      <formula>0.8</formula>
    </cfRule>
  </conditionalFormatting>
  <conditionalFormatting sqref="AL14:AM14">
    <cfRule type="cellIs" dxfId="803" priority="1049" operator="between">
      <formula>0.95</formula>
      <formula>1</formula>
    </cfRule>
    <cfRule type="cellIs" dxfId="802" priority="1052" operator="lessThanOrEqual">
      <formula>0.85</formula>
    </cfRule>
    <cfRule type="cellIs" dxfId="801" priority="1175" operator="between">
      <formula>0.85000000000001</formula>
      <formula>0.94999999999</formula>
    </cfRule>
  </conditionalFormatting>
  <conditionalFormatting sqref="AL12:AM12">
    <cfRule type="cellIs" dxfId="800" priority="1050" operator="between">
      <formula>0.9500000001</formula>
      <formula>1</formula>
    </cfRule>
  </conditionalFormatting>
  <conditionalFormatting sqref="AL15:AM15">
    <cfRule type="cellIs" dxfId="799" priority="1046" operator="lessThanOrEqual">
      <formula>0.8</formula>
    </cfRule>
    <cfRule type="cellIs" dxfId="798" priority="1047" operator="between">
      <formula>0.800000000001</formula>
      <formula>0.999999999999999</formula>
    </cfRule>
    <cfRule type="cellIs" dxfId="797" priority="1048" operator="equal">
      <formula>1</formula>
    </cfRule>
  </conditionalFormatting>
  <conditionalFormatting sqref="AL21:AM24">
    <cfRule type="cellIs" dxfId="796" priority="1171" operator="greaterThan">
      <formula>1</formula>
    </cfRule>
  </conditionalFormatting>
  <conditionalFormatting sqref="AL30:AM36">
    <cfRule type="cellIs" dxfId="795" priority="1043" operator="equal">
      <formula>"No programado"</formula>
    </cfRule>
    <cfRule type="cellIs" dxfId="794" priority="1053" operator="lessThanOrEqual">
      <formula>0.85</formula>
    </cfRule>
    <cfRule type="cellIs" dxfId="793" priority="1054" operator="between">
      <formula>0.850000000001</formula>
      <formula>0.899999999999</formula>
    </cfRule>
    <cfRule type="cellIs" dxfId="792" priority="1055" operator="between">
      <formula>0.9</formula>
      <formula>1</formula>
    </cfRule>
    <cfRule type="cellIs" dxfId="791" priority="1056" operator="greaterThan">
      <formula>1</formula>
    </cfRule>
  </conditionalFormatting>
  <conditionalFormatting sqref="AL171:AM173">
    <cfRule type="cellIs" dxfId="790" priority="1085" operator="equal">
      <formula>"No programado"</formula>
    </cfRule>
    <cfRule type="cellIs" dxfId="789" priority="1086" operator="between">
      <formula>0.690001</formula>
      <formula>0.899999</formula>
    </cfRule>
    <cfRule type="cellIs" dxfId="788" priority="1087" operator="lessThanOrEqual">
      <formula>0.69</formula>
    </cfRule>
    <cfRule type="cellIs" dxfId="787" priority="1088" operator="between">
      <formula>0.9</formula>
      <formula>1</formula>
    </cfRule>
  </conditionalFormatting>
  <conditionalFormatting sqref="T21:U24">
    <cfRule type="cellIs" dxfId="786" priority="912" operator="greaterThan">
      <formula>1</formula>
    </cfRule>
  </conditionalFormatting>
  <conditionalFormatting sqref="K13:M13 M12:M15">
    <cfRule type="cellIs" dxfId="785" priority="885" operator="between">
      <formula>0.95001</formula>
      <formula>1</formula>
    </cfRule>
  </conditionalFormatting>
  <conditionalFormatting sqref="K12:M15">
    <cfRule type="cellIs" dxfId="784" priority="883" operator="equal">
      <formula>"No programado"</formula>
    </cfRule>
    <cfRule type="cellIs" dxfId="783" priority="887" operator="greaterThan">
      <formula>1</formula>
    </cfRule>
  </conditionalFormatting>
  <conditionalFormatting sqref="K12:M13 M13:M15">
    <cfRule type="cellIs" dxfId="782" priority="881" operator="between">
      <formula>0.8</formula>
      <formula>0.95</formula>
    </cfRule>
    <cfRule type="cellIs" dxfId="781" priority="884" operator="lessThan">
      <formula>0.8</formula>
    </cfRule>
  </conditionalFormatting>
  <conditionalFormatting sqref="K14:M14">
    <cfRule type="cellIs" dxfId="780" priority="879" operator="between">
      <formula>0.95</formula>
      <formula>1</formula>
    </cfRule>
    <cfRule type="cellIs" dxfId="779" priority="882" operator="lessThanOrEqual">
      <formula>0.85</formula>
    </cfRule>
    <cfRule type="cellIs" dxfId="778" priority="886" operator="between">
      <formula>0.85000000000001</formula>
      <formula>0.94999999999</formula>
    </cfRule>
  </conditionalFormatting>
  <conditionalFormatting sqref="K12:L12">
    <cfRule type="cellIs" dxfId="777" priority="880" operator="between">
      <formula>0.9500000001</formula>
      <formula>1</formula>
    </cfRule>
  </conditionalFormatting>
  <conditionalFormatting sqref="K15:M15">
    <cfRule type="cellIs" dxfId="776" priority="876" operator="lessThanOrEqual">
      <formula>0.8</formula>
    </cfRule>
    <cfRule type="cellIs" dxfId="775" priority="877" operator="between">
      <formula>0.800000000001</formula>
      <formula>0.999999999999999</formula>
    </cfRule>
    <cfRule type="cellIs" dxfId="774" priority="878" operator="equal">
      <formula>1</formula>
    </cfRule>
  </conditionalFormatting>
  <conditionalFormatting sqref="AC12:AD13">
    <cfRule type="cellIs" dxfId="773" priority="856" operator="between">
      <formula>0.9500000001</formula>
      <formula>1</formula>
    </cfRule>
    <cfRule type="cellIs" dxfId="772" priority="857" operator="between">
      <formula>0.8</formula>
      <formula>0.95</formula>
    </cfRule>
  </conditionalFormatting>
  <conditionalFormatting sqref="AC14:AD14">
    <cfRule type="cellIs" dxfId="771" priority="855" operator="between">
      <formula>0.95</formula>
      <formula>1</formula>
    </cfRule>
    <cfRule type="cellIs" dxfId="770" priority="858" operator="lessThanOrEqual">
      <formula>0.85</formula>
    </cfRule>
  </conditionalFormatting>
  <conditionalFormatting sqref="K21:L24">
    <cfRule type="cellIs" dxfId="769" priority="847" operator="equal">
      <formula>"No programado"</formula>
    </cfRule>
    <cfRule type="cellIs" dxfId="768" priority="848" operator="lessThanOrEqual">
      <formula>0.6</formula>
    </cfRule>
    <cfRule type="cellIs" dxfId="767" priority="849" operator="between">
      <formula>0.600000000001</formula>
      <formula>0.99999999999999</formula>
    </cfRule>
    <cfRule type="cellIs" dxfId="766" priority="850" operator="equal">
      <formula>1</formula>
    </cfRule>
  </conditionalFormatting>
  <conditionalFormatting sqref="K21:L24">
    <cfRule type="cellIs" dxfId="765" priority="851" operator="greaterThan">
      <formula>1</formula>
    </cfRule>
  </conditionalFormatting>
  <conditionalFormatting sqref="K49:L51">
    <cfRule type="cellIs" dxfId="764" priority="832" operator="equal">
      <formula>"No programado"</formula>
    </cfRule>
    <cfRule type="cellIs" dxfId="763" priority="833" operator="between">
      <formula>0.7</formula>
      <formula>0.8999999999999</formula>
    </cfRule>
    <cfRule type="cellIs" dxfId="762" priority="834" operator="lessThan">
      <formula>0.7</formula>
    </cfRule>
    <cfRule type="cellIs" dxfId="761" priority="835" operator="between">
      <formula>0.90000000000001</formula>
      <formula>1</formula>
    </cfRule>
    <cfRule type="cellIs" dxfId="760" priority="836" operator="greaterThan">
      <formula>1</formula>
    </cfRule>
  </conditionalFormatting>
  <conditionalFormatting sqref="L69 K70:L76 K57:L68">
    <cfRule type="cellIs" dxfId="759" priority="822" operator="equal">
      <formula>"No programado"</formula>
    </cfRule>
    <cfRule type="cellIs" dxfId="758" priority="825" operator="greaterThan">
      <formula>1</formula>
    </cfRule>
  </conditionalFormatting>
  <conditionalFormatting sqref="K59:L59">
    <cfRule type="cellIs" dxfId="757" priority="827" operator="between">
      <formula>0.7</formula>
      <formula>0.8</formula>
    </cfRule>
    <cfRule type="cellIs" dxfId="756" priority="829" operator="lessThan">
      <formula>0.7</formula>
    </cfRule>
    <cfRule type="cellIs" dxfId="755" priority="830" operator="between">
      <formula>0.80000000000001</formula>
      <formula>1</formula>
    </cfRule>
  </conditionalFormatting>
  <conditionalFormatting sqref="K63:L67">
    <cfRule type="cellIs" dxfId="754" priority="826" operator="between">
      <formula>0.95</formula>
      <formula>1</formula>
    </cfRule>
    <cfRule type="cellIs" dxfId="753" priority="828" operator="between">
      <formula>0.90000000001</formula>
      <formula>0.94999999999</formula>
    </cfRule>
    <cfRule type="cellIs" dxfId="752" priority="831" operator="lessThanOrEqual">
      <formula>90</formula>
    </cfRule>
  </conditionalFormatting>
  <conditionalFormatting sqref="K68:L68 L69 K70:L76">
    <cfRule type="cellIs" dxfId="751" priority="821" operator="between">
      <formula>0.8</formula>
      <formula>0.85</formula>
    </cfRule>
    <cfRule type="cellIs" dxfId="750" priority="823" operator="lessThan">
      <formula>0.8</formula>
    </cfRule>
    <cfRule type="cellIs" dxfId="749" priority="824" operator="between">
      <formula>0.850000000001</formula>
      <formula>1</formula>
    </cfRule>
  </conditionalFormatting>
  <conditionalFormatting sqref="K58:L58 K60:L62">
    <cfRule type="cellIs" dxfId="748" priority="818" operator="lessThan">
      <formula>0.8</formula>
    </cfRule>
    <cfRule type="cellIs" dxfId="747" priority="819" operator="between">
      <formula>0.8</formula>
      <formula>0.85</formula>
    </cfRule>
    <cfRule type="cellIs" dxfId="746" priority="820" operator="between">
      <formula>0.85000000001</formula>
      <formula>1</formula>
    </cfRule>
  </conditionalFormatting>
  <conditionalFormatting sqref="K57:L57">
    <cfRule type="cellIs" dxfId="745" priority="815" operator="between">
      <formula>0.8000000001</formula>
      <formula>0.84999999999999</formula>
    </cfRule>
    <cfRule type="cellIs" dxfId="744" priority="816" operator="between">
      <formula>0.850000001</formula>
      <formula>1</formula>
    </cfRule>
    <cfRule type="cellIs" dxfId="743" priority="817" operator="lessThan">
      <formula>0.8</formula>
    </cfRule>
  </conditionalFormatting>
  <conditionalFormatting sqref="K69">
    <cfRule type="cellIs" dxfId="742" priority="811" operator="equal">
      <formula>"No programado"</formula>
    </cfRule>
    <cfRule type="cellIs" dxfId="741" priority="814" operator="greaterThan">
      <formula>1</formula>
    </cfRule>
  </conditionalFormatting>
  <conditionalFormatting sqref="K69">
    <cfRule type="cellIs" dxfId="740" priority="810" operator="between">
      <formula>0.8</formula>
      <formula>0.85</formula>
    </cfRule>
    <cfRule type="cellIs" dxfId="739" priority="812" operator="lessThan">
      <formula>0.8</formula>
    </cfRule>
    <cfRule type="cellIs" dxfId="738" priority="813" operator="between">
      <formula>0.850000000001</formula>
      <formula>1</formula>
    </cfRule>
  </conditionalFormatting>
  <conditionalFormatting sqref="AN12:AN15">
    <cfRule type="cellIs" dxfId="737" priority="785" operator="between">
      <formula>0.95001</formula>
      <formula>1</formula>
    </cfRule>
  </conditionalFormatting>
  <conditionalFormatting sqref="AN12:AN15">
    <cfRule type="cellIs" dxfId="736" priority="783" operator="equal">
      <formula>"No programado"</formula>
    </cfRule>
    <cfRule type="cellIs" dxfId="735" priority="787" operator="greaterThan">
      <formula>1</formula>
    </cfRule>
  </conditionalFormatting>
  <conditionalFormatting sqref="AN12:AN15">
    <cfRule type="cellIs" dxfId="734" priority="781" operator="between">
      <formula>0.8</formula>
      <formula>0.95</formula>
    </cfRule>
    <cfRule type="cellIs" dxfId="733" priority="784" operator="lessThan">
      <formula>0.8</formula>
    </cfRule>
  </conditionalFormatting>
  <conditionalFormatting sqref="AN14">
    <cfRule type="cellIs" dxfId="732" priority="780" operator="between">
      <formula>0.95</formula>
      <formula>1</formula>
    </cfRule>
    <cfRule type="cellIs" dxfId="731" priority="782" operator="lessThanOrEqual">
      <formula>0.85</formula>
    </cfRule>
    <cfRule type="cellIs" dxfId="730" priority="786" operator="between">
      <formula>0.85000000000001</formula>
      <formula>0.94999999999</formula>
    </cfRule>
  </conditionalFormatting>
  <conditionalFormatting sqref="AN15">
    <cfRule type="cellIs" dxfId="729" priority="777" operator="lessThanOrEqual">
      <formula>0.8</formula>
    </cfRule>
    <cfRule type="cellIs" dxfId="728" priority="778" operator="between">
      <formula>0.800000000001</formula>
      <formula>0.999999999999999</formula>
    </cfRule>
    <cfRule type="cellIs" dxfId="727" priority="779" operator="equal">
      <formula>1</formula>
    </cfRule>
  </conditionalFormatting>
  <conditionalFormatting sqref="M21:M24">
    <cfRule type="cellIs" dxfId="726" priority="775" operator="between">
      <formula>0.95001</formula>
      <formula>1</formula>
    </cfRule>
  </conditionalFormatting>
  <conditionalFormatting sqref="M21:M24">
    <cfRule type="cellIs" dxfId="725" priority="773" operator="equal">
      <formula>"No programado"</formula>
    </cfRule>
    <cfRule type="cellIs" dxfId="724" priority="776" operator="greaterThan">
      <formula>1</formula>
    </cfRule>
  </conditionalFormatting>
  <conditionalFormatting sqref="M21:M24">
    <cfRule type="cellIs" dxfId="723" priority="772" operator="between">
      <formula>0.8</formula>
      <formula>0.95</formula>
    </cfRule>
    <cfRule type="cellIs" dxfId="722" priority="774" operator="lessThan">
      <formula>0.8</formula>
    </cfRule>
  </conditionalFormatting>
  <conditionalFormatting sqref="M21:M24">
    <cfRule type="cellIs" dxfId="721" priority="769" operator="lessThanOrEqual">
      <formula>0.8</formula>
    </cfRule>
    <cfRule type="cellIs" dxfId="720" priority="770" operator="between">
      <formula>0.800000000001</formula>
      <formula>0.999999999999999</formula>
    </cfRule>
    <cfRule type="cellIs" dxfId="719" priority="771" operator="equal">
      <formula>1</formula>
    </cfRule>
  </conditionalFormatting>
  <conditionalFormatting sqref="AN21:AN24">
    <cfRule type="cellIs" dxfId="718" priority="751" operator="between">
      <formula>0.95001</formula>
      <formula>1</formula>
    </cfRule>
  </conditionalFormatting>
  <conditionalFormatting sqref="AN21:AN24">
    <cfRule type="cellIs" dxfId="717" priority="749" operator="equal">
      <formula>"No programado"</formula>
    </cfRule>
    <cfRule type="cellIs" dxfId="716" priority="752" operator="greaterThan">
      <formula>1</formula>
    </cfRule>
  </conditionalFormatting>
  <conditionalFormatting sqref="AN21:AN24">
    <cfRule type="cellIs" dxfId="715" priority="748" operator="between">
      <formula>0.8</formula>
      <formula>0.95</formula>
    </cfRule>
    <cfRule type="cellIs" dxfId="714" priority="750" operator="lessThan">
      <formula>0.8</formula>
    </cfRule>
  </conditionalFormatting>
  <conditionalFormatting sqref="AN21:AN24">
    <cfRule type="cellIs" dxfId="713" priority="745" operator="lessThanOrEqual">
      <formula>0.8</formula>
    </cfRule>
    <cfRule type="cellIs" dxfId="712" priority="746" operator="between">
      <formula>0.800000000001</formula>
      <formula>0.999999999999999</formula>
    </cfRule>
    <cfRule type="cellIs" dxfId="711" priority="747" operator="equal">
      <formula>1</formula>
    </cfRule>
  </conditionalFormatting>
  <conditionalFormatting sqref="M30:M36">
    <cfRule type="cellIs" dxfId="710" priority="743" operator="between">
      <formula>0.95001</formula>
      <formula>1</formula>
    </cfRule>
  </conditionalFormatting>
  <conditionalFormatting sqref="M30:M36">
    <cfRule type="cellIs" dxfId="709" priority="741" operator="equal">
      <formula>"No programado"</formula>
    </cfRule>
    <cfRule type="cellIs" dxfId="708" priority="744" operator="greaterThan">
      <formula>1</formula>
    </cfRule>
  </conditionalFormatting>
  <conditionalFormatting sqref="M30:M36">
    <cfRule type="cellIs" dxfId="707" priority="740" operator="between">
      <formula>0.8</formula>
      <formula>0.95</formula>
    </cfRule>
    <cfRule type="cellIs" dxfId="706" priority="742" operator="lessThan">
      <formula>0.8</formula>
    </cfRule>
  </conditionalFormatting>
  <conditionalFormatting sqref="AN30:AN36">
    <cfRule type="cellIs" dxfId="705" priority="728" operator="between">
      <formula>0.95001</formula>
      <formula>1</formula>
    </cfRule>
  </conditionalFormatting>
  <conditionalFormatting sqref="AN30:AN36">
    <cfRule type="cellIs" dxfId="704" priority="726" operator="equal">
      <formula>"No programado"</formula>
    </cfRule>
    <cfRule type="cellIs" dxfId="703" priority="729" operator="greaterThan">
      <formula>1</formula>
    </cfRule>
  </conditionalFormatting>
  <conditionalFormatting sqref="AN30:AN36">
    <cfRule type="cellIs" dxfId="702" priority="725" operator="between">
      <formula>0.8</formula>
      <formula>0.95</formula>
    </cfRule>
    <cfRule type="cellIs" dxfId="701" priority="727" operator="lessThan">
      <formula>0.8</formula>
    </cfRule>
  </conditionalFormatting>
  <conditionalFormatting sqref="M42:M43">
    <cfRule type="cellIs" dxfId="700" priority="723" operator="between">
      <formula>0.95001</formula>
      <formula>1</formula>
    </cfRule>
  </conditionalFormatting>
  <conditionalFormatting sqref="M42:M43">
    <cfRule type="cellIs" dxfId="699" priority="721" operator="equal">
      <formula>"No programado"</formula>
    </cfRule>
    <cfRule type="cellIs" dxfId="698" priority="724" operator="greaterThan">
      <formula>1</formula>
    </cfRule>
  </conditionalFormatting>
  <conditionalFormatting sqref="M42:M43">
    <cfRule type="cellIs" dxfId="697" priority="720" operator="between">
      <formula>0.8</formula>
      <formula>0.95</formula>
    </cfRule>
    <cfRule type="cellIs" dxfId="696" priority="722" operator="lessThan">
      <formula>0.8</formula>
    </cfRule>
  </conditionalFormatting>
  <conditionalFormatting sqref="AN42:AN43">
    <cfRule type="cellIs" dxfId="695" priority="708" operator="between">
      <formula>0.95001</formula>
      <formula>1</formula>
    </cfRule>
  </conditionalFormatting>
  <conditionalFormatting sqref="AN42:AN43">
    <cfRule type="cellIs" dxfId="694" priority="706" operator="equal">
      <formula>"No programado"</formula>
    </cfRule>
    <cfRule type="cellIs" dxfId="693" priority="709" operator="greaterThan">
      <formula>1</formula>
    </cfRule>
  </conditionalFormatting>
  <conditionalFormatting sqref="AN42:AN43">
    <cfRule type="cellIs" dxfId="692" priority="705" operator="between">
      <formula>0.8</formula>
      <formula>0.95</formula>
    </cfRule>
    <cfRule type="cellIs" dxfId="691" priority="707" operator="lessThan">
      <formula>0.8</formula>
    </cfRule>
  </conditionalFormatting>
  <conditionalFormatting sqref="M49:M51">
    <cfRule type="cellIs" dxfId="690" priority="703" operator="between">
      <formula>0.95001</formula>
      <formula>1</formula>
    </cfRule>
  </conditionalFormatting>
  <conditionalFormatting sqref="M49:M51">
    <cfRule type="cellIs" dxfId="689" priority="701" operator="equal">
      <formula>"No programado"</formula>
    </cfRule>
    <cfRule type="cellIs" dxfId="688" priority="704" operator="greaterThan">
      <formula>1</formula>
    </cfRule>
  </conditionalFormatting>
  <conditionalFormatting sqref="M49:M51">
    <cfRule type="cellIs" dxfId="687" priority="700" operator="between">
      <formula>0.8</formula>
      <formula>0.95</formula>
    </cfRule>
    <cfRule type="cellIs" dxfId="686" priority="702" operator="lessThan">
      <formula>0.8</formula>
    </cfRule>
  </conditionalFormatting>
  <conditionalFormatting sqref="AN49:AN51">
    <cfRule type="cellIs" dxfId="685" priority="688" operator="between">
      <formula>0.95001</formula>
      <formula>1</formula>
    </cfRule>
  </conditionalFormatting>
  <conditionalFormatting sqref="AN49:AN51">
    <cfRule type="cellIs" dxfId="684" priority="686" operator="equal">
      <formula>"No programado"</formula>
    </cfRule>
    <cfRule type="cellIs" dxfId="683" priority="689" operator="greaterThan">
      <formula>1</formula>
    </cfRule>
  </conditionalFormatting>
  <conditionalFormatting sqref="AN49:AN51">
    <cfRule type="cellIs" dxfId="682" priority="685" operator="between">
      <formula>0.8</formula>
      <formula>0.95</formula>
    </cfRule>
    <cfRule type="cellIs" dxfId="681" priority="687" operator="lessThan">
      <formula>0.8</formula>
    </cfRule>
  </conditionalFormatting>
  <conditionalFormatting sqref="M57:M76">
    <cfRule type="cellIs" dxfId="680" priority="683" operator="between">
      <formula>0.95001</formula>
      <formula>1</formula>
    </cfRule>
  </conditionalFormatting>
  <conditionalFormatting sqref="M57:M76">
    <cfRule type="cellIs" dxfId="679" priority="681" operator="equal">
      <formula>"No programado"</formula>
    </cfRule>
    <cfRule type="cellIs" dxfId="678" priority="684" operator="greaterThan">
      <formula>1</formula>
    </cfRule>
  </conditionalFormatting>
  <conditionalFormatting sqref="M57:M76">
    <cfRule type="cellIs" dxfId="677" priority="680" operator="between">
      <formula>0.8</formula>
      <formula>0.95</formula>
    </cfRule>
    <cfRule type="cellIs" dxfId="676" priority="682" operator="lessThan">
      <formula>0.8</formula>
    </cfRule>
  </conditionalFormatting>
  <conditionalFormatting sqref="AM69 AL70:AM76 AL57:AM68">
    <cfRule type="cellIs" dxfId="675" priority="616" operator="equal">
      <formula>"No programado"</formula>
    </cfRule>
    <cfRule type="cellIs" dxfId="674" priority="619" operator="greaterThan">
      <formula>1</formula>
    </cfRule>
  </conditionalFormatting>
  <conditionalFormatting sqref="AL59:AM59">
    <cfRule type="cellIs" dxfId="673" priority="621" operator="between">
      <formula>0.7</formula>
      <formula>0.8</formula>
    </cfRule>
    <cfRule type="cellIs" dxfId="672" priority="623" operator="lessThan">
      <formula>0.7</formula>
    </cfRule>
    <cfRule type="cellIs" dxfId="671" priority="624" operator="between">
      <formula>0.80000000000001</formula>
      <formula>1</formula>
    </cfRule>
  </conditionalFormatting>
  <conditionalFormatting sqref="AL63:AM67">
    <cfRule type="cellIs" dxfId="670" priority="620" operator="between">
      <formula>0.95</formula>
      <formula>1</formula>
    </cfRule>
    <cfRule type="cellIs" dxfId="669" priority="622" operator="between">
      <formula>0.90000000001</formula>
      <formula>0.94999999999</formula>
    </cfRule>
    <cfRule type="cellIs" dxfId="668" priority="625" operator="lessThanOrEqual">
      <formula>90</formula>
    </cfRule>
  </conditionalFormatting>
  <conditionalFormatting sqref="AL68:AM68 AM69 AL70:AM76">
    <cfRule type="cellIs" dxfId="667" priority="615" operator="between">
      <formula>0.8</formula>
      <formula>0.85</formula>
    </cfRule>
    <cfRule type="cellIs" dxfId="666" priority="617" operator="lessThan">
      <formula>0.8</formula>
    </cfRule>
    <cfRule type="cellIs" dxfId="665" priority="618" operator="between">
      <formula>0.850000000001</formula>
      <formula>1</formula>
    </cfRule>
  </conditionalFormatting>
  <conditionalFormatting sqref="AL58:AM58 AL60:AM62">
    <cfRule type="cellIs" dxfId="664" priority="612" operator="lessThan">
      <formula>0.8</formula>
    </cfRule>
    <cfRule type="cellIs" dxfId="663" priority="613" operator="between">
      <formula>0.8</formula>
      <formula>0.85</formula>
    </cfRule>
    <cfRule type="cellIs" dxfId="662" priority="614" operator="between">
      <formula>0.85000000001</formula>
      <formula>1</formula>
    </cfRule>
  </conditionalFormatting>
  <conditionalFormatting sqref="AL57:AM57">
    <cfRule type="cellIs" dxfId="661" priority="609" operator="between">
      <formula>0.8000000001</formula>
      <formula>0.84999999999999</formula>
    </cfRule>
    <cfRule type="cellIs" dxfId="660" priority="610" operator="between">
      <formula>0.850000001</formula>
      <formula>1</formula>
    </cfRule>
    <cfRule type="cellIs" dxfId="659" priority="611" operator="lessThan">
      <formula>0.8</formula>
    </cfRule>
  </conditionalFormatting>
  <conditionalFormatting sqref="AL69">
    <cfRule type="cellIs" dxfId="658" priority="605" operator="equal">
      <formula>"No programado"</formula>
    </cfRule>
    <cfRule type="cellIs" dxfId="657" priority="608" operator="greaterThan">
      <formula>1</formula>
    </cfRule>
  </conditionalFormatting>
  <conditionalFormatting sqref="AL69">
    <cfRule type="cellIs" dxfId="656" priority="604" operator="between">
      <formula>0.8</formula>
      <formula>0.85</formula>
    </cfRule>
    <cfRule type="cellIs" dxfId="655" priority="606" operator="lessThan">
      <formula>0.8</formula>
    </cfRule>
    <cfRule type="cellIs" dxfId="654" priority="607" operator="between">
      <formula>0.850000000001</formula>
      <formula>1</formula>
    </cfRule>
  </conditionalFormatting>
  <conditionalFormatting sqref="AN57:AN76">
    <cfRule type="cellIs" dxfId="653" priority="602" operator="between">
      <formula>0.95001</formula>
      <formula>1</formula>
    </cfRule>
  </conditionalFormatting>
  <conditionalFormatting sqref="AN57:AN76">
    <cfRule type="cellIs" dxfId="652" priority="600" operator="equal">
      <formula>"No programado"</formula>
    </cfRule>
    <cfRule type="cellIs" dxfId="651" priority="603" operator="greaterThan">
      <formula>1</formula>
    </cfRule>
  </conditionalFormatting>
  <conditionalFormatting sqref="AN57:AN76">
    <cfRule type="cellIs" dxfId="650" priority="599" operator="between">
      <formula>0.8</formula>
      <formula>0.95</formula>
    </cfRule>
    <cfRule type="cellIs" dxfId="649" priority="601" operator="lessThan">
      <formula>0.8</formula>
    </cfRule>
  </conditionalFormatting>
  <conditionalFormatting sqref="K82:L88">
    <cfRule type="cellIs" dxfId="648" priority="583" operator="equal">
      <formula>"No programado"</formula>
    </cfRule>
    <cfRule type="cellIs" dxfId="647" priority="584" operator="greaterThan">
      <formula>1</formula>
    </cfRule>
  </conditionalFormatting>
  <conditionalFormatting sqref="K84:L84">
    <cfRule type="cellIs" dxfId="646" priority="596" operator="between">
      <formula>0.53000001</formula>
      <formula>0.7699999999999</formula>
    </cfRule>
    <cfRule type="cellIs" dxfId="645" priority="597" operator="lessThan">
      <formula>0.53</formula>
    </cfRule>
    <cfRule type="cellIs" dxfId="644" priority="598" operator="between">
      <formula>0.7700000000001</formula>
      <formula>1</formula>
    </cfRule>
  </conditionalFormatting>
  <conditionalFormatting sqref="K87:L88 K83:L83">
    <cfRule type="cellIs" dxfId="643" priority="591" operator="between">
      <formula>0.69</formula>
      <formula>0.9</formula>
    </cfRule>
    <cfRule type="cellIs" dxfId="642" priority="592" operator="between">
      <formula>0.770000001</formula>
      <formula>1</formula>
    </cfRule>
    <cfRule type="cellIs" dxfId="641" priority="595" operator="lessThan">
      <formula>69</formula>
    </cfRule>
  </conditionalFormatting>
  <conditionalFormatting sqref="K86:L86">
    <cfRule type="cellIs" dxfId="640" priority="588" operator="between">
      <formula>0.57</formula>
      <formula>0.84999999999</formula>
    </cfRule>
    <cfRule type="cellIs" dxfId="639" priority="589" operator="between">
      <formula>0.85000001</formula>
      <formula>1</formula>
    </cfRule>
    <cfRule type="cellIs" dxfId="638" priority="590" operator="lessThan">
      <formula>0.57</formula>
    </cfRule>
  </conditionalFormatting>
  <conditionalFormatting sqref="K85:L85">
    <cfRule type="cellIs" dxfId="637" priority="585" operator="between">
      <formula>"0.45000001"</formula>
      <formula>0.799999999</formula>
    </cfRule>
    <cfRule type="cellIs" dxfId="636" priority="586" operator="between">
      <formula>0.8000000001</formula>
      <formula>1</formula>
    </cfRule>
    <cfRule type="cellIs" dxfId="635" priority="594" operator="lessThan">
      <formula>0.45</formula>
    </cfRule>
  </conditionalFormatting>
  <conditionalFormatting sqref="K82:L82">
    <cfRule type="cellIs" dxfId="634" priority="582" operator="between">
      <formula>0.66000000001</formula>
      <formula>0.944444444444444</formula>
    </cfRule>
    <cfRule type="cellIs" dxfId="633" priority="587" operator="between">
      <formula>0.900000000001</formula>
      <formula>1</formula>
    </cfRule>
    <cfRule type="cellIs" dxfId="632" priority="593" operator="lessThan">
      <formula>0.66</formula>
    </cfRule>
  </conditionalFormatting>
  <conditionalFormatting sqref="K85:L85">
    <cfRule type="cellIs" dxfId="631" priority="579" operator="between">
      <formula>0.53000001</formula>
      <formula>0.7699999999999</formula>
    </cfRule>
    <cfRule type="cellIs" dxfId="630" priority="580" operator="lessThan">
      <formula>0.53</formula>
    </cfRule>
    <cfRule type="cellIs" dxfId="629" priority="581" operator="between">
      <formula>0.7700000000001</formula>
      <formula>1</formula>
    </cfRule>
  </conditionalFormatting>
  <conditionalFormatting sqref="M82:M88">
    <cfRule type="cellIs" dxfId="628" priority="577" operator="between">
      <formula>0.95001</formula>
      <formula>1</formula>
    </cfRule>
  </conditionalFormatting>
  <conditionalFormatting sqref="M82:M88">
    <cfRule type="cellIs" dxfId="627" priority="575" operator="equal">
      <formula>"No programado"</formula>
    </cfRule>
    <cfRule type="cellIs" dxfId="626" priority="578" operator="greaterThan">
      <formula>1</formula>
    </cfRule>
  </conditionalFormatting>
  <conditionalFormatting sqref="M82:M88">
    <cfRule type="cellIs" dxfId="625" priority="574" operator="between">
      <formula>0.8</formula>
      <formula>0.95</formula>
    </cfRule>
    <cfRule type="cellIs" dxfId="624" priority="576" operator="lessThan">
      <formula>0.8</formula>
    </cfRule>
  </conditionalFormatting>
  <conditionalFormatting sqref="AL82:AM88">
    <cfRule type="cellIs" dxfId="623" priority="508" operator="equal">
      <formula>"No programado"</formula>
    </cfRule>
    <cfRule type="cellIs" dxfId="622" priority="509" operator="greaterThan">
      <formula>1</formula>
    </cfRule>
  </conditionalFormatting>
  <conditionalFormatting sqref="AL84:AM84">
    <cfRule type="cellIs" dxfId="621" priority="521" operator="between">
      <formula>0.53000001</formula>
      <formula>0.7699999999999</formula>
    </cfRule>
    <cfRule type="cellIs" dxfId="620" priority="522" operator="lessThan">
      <formula>0.53</formula>
    </cfRule>
    <cfRule type="cellIs" dxfId="619" priority="523" operator="between">
      <formula>0.7700000000001</formula>
      <formula>1</formula>
    </cfRule>
  </conditionalFormatting>
  <conditionalFormatting sqref="AL87:AM88 AL83:AM83">
    <cfRule type="cellIs" dxfId="618" priority="516" operator="between">
      <formula>0.69</formula>
      <formula>0.9</formula>
    </cfRule>
    <cfRule type="cellIs" dxfId="617" priority="517" operator="between">
      <formula>0.770000001</formula>
      <formula>1</formula>
    </cfRule>
    <cfRule type="cellIs" dxfId="616" priority="520" operator="lessThan">
      <formula>69</formula>
    </cfRule>
  </conditionalFormatting>
  <conditionalFormatting sqref="AL86:AM86">
    <cfRule type="cellIs" dxfId="615" priority="513" operator="between">
      <formula>0.57</formula>
      <formula>0.84999999999</formula>
    </cfRule>
    <cfRule type="cellIs" dxfId="614" priority="514" operator="between">
      <formula>0.85000001</formula>
      <formula>1</formula>
    </cfRule>
    <cfRule type="cellIs" dxfId="613" priority="515" operator="lessThan">
      <formula>0.57</formula>
    </cfRule>
  </conditionalFormatting>
  <conditionalFormatting sqref="AL85:AM85">
    <cfRule type="cellIs" dxfId="612" priority="510" operator="between">
      <formula>"0.45000001"</formula>
      <formula>0.799999999</formula>
    </cfRule>
    <cfRule type="cellIs" dxfId="611" priority="511" operator="between">
      <formula>0.8000000001</formula>
      <formula>1</formula>
    </cfRule>
    <cfRule type="cellIs" dxfId="610" priority="519" operator="lessThan">
      <formula>0.45</formula>
    </cfRule>
  </conditionalFormatting>
  <conditionalFormatting sqref="AL82:AM82">
    <cfRule type="cellIs" dxfId="609" priority="507" operator="between">
      <formula>0.66000000001</formula>
      <formula>0.944444444444444</formula>
    </cfRule>
    <cfRule type="cellIs" dxfId="608" priority="512" operator="between">
      <formula>0.900000000001</formula>
      <formula>1</formula>
    </cfRule>
    <cfRule type="cellIs" dxfId="607" priority="518" operator="lessThan">
      <formula>0.66</formula>
    </cfRule>
  </conditionalFormatting>
  <conditionalFormatting sqref="AL85:AM85">
    <cfRule type="cellIs" dxfId="606" priority="504" operator="between">
      <formula>0.53000001</formula>
      <formula>0.7699999999999</formula>
    </cfRule>
    <cfRule type="cellIs" dxfId="605" priority="505" operator="lessThan">
      <formula>0.53</formula>
    </cfRule>
    <cfRule type="cellIs" dxfId="604" priority="506" operator="between">
      <formula>0.7700000000001</formula>
      <formula>1</formula>
    </cfRule>
  </conditionalFormatting>
  <conditionalFormatting sqref="AN82:AN88">
    <cfRule type="cellIs" dxfId="603" priority="502" operator="between">
      <formula>0.95001</formula>
      <formula>1</formula>
    </cfRule>
  </conditionalFormatting>
  <conditionalFormatting sqref="AN82:AN88">
    <cfRule type="cellIs" dxfId="602" priority="500" operator="equal">
      <formula>"No programado"</formula>
    </cfRule>
    <cfRule type="cellIs" dxfId="601" priority="503" operator="greaterThan">
      <formula>1</formula>
    </cfRule>
  </conditionalFormatting>
  <conditionalFormatting sqref="AN82:AN88">
    <cfRule type="cellIs" dxfId="600" priority="499" operator="between">
      <formula>0.8</formula>
      <formula>0.95</formula>
    </cfRule>
    <cfRule type="cellIs" dxfId="599" priority="501" operator="lessThan">
      <formula>0.8</formula>
    </cfRule>
  </conditionalFormatting>
  <conditionalFormatting sqref="K94:L101">
    <cfRule type="cellIs" dxfId="598" priority="494" operator="equal">
      <formula>"No programado"</formula>
    </cfRule>
    <cfRule type="cellIs" dxfId="597" priority="495" operator="greaterThan">
      <formula>1</formula>
    </cfRule>
  </conditionalFormatting>
  <conditionalFormatting sqref="K94:L101">
    <cfRule type="cellIs" dxfId="596" priority="496" operator="between">
      <formula>0.69</formula>
      <formula>0.9</formula>
    </cfRule>
    <cfRule type="cellIs" dxfId="595" priority="497" operator="between">
      <formula>0.770000001</formula>
      <formula>1</formula>
    </cfRule>
    <cfRule type="cellIs" dxfId="594" priority="498" operator="lessThan">
      <formula>69</formula>
    </cfRule>
  </conditionalFormatting>
  <conditionalFormatting sqref="M94:M101">
    <cfRule type="cellIs" dxfId="593" priority="492" operator="between">
      <formula>0.95001</formula>
      <formula>1</formula>
    </cfRule>
  </conditionalFormatting>
  <conditionalFormatting sqref="M94:M101">
    <cfRule type="cellIs" dxfId="592" priority="490" operator="equal">
      <formula>"No programado"</formula>
    </cfRule>
    <cfRule type="cellIs" dxfId="591" priority="493" operator="greaterThan">
      <formula>1</formula>
    </cfRule>
  </conditionalFormatting>
  <conditionalFormatting sqref="M94:M101">
    <cfRule type="cellIs" dxfId="590" priority="489" operator="between">
      <formula>0.8</formula>
      <formula>0.95</formula>
    </cfRule>
    <cfRule type="cellIs" dxfId="589" priority="491" operator="lessThan">
      <formula>0.8</formula>
    </cfRule>
  </conditionalFormatting>
  <conditionalFormatting sqref="T96:V101">
    <cfRule type="cellIs" dxfId="588" priority="63" operator="between">
      <formula>0.9</formula>
      <formula>1</formula>
    </cfRule>
    <cfRule type="cellIs" dxfId="587" priority="64" operator="between">
      <formula>0.65</formula>
      <formula>0.9</formula>
    </cfRule>
    <cfRule type="cellIs" dxfId="586" priority="65" operator="equal">
      <formula>"No programado"</formula>
    </cfRule>
    <cfRule type="cellIs" dxfId="585" priority="66" operator="greaterThan">
      <formula>1</formula>
    </cfRule>
    <cfRule type="cellIs" dxfId="584" priority="481" operator="lessThan">
      <formula>0.65</formula>
    </cfRule>
  </conditionalFormatting>
  <conditionalFormatting sqref="AL94:AM101">
    <cfRule type="cellIs" dxfId="583" priority="464" operator="equal">
      <formula>"No programado"</formula>
    </cfRule>
    <cfRule type="cellIs" dxfId="582" priority="465" operator="greaterThan">
      <formula>1</formula>
    </cfRule>
  </conditionalFormatting>
  <conditionalFormatting sqref="AL94:AM101">
    <cfRule type="cellIs" dxfId="581" priority="466" operator="between">
      <formula>0.69</formula>
      <formula>0.9</formula>
    </cfRule>
    <cfRule type="cellIs" dxfId="580" priority="467" operator="between">
      <formula>0.770000001</formula>
      <formula>1</formula>
    </cfRule>
    <cfRule type="cellIs" dxfId="579" priority="468" operator="lessThan">
      <formula>69</formula>
    </cfRule>
  </conditionalFormatting>
  <conditionalFormatting sqref="AN94:AN101">
    <cfRule type="cellIs" dxfId="578" priority="462" operator="between">
      <formula>0.95001</formula>
      <formula>1</formula>
    </cfRule>
  </conditionalFormatting>
  <conditionalFormatting sqref="AN94:AN101">
    <cfRule type="cellIs" dxfId="577" priority="460" operator="equal">
      <formula>"No programado"</formula>
    </cfRule>
    <cfRule type="cellIs" dxfId="576" priority="463" operator="greaterThan">
      <formula>1</formula>
    </cfRule>
  </conditionalFormatting>
  <conditionalFormatting sqref="AN94:AN101">
    <cfRule type="cellIs" dxfId="575" priority="459" operator="between">
      <formula>0.8</formula>
      <formula>0.95</formula>
    </cfRule>
    <cfRule type="cellIs" dxfId="574" priority="461" operator="lessThan">
      <formula>0.8</formula>
    </cfRule>
  </conditionalFormatting>
  <conditionalFormatting sqref="K107:L114">
    <cfRule type="cellIs" dxfId="573" priority="454" operator="equal">
      <formula>"No programado"</formula>
    </cfRule>
    <cfRule type="cellIs" dxfId="572" priority="455" operator="greaterThan">
      <formula>1</formula>
    </cfRule>
  </conditionalFormatting>
  <conditionalFormatting sqref="K107:L114">
    <cfRule type="cellIs" dxfId="571" priority="456" operator="between">
      <formula>0.69</formula>
      <formula>0.9</formula>
    </cfRule>
    <cfRule type="cellIs" dxfId="570" priority="457" operator="between">
      <formula>0.770000001</formula>
      <formula>1</formula>
    </cfRule>
    <cfRule type="cellIs" dxfId="569" priority="458" operator="lessThan">
      <formula>69</formula>
    </cfRule>
  </conditionalFormatting>
  <conditionalFormatting sqref="M107:M114">
    <cfRule type="cellIs" dxfId="568" priority="452" operator="between">
      <formula>0.95001</formula>
      <formula>1</formula>
    </cfRule>
  </conditionalFormatting>
  <conditionalFormatting sqref="M107:M114">
    <cfRule type="cellIs" dxfId="567" priority="450" operator="equal">
      <formula>"No programado"</formula>
    </cfRule>
    <cfRule type="cellIs" dxfId="566" priority="453" operator="greaterThan">
      <formula>1</formula>
    </cfRule>
  </conditionalFormatting>
  <conditionalFormatting sqref="M107:M114">
    <cfRule type="cellIs" dxfId="565" priority="449" operator="between">
      <formula>0.8</formula>
      <formula>0.95</formula>
    </cfRule>
    <cfRule type="cellIs" dxfId="564" priority="451" operator="lessThan">
      <formula>0.8</formula>
    </cfRule>
  </conditionalFormatting>
  <conditionalFormatting sqref="AL107:AM114">
    <cfRule type="cellIs" dxfId="563" priority="424" operator="equal">
      <formula>"No programado"</formula>
    </cfRule>
    <cfRule type="cellIs" dxfId="562" priority="425" operator="greaterThan">
      <formula>1</formula>
    </cfRule>
  </conditionalFormatting>
  <conditionalFormatting sqref="AL107:AM114">
    <cfRule type="cellIs" dxfId="561" priority="426" operator="between">
      <formula>0.69</formula>
      <formula>0.9</formula>
    </cfRule>
    <cfRule type="cellIs" dxfId="560" priority="427" operator="between">
      <formula>0.770000001</formula>
      <formula>1</formula>
    </cfRule>
    <cfRule type="cellIs" dxfId="559" priority="428" operator="lessThan">
      <formula>69</formula>
    </cfRule>
  </conditionalFormatting>
  <conditionalFormatting sqref="AN107:AN114">
    <cfRule type="cellIs" dxfId="558" priority="422" operator="between">
      <formula>0.95001</formula>
      <formula>1</formula>
    </cfRule>
  </conditionalFormatting>
  <conditionalFormatting sqref="AN107:AN114">
    <cfRule type="cellIs" dxfId="557" priority="420" operator="equal">
      <formula>"No programado"</formula>
    </cfRule>
    <cfRule type="cellIs" dxfId="556" priority="423" operator="greaterThan">
      <formula>1</formula>
    </cfRule>
  </conditionalFormatting>
  <conditionalFormatting sqref="AN107:AN114">
    <cfRule type="cellIs" dxfId="555" priority="419" operator="between">
      <formula>0.8</formula>
      <formula>0.95</formula>
    </cfRule>
    <cfRule type="cellIs" dxfId="554" priority="421" operator="lessThan">
      <formula>0.8</formula>
    </cfRule>
  </conditionalFormatting>
  <conditionalFormatting sqref="K120:L121">
    <cfRule type="cellIs" dxfId="553" priority="414" operator="equal">
      <formula>"No programado"</formula>
    </cfRule>
    <cfRule type="cellIs" dxfId="552" priority="415" operator="greaterThan">
      <formula>1</formula>
    </cfRule>
  </conditionalFormatting>
  <conditionalFormatting sqref="K120:L121">
    <cfRule type="cellIs" dxfId="551" priority="416" operator="between">
      <formula>0.69</formula>
      <formula>0.9</formula>
    </cfRule>
    <cfRule type="cellIs" dxfId="550" priority="417" operator="between">
      <formula>0.770000001</formula>
      <formula>1</formula>
    </cfRule>
    <cfRule type="cellIs" dxfId="549" priority="418" operator="lessThan">
      <formula>69</formula>
    </cfRule>
  </conditionalFormatting>
  <conditionalFormatting sqref="M120:M121">
    <cfRule type="cellIs" dxfId="548" priority="412" operator="between">
      <formula>0.95001</formula>
      <formula>1</formula>
    </cfRule>
  </conditionalFormatting>
  <conditionalFormatting sqref="M120:M121">
    <cfRule type="cellIs" dxfId="547" priority="410" operator="equal">
      <formula>"No programado"</formula>
    </cfRule>
    <cfRule type="cellIs" dxfId="546" priority="413" operator="greaterThan">
      <formula>1</formula>
    </cfRule>
  </conditionalFormatting>
  <conditionalFormatting sqref="M120:M121">
    <cfRule type="cellIs" dxfId="545" priority="409" operator="between">
      <formula>0.8</formula>
      <formula>0.95</formula>
    </cfRule>
    <cfRule type="cellIs" dxfId="544" priority="411" operator="lessThan">
      <formula>0.8</formula>
    </cfRule>
  </conditionalFormatting>
  <conditionalFormatting sqref="AL120:AM121">
    <cfRule type="cellIs" dxfId="543" priority="384" operator="equal">
      <formula>"No programado"</formula>
    </cfRule>
    <cfRule type="cellIs" dxfId="542" priority="385" operator="greaterThan">
      <formula>1</formula>
    </cfRule>
  </conditionalFormatting>
  <conditionalFormatting sqref="AL120:AM121">
    <cfRule type="cellIs" dxfId="541" priority="386" operator="between">
      <formula>0.69</formula>
      <formula>0.9</formula>
    </cfRule>
    <cfRule type="cellIs" dxfId="540" priority="387" operator="between">
      <formula>0.770000001</formula>
      <formula>1</formula>
    </cfRule>
    <cfRule type="cellIs" dxfId="539" priority="388" operator="lessThan">
      <formula>69</formula>
    </cfRule>
  </conditionalFormatting>
  <conditionalFormatting sqref="AN120:AN121">
    <cfRule type="cellIs" dxfId="538" priority="382" operator="between">
      <formula>0.95001</formula>
      <formula>1</formula>
    </cfRule>
  </conditionalFormatting>
  <conditionalFormatting sqref="AN120:AN121">
    <cfRule type="cellIs" dxfId="537" priority="380" operator="equal">
      <formula>"No programado"</formula>
    </cfRule>
    <cfRule type="cellIs" dxfId="536" priority="383" operator="greaterThan">
      <formula>1</formula>
    </cfRule>
  </conditionalFormatting>
  <conditionalFormatting sqref="AN120:AN121">
    <cfRule type="cellIs" dxfId="535" priority="379" operator="between">
      <formula>0.8</formula>
      <formula>0.95</formula>
    </cfRule>
    <cfRule type="cellIs" dxfId="534" priority="381" operator="lessThan">
      <formula>0.8</formula>
    </cfRule>
  </conditionalFormatting>
  <conditionalFormatting sqref="K127:L129">
    <cfRule type="cellIs" dxfId="533" priority="374" operator="equal">
      <formula>"No programado"</formula>
    </cfRule>
    <cfRule type="cellIs" dxfId="532" priority="375" operator="greaterThan">
      <formula>1</formula>
    </cfRule>
  </conditionalFormatting>
  <conditionalFormatting sqref="K127:L129">
    <cfRule type="cellIs" dxfId="531" priority="376" operator="between">
      <formula>0.69</formula>
      <formula>0.9</formula>
    </cfRule>
    <cfRule type="cellIs" dxfId="530" priority="377" operator="between">
      <formula>0.770000001</formula>
      <formula>1</formula>
    </cfRule>
    <cfRule type="cellIs" dxfId="529" priority="378" operator="lessThan">
      <formula>69</formula>
    </cfRule>
  </conditionalFormatting>
  <conditionalFormatting sqref="M127:M129">
    <cfRule type="cellIs" dxfId="528" priority="372" operator="between">
      <formula>0.95001</formula>
      <formula>1</formula>
    </cfRule>
  </conditionalFormatting>
  <conditionalFormatting sqref="M127:M129">
    <cfRule type="cellIs" dxfId="527" priority="370" operator="equal">
      <formula>"No programado"</formula>
    </cfRule>
    <cfRule type="cellIs" dxfId="526" priority="373" operator="greaterThan">
      <formula>1</formula>
    </cfRule>
  </conditionalFormatting>
  <conditionalFormatting sqref="M127:M129">
    <cfRule type="cellIs" dxfId="525" priority="369" operator="between">
      <formula>0.8</formula>
      <formula>0.95</formula>
    </cfRule>
    <cfRule type="cellIs" dxfId="524" priority="371" operator="lessThan">
      <formula>0.8</formula>
    </cfRule>
  </conditionalFormatting>
  <conditionalFormatting sqref="AL127:AM129">
    <cfRule type="cellIs" dxfId="523" priority="344" operator="equal">
      <formula>"No programado"</formula>
    </cfRule>
    <cfRule type="cellIs" dxfId="522" priority="345" operator="greaterThan">
      <formula>1</formula>
    </cfRule>
  </conditionalFormatting>
  <conditionalFormatting sqref="AL127:AM129">
    <cfRule type="cellIs" dxfId="521" priority="346" operator="between">
      <formula>0.69</formula>
      <formula>0.9</formula>
    </cfRule>
    <cfRule type="cellIs" dxfId="520" priority="347" operator="between">
      <formula>0.770000001</formula>
      <formula>1</formula>
    </cfRule>
    <cfRule type="cellIs" dxfId="519" priority="348" operator="lessThan">
      <formula>69</formula>
    </cfRule>
  </conditionalFormatting>
  <conditionalFormatting sqref="AN127:AN129">
    <cfRule type="cellIs" dxfId="518" priority="342" operator="between">
      <formula>0.95001</formula>
      <formula>1</formula>
    </cfRule>
  </conditionalFormatting>
  <conditionalFormatting sqref="AN127:AN129">
    <cfRule type="cellIs" dxfId="517" priority="340" operator="equal">
      <formula>"No programado"</formula>
    </cfRule>
    <cfRule type="cellIs" dxfId="516" priority="343" operator="greaterThan">
      <formula>1</formula>
    </cfRule>
  </conditionalFormatting>
  <conditionalFormatting sqref="AN127:AN129">
    <cfRule type="cellIs" dxfId="515" priority="339" operator="between">
      <formula>0.8</formula>
      <formula>0.95</formula>
    </cfRule>
    <cfRule type="cellIs" dxfId="514" priority="341" operator="lessThan">
      <formula>0.8</formula>
    </cfRule>
  </conditionalFormatting>
  <conditionalFormatting sqref="K135:L135">
    <cfRule type="cellIs" dxfId="513" priority="334" operator="equal">
      <formula>"No programado"</formula>
    </cfRule>
    <cfRule type="cellIs" dxfId="512" priority="335" operator="greaterThan">
      <formula>1</formula>
    </cfRule>
  </conditionalFormatting>
  <conditionalFormatting sqref="K135:L135">
    <cfRule type="cellIs" dxfId="511" priority="336" operator="between">
      <formula>0.69</formula>
      <formula>0.9</formula>
    </cfRule>
    <cfRule type="cellIs" dxfId="510" priority="337" operator="between">
      <formula>0.770000001</formula>
      <formula>1</formula>
    </cfRule>
    <cfRule type="cellIs" dxfId="509" priority="338" operator="lessThan">
      <formula>69</formula>
    </cfRule>
  </conditionalFormatting>
  <conditionalFormatting sqref="M135">
    <cfRule type="cellIs" dxfId="508" priority="332" operator="between">
      <formula>0.95001</formula>
      <formula>1</formula>
    </cfRule>
  </conditionalFormatting>
  <conditionalFormatting sqref="M135">
    <cfRule type="cellIs" dxfId="507" priority="330" operator="equal">
      <formula>"No programado"</formula>
    </cfRule>
    <cfRule type="cellIs" dxfId="506" priority="333" operator="greaterThan">
      <formula>1</formula>
    </cfRule>
  </conditionalFormatting>
  <conditionalFormatting sqref="M135">
    <cfRule type="cellIs" dxfId="505" priority="329" operator="between">
      <formula>0.8</formula>
      <formula>0.95</formula>
    </cfRule>
    <cfRule type="cellIs" dxfId="504" priority="331" operator="lessThan">
      <formula>0.8</formula>
    </cfRule>
  </conditionalFormatting>
  <conditionalFormatting sqref="K136:L138">
    <cfRule type="cellIs" dxfId="503" priority="324" operator="equal">
      <formula>"No programado"</formula>
    </cfRule>
    <cfRule type="cellIs" dxfId="502" priority="325" operator="greaterThan">
      <formula>1</formula>
    </cfRule>
  </conditionalFormatting>
  <conditionalFormatting sqref="K136:L138">
    <cfRule type="cellIs" dxfId="501" priority="326" operator="between">
      <formula>0.69</formula>
      <formula>0.9</formula>
    </cfRule>
    <cfRule type="cellIs" dxfId="500" priority="327" operator="between">
      <formula>0.770000001</formula>
      <formula>1</formula>
    </cfRule>
    <cfRule type="cellIs" dxfId="499" priority="328" operator="lessThan">
      <formula>69</formula>
    </cfRule>
  </conditionalFormatting>
  <conditionalFormatting sqref="M136:M138">
    <cfRule type="cellIs" dxfId="498" priority="322" operator="between">
      <formula>0.95001</formula>
      <formula>1</formula>
    </cfRule>
  </conditionalFormatting>
  <conditionalFormatting sqref="M136:M138">
    <cfRule type="cellIs" dxfId="497" priority="320" operator="equal">
      <formula>"No programado"</formula>
    </cfRule>
    <cfRule type="cellIs" dxfId="496" priority="323" operator="greaterThan">
      <formula>1</formula>
    </cfRule>
  </conditionalFormatting>
  <conditionalFormatting sqref="M136:M138">
    <cfRule type="cellIs" dxfId="495" priority="319" operator="between">
      <formula>0.8</formula>
      <formula>0.95</formula>
    </cfRule>
    <cfRule type="cellIs" dxfId="494" priority="321" operator="lessThan">
      <formula>0.8</formula>
    </cfRule>
  </conditionalFormatting>
  <conditionalFormatting sqref="AL135:AM135">
    <cfRule type="cellIs" dxfId="493" priority="274" operator="equal">
      <formula>"No programado"</formula>
    </cfRule>
    <cfRule type="cellIs" dxfId="492" priority="275" operator="greaterThan">
      <formula>1</formula>
    </cfRule>
  </conditionalFormatting>
  <conditionalFormatting sqref="AL135:AM135">
    <cfRule type="cellIs" dxfId="491" priority="276" operator="between">
      <formula>0.69</formula>
      <formula>0.9</formula>
    </cfRule>
    <cfRule type="cellIs" dxfId="490" priority="277" operator="between">
      <formula>0.770000001</formula>
      <formula>1</formula>
    </cfRule>
    <cfRule type="cellIs" dxfId="489" priority="278" operator="lessThan">
      <formula>69</formula>
    </cfRule>
  </conditionalFormatting>
  <conditionalFormatting sqref="AN135">
    <cfRule type="cellIs" dxfId="488" priority="272" operator="between">
      <formula>0.95001</formula>
      <formula>1</formula>
    </cfRule>
  </conditionalFormatting>
  <conditionalFormatting sqref="AN135">
    <cfRule type="cellIs" dxfId="487" priority="270" operator="equal">
      <formula>"No programado"</formula>
    </cfRule>
    <cfRule type="cellIs" dxfId="486" priority="273" operator="greaterThan">
      <formula>1</formula>
    </cfRule>
  </conditionalFormatting>
  <conditionalFormatting sqref="AN135">
    <cfRule type="cellIs" dxfId="485" priority="269" operator="between">
      <formula>0.8</formula>
      <formula>0.95</formula>
    </cfRule>
    <cfRule type="cellIs" dxfId="484" priority="271" operator="lessThan">
      <formula>0.8</formula>
    </cfRule>
  </conditionalFormatting>
  <conditionalFormatting sqref="AL136:AM138">
    <cfRule type="cellIs" dxfId="483" priority="264" operator="equal">
      <formula>"No programado"</formula>
    </cfRule>
    <cfRule type="cellIs" dxfId="482" priority="265" operator="greaterThan">
      <formula>1</formula>
    </cfRule>
  </conditionalFormatting>
  <conditionalFormatting sqref="AL136:AM138">
    <cfRule type="cellIs" dxfId="481" priority="266" operator="between">
      <formula>0.69</formula>
      <formula>0.9</formula>
    </cfRule>
    <cfRule type="cellIs" dxfId="480" priority="267" operator="between">
      <formula>0.770000001</formula>
      <formula>1</formula>
    </cfRule>
    <cfRule type="cellIs" dxfId="479" priority="268" operator="lessThan">
      <formula>69</formula>
    </cfRule>
  </conditionalFormatting>
  <conditionalFormatting sqref="AN136:AN138">
    <cfRule type="cellIs" dxfId="478" priority="262" operator="between">
      <formula>0.95001</formula>
      <formula>1</formula>
    </cfRule>
  </conditionalFormatting>
  <conditionalFormatting sqref="AN136:AN138">
    <cfRule type="cellIs" dxfId="477" priority="260" operator="equal">
      <formula>"No programado"</formula>
    </cfRule>
    <cfRule type="cellIs" dxfId="476" priority="263" operator="greaterThan">
      <formula>1</formula>
    </cfRule>
  </conditionalFormatting>
  <conditionalFormatting sqref="AN136:AN138">
    <cfRule type="cellIs" dxfId="475" priority="259" operator="between">
      <formula>0.8</formula>
      <formula>0.95</formula>
    </cfRule>
    <cfRule type="cellIs" dxfId="474" priority="261" operator="lessThan">
      <formula>0.8</formula>
    </cfRule>
  </conditionalFormatting>
  <conditionalFormatting sqref="K144:L147">
    <cfRule type="cellIs" dxfId="473" priority="254" operator="equal">
      <formula>"No programado"</formula>
    </cfRule>
    <cfRule type="cellIs" dxfId="472" priority="255" operator="greaterThan">
      <formula>1</formula>
    </cfRule>
  </conditionalFormatting>
  <conditionalFormatting sqref="K144:L147">
    <cfRule type="cellIs" dxfId="471" priority="256" operator="between">
      <formula>0.69</formula>
      <formula>0.9</formula>
    </cfRule>
    <cfRule type="cellIs" dxfId="470" priority="257" operator="between">
      <formula>0.770000001</formula>
      <formula>1</formula>
    </cfRule>
    <cfRule type="cellIs" dxfId="469" priority="258" operator="lessThan">
      <formula>69</formula>
    </cfRule>
  </conditionalFormatting>
  <conditionalFormatting sqref="M144:M147">
    <cfRule type="cellIs" dxfId="468" priority="252" operator="between">
      <formula>0.95001</formula>
      <formula>1</formula>
    </cfRule>
  </conditionalFormatting>
  <conditionalFormatting sqref="M144:M147">
    <cfRule type="cellIs" dxfId="467" priority="250" operator="equal">
      <formula>"No programado"</formula>
    </cfRule>
    <cfRule type="cellIs" dxfId="466" priority="253" operator="greaterThan">
      <formula>1</formula>
    </cfRule>
  </conditionalFormatting>
  <conditionalFormatting sqref="M144:M147">
    <cfRule type="cellIs" dxfId="465" priority="249" operator="between">
      <formula>0.8</formula>
      <formula>0.95</formula>
    </cfRule>
    <cfRule type="cellIs" dxfId="464" priority="251" operator="lessThan">
      <formula>0.8</formula>
    </cfRule>
  </conditionalFormatting>
  <conditionalFormatting sqref="K153:L157">
    <cfRule type="cellIs" dxfId="463" priority="224" operator="equal">
      <formula>"No programado"</formula>
    </cfRule>
    <cfRule type="cellIs" dxfId="462" priority="225" operator="greaterThan">
      <formula>1</formula>
    </cfRule>
  </conditionalFormatting>
  <conditionalFormatting sqref="K153:L157">
    <cfRule type="cellIs" dxfId="461" priority="226" operator="between">
      <formula>0.69</formula>
      <formula>0.9</formula>
    </cfRule>
    <cfRule type="cellIs" dxfId="460" priority="227" operator="between">
      <formula>0.770000001</formula>
      <formula>1</formula>
    </cfRule>
    <cfRule type="cellIs" dxfId="459" priority="228" operator="lessThan">
      <formula>69</formula>
    </cfRule>
  </conditionalFormatting>
  <conditionalFormatting sqref="M153:M157">
    <cfRule type="cellIs" dxfId="458" priority="222" operator="between">
      <formula>0.95001</formula>
      <formula>1</formula>
    </cfRule>
  </conditionalFormatting>
  <conditionalFormatting sqref="M153:M157">
    <cfRule type="cellIs" dxfId="457" priority="220" operator="equal">
      <formula>"No programado"</formula>
    </cfRule>
    <cfRule type="cellIs" dxfId="456" priority="223" operator="greaterThan">
      <formula>1</formula>
    </cfRule>
  </conditionalFormatting>
  <conditionalFormatting sqref="M153:M157">
    <cfRule type="cellIs" dxfId="455" priority="219" operator="between">
      <formula>0.8</formula>
      <formula>0.95</formula>
    </cfRule>
    <cfRule type="cellIs" dxfId="454" priority="221" operator="lessThan">
      <formula>0.8</formula>
    </cfRule>
  </conditionalFormatting>
  <conditionalFormatting sqref="AE153:AE157">
    <cfRule type="cellIs" dxfId="453" priority="201" operator="between">
      <formula>0.90000001</formula>
      <formula>0.999999999999</formula>
    </cfRule>
  </conditionalFormatting>
  <conditionalFormatting sqref="K163:L165">
    <cfRule type="cellIs" dxfId="452" priority="194" operator="equal">
      <formula>"No programado"</formula>
    </cfRule>
    <cfRule type="cellIs" dxfId="451" priority="195" operator="greaterThan">
      <formula>1</formula>
    </cfRule>
  </conditionalFormatting>
  <conditionalFormatting sqref="K163:L165">
    <cfRule type="cellIs" dxfId="450" priority="196" operator="between">
      <formula>0.69</formula>
      <formula>0.9</formula>
    </cfRule>
    <cfRule type="cellIs" dxfId="449" priority="197" operator="between">
      <formula>0.770000001</formula>
      <formula>1</formula>
    </cfRule>
    <cfRule type="cellIs" dxfId="448" priority="198" operator="lessThan">
      <formula>69</formula>
    </cfRule>
  </conditionalFormatting>
  <conditionalFormatting sqref="M163:M165">
    <cfRule type="cellIs" dxfId="447" priority="192" operator="between">
      <formula>0.95001</formula>
      <formula>1</formula>
    </cfRule>
  </conditionalFormatting>
  <conditionalFormatting sqref="M163:M165">
    <cfRule type="cellIs" dxfId="446" priority="190" operator="equal">
      <formula>"No programado"</formula>
    </cfRule>
    <cfRule type="cellIs" dxfId="445" priority="193" operator="greaterThan">
      <formula>1</formula>
    </cfRule>
  </conditionalFormatting>
  <conditionalFormatting sqref="M163:M165">
    <cfRule type="cellIs" dxfId="444" priority="189" operator="between">
      <formula>0.8</formula>
      <formula>0.95</formula>
    </cfRule>
    <cfRule type="cellIs" dxfId="443" priority="191" operator="lessThan">
      <formula>0.8</formula>
    </cfRule>
  </conditionalFormatting>
  <conditionalFormatting sqref="T164:V164">
    <cfRule type="cellIs" dxfId="442" priority="186" operator="between">
      <formula>0.99</formula>
      <formula>0.9999999999999</formula>
    </cfRule>
    <cfRule type="cellIs" dxfId="441" priority="187" operator="equal">
      <formula>1</formula>
    </cfRule>
    <cfRule type="cellIs" dxfId="440" priority="188" operator="lessThanOrEqual">
      <formula>0.69</formula>
    </cfRule>
  </conditionalFormatting>
  <conditionalFormatting sqref="K171:L173">
    <cfRule type="cellIs" dxfId="439" priority="164" operator="equal">
      <formula>"No programado"</formula>
    </cfRule>
    <cfRule type="cellIs" dxfId="438" priority="165" operator="greaterThan">
      <formula>1</formula>
    </cfRule>
  </conditionalFormatting>
  <conditionalFormatting sqref="K171:L173">
    <cfRule type="cellIs" dxfId="437" priority="166" operator="between">
      <formula>0.69</formula>
      <formula>0.9</formula>
    </cfRule>
    <cfRule type="cellIs" dxfId="436" priority="167" operator="between">
      <formula>0.770000001</formula>
      <formula>1</formula>
    </cfRule>
    <cfRule type="cellIs" dxfId="435" priority="168" operator="lessThan">
      <formula>69</formula>
    </cfRule>
  </conditionalFormatting>
  <conditionalFormatting sqref="M171:M173">
    <cfRule type="cellIs" dxfId="434" priority="162" operator="between">
      <formula>0.95001</formula>
      <formula>1</formula>
    </cfRule>
  </conditionalFormatting>
  <conditionalFormatting sqref="M171:M173">
    <cfRule type="cellIs" dxfId="433" priority="160" operator="equal">
      <formula>"No programado"</formula>
    </cfRule>
    <cfRule type="cellIs" dxfId="432" priority="163" operator="greaterThan">
      <formula>1</formula>
    </cfRule>
  </conditionalFormatting>
  <conditionalFormatting sqref="M171:M173">
    <cfRule type="cellIs" dxfId="431" priority="159" operator="between">
      <formula>0.8</formula>
      <formula>0.95</formula>
    </cfRule>
    <cfRule type="cellIs" dxfId="430" priority="161" operator="lessThan">
      <formula>0.8</formula>
    </cfRule>
  </conditionalFormatting>
  <conditionalFormatting sqref="AN171:AN173">
    <cfRule type="cellIs" dxfId="429" priority="138" operator="between">
      <formula>0.95001</formula>
      <formula>1</formula>
    </cfRule>
  </conditionalFormatting>
  <conditionalFormatting sqref="AN171:AN173">
    <cfRule type="cellIs" dxfId="428" priority="136" operator="equal">
      <formula>"No programado"</formula>
    </cfRule>
    <cfRule type="cellIs" dxfId="427" priority="1177" operator="greaterThan">
      <formula>1</formula>
    </cfRule>
  </conditionalFormatting>
  <conditionalFormatting sqref="AN171:AN173">
    <cfRule type="cellIs" dxfId="426" priority="134" operator="between">
      <formula>0.8</formula>
      <formula>0.95</formula>
    </cfRule>
    <cfRule type="cellIs" dxfId="425" priority="1178" operator="lessThan">
      <formula>0.8</formula>
    </cfRule>
  </conditionalFormatting>
  <conditionalFormatting sqref="AL144:AM147">
    <cfRule type="cellIs" dxfId="424" priority="129" operator="equal">
      <formula>"No programado"</formula>
    </cfRule>
    <cfRule type="cellIs" dxfId="423" priority="130" operator="greaterThan">
      <formula>1</formula>
    </cfRule>
  </conditionalFormatting>
  <conditionalFormatting sqref="AL144:AM147">
    <cfRule type="cellIs" dxfId="422" priority="131" operator="between">
      <formula>0.69</formula>
      <formula>0.9</formula>
    </cfRule>
    <cfRule type="cellIs" dxfId="421" priority="132" operator="between">
      <formula>0.770000001</formula>
      <formula>1</formula>
    </cfRule>
    <cfRule type="cellIs" dxfId="420" priority="133" operator="lessThan">
      <formula>69</formula>
    </cfRule>
  </conditionalFormatting>
  <conditionalFormatting sqref="AN144:AN147">
    <cfRule type="cellIs" dxfId="419" priority="127" operator="between">
      <formula>0.95001</formula>
      <formula>1</formula>
    </cfRule>
  </conditionalFormatting>
  <conditionalFormatting sqref="AN144:AN147">
    <cfRule type="cellIs" dxfId="418" priority="125" operator="equal">
      <formula>"No programado"</formula>
    </cfRule>
    <cfRule type="cellIs" dxfId="417" priority="128" operator="greaterThan">
      <formula>1</formula>
    </cfRule>
  </conditionalFormatting>
  <conditionalFormatting sqref="AN144:AN147">
    <cfRule type="cellIs" dxfId="416" priority="124" operator="between">
      <formula>0.8</formula>
      <formula>0.95</formula>
    </cfRule>
    <cfRule type="cellIs" dxfId="415" priority="126" operator="lessThan">
      <formula>0.8</formula>
    </cfRule>
  </conditionalFormatting>
  <conditionalFormatting sqref="AL153:AM153">
    <cfRule type="cellIs" dxfId="414" priority="119" operator="equal">
      <formula>"No programado"</formula>
    </cfRule>
    <cfRule type="cellIs" dxfId="413" priority="120" operator="greaterThan">
      <formula>1</formula>
    </cfRule>
  </conditionalFormatting>
  <conditionalFormatting sqref="AL153:AM153">
    <cfRule type="cellIs" dxfId="412" priority="121" operator="between">
      <formula>0.69</formula>
      <formula>0.9</formula>
    </cfRule>
    <cfRule type="cellIs" dxfId="411" priority="122" operator="between">
      <formula>0.770000001</formula>
      <formula>1</formula>
    </cfRule>
    <cfRule type="cellIs" dxfId="410" priority="123" operator="lessThan">
      <formula>69</formula>
    </cfRule>
  </conditionalFormatting>
  <conditionalFormatting sqref="AN153">
    <cfRule type="cellIs" dxfId="409" priority="117" operator="between">
      <formula>0.95001</formula>
      <formula>1</formula>
    </cfRule>
  </conditionalFormatting>
  <conditionalFormatting sqref="AN153">
    <cfRule type="cellIs" dxfId="408" priority="115" operator="equal">
      <formula>"No programado"</formula>
    </cfRule>
    <cfRule type="cellIs" dxfId="407" priority="118" operator="greaterThan">
      <formula>1</formula>
    </cfRule>
  </conditionalFormatting>
  <conditionalFormatting sqref="AN153">
    <cfRule type="cellIs" dxfId="406" priority="114" operator="between">
      <formula>0.8</formula>
      <formula>0.95</formula>
    </cfRule>
    <cfRule type="cellIs" dxfId="405" priority="116" operator="lessThan">
      <formula>0.8</formula>
    </cfRule>
  </conditionalFormatting>
  <conditionalFormatting sqref="AL154:AM157">
    <cfRule type="cellIs" dxfId="404" priority="112" operator="equal">
      <formula>"No programado"</formula>
    </cfRule>
    <cfRule type="cellIs" dxfId="403" priority="112" operator="greaterThan">
      <formula>1</formula>
    </cfRule>
  </conditionalFormatting>
  <conditionalFormatting sqref="AL154:AM157">
    <cfRule type="cellIs" dxfId="402" priority="111" operator="between">
      <formula>0.69</formula>
      <formula>0.9</formula>
    </cfRule>
    <cfRule type="cellIs" dxfId="401" priority="113" operator="lessThan">
      <formula>69</formula>
    </cfRule>
    <cfRule type="cellIs" dxfId="400" priority="1179" operator="between">
      <formula>0.770000001</formula>
      <formula>1</formula>
    </cfRule>
  </conditionalFormatting>
  <conditionalFormatting sqref="AN154:AN157">
    <cfRule type="cellIs" dxfId="399" priority="108" operator="between">
      <formula>0.95001</formula>
      <formula>1</formula>
    </cfRule>
  </conditionalFormatting>
  <conditionalFormatting sqref="AN154:AN157">
    <cfRule type="cellIs" dxfId="398" priority="106" operator="equal">
      <formula>"No programado"</formula>
    </cfRule>
    <cfRule type="cellIs" dxfId="397" priority="1180" operator="greaterThan">
      <formula>1</formula>
    </cfRule>
  </conditionalFormatting>
  <conditionalFormatting sqref="AN154:AN157">
    <cfRule type="cellIs" dxfId="396" priority="104" operator="between">
      <formula>0.8</formula>
      <formula>0.95</formula>
    </cfRule>
    <cfRule type="cellIs" dxfId="395" priority="1181" operator="lessThan">
      <formula>0.8</formula>
    </cfRule>
  </conditionalFormatting>
  <conditionalFormatting sqref="AL163:AM164">
    <cfRule type="cellIs" dxfId="394" priority="99" operator="equal">
      <formula>"No programado"</formula>
    </cfRule>
    <cfRule type="cellIs" dxfId="393" priority="100" operator="greaterThan">
      <formula>1</formula>
    </cfRule>
  </conditionalFormatting>
  <conditionalFormatting sqref="AL163:AM164">
    <cfRule type="cellIs" dxfId="392" priority="101" operator="between">
      <formula>0.69</formula>
      <formula>0.9</formula>
    </cfRule>
    <cfRule type="cellIs" dxfId="391" priority="102" operator="between">
      <formula>0.770000001</formula>
      <formula>1</formula>
    </cfRule>
    <cfRule type="cellIs" dxfId="390" priority="103" operator="lessThan">
      <formula>69</formula>
    </cfRule>
  </conditionalFormatting>
  <conditionalFormatting sqref="AN163:AN164">
    <cfRule type="cellIs" dxfId="389" priority="97" operator="between">
      <formula>0.95001</formula>
      <formula>1</formula>
    </cfRule>
  </conditionalFormatting>
  <conditionalFormatting sqref="AN163:AN164">
    <cfRule type="cellIs" dxfId="388" priority="95" operator="equal">
      <formula>"No programado"</formula>
    </cfRule>
    <cfRule type="cellIs" dxfId="387" priority="98" operator="greaterThan">
      <formula>1</formula>
    </cfRule>
  </conditionalFormatting>
  <conditionalFormatting sqref="AN163:AN164">
    <cfRule type="cellIs" dxfId="386" priority="94" operator="between">
      <formula>0.8</formula>
      <formula>0.95</formula>
    </cfRule>
    <cfRule type="cellIs" dxfId="385" priority="96" operator="lessThan">
      <formula>0.8</formula>
    </cfRule>
  </conditionalFormatting>
  <conditionalFormatting sqref="AL165:AM165">
    <cfRule type="cellIs" dxfId="384" priority="89" operator="equal">
      <formula>"No programado"</formula>
    </cfRule>
    <cfRule type="cellIs" dxfId="383" priority="90" operator="greaterThan">
      <formula>1</formula>
    </cfRule>
  </conditionalFormatting>
  <conditionalFormatting sqref="AL165:AM165">
    <cfRule type="cellIs" dxfId="382" priority="91" operator="between">
      <formula>0.69</formula>
      <formula>0.9</formula>
    </cfRule>
    <cfRule type="cellIs" dxfId="381" priority="92" operator="between">
      <formula>0.770000001</formula>
      <formula>1</formula>
    </cfRule>
    <cfRule type="cellIs" dxfId="380" priority="93" operator="lessThan">
      <formula>69</formula>
    </cfRule>
  </conditionalFormatting>
  <conditionalFormatting sqref="AN165">
    <cfRule type="cellIs" dxfId="379" priority="87" operator="between">
      <formula>0.95001</formula>
      <formula>1</formula>
    </cfRule>
  </conditionalFormatting>
  <conditionalFormatting sqref="AN165">
    <cfRule type="cellIs" dxfId="378" priority="85" operator="equal">
      <formula>"No programado"</formula>
    </cfRule>
    <cfRule type="cellIs" dxfId="377" priority="88" operator="greaterThan">
      <formula>1</formula>
    </cfRule>
  </conditionalFormatting>
  <conditionalFormatting sqref="AN165">
    <cfRule type="cellIs" dxfId="376" priority="84" operator="between">
      <formula>0.8</formula>
      <formula>0.95</formula>
    </cfRule>
    <cfRule type="cellIs" dxfId="375" priority="86" operator="lessThan">
      <formula>0.8</formula>
    </cfRule>
  </conditionalFormatting>
  <conditionalFormatting sqref="AL57">
    <cfRule type="cellIs" dxfId="374" priority="81" operator="lessThan">
      <formula>0.8</formula>
    </cfRule>
    <cfRule type="cellIs" dxfId="373" priority="82" operator="between">
      <formula>0.8</formula>
      <formula>0.85</formula>
    </cfRule>
    <cfRule type="cellIs" dxfId="372" priority="83" operator="between">
      <formula>0.85000000001</formula>
      <formula>1</formula>
    </cfRule>
  </conditionalFormatting>
  <conditionalFormatting sqref="T57:V58">
    <cfRule type="cellIs" dxfId="371" priority="78" operator="equal">
      <formula>"No programado"</formula>
    </cfRule>
    <cfRule type="cellIs" dxfId="370" priority="79" operator="greaterThan">
      <formula>1</formula>
    </cfRule>
    <cfRule type="cellIs" dxfId="369" priority="653" operator="between">
      <formula>0.8</formula>
      <formula>0.85</formula>
    </cfRule>
    <cfRule type="cellIs" dxfId="368" priority="655" operator="lessThan">
      <formula>0.8</formula>
    </cfRule>
    <cfRule type="cellIs" dxfId="367" priority="664" operator="between">
      <formula>0.850000001</formula>
      <formula>1</formula>
    </cfRule>
  </conditionalFormatting>
  <conditionalFormatting sqref="T59:V59">
    <cfRule type="cellIs" dxfId="366" priority="80" operator="greaterThan">
      <formula>1</formula>
    </cfRule>
    <cfRule type="cellIs" dxfId="365" priority="670" operator="equal">
      <formula>"No programado"</formula>
    </cfRule>
    <cfRule type="cellIs" dxfId="364" priority="675" operator="between">
      <formula>0.7</formula>
      <formula>0.8</formula>
    </cfRule>
    <cfRule type="cellIs" dxfId="363" priority="677" operator="lessThan">
      <formula>0.7</formula>
    </cfRule>
    <cfRule type="cellIs" dxfId="362" priority="678" operator="between">
      <formula>0.80000000000001</formula>
      <formula>1</formula>
    </cfRule>
  </conditionalFormatting>
  <conditionalFormatting sqref="T42:V43">
    <cfRule type="cellIs" dxfId="361" priority="77" operator="greaterThan">
      <formula>1</formula>
    </cfRule>
    <cfRule type="cellIs" dxfId="360" priority="715" operator="between">
      <formula>0.8</formula>
      <formula>0.9</formula>
    </cfRule>
    <cfRule type="cellIs" dxfId="359" priority="716" operator="equal">
      <formula>"No programado"</formula>
    </cfRule>
    <cfRule type="cellIs" dxfId="358" priority="717" operator="lessThan">
      <formula>0.75</formula>
    </cfRule>
    <cfRule type="cellIs" dxfId="357" priority="718" operator="between">
      <formula>0.90001</formula>
      <formula>1</formula>
    </cfRule>
  </conditionalFormatting>
  <conditionalFormatting sqref="T30:V36">
    <cfRule type="cellIs" dxfId="356" priority="735" operator="between">
      <formula>0.8500000000001</formula>
      <formula>0.899999999999999</formula>
    </cfRule>
    <cfRule type="cellIs" dxfId="355" priority="736" operator="equal">
      <formula>"No programado"</formula>
    </cfRule>
    <cfRule type="cellIs" dxfId="354" priority="737" operator="lessThanOrEqual">
      <formula>0.85</formula>
    </cfRule>
    <cfRule type="cellIs" dxfId="353" priority="738" operator="between">
      <formula>0.9</formula>
      <formula>1</formula>
    </cfRule>
    <cfRule type="cellIs" dxfId="352" priority="739" operator="greaterThan">
      <formula>1</formula>
    </cfRule>
  </conditionalFormatting>
  <conditionalFormatting sqref="T49:V51">
    <cfRule type="cellIs" dxfId="351" priority="695" operator="between">
      <formula>0.7</formula>
      <formula>0.9</formula>
    </cfRule>
    <cfRule type="cellIs" dxfId="350" priority="696" operator="equal">
      <formula>"No programado"</formula>
    </cfRule>
    <cfRule type="cellIs" dxfId="349" priority="697" operator="lessThan">
      <formula>0.7</formula>
    </cfRule>
    <cfRule type="cellIs" dxfId="348" priority="698" operator="between">
      <formula>0.90001</formula>
      <formula>1</formula>
    </cfRule>
    <cfRule type="cellIs" dxfId="347" priority="699" operator="greaterThan">
      <formula>1</formula>
    </cfRule>
  </conditionalFormatting>
  <conditionalFormatting sqref="T60:V62">
    <cfRule type="cellIs" dxfId="346" priority="72" operator="equal">
      <formula>"No programado"</formula>
    </cfRule>
    <cfRule type="cellIs" dxfId="345" priority="73" operator="greaterThan">
      <formula>1</formula>
    </cfRule>
    <cfRule type="cellIs" dxfId="344" priority="74" operator="between">
      <formula>0.85000001</formula>
      <formula>1</formula>
    </cfRule>
    <cfRule type="cellIs" dxfId="343" priority="75" operator="between">
      <formula>0.85</formula>
      <formula>0.8</formula>
    </cfRule>
    <cfRule type="cellIs" dxfId="342" priority="76" operator="lessThan">
      <formula>0.8</formula>
    </cfRule>
  </conditionalFormatting>
  <conditionalFormatting sqref="T63:V67">
    <cfRule type="cellIs" dxfId="341" priority="70" operator="equal">
      <formula>"No programado"</formula>
    </cfRule>
    <cfRule type="cellIs" dxfId="340" priority="71" operator="greaterThan">
      <formula>1</formula>
    </cfRule>
    <cfRule type="cellIs" dxfId="339" priority="674" operator="between">
      <formula>0.95</formula>
      <formula>1</formula>
    </cfRule>
    <cfRule type="cellIs" dxfId="338" priority="676" operator="between">
      <formula>0.90000000001</formula>
      <formula>0.94999999999</formula>
    </cfRule>
    <cfRule type="cellIs" dxfId="337" priority="679" operator="lessThanOrEqual">
      <formula>90</formula>
    </cfRule>
  </conditionalFormatting>
  <conditionalFormatting sqref="T68:V76">
    <cfRule type="cellIs" dxfId="336" priority="658" operator="between">
      <formula>0.8</formula>
      <formula>0.85</formula>
    </cfRule>
    <cfRule type="cellIs" dxfId="335" priority="659" operator="equal">
      <formula>"No programado"</formula>
    </cfRule>
    <cfRule type="cellIs" dxfId="334" priority="660" operator="lessThan">
      <formula>0.8</formula>
    </cfRule>
    <cfRule type="cellIs" dxfId="333" priority="661" operator="between">
      <formula>0.850000000001</formula>
      <formula>1</formula>
    </cfRule>
    <cfRule type="cellIs" dxfId="332" priority="662" operator="greaterThan">
      <formula>1</formula>
    </cfRule>
  </conditionalFormatting>
  <conditionalFormatting sqref="T21:V24">
    <cfRule type="cellIs" dxfId="331" priority="765" operator="equal">
      <formula>"No programado"</formula>
    </cfRule>
    <cfRule type="cellIs" dxfId="330" priority="768" operator="greaterThan">
      <formula>1</formula>
    </cfRule>
    <cfRule type="cellIs" dxfId="329" priority="909" operator="lessThanOrEqual">
      <formula>0.6</formula>
    </cfRule>
    <cfRule type="cellIs" dxfId="328" priority="910" operator="between">
      <formula>0.600000000001</formula>
      <formula>0.99999999999999</formula>
    </cfRule>
    <cfRule type="cellIs" dxfId="327" priority="911" operator="equal">
      <formula>1</formula>
    </cfRule>
  </conditionalFormatting>
  <conditionalFormatting sqref="T15:V15">
    <cfRule type="cellIs" dxfId="326" priority="69" operator="lessThanOrEqual">
      <formula>0.8</formula>
    </cfRule>
    <cfRule type="cellIs" dxfId="325" priority="865" operator="between">
      <formula>0.850000000001</formula>
      <formula>0.999999999999999</formula>
    </cfRule>
    <cfRule type="cellIs" dxfId="324" priority="866" operator="equal">
      <formula>1</formula>
    </cfRule>
  </conditionalFormatting>
  <conditionalFormatting sqref="T12:V13">
    <cfRule type="cellIs" dxfId="323" priority="869" operator="between">
      <formula>0.8</formula>
      <formula>0.95</formula>
    </cfRule>
    <cfRule type="cellIs" dxfId="322" priority="871" operator="equal">
      <formula>"No programado"</formula>
    </cfRule>
    <cfRule type="cellIs" dxfId="321" priority="872" operator="lessThan">
      <formula>0.8</formula>
    </cfRule>
    <cfRule type="cellIs" dxfId="320" priority="875" operator="greaterThan">
      <formula>1</formula>
    </cfRule>
  </conditionalFormatting>
  <conditionalFormatting sqref="T14:V14">
    <cfRule type="cellIs" dxfId="319" priority="67" operator="greaterThan">
      <formula>1</formula>
    </cfRule>
    <cfRule type="cellIs" dxfId="318" priority="68" operator="equal">
      <formula>"No programado"</formula>
    </cfRule>
    <cfRule type="cellIs" dxfId="317" priority="867" operator="between">
      <formula>0.95</formula>
      <formula>1</formula>
    </cfRule>
    <cfRule type="cellIs" dxfId="316" priority="870" operator="lessThanOrEqual">
      <formula>0.85</formula>
    </cfRule>
    <cfRule type="cellIs" dxfId="315" priority="874" operator="between">
      <formula>0.85000000000001</formula>
      <formula>0.94999999999</formula>
    </cfRule>
  </conditionalFormatting>
  <conditionalFormatting sqref="T94:V95">
    <cfRule type="cellIs" dxfId="314" priority="62" operator="lessThan">
      <formula>0.6</formula>
    </cfRule>
    <cfRule type="cellIs" dxfId="313" priority="479" operator="between">
      <formula>0.6</formula>
      <formula>0.9</formula>
    </cfRule>
    <cfRule type="cellIs" dxfId="312" priority="480" operator="equal">
      <formula>"No programado"</formula>
    </cfRule>
    <cfRule type="cellIs" dxfId="311" priority="482" operator="between">
      <formula>0.90001</formula>
      <formula>1</formula>
    </cfRule>
    <cfRule type="cellIs" dxfId="310" priority="483" operator="greaterThan">
      <formula>1</formula>
    </cfRule>
  </conditionalFormatting>
  <conditionalFormatting sqref="T82:V82">
    <cfRule type="cellIs" dxfId="309" priority="549" operator="between">
      <formula>0.66</formula>
      <formula>0.9</formula>
    </cfRule>
    <cfRule type="cellIs" dxfId="308" priority="550" operator="equal">
      <formula>"No programado"</formula>
    </cfRule>
    <cfRule type="cellIs" dxfId="307" priority="552" operator="between">
      <formula>0.90001</formula>
      <formula>1</formula>
    </cfRule>
    <cfRule type="cellIs" dxfId="306" priority="553" operator="greaterThan">
      <formula>1</formula>
    </cfRule>
    <cfRule type="cellIs" dxfId="305" priority="570" operator="lessThan">
      <formula>66</formula>
    </cfRule>
  </conditionalFormatting>
  <conditionalFormatting sqref="T83:V83">
    <cfRule type="cellIs" dxfId="304" priority="57" operator="between">
      <formula>0.69</formula>
      <formula>0.9</formula>
    </cfRule>
    <cfRule type="cellIs" dxfId="303" priority="58" operator="between">
      <formula>0.7700000000001</formula>
      <formula>1</formula>
    </cfRule>
    <cfRule type="cellIs" dxfId="302" priority="59" operator="equal">
      <formula>"No programado"</formula>
    </cfRule>
    <cfRule type="cellIs" dxfId="301" priority="60" operator="lessThan">
      <formula>69</formula>
    </cfRule>
    <cfRule type="cellIs" dxfId="300" priority="61" operator="greaterThan">
      <formula>1</formula>
    </cfRule>
  </conditionalFormatting>
  <conditionalFormatting sqref="T84:V84">
    <cfRule type="cellIs" dxfId="299" priority="55" operator="equal">
      <formula>"No programado"</formula>
    </cfRule>
    <cfRule type="cellIs" dxfId="298" priority="56" operator="greaterThan">
      <formula>1</formula>
    </cfRule>
    <cfRule type="cellIs" dxfId="297" priority="571" operator="between">
      <formula>0.53</formula>
      <formula>0.77</formula>
    </cfRule>
    <cfRule type="cellIs" dxfId="296" priority="572" operator="lessThan">
      <formula>0.53</formula>
    </cfRule>
    <cfRule type="cellIs" dxfId="295" priority="573" operator="between">
      <formula>0.7700000000001</formula>
      <formula>1</formula>
    </cfRule>
  </conditionalFormatting>
  <conditionalFormatting sqref="T85:V85">
    <cfRule type="cellIs" dxfId="294" priority="54" operator="equal">
      <formula>"No programado"</formula>
    </cfRule>
    <cfRule type="cellIs" dxfId="293" priority="554" operator="between">
      <formula>0.45</formula>
      <formula>0.8</formula>
    </cfRule>
    <cfRule type="cellIs" dxfId="292" priority="555" operator="greaterThan">
      <formula>1</formula>
    </cfRule>
    <cfRule type="cellIs" dxfId="291" priority="556" operator="between">
      <formula>0.8000000000001</formula>
      <formula>1</formula>
    </cfRule>
    <cfRule type="cellIs" dxfId="290" priority="569" operator="lessThan">
      <formula>0.45</formula>
    </cfRule>
  </conditionalFormatting>
  <conditionalFormatting sqref="T86:V86">
    <cfRule type="cellIs" dxfId="289" priority="52" operator="equal">
      <formula>"No programado"</formula>
    </cfRule>
    <cfRule type="cellIs" dxfId="288" priority="53" operator="greaterThan">
      <formula>1</formula>
    </cfRule>
    <cfRule type="cellIs" dxfId="287" priority="563" operator="between">
      <formula>0.57</formula>
      <formula>0.85</formula>
    </cfRule>
    <cfRule type="cellIs" dxfId="286" priority="564" operator="between">
      <formula>0.85000001</formula>
      <formula>1</formula>
    </cfRule>
    <cfRule type="cellIs" dxfId="285" priority="565" operator="lessThan">
      <formula>0.57</formula>
    </cfRule>
  </conditionalFormatting>
  <conditionalFormatting sqref="T87:V88">
    <cfRule type="cellIs" dxfId="284" priority="47" operator="equal">
      <formula>"No programado"</formula>
    </cfRule>
    <cfRule type="cellIs" dxfId="283" priority="48" operator="between">
      <formula>0.9000000001</formula>
      <formula>1</formula>
    </cfRule>
    <cfRule type="cellIs" dxfId="282" priority="49" operator="between">
      <formula>0.69</formula>
      <formula>0.9</formula>
    </cfRule>
    <cfRule type="cellIs" dxfId="281" priority="50" operator="lessThan">
      <formula>0.69</formula>
    </cfRule>
    <cfRule type="cellIs" dxfId="280" priority="51" operator="greaterThan">
      <formula>1</formula>
    </cfRule>
  </conditionalFormatting>
  <conditionalFormatting sqref="T107:V114">
    <cfRule type="cellIs" dxfId="279" priority="440" operator="equal">
      <formula>"No programado"</formula>
    </cfRule>
    <cfRule type="cellIs" dxfId="278" priority="443" operator="greaterThan">
      <formula>1</formula>
    </cfRule>
  </conditionalFormatting>
  <conditionalFormatting sqref="T107:V107">
    <cfRule type="cellIs" dxfId="277" priority="44" operator="between">
      <formula>0.6900000001</formula>
      <formula>0.8999999999999</formula>
    </cfRule>
    <cfRule type="cellIs" dxfId="276" priority="45" operator="greaterThanOrEqual">
      <formula>0.9</formula>
    </cfRule>
    <cfRule type="cellIs" dxfId="275" priority="46" operator="lessThanOrEqual">
      <formula>0.69</formula>
    </cfRule>
  </conditionalFormatting>
  <conditionalFormatting sqref="T108:V108">
    <cfRule type="cellIs" dxfId="274" priority="41" operator="between">
      <formula>0.84000001</formula>
      <formula>0.96999999999999</formula>
    </cfRule>
    <cfRule type="cellIs" dxfId="273" priority="42" operator="lessThanOrEqual">
      <formula>0.84</formula>
    </cfRule>
    <cfRule type="cellIs" dxfId="272" priority="43" operator="between">
      <formula>0.97</formula>
      <formula>1</formula>
    </cfRule>
  </conditionalFormatting>
  <conditionalFormatting sqref="T109:V109">
    <cfRule type="cellIs" dxfId="271" priority="38" operator="between">
      <formula>0.79000000000001</formula>
      <formula>0.899999999999999</formula>
    </cfRule>
    <cfRule type="cellIs" dxfId="270" priority="39" operator="between">
      <formula>0.9</formula>
      <formula>1</formula>
    </cfRule>
    <cfRule type="cellIs" dxfId="269" priority="40" operator="lessThanOrEqual">
      <formula>0.79</formula>
    </cfRule>
  </conditionalFormatting>
  <conditionalFormatting sqref="T110:V113">
    <cfRule type="cellIs" dxfId="268" priority="35" operator="between">
      <formula>0.69000000000001</formula>
      <formula>0.899999999999999</formula>
    </cfRule>
    <cfRule type="cellIs" dxfId="267" priority="36" operator="between">
      <formula>0.9</formula>
      <formula>1</formula>
    </cfRule>
    <cfRule type="cellIs" dxfId="266" priority="37" operator="lessThanOrEqual">
      <formula>0.69</formula>
    </cfRule>
  </conditionalFormatting>
  <conditionalFormatting sqref="T114:V114">
    <cfRule type="cellIs" dxfId="265" priority="32" operator="between">
      <formula>0.9</formula>
      <formula>0.99999999999999</formula>
    </cfRule>
    <cfRule type="cellIs" dxfId="264" priority="33" operator="lessThan">
      <formula>0.9</formula>
    </cfRule>
    <cfRule type="cellIs" dxfId="263" priority="34" operator="equal">
      <formula>1</formula>
    </cfRule>
  </conditionalFormatting>
  <conditionalFormatting sqref="T120:V121">
    <cfRule type="cellIs" dxfId="262" priority="400" operator="equal">
      <formula>"No programado"</formula>
    </cfRule>
    <cfRule type="cellIs" dxfId="261" priority="403" operator="greaterThan">
      <formula>1</formula>
    </cfRule>
  </conditionalFormatting>
  <conditionalFormatting sqref="T120:V120">
    <cfRule type="cellIs" dxfId="260" priority="29" operator="between">
      <formula>0.90000000000001</formula>
      <formula>0.949999999999999</formula>
    </cfRule>
    <cfRule type="cellIs" dxfId="259" priority="30" operator="between">
      <formula>0.95</formula>
      <formula>1</formula>
    </cfRule>
    <cfRule type="cellIs" dxfId="258" priority="31" operator="lessThanOrEqual">
      <formula>0.9</formula>
    </cfRule>
  </conditionalFormatting>
  <conditionalFormatting sqref="T121:V121">
    <cfRule type="cellIs" dxfId="257" priority="26" operator="lessThanOrEqual">
      <formula>0.95</formula>
    </cfRule>
    <cfRule type="cellIs" dxfId="256" priority="27" operator="between">
      <formula>0.9500000000001</formula>
      <formula>0.999999999999</formula>
    </cfRule>
    <cfRule type="cellIs" dxfId="255" priority="28" operator="equal">
      <formula>1</formula>
    </cfRule>
  </conditionalFormatting>
  <conditionalFormatting sqref="T127:V128">
    <cfRule type="cellIs" dxfId="254" priority="359" operator="between">
      <formula>0.9000000001</formula>
      <formula>0.949999999999999</formula>
    </cfRule>
    <cfRule type="cellIs" dxfId="253" priority="361" operator="lessThanOrEqual">
      <formula>0.9</formula>
    </cfRule>
    <cfRule type="cellIs" dxfId="252" priority="362" operator="between">
      <formula>0.95</formula>
      <formula>1</formula>
    </cfRule>
  </conditionalFormatting>
  <conditionalFormatting sqref="T127:V129">
    <cfRule type="cellIs" dxfId="251" priority="360" operator="equal">
      <formula>"No programado"</formula>
    </cfRule>
    <cfRule type="cellIs" dxfId="250" priority="363" operator="greaterThan">
      <formula>1</formula>
    </cfRule>
  </conditionalFormatting>
  <conditionalFormatting sqref="T129:V129">
    <cfRule type="cellIs" dxfId="249" priority="366" operator="between">
      <formula>0.9500000000001</formula>
      <formula>0.999999999999999</formula>
    </cfRule>
    <cfRule type="cellIs" dxfId="248" priority="367" operator="equal">
      <formula>1</formula>
    </cfRule>
    <cfRule type="cellIs" dxfId="247" priority="368" operator="lessThanOrEqual">
      <formula>95</formula>
    </cfRule>
  </conditionalFormatting>
  <conditionalFormatting sqref="T135:V138">
    <cfRule type="cellIs" dxfId="246" priority="25" operator="equal">
      <formula>"No programado"</formula>
    </cfRule>
    <cfRule type="cellIs" dxfId="245" priority="299" operator="greaterThan">
      <formula>1</formula>
    </cfRule>
  </conditionalFormatting>
  <conditionalFormatting sqref="T136:V138">
    <cfRule type="cellIs" dxfId="244" priority="301" operator="lessThanOrEqual">
      <formula>0.8</formula>
    </cfRule>
    <cfRule type="cellIs" dxfId="243" priority="302" operator="between">
      <formula>0.80000000001</formula>
      <formula>0.94999999999</formula>
    </cfRule>
    <cfRule type="cellIs" dxfId="242" priority="303" operator="between">
      <formula>0.95</formula>
      <formula>1</formula>
    </cfRule>
  </conditionalFormatting>
  <conditionalFormatting sqref="T135:V135">
    <cfRule type="cellIs" dxfId="241" priority="306" operator="between">
      <formula>0.90000000001</formula>
      <formula>0.949999999999</formula>
    </cfRule>
    <cfRule type="cellIs" dxfId="240" priority="307" operator="between">
      <formula>0.95</formula>
      <formula>1</formula>
    </cfRule>
    <cfRule type="cellIs" dxfId="239" priority="308" operator="lessThanOrEqual">
      <formula>0.9</formula>
    </cfRule>
  </conditionalFormatting>
  <conditionalFormatting sqref="T144:V147">
    <cfRule type="cellIs" dxfId="238" priority="21" operator="equal">
      <formula>"No programado"</formula>
    </cfRule>
    <cfRule type="cellIs" dxfId="237" priority="22" operator="greaterThan">
      <formula>1</formula>
    </cfRule>
  </conditionalFormatting>
  <conditionalFormatting sqref="T144:V144">
    <cfRule type="cellIs" dxfId="236" priority="241" operator="between">
      <formula>0.9</formula>
      <formula>0.95</formula>
    </cfRule>
    <cfRule type="cellIs" dxfId="235" priority="242" operator="lessThan">
      <formula>0.9</formula>
    </cfRule>
    <cfRule type="cellIs" dxfId="234" priority="243" operator="between">
      <formula>0.95001</formula>
      <formula>1</formula>
    </cfRule>
  </conditionalFormatting>
  <conditionalFormatting sqref="T145:V145">
    <cfRule type="cellIs" dxfId="233" priority="246" operator="between">
      <formula>0.93</formula>
      <formula>0.99999999999</formula>
    </cfRule>
    <cfRule type="cellIs" dxfId="232" priority="247" operator="equal">
      <formula>1</formula>
    </cfRule>
    <cfRule type="cellIs" dxfId="231" priority="248" operator="lessThan">
      <formula>93</formula>
    </cfRule>
  </conditionalFormatting>
  <conditionalFormatting sqref="T146:V147">
    <cfRule type="cellIs" dxfId="230" priority="23" operator="between">
      <formula>0.800000000001</formula>
      <formula>0.99999999999999</formula>
    </cfRule>
    <cfRule type="cellIs" dxfId="229" priority="239" operator="lessThanOrEqual">
      <formula>0.8</formula>
    </cfRule>
    <cfRule type="cellIs" dxfId="228" priority="240" operator="equal">
      <formula>1</formula>
    </cfRule>
  </conditionalFormatting>
  <conditionalFormatting sqref="T153:V157">
    <cfRule type="cellIs" dxfId="227" priority="209" operator="greaterThan">
      <formula>1</formula>
    </cfRule>
    <cfRule type="cellIs" dxfId="226" priority="210" operator="equal">
      <formula>"No programado"</formula>
    </cfRule>
    <cfRule type="cellIs" dxfId="225" priority="211" operator="between">
      <formula>0.900000000001</formula>
      <formula>0.999999999999</formula>
    </cfRule>
    <cfRule type="cellIs" dxfId="224" priority="212" operator="lessThanOrEqual">
      <formula>0.9</formula>
    </cfRule>
    <cfRule type="cellIs" dxfId="223" priority="213" operator="equal">
      <formula>1</formula>
    </cfRule>
  </conditionalFormatting>
  <conditionalFormatting sqref="T163:V165">
    <cfRule type="cellIs" dxfId="222" priority="179" operator="equal">
      <formula>"No programado"</formula>
    </cfRule>
    <cfRule type="cellIs" dxfId="221" priority="180" operator="greaterThan">
      <formula>1</formula>
    </cfRule>
  </conditionalFormatting>
  <conditionalFormatting sqref="T163:V163">
    <cfRule type="cellIs" dxfId="220" priority="181" operator="between">
      <formula>0.790000000000001</formula>
      <formula>0.999999999999</formula>
    </cfRule>
    <cfRule type="cellIs" dxfId="219" priority="182" operator="equal">
      <formula>1</formula>
    </cfRule>
    <cfRule type="cellIs" dxfId="218" priority="183" operator="lessThanOrEqual">
      <formula>0.79</formula>
    </cfRule>
  </conditionalFormatting>
  <conditionalFormatting sqref="T165:V165">
    <cfRule type="cellIs" dxfId="217" priority="18" operator="between">
      <formula>0.700000000001</formula>
      <formula>0.9999999999999</formula>
    </cfRule>
    <cfRule type="cellIs" dxfId="216" priority="19" operator="equal">
      <formula>1</formula>
    </cfRule>
    <cfRule type="cellIs" dxfId="215" priority="20" operator="lessThanOrEqual">
      <formula>0.7</formula>
    </cfRule>
  </conditionalFormatting>
  <conditionalFormatting sqref="T171:V173">
    <cfRule type="cellIs" dxfId="214" priority="16" operator="lessThanOrEqual">
      <formula>0.69</formula>
    </cfRule>
    <cfRule type="cellIs" dxfId="213" priority="17" operator="between">
      <formula>0.9</formula>
      <formula>1</formula>
    </cfRule>
    <cfRule type="cellIs" dxfId="212" priority="149" operator="equal">
      <formula>"No programado"</formula>
    </cfRule>
    <cfRule type="cellIs" dxfId="211" priority="150" operator="greaterThan">
      <formula>1</formula>
    </cfRule>
    <cfRule type="cellIs" dxfId="210" priority="151" operator="between">
      <formula>0.6900000000001</formula>
      <formula>0.899999999999999</formula>
    </cfRule>
  </conditionalFormatting>
  <conditionalFormatting sqref="AC30:AE36">
    <cfRule type="cellIs" dxfId="209" priority="730" operator="between">
      <formula>0.850000001</formula>
      <formula>0.890000000000001</formula>
    </cfRule>
    <cfRule type="cellIs" dxfId="208" priority="731" operator="equal">
      <formula>"No programado"</formula>
    </cfRule>
    <cfRule type="cellIs" dxfId="207" priority="732" operator="lessThanOrEqual">
      <formula>0.85</formula>
    </cfRule>
    <cfRule type="cellIs" dxfId="206" priority="733" operator="between">
      <formula>0.9</formula>
      <formula>1</formula>
    </cfRule>
    <cfRule type="cellIs" dxfId="205" priority="734" operator="greaterThan">
      <formula>1</formula>
    </cfRule>
  </conditionalFormatting>
  <conditionalFormatting sqref="AC42:AE43">
    <cfRule type="cellIs" dxfId="204" priority="710" operator="between">
      <formula>0.75</formula>
      <formula>0.9</formula>
    </cfRule>
    <cfRule type="cellIs" dxfId="203" priority="711" operator="equal">
      <formula>"No programado"</formula>
    </cfRule>
    <cfRule type="cellIs" dxfId="202" priority="712" operator="lessThan">
      <formula>0.75</formula>
    </cfRule>
    <cfRule type="cellIs" dxfId="201" priority="713" operator="between">
      <formula>0.90000000001</formula>
      <formula>1</formula>
    </cfRule>
    <cfRule type="cellIs" dxfId="200" priority="714" operator="greaterThan">
      <formula>1</formula>
    </cfRule>
  </conditionalFormatting>
  <conditionalFormatting sqref="AC12:AE13 AE13:AE15">
    <cfRule type="cellIs" dxfId="199" priority="792" operator="between">
      <formula>0.8</formula>
      <formula>0.95</formula>
    </cfRule>
    <cfRule type="cellIs" dxfId="198" priority="795" operator="lessThan">
      <formula>0.8</formula>
    </cfRule>
    <cfRule type="cellIs" dxfId="197" priority="796" operator="between">
      <formula>0.95001</formula>
      <formula>1</formula>
    </cfRule>
  </conditionalFormatting>
  <conditionalFormatting sqref="AC12:AE15">
    <cfRule type="cellIs" dxfId="196" priority="794" operator="equal">
      <formula>"No programado"</formula>
    </cfRule>
    <cfRule type="cellIs" dxfId="195" priority="798" operator="greaterThan">
      <formula>1</formula>
    </cfRule>
  </conditionalFormatting>
  <conditionalFormatting sqref="AC15:AE15">
    <cfRule type="cellIs" dxfId="194" priority="788" operator="lessThanOrEqual">
      <formula>0.8</formula>
    </cfRule>
    <cfRule type="cellIs" dxfId="193" priority="789" operator="between">
      <formula>0.800000000001</formula>
      <formula>0.999999999999999</formula>
    </cfRule>
    <cfRule type="cellIs" dxfId="192" priority="790" operator="equal">
      <formula>1</formula>
    </cfRule>
  </conditionalFormatting>
  <conditionalFormatting sqref="AC14:AE14">
    <cfRule type="cellIs" dxfId="191" priority="791" operator="between">
      <formula>0.95</formula>
      <formula>1</formula>
    </cfRule>
    <cfRule type="cellIs" dxfId="190" priority="793" operator="lessThanOrEqual">
      <formula>0.85</formula>
    </cfRule>
    <cfRule type="cellIs" dxfId="189" priority="797" operator="between">
      <formula>0.85000000000001</formula>
      <formula>0.94999999999</formula>
    </cfRule>
  </conditionalFormatting>
  <conditionalFormatting sqref="AC49:AE51">
    <cfRule type="cellIs" dxfId="188" priority="842" operator="equal">
      <formula>"No programado"</formula>
    </cfRule>
    <cfRule type="cellIs" dxfId="187" priority="843" operator="between">
      <formula>0.7</formula>
      <formula>_FV(0,"9")</formula>
    </cfRule>
    <cfRule type="cellIs" dxfId="186" priority="844" operator="lessThan">
      <formula>0.7</formula>
    </cfRule>
    <cfRule type="cellIs" dxfId="185" priority="845" operator="between">
      <formula>0.90000000000001</formula>
      <formula>1</formula>
    </cfRule>
    <cfRule type="cellIs" dxfId="184" priority="846" operator="greaterThan">
      <formula>1</formula>
    </cfRule>
  </conditionalFormatting>
  <conditionalFormatting sqref="AC57:AE76">
    <cfRule type="cellIs" dxfId="183" priority="626" operator="equal">
      <formula>"No programado"</formula>
    </cfRule>
    <cfRule type="cellIs" dxfId="182" priority="627" operator="greaterThan">
      <formula>1</formula>
    </cfRule>
  </conditionalFormatting>
  <conditionalFormatting sqref="AC59:AE59">
    <cfRule type="cellIs" dxfId="181" priority="631" operator="between">
      <formula>0.80000000001</formula>
      <formula>0.84999999999999</formula>
    </cfRule>
    <cfRule type="cellIs" dxfId="180" priority="633" operator="lessThan">
      <formula>0.7</formula>
    </cfRule>
    <cfRule type="cellIs" dxfId="179" priority="634" operator="between">
      <formula>0.800000000001</formula>
      <formula>1</formula>
    </cfRule>
  </conditionalFormatting>
  <conditionalFormatting sqref="AC63:AE67">
    <cfRule type="cellIs" dxfId="178" priority="649" operator="between">
      <formula>0.90000000001</formula>
      <formula>0.94999999999</formula>
    </cfRule>
    <cfRule type="cellIs" dxfId="177" priority="651" operator="between">
      <formula>0.95</formula>
      <formula>1</formula>
    </cfRule>
    <cfRule type="cellIs" dxfId="176" priority="652" operator="lessThanOrEqual">
      <formula>90</formula>
    </cfRule>
  </conditionalFormatting>
  <conditionalFormatting sqref="AC83:AE83 AC87:AE88">
    <cfRule type="cellIs" dxfId="175" priority="526" operator="between">
      <formula>0.69</formula>
      <formula>0.9</formula>
    </cfRule>
    <cfRule type="cellIs" dxfId="174" priority="527" operator="lessThan">
      <formula>0.69</formula>
    </cfRule>
    <cfRule type="cellIs" dxfId="173" priority="528" operator="between">
      <formula>0.90001</formula>
      <formula>1</formula>
    </cfRule>
  </conditionalFormatting>
  <conditionalFormatting sqref="AC82:AE88">
    <cfRule type="cellIs" dxfId="172" priority="524" operator="equal">
      <formula>"No programado"</formula>
    </cfRule>
    <cfRule type="cellIs" dxfId="171" priority="525" operator="greaterThan">
      <formula>1</formula>
    </cfRule>
  </conditionalFormatting>
  <conditionalFormatting sqref="AC82:AE82">
    <cfRule type="cellIs" dxfId="170" priority="529" operator="between">
      <formula>0.66</formula>
      <formula>0.9</formula>
    </cfRule>
    <cfRule type="cellIs" dxfId="169" priority="530" operator="lessThan">
      <formula>0.66</formula>
    </cfRule>
    <cfRule type="cellIs" dxfId="168" priority="531" operator="between">
      <formula>0.900000000001</formula>
      <formula>1</formula>
    </cfRule>
  </conditionalFormatting>
  <conditionalFormatting sqref="AC84:AE84">
    <cfRule type="cellIs" dxfId="167" priority="532" operator="between">
      <formula>0.53</formula>
      <formula>0.77</formula>
    </cfRule>
    <cfRule type="cellIs" dxfId="166" priority="535" operator="lessThan">
      <formula>0.53</formula>
    </cfRule>
    <cfRule type="cellIs" dxfId="165" priority="536" operator="between">
      <formula>0.7700000000001</formula>
      <formula>1</formula>
    </cfRule>
  </conditionalFormatting>
  <conditionalFormatting sqref="AC85:AE85">
    <cfRule type="cellIs" dxfId="164" priority="537" operator="between">
      <formula>0.45</formula>
      <formula>0.8</formula>
    </cfRule>
    <cfRule type="cellIs" dxfId="163" priority="538" operator="lessThan">
      <formula>0.45</formula>
    </cfRule>
    <cfRule type="cellIs" dxfId="162" priority="539" operator="between">
      <formula>0.8000000000001</formula>
      <formula>1</formula>
    </cfRule>
  </conditionalFormatting>
  <conditionalFormatting sqref="AC86:AE86">
    <cfRule type="cellIs" dxfId="161" priority="544" operator="between">
      <formula>0.57</formula>
      <formula>0.85</formula>
    </cfRule>
    <cfRule type="cellIs" dxfId="160" priority="545" operator="lessThan">
      <formula>0.57</formula>
    </cfRule>
    <cfRule type="cellIs" dxfId="159" priority="547" operator="between">
      <formula>0.85000001</formula>
      <formula>1</formula>
    </cfRule>
  </conditionalFormatting>
  <conditionalFormatting sqref="AC94:AE101">
    <cfRule type="cellIs" dxfId="158" priority="469" operator="equal">
      <formula>"No programado"</formula>
    </cfRule>
    <cfRule type="cellIs" dxfId="157" priority="470" operator="greaterThan">
      <formula>1</formula>
    </cfRule>
  </conditionalFormatting>
  <conditionalFormatting sqref="AC94:AE95">
    <cfRule type="cellIs" dxfId="156" priority="471" operator="between">
      <formula>0.6</formula>
      <formula>0.9</formula>
    </cfRule>
    <cfRule type="cellIs" dxfId="155" priority="472" operator="lessThan">
      <formula>0.6</formula>
    </cfRule>
    <cfRule type="cellIs" dxfId="154" priority="473" operator="between">
      <formula>0.90001</formula>
      <formula>1</formula>
    </cfRule>
  </conditionalFormatting>
  <conditionalFormatting sqref="AC96:AE101">
    <cfRule type="cellIs" dxfId="153" priority="476" operator="between">
      <formula>0.65</formula>
      <formula>0.9</formula>
    </cfRule>
    <cfRule type="cellIs" dxfId="152" priority="477" operator="lessThan">
      <formula>0.65</formula>
    </cfRule>
    <cfRule type="cellIs" dxfId="151" priority="478" operator="between">
      <formula>0.9000001</formula>
      <formula>1</formula>
    </cfRule>
  </conditionalFormatting>
  <conditionalFormatting sqref="AC21:AE24">
    <cfRule type="cellIs" dxfId="150" priority="913" operator="equal">
      <formula>"No programado"</formula>
    </cfRule>
    <cfRule type="cellIs" dxfId="149" priority="914" operator="lessThanOrEqual">
      <formula>0.6</formula>
    </cfRule>
    <cfRule type="cellIs" dxfId="148" priority="915" operator="between">
      <formula>0.600000000001</formula>
      <formula>0.99999999999999</formula>
    </cfRule>
    <cfRule type="cellIs" dxfId="147" priority="916" operator="equal">
      <formula>1</formula>
    </cfRule>
    <cfRule type="cellIs" dxfId="146" priority="917" operator="greaterThan">
      <formula>1</formula>
    </cfRule>
  </conditionalFormatting>
  <conditionalFormatting sqref="AC57:AE58 AC60:AE62 AC68:AE76">
    <cfRule type="cellIs" dxfId="145" priority="628" operator="between">
      <formula>0.8</formula>
      <formula>0.85</formula>
    </cfRule>
    <cfRule type="cellIs" dxfId="144" priority="629" operator="lessThan">
      <formula>0.8</formula>
    </cfRule>
    <cfRule type="cellIs" dxfId="143" priority="630" operator="between">
      <formula>0.85001</formula>
      <formula>1</formula>
    </cfRule>
  </conditionalFormatting>
  <conditionalFormatting sqref="AC107:AE114">
    <cfRule type="cellIs" dxfId="142" priority="9" operator="equal">
      <formula>"No programado"</formula>
    </cfRule>
    <cfRule type="cellIs" dxfId="141" priority="10" operator="greaterThan">
      <formula>1</formula>
    </cfRule>
  </conditionalFormatting>
  <conditionalFormatting sqref="AC107:AE107 AC110:AE113">
    <cfRule type="cellIs" dxfId="140" priority="11" operator="between">
      <formula>0.69000001</formula>
      <formula>0.899999999999999</formula>
    </cfRule>
    <cfRule type="cellIs" dxfId="139" priority="13" operator="lessThan">
      <formula>0.69</formula>
    </cfRule>
    <cfRule type="cellIs" dxfId="138" priority="14" operator="between">
      <formula>0.9</formula>
      <formula>1</formula>
    </cfRule>
  </conditionalFormatting>
  <conditionalFormatting sqref="AC108:AE108">
    <cfRule type="cellIs" dxfId="137" priority="15" operator="lessThanOrEqual">
      <formula>0.84</formula>
    </cfRule>
    <cfRule type="cellIs" dxfId="136" priority="429" operator="between">
      <formula>0.840000000001</formula>
      <formula>0.96999999999999</formula>
    </cfRule>
    <cfRule type="cellIs" dxfId="135" priority="430" operator="between">
      <formula>0.97</formula>
      <formula>1</formula>
    </cfRule>
  </conditionalFormatting>
  <conditionalFormatting sqref="AC109:AE109">
    <cfRule type="cellIs" dxfId="134" priority="436" operator="between">
      <formula>0.790000001</formula>
      <formula>0.899999999</formula>
    </cfRule>
    <cfRule type="cellIs" dxfId="133" priority="437" operator="lessThanOrEqual">
      <formula>0.79</formula>
    </cfRule>
    <cfRule type="cellIs" dxfId="132" priority="438" operator="between">
      <formula>0.9</formula>
      <formula>1</formula>
    </cfRule>
  </conditionalFormatting>
  <conditionalFormatting sqref="AC114:AE114">
    <cfRule type="cellIs" dxfId="131" priority="6" operator="between">
      <formula>0.9</formula>
      <formula>0.99999999999</formula>
    </cfRule>
    <cfRule type="cellIs" dxfId="130" priority="7" operator="equal">
      <formula>1</formula>
    </cfRule>
    <cfRule type="cellIs" dxfId="129" priority="8" operator="lessThan">
      <formula>0.9</formula>
    </cfRule>
  </conditionalFormatting>
  <conditionalFormatting sqref="AC120:AE121">
    <cfRule type="cellIs" dxfId="128" priority="389" operator="equal">
      <formula>"No programado"</formula>
    </cfRule>
    <cfRule type="cellIs" dxfId="127" priority="390" operator="greaterThan">
      <formula>1</formula>
    </cfRule>
  </conditionalFormatting>
  <conditionalFormatting sqref="AC120:AE120">
    <cfRule type="cellIs" dxfId="126" priority="391" operator="between">
      <formula>0.9000000001</formula>
      <formula>0.949999999999</formula>
    </cfRule>
    <cfRule type="cellIs" dxfId="125" priority="392" operator="lessThanOrEqual">
      <formula>0.9</formula>
    </cfRule>
    <cfRule type="cellIs" dxfId="124" priority="393" operator="between">
      <formula>0.95</formula>
      <formula>1</formula>
    </cfRule>
  </conditionalFormatting>
  <conditionalFormatting sqref="AC121:AE121">
    <cfRule type="cellIs" dxfId="123" priority="396" operator="between">
      <formula>0.9500001</formula>
      <formula>0.9999999999999</formula>
    </cfRule>
    <cfRule type="cellIs" dxfId="122" priority="397" operator="lessThanOrEqual">
      <formula>0.95</formula>
    </cfRule>
    <cfRule type="cellIs" dxfId="121" priority="398" operator="equal">
      <formula>1</formula>
    </cfRule>
  </conditionalFormatting>
  <conditionalFormatting sqref="AC127:AE129">
    <cfRule type="cellIs" dxfId="120" priority="349" operator="equal">
      <formula>"No programado"</formula>
    </cfRule>
    <cfRule type="cellIs" dxfId="119" priority="350" operator="greaterThan">
      <formula>1</formula>
    </cfRule>
  </conditionalFormatting>
  <conditionalFormatting sqref="AC127:AE128">
    <cfRule type="cellIs" dxfId="118" priority="351" operator="between">
      <formula>0.900000001</formula>
      <formula>0.9499999999</formula>
    </cfRule>
    <cfRule type="cellIs" dxfId="117" priority="352" operator="lessThan">
      <formula>0.9</formula>
    </cfRule>
    <cfRule type="cellIs" dxfId="116" priority="353" operator="between">
      <formula>0.95001</formula>
      <formula>1</formula>
    </cfRule>
  </conditionalFormatting>
  <conditionalFormatting sqref="AC129:AE129">
    <cfRule type="cellIs" dxfId="115" priority="356" operator="between">
      <formula>0.95000001</formula>
      <formula>0.99999999999</formula>
    </cfRule>
    <cfRule type="cellIs" dxfId="114" priority="357" operator="lessThanOrEqual">
      <formula>0.95</formula>
    </cfRule>
    <cfRule type="cellIs" dxfId="113" priority="358" operator="equal">
      <formula>1</formula>
    </cfRule>
  </conditionalFormatting>
  <conditionalFormatting sqref="AC135:AE138">
    <cfRule type="cellIs" dxfId="112" priority="279" operator="equal">
      <formula>"No programado"</formula>
    </cfRule>
    <cfRule type="cellIs" dxfId="111" priority="280" operator="greaterThan">
      <formula>1</formula>
    </cfRule>
  </conditionalFormatting>
  <conditionalFormatting sqref="AC136:AE138">
    <cfRule type="cellIs" dxfId="110" priority="281" operator="between">
      <formula>0.8000001</formula>
      <formula>0.9499999999999</formula>
    </cfRule>
    <cfRule type="cellIs" dxfId="109" priority="282" operator="lessThanOrEqual">
      <formula>0.8</formula>
    </cfRule>
    <cfRule type="cellIs" dxfId="108" priority="283" operator="between">
      <formula>0.95</formula>
      <formula>1</formula>
    </cfRule>
  </conditionalFormatting>
  <conditionalFormatting sqref="AC135:AE135">
    <cfRule type="cellIs" dxfId="107" priority="286" operator="between">
      <formula>0.900000001</formula>
      <formula>0.9499999999999</formula>
    </cfRule>
    <cfRule type="cellIs" dxfId="106" priority="287" operator="lessThan">
      <formula>0.9</formula>
    </cfRule>
    <cfRule type="cellIs" dxfId="105" priority="288" operator="between">
      <formula>0.95</formula>
      <formula>1</formula>
    </cfRule>
  </conditionalFormatting>
  <conditionalFormatting sqref="AC144:AE147">
    <cfRule type="cellIs" dxfId="104" priority="229" operator="equal">
      <formula>"No programado"</formula>
    </cfRule>
    <cfRule type="cellIs" dxfId="103" priority="230" operator="greaterThan">
      <formula>1</formula>
    </cfRule>
  </conditionalFormatting>
  <conditionalFormatting sqref="AC144:AE144">
    <cfRule type="cellIs" dxfId="102" priority="231" operator="between">
      <formula>0.9</formula>
      <formula>0.95</formula>
    </cfRule>
    <cfRule type="cellIs" dxfId="101" priority="232" operator="lessThan">
      <formula>0.9</formula>
    </cfRule>
    <cfRule type="cellIs" dxfId="100" priority="233" operator="between">
      <formula>0.95001</formula>
      <formula>1</formula>
    </cfRule>
  </conditionalFormatting>
  <conditionalFormatting sqref="AC145:AE145">
    <cfRule type="cellIs" dxfId="99" priority="236" operator="between">
      <formula>0.93</formula>
      <formula>0.9999999999999</formula>
    </cfRule>
    <cfRule type="cellIs" dxfId="98" priority="237" operator="lessThan">
      <formula>0.93</formula>
    </cfRule>
    <cfRule type="cellIs" dxfId="97" priority="238" operator="equal">
      <formula>1</formula>
    </cfRule>
  </conditionalFormatting>
  <conditionalFormatting sqref="AC146:AE147">
    <cfRule type="cellIs" dxfId="96" priority="3" operator="between">
      <formula>0.800000001</formula>
      <formula>0.99999999</formula>
    </cfRule>
    <cfRule type="cellIs" dxfId="95" priority="4" operator="equal">
      <formula>1</formula>
    </cfRule>
    <cfRule type="cellIs" dxfId="94" priority="5" operator="lessThanOrEqual">
      <formula>0.8</formula>
    </cfRule>
  </conditionalFormatting>
  <conditionalFormatting sqref="AC153:AE157">
    <cfRule type="cellIs" dxfId="93" priority="199" operator="equal">
      <formula>"No programado"</formula>
    </cfRule>
    <cfRule type="cellIs" dxfId="92" priority="200" operator="greaterThan">
      <formula>1</formula>
    </cfRule>
    <cfRule type="cellIs" dxfId="91" priority="202" operator="lessThanOrEqual">
      <formula>0.9</formula>
    </cfRule>
    <cfRule type="cellIs" dxfId="90" priority="203" operator="equal">
      <formula>1</formula>
    </cfRule>
  </conditionalFormatting>
  <conditionalFormatting sqref="AC171:AE173">
    <cfRule type="cellIs" dxfId="89" priority="139" operator="equal">
      <formula>"No programado"</formula>
    </cfRule>
    <cfRule type="cellIs" dxfId="88" priority="140" operator="greaterThan">
      <formula>1</formula>
    </cfRule>
    <cfRule type="cellIs" dxfId="87" priority="141" operator="between">
      <formula>0.690000001</formula>
      <formula>0.899999999999</formula>
    </cfRule>
    <cfRule type="cellIs" dxfId="86" priority="142" operator="lessThanOrEqual">
      <formula>0.69</formula>
    </cfRule>
    <cfRule type="cellIs" dxfId="85" priority="143" operator="between">
      <formula>0.9</formula>
      <formula>1</formula>
    </cfRule>
  </conditionalFormatting>
  <conditionalFormatting sqref="AC163:AE165">
    <cfRule type="cellIs" dxfId="84" priority="1" operator="equal">
      <formula>"No programado"</formula>
    </cfRule>
    <cfRule type="cellIs" dxfId="83" priority="2" operator="greaterThan">
      <formula>1</formula>
    </cfRule>
    <cfRule type="cellIs" dxfId="82" priority="169" operator="equal">
      <formula>1</formula>
    </cfRule>
  </conditionalFormatting>
  <conditionalFormatting sqref="AC163:AE163">
    <cfRule type="cellIs" dxfId="81" priority="170" operator="between">
      <formula>0.79001</formula>
      <formula>0.999999999999999</formula>
    </cfRule>
    <cfRule type="cellIs" dxfId="80" priority="171" operator="lessThanOrEqual">
      <formula>0.79</formula>
    </cfRule>
  </conditionalFormatting>
  <conditionalFormatting sqref="AC164:AE164">
    <cfRule type="cellIs" dxfId="79" priority="172" operator="between">
      <formula>0.9900000001</formula>
      <formula>0.9999999999999</formula>
    </cfRule>
    <cfRule type="cellIs" dxfId="78" priority="173" operator="lessThanOrEqual">
      <formula>99</formula>
    </cfRule>
  </conditionalFormatting>
  <conditionalFormatting sqref="AC165:AE165">
    <cfRule type="cellIs" dxfId="77" priority="176" operator="between">
      <formula>0.7000000000001</formula>
      <formula>0.999999999999999</formula>
    </cfRule>
    <cfRule type="cellIs" dxfId="76" priority="178" operator="lessThanOrEqual">
      <formula>0.7</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686FFD3-99F0-47D1-9BF4-80548E22E067}">
          <x14:formula1>
            <xm:f>LISTAS!$I$11:$I$15</xm:f>
          </x14:formula1>
          <xm:sqref>D6:AK6</xm:sqref>
        </x14:dataValidation>
        <x14:dataValidation type="list" allowBlank="1" showInputMessage="1" showErrorMessage="1" xr:uid="{CB4EECCB-AA08-4E07-8296-54A560BAC67D}">
          <x14:formula1>
            <xm:f>LISTAS!$I$17:$I$21</xm:f>
          </x14:formula1>
          <xm:sqref>D7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rgb="FF00FF99"/>
  </sheetPr>
  <dimension ref="B1:AJ105"/>
  <sheetViews>
    <sheetView showGridLines="0" topLeftCell="D1" zoomScale="55" zoomScaleNormal="55" workbookViewId="0">
      <selection activeCell="M89" sqref="M89"/>
    </sheetView>
  </sheetViews>
  <sheetFormatPr baseColWidth="10" defaultColWidth="17.28515625" defaultRowHeight="24"/>
  <cols>
    <col min="1" max="1" width="4.28515625" style="135" customWidth="1"/>
    <col min="2" max="2" width="50.42578125" style="133" customWidth="1"/>
    <col min="3" max="3" width="55.140625" style="133" customWidth="1"/>
    <col min="4" max="4" width="52.85546875" style="133" customWidth="1"/>
    <col min="5" max="5" width="25.42578125" style="134" customWidth="1"/>
    <col min="6" max="6" width="26.28515625" style="134" customWidth="1"/>
    <col min="7" max="7" width="18" style="134" customWidth="1"/>
    <col min="8" max="8" width="43.7109375" style="133" customWidth="1"/>
    <col min="9" max="9" width="29.42578125" style="133" customWidth="1"/>
    <col min="10" max="10" width="56.28515625" style="133" customWidth="1"/>
    <col min="11" max="18" width="25.7109375" style="133" customWidth="1"/>
    <col min="19" max="19" width="26.7109375" style="133" customWidth="1"/>
    <col min="20" max="20" width="25.7109375" style="133" customWidth="1"/>
    <col min="21" max="21" width="28.28515625" style="133" customWidth="1"/>
    <col min="22" max="22" width="28.42578125" style="133" customWidth="1"/>
    <col min="23" max="23" width="35.7109375" style="133" customWidth="1"/>
    <col min="24" max="24" width="23.7109375" style="285" customWidth="1"/>
    <col min="25" max="25" width="26.7109375" style="285" customWidth="1"/>
    <col min="26" max="26" width="36.7109375" style="285" customWidth="1"/>
    <col min="27" max="27" width="38.7109375" style="285" customWidth="1"/>
    <col min="28" max="28" width="38.7109375" style="135" customWidth="1"/>
    <col min="29" max="29" width="5.42578125" style="135" customWidth="1"/>
    <col min="30" max="30" width="12.42578125" style="135" hidden="1" customWidth="1"/>
    <col min="31" max="31" width="20.7109375" style="359" hidden="1" customWidth="1"/>
    <col min="32" max="32" width="8.7109375" style="135" hidden="1" customWidth="1"/>
    <col min="33" max="33" width="11.42578125" style="135" hidden="1" customWidth="1"/>
    <col min="34" max="34" width="11.5703125" style="135" hidden="1" customWidth="1"/>
    <col min="35" max="35" width="0" style="135" hidden="1" customWidth="1"/>
    <col min="36" max="16384" width="17.28515625" style="135"/>
  </cols>
  <sheetData>
    <row r="1" spans="2:36" ht="15" customHeight="1" thickBot="1"/>
    <row r="2" spans="2:36" ht="16.5" customHeight="1">
      <c r="B2" s="1605" t="s">
        <v>701</v>
      </c>
      <c r="C2" s="1608" t="s">
        <v>712</v>
      </c>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609"/>
    </row>
    <row r="3" spans="2:36" ht="16.5" customHeight="1">
      <c r="B3" s="1606"/>
      <c r="C3" s="1610"/>
      <c r="D3" s="1553"/>
      <c r="E3" s="1553"/>
      <c r="F3" s="1553"/>
      <c r="G3" s="1553"/>
      <c r="H3" s="1553"/>
      <c r="I3" s="1553"/>
      <c r="J3" s="1553"/>
      <c r="K3" s="1553"/>
      <c r="L3" s="1553"/>
      <c r="M3" s="1553"/>
      <c r="N3" s="1553"/>
      <c r="O3" s="1553"/>
      <c r="P3" s="1553"/>
      <c r="Q3" s="1553"/>
      <c r="R3" s="1553"/>
      <c r="S3" s="1553"/>
      <c r="T3" s="1553"/>
      <c r="U3" s="1553"/>
      <c r="V3" s="1553"/>
      <c r="W3" s="1553"/>
      <c r="X3" s="1553"/>
      <c r="Y3" s="1553"/>
      <c r="Z3" s="1553"/>
      <c r="AA3" s="1553"/>
      <c r="AB3" s="1611"/>
    </row>
    <row r="4" spans="2:36" ht="16.5" customHeight="1">
      <c r="B4" s="1606"/>
      <c r="C4" s="1610"/>
      <c r="D4" s="1553"/>
      <c r="E4" s="1553"/>
      <c r="F4" s="1553"/>
      <c r="G4" s="1553"/>
      <c r="H4" s="1553"/>
      <c r="I4" s="1553"/>
      <c r="J4" s="1553"/>
      <c r="K4" s="1553"/>
      <c r="L4" s="1553"/>
      <c r="M4" s="1553"/>
      <c r="N4" s="1553"/>
      <c r="O4" s="1553"/>
      <c r="P4" s="1553"/>
      <c r="Q4" s="1553"/>
      <c r="R4" s="1553"/>
      <c r="S4" s="1553"/>
      <c r="T4" s="1553"/>
      <c r="U4" s="1553"/>
      <c r="V4" s="1553"/>
      <c r="W4" s="1553"/>
      <c r="X4" s="1553"/>
      <c r="Y4" s="1553"/>
      <c r="Z4" s="1553"/>
      <c r="AA4" s="1553"/>
      <c r="AB4" s="1611"/>
    </row>
    <row r="5" spans="2:36" ht="16.5" customHeight="1">
      <c r="B5" s="1606"/>
      <c r="C5" s="1610"/>
      <c r="D5" s="1553"/>
      <c r="E5" s="1553"/>
      <c r="F5" s="1553"/>
      <c r="G5" s="1553"/>
      <c r="H5" s="1553"/>
      <c r="I5" s="1553"/>
      <c r="J5" s="1553"/>
      <c r="K5" s="1553"/>
      <c r="L5" s="1553"/>
      <c r="M5" s="1553"/>
      <c r="N5" s="1553"/>
      <c r="O5" s="1553"/>
      <c r="P5" s="1553"/>
      <c r="Q5" s="1553"/>
      <c r="R5" s="1553"/>
      <c r="S5" s="1553"/>
      <c r="T5" s="1553"/>
      <c r="U5" s="1553"/>
      <c r="V5" s="1553"/>
      <c r="W5" s="1553"/>
      <c r="X5" s="1553"/>
      <c r="Y5" s="1553"/>
      <c r="Z5" s="1553"/>
      <c r="AA5" s="1553"/>
      <c r="AB5" s="1611"/>
    </row>
    <row r="6" spans="2:36" ht="16.5" customHeight="1" thickBot="1">
      <c r="B6" s="1607"/>
      <c r="C6" s="1612"/>
      <c r="D6" s="1556"/>
      <c r="E6" s="1556"/>
      <c r="F6" s="1556"/>
      <c r="G6" s="1556"/>
      <c r="H6" s="1556"/>
      <c r="I6" s="1556"/>
      <c r="J6" s="1556"/>
      <c r="K6" s="1556"/>
      <c r="L6" s="1556"/>
      <c r="M6" s="1556"/>
      <c r="N6" s="1556"/>
      <c r="O6" s="1556"/>
      <c r="P6" s="1556"/>
      <c r="Q6" s="1556"/>
      <c r="R6" s="1556"/>
      <c r="S6" s="1556"/>
      <c r="T6" s="1556"/>
      <c r="U6" s="1556"/>
      <c r="V6" s="1556"/>
      <c r="W6" s="1556"/>
      <c r="X6" s="1556"/>
      <c r="Y6" s="1556"/>
      <c r="Z6" s="1556"/>
      <c r="AA6" s="1556"/>
      <c r="AB6" s="1613"/>
    </row>
    <row r="7" spans="2:36" ht="14.25" customHeight="1" thickBot="1">
      <c r="B7" s="136"/>
      <c r="C7" s="136"/>
      <c r="D7" s="136"/>
      <c r="E7" s="137"/>
      <c r="F7" s="137"/>
      <c r="G7" s="137"/>
      <c r="H7" s="136"/>
      <c r="I7" s="136"/>
      <c r="J7" s="136"/>
      <c r="K7" s="136"/>
      <c r="L7" s="136"/>
      <c r="M7" s="136"/>
      <c r="N7" s="136"/>
      <c r="O7" s="136"/>
      <c r="P7" s="136"/>
      <c r="Q7" s="136"/>
      <c r="R7" s="136"/>
      <c r="S7" s="136"/>
      <c r="T7" s="136"/>
      <c r="U7" s="136"/>
      <c r="V7" s="136"/>
      <c r="W7" s="136"/>
    </row>
    <row r="8" spans="2:36" ht="32.450000000000003" customHeight="1" thickBot="1">
      <c r="B8" s="405" t="s">
        <v>713</v>
      </c>
      <c r="C8" s="404" t="s">
        <v>1132</v>
      </c>
      <c r="D8" s="403">
        <v>2022</v>
      </c>
      <c r="E8" s="406"/>
      <c r="F8" s="406"/>
      <c r="G8" s="406"/>
      <c r="H8" s="406"/>
      <c r="I8" s="406"/>
      <c r="J8" s="406"/>
      <c r="K8" s="406"/>
      <c r="L8" s="406"/>
      <c r="M8" s="406"/>
      <c r="N8" s="406"/>
      <c r="O8" s="406"/>
      <c r="P8" s="406"/>
      <c r="Q8" s="406"/>
      <c r="R8" s="406"/>
      <c r="S8" s="406"/>
      <c r="T8" s="406"/>
      <c r="U8" s="406"/>
      <c r="V8" s="406"/>
      <c r="W8" s="406"/>
      <c r="X8" s="406"/>
      <c r="Y8" s="406"/>
      <c r="Z8" s="406"/>
      <c r="AA8" s="406"/>
      <c r="AB8" s="406"/>
      <c r="AC8" s="138"/>
    </row>
    <row r="9" spans="2:36" ht="14.25" customHeight="1">
      <c r="B9" s="136"/>
      <c r="C9" s="136"/>
      <c r="D9" s="136"/>
      <c r="E9" s="137"/>
      <c r="F9" s="137"/>
      <c r="G9" s="137"/>
      <c r="H9" s="136"/>
      <c r="I9" s="136"/>
      <c r="J9" s="136"/>
      <c r="K9" s="136"/>
      <c r="L9" s="136"/>
      <c r="M9" s="136"/>
      <c r="N9" s="136"/>
      <c r="O9" s="136"/>
      <c r="P9" s="136"/>
      <c r="Q9" s="136"/>
      <c r="R9" s="136"/>
      <c r="S9" s="136"/>
      <c r="T9" s="136"/>
      <c r="U9" s="136"/>
      <c r="V9" s="136"/>
      <c r="W9" s="136"/>
      <c r="X9" s="362"/>
      <c r="Y9" s="362"/>
      <c r="Z9" s="362"/>
      <c r="AA9" s="362"/>
      <c r="AB9" s="138"/>
    </row>
    <row r="10" spans="2:36" ht="55.15" customHeight="1">
      <c r="B10" s="1558" t="s">
        <v>0</v>
      </c>
      <c r="C10" s="1558" t="s">
        <v>52</v>
      </c>
      <c r="D10" s="1558" t="s">
        <v>54</v>
      </c>
      <c r="E10" s="1546" t="s">
        <v>55</v>
      </c>
      <c r="F10" s="1558" t="s">
        <v>56</v>
      </c>
      <c r="G10" s="1558" t="s">
        <v>70</v>
      </c>
      <c r="H10" s="1558" t="s">
        <v>57</v>
      </c>
      <c r="I10" s="1558" t="s">
        <v>41</v>
      </c>
      <c r="J10" s="1558" t="s">
        <v>42</v>
      </c>
      <c r="K10" s="1563" t="s">
        <v>75</v>
      </c>
      <c r="L10" s="1563"/>
      <c r="M10" s="1563"/>
      <c r="N10" s="1563"/>
      <c r="O10" s="1617">
        <f>+D8</f>
        <v>2022</v>
      </c>
      <c r="P10" s="1618"/>
      <c r="Q10" s="1618"/>
      <c r="R10" s="1618"/>
      <c r="S10" s="1618"/>
      <c r="T10" s="1618"/>
      <c r="U10" s="1618"/>
      <c r="V10" s="1618"/>
      <c r="W10" s="1618"/>
      <c r="X10" s="1618"/>
      <c r="Y10" s="1619"/>
      <c r="Z10" s="1614" t="s">
        <v>708</v>
      </c>
      <c r="AA10" s="1615"/>
      <c r="AB10" s="1616"/>
    </row>
    <row r="11" spans="2:36" ht="69" customHeight="1">
      <c r="B11" s="1558"/>
      <c r="C11" s="1558"/>
      <c r="D11" s="1558"/>
      <c r="E11" s="1547"/>
      <c r="F11" s="1558"/>
      <c r="G11" s="1558"/>
      <c r="H11" s="1558"/>
      <c r="I11" s="1558"/>
      <c r="J11" s="1558"/>
      <c r="K11" s="559" t="s">
        <v>59</v>
      </c>
      <c r="L11" s="559" t="s">
        <v>59</v>
      </c>
      <c r="M11" s="559" t="s">
        <v>59</v>
      </c>
      <c r="N11" s="559" t="s">
        <v>59</v>
      </c>
      <c r="O11" s="1614" t="s">
        <v>21</v>
      </c>
      <c r="P11" s="1616"/>
      <c r="Q11" s="1614" t="s">
        <v>22</v>
      </c>
      <c r="R11" s="1616"/>
      <c r="S11" s="1614" t="s">
        <v>23</v>
      </c>
      <c r="T11" s="1616"/>
      <c r="U11" s="1614" t="s">
        <v>24</v>
      </c>
      <c r="V11" s="1616"/>
      <c r="W11" s="1546" t="s">
        <v>711</v>
      </c>
      <c r="X11" s="1546" t="s">
        <v>706</v>
      </c>
      <c r="Y11" s="1105" t="s">
        <v>933</v>
      </c>
      <c r="Z11" s="1622" t="s">
        <v>705</v>
      </c>
      <c r="AA11" s="1546" t="s">
        <v>707</v>
      </c>
      <c r="AB11" s="1620" t="s">
        <v>709</v>
      </c>
    </row>
    <row r="12" spans="2:36" ht="31.9" customHeight="1">
      <c r="B12" s="1558"/>
      <c r="C12" s="1558"/>
      <c r="D12" s="1558"/>
      <c r="E12" s="1548"/>
      <c r="F12" s="1558"/>
      <c r="G12" s="1558"/>
      <c r="H12" s="1558"/>
      <c r="I12" s="1558"/>
      <c r="J12" s="1558"/>
      <c r="K12" s="567">
        <v>2021</v>
      </c>
      <c r="L12" s="567">
        <v>2022</v>
      </c>
      <c r="M12" s="567">
        <v>2023</v>
      </c>
      <c r="N12" s="567">
        <v>2024</v>
      </c>
      <c r="O12" s="558" t="s">
        <v>703</v>
      </c>
      <c r="P12" s="558" t="s">
        <v>704</v>
      </c>
      <c r="Q12" s="558" t="s">
        <v>703</v>
      </c>
      <c r="R12" s="558" t="s">
        <v>704</v>
      </c>
      <c r="S12" s="558" t="s">
        <v>703</v>
      </c>
      <c r="T12" s="558" t="s">
        <v>704</v>
      </c>
      <c r="U12" s="558" t="s">
        <v>703</v>
      </c>
      <c r="V12" s="558" t="s">
        <v>704</v>
      </c>
      <c r="W12" s="1548"/>
      <c r="X12" s="1548"/>
      <c r="Y12" s="1106" t="s">
        <v>1182</v>
      </c>
      <c r="Z12" s="1623"/>
      <c r="AA12" s="1548"/>
      <c r="AB12" s="1621"/>
    </row>
    <row r="13" spans="2:36" ht="103.5" customHeight="1">
      <c r="B13" s="1522" t="s">
        <v>130</v>
      </c>
      <c r="C13" s="1519" t="s">
        <v>131</v>
      </c>
      <c r="D13" s="31" t="str">
        <f>+'01-FR-03 POA INSTITUCIONAL'!D13</f>
        <v>1.1.1 Realizar 356.610 intervenciones dentro del ejercicio del Ministerio Público para prevenir la vulneración de derechos y/o lograr el  restablecimiento de los mismos.</v>
      </c>
      <c r="E13" s="52">
        <f>+'01-FR-03 POA INSTITUCIONAL'!E13</f>
        <v>0.38</v>
      </c>
      <c r="F13" s="139">
        <f>+'01-FR-03 POA INSTITUCIONAL'!F13</f>
        <v>356610</v>
      </c>
      <c r="G13" s="568" t="str">
        <f>+'01-FR-03 POA INSTITUCIONAL'!G13</f>
        <v>S.I.</v>
      </c>
      <c r="H13" s="141" t="str">
        <f>+'01-FR-03 POA INSTITUCIONAL'!H13</f>
        <v>Intervenciones realizadas en defensa de los derechos</v>
      </c>
      <c r="I13" s="142" t="str">
        <f>+'01-FR-03 POA INSTITUCIONAL'!I13</f>
        <v>Promoción y Defensa de Derechos</v>
      </c>
      <c r="J13" s="143" t="str">
        <f>+'01-FR-03 POA INSTITUCIONAL'!J13</f>
        <v>P.D. para Asuntos Penales I, Penales II, Derechos Humanos y Policivos y Civiles
P.D. para los Sectores Planeación y Movilidad y la P.D. para los Sectores Educación y Cultura, Recreación y Deporte</v>
      </c>
      <c r="K13" s="144">
        <f>+'01-FR-03 POA INSTITUCIONAL'!K13</f>
        <v>102450</v>
      </c>
      <c r="L13" s="144">
        <f>+'01-FR-03 POA INSTITUCIONAL'!L13</f>
        <v>106660</v>
      </c>
      <c r="M13" s="144">
        <f>+'01-FR-03 POA INSTITUCIONAL'!M13</f>
        <v>98250</v>
      </c>
      <c r="N13" s="144">
        <f>+'01-FR-03 POA INSTITUCIONAL'!N13</f>
        <v>49250</v>
      </c>
      <c r="O13" s="352">
        <f>'05-POA PROM DEFENSA DERECHOS'!V16</f>
        <v>25305</v>
      </c>
      <c r="P13" s="352">
        <f>'05-POA PROM DEFENSA DERECHOS'!W16</f>
        <v>29145</v>
      </c>
      <c r="Q13" s="352">
        <f>+'05-POA PROM DEFENSA DERECHOS'!AD16</f>
        <v>28020</v>
      </c>
      <c r="R13" s="352">
        <f>+'05-POA PROM DEFENSA DERECHOS'!AE16</f>
        <v>33363</v>
      </c>
      <c r="S13" s="352">
        <f>+'05-POA PROM DEFENSA DERECHOS'!AL16</f>
        <v>28020</v>
      </c>
      <c r="T13" s="352">
        <f>+'05-POA PROM DEFENSA DERECHOS'!AM16</f>
        <v>36093</v>
      </c>
      <c r="U13" s="352">
        <f>+'05-POA PROM DEFENSA DERECHOS'!AT16</f>
        <v>25315</v>
      </c>
      <c r="V13" s="352">
        <f>+'05-POA PROM DEFENSA DERECHOS'!AU16</f>
        <v>0</v>
      </c>
      <c r="W13" s="352">
        <f>+'05-POA PROM DEFENSA DERECHOS'!AV16</f>
        <v>106660</v>
      </c>
      <c r="X13" s="354">
        <f t="shared" ref="X13:X17" si="0">+P13+R13+T13+V13</f>
        <v>98601</v>
      </c>
      <c r="Y13" s="677">
        <f t="shared" ref="Y13:Y18" si="1">IF(AND($W13&gt;0),X13/$W13,"No programado")</f>
        <v>0.92444215263453966</v>
      </c>
      <c r="Z13" s="355">
        <f>IF(AND(X13&gt;0,$F13&gt;0),X13/$F13,0)</f>
        <v>0.27649533103390256</v>
      </c>
      <c r="AA13" s="361">
        <f>IF(AND(Z13&gt;0,E13&gt;0),Z13*E13,0)</f>
        <v>0.10506822579288297</v>
      </c>
      <c r="AB13" s="1312">
        <f>SUM(AA13:AA23)</f>
        <v>0.28000138114720924</v>
      </c>
      <c r="AD13" s="358">
        <f>+'05-POA PROM DEFENSA DERECHOS'!BD16</f>
        <v>0.92444215263453966</v>
      </c>
      <c r="AE13" s="360">
        <f t="shared" ref="AE13:AE48" si="2">Y13-AD13</f>
        <v>0</v>
      </c>
      <c r="AG13" s="358">
        <f>+'05-POA PROM DEFENSA DERECHOS'!BH16</f>
        <v>0.27649533103390256</v>
      </c>
      <c r="AH13" s="360">
        <f>+Z13-AG13</f>
        <v>0</v>
      </c>
      <c r="AJ13" s="357"/>
    </row>
    <row r="14" spans="2:36" ht="142.5" customHeight="1">
      <c r="B14" s="1523"/>
      <c r="C14" s="1521"/>
      <c r="D14" s="31" t="str">
        <f>+'01-FR-03 POA INSTITUCIONAL'!D14</f>
        <v>1.1.2 Orientar 292.755 personas en garantía de derechos.</v>
      </c>
      <c r="E14" s="52">
        <f>+'01-FR-03 POA INSTITUCIONAL'!E14</f>
        <v>0.3</v>
      </c>
      <c r="F14" s="139">
        <f>+'01-FR-03 POA INSTITUCIONAL'!F14</f>
        <v>292755</v>
      </c>
      <c r="G14" s="584" t="str">
        <f>+'01-FR-03 POA INSTITUCIONAL'!G14</f>
        <v>S.I.</v>
      </c>
      <c r="H14" s="141" t="str">
        <f>+'01-FR-03 POA INSTITUCIONAL'!H14</f>
        <v>Personas orientadas en garantía de derechos</v>
      </c>
      <c r="I14" s="142" t="str">
        <f>+'01-FR-03 POA INSTITUCIONAL'!I14</f>
        <v>Promoción y Defensa de Derechos</v>
      </c>
      <c r="J14" s="143"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K14" s="144">
        <f>+'01-FR-03 POA INSTITUCIONAL'!K14</f>
        <v>78750</v>
      </c>
      <c r="L14" s="144">
        <f>+'01-FR-03 POA INSTITUCIONAL'!L14</f>
        <v>97105</v>
      </c>
      <c r="M14" s="144">
        <f>+'01-FR-03 POA INSTITUCIONAL'!M14</f>
        <v>76600</v>
      </c>
      <c r="N14" s="144">
        <f>+'01-FR-03 POA INSTITUCIONAL'!N14</f>
        <v>40300</v>
      </c>
      <c r="O14" s="352">
        <f>'05-POA PROM DEFENSA DERECHOS'!V17</f>
        <v>21621</v>
      </c>
      <c r="P14" s="352">
        <f>'05-POA PROM DEFENSA DERECHOS'!W17</f>
        <v>26507</v>
      </c>
      <c r="Q14" s="352">
        <f>+'05-POA PROM DEFENSA DERECHOS'!AD17</f>
        <v>25997</v>
      </c>
      <c r="R14" s="352">
        <f>+'05-POA PROM DEFENSA DERECHOS'!AE17</f>
        <v>27698</v>
      </c>
      <c r="S14" s="352">
        <f>+'05-POA PROM DEFENSA DERECHOS'!AL17</f>
        <v>26645</v>
      </c>
      <c r="T14" s="352">
        <f>+'05-POA PROM DEFENSA DERECHOS'!AM17</f>
        <v>30355</v>
      </c>
      <c r="U14" s="352">
        <f>+'05-POA PROM DEFENSA DERECHOS'!AT17</f>
        <v>22842</v>
      </c>
      <c r="V14" s="352">
        <f>+'05-POA PROM DEFENSA DERECHOS'!AU17</f>
        <v>0</v>
      </c>
      <c r="W14" s="352">
        <f>+'05-POA PROM DEFENSA DERECHOS'!AV17</f>
        <v>97105</v>
      </c>
      <c r="X14" s="354">
        <f t="shared" si="0"/>
        <v>84560</v>
      </c>
      <c r="Y14" s="677">
        <f t="shared" si="1"/>
        <v>0.870809947994439</v>
      </c>
      <c r="Z14" s="355">
        <f t="shared" ref="Z14:Z32" si="3">IF(AND(X14&gt;0,$F14&gt;0),X14/$F14,0)</f>
        <v>0.28884220594012056</v>
      </c>
      <c r="AA14" s="361">
        <f t="shared" ref="AA14:AA32" si="4">IF(AND(Z14&gt;0,E14&gt;0),Z14*E14,0)</f>
        <v>8.6652661782036164E-2</v>
      </c>
      <c r="AB14" s="1219"/>
      <c r="AD14" s="358">
        <f>+'05-POA PROM DEFENSA DERECHOS'!BD17</f>
        <v>0.870809947994439</v>
      </c>
      <c r="AE14" s="360">
        <f t="shared" si="2"/>
        <v>0</v>
      </c>
      <c r="AG14" s="358">
        <f>+'05-POA PROM DEFENSA DERECHOS'!BH17</f>
        <v>0.28884220594012056</v>
      </c>
      <c r="AH14" s="360">
        <f t="shared" ref="AH14:AH48" si="5">+Z14-AG14</f>
        <v>0</v>
      </c>
    </row>
    <row r="15" spans="2:36" ht="185.25" customHeight="1">
      <c r="B15" s="1523"/>
      <c r="C15" s="1521"/>
      <c r="D15" s="31" t="str">
        <f>+'01-FR-03 POA INSTITUCIONAL'!D15</f>
        <v>1.1.3 Asistir 117.610 personas en garantía de derechos.</v>
      </c>
      <c r="E15" s="52">
        <f>+'01-FR-03 POA INSTITUCIONAL'!E15</f>
        <v>0.15</v>
      </c>
      <c r="F15" s="139">
        <f>+'01-FR-03 POA INSTITUCIONAL'!F15</f>
        <v>117610</v>
      </c>
      <c r="G15" s="584" t="str">
        <f>+'01-FR-03 POA INSTITUCIONAL'!G15</f>
        <v>S.I.</v>
      </c>
      <c r="H15" s="141" t="str">
        <f>+'01-FR-03 POA INSTITUCIONAL'!H15</f>
        <v>Personas asistidas en garantía de derechos</v>
      </c>
      <c r="I15" s="142" t="str">
        <f>+'01-FR-03 POA INSTITUCIONAL'!I15</f>
        <v>Promoción y Defensa de Derechos</v>
      </c>
      <c r="J15" s="143"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K15" s="144">
        <f>+'01-FR-03 POA INSTITUCIONAL'!K15</f>
        <v>28695</v>
      </c>
      <c r="L15" s="144">
        <f>+'01-FR-03 POA INSTITUCIONAL'!L15</f>
        <v>26115</v>
      </c>
      <c r="M15" s="144">
        <f>+'01-FR-03 POA INSTITUCIONAL'!M15</f>
        <v>39200</v>
      </c>
      <c r="N15" s="144">
        <f>+'01-FR-03 POA INSTITUCIONAL'!N15</f>
        <v>23600</v>
      </c>
      <c r="O15" s="352">
        <f>'05-POA PROM DEFENSA DERECHOS'!V18</f>
        <v>6670</v>
      </c>
      <c r="P15" s="352">
        <f>'05-POA PROM DEFENSA DERECHOS'!W18</f>
        <v>9518</v>
      </c>
      <c r="Q15" s="352">
        <f>+'05-POA PROM DEFENSA DERECHOS'!AD18</f>
        <v>8165</v>
      </c>
      <c r="R15" s="352">
        <f>+'05-POA PROM DEFENSA DERECHOS'!AE18</f>
        <v>10298</v>
      </c>
      <c r="S15" s="352">
        <f>+'05-POA PROM DEFENSA DERECHOS'!AL18</f>
        <v>6765</v>
      </c>
      <c r="T15" s="352">
        <f>+'05-POA PROM DEFENSA DERECHOS'!AM18</f>
        <v>10102</v>
      </c>
      <c r="U15" s="352">
        <f>+'05-POA PROM DEFENSA DERECHOS'!AT18</f>
        <v>4515</v>
      </c>
      <c r="V15" s="352">
        <f>+'05-POA PROM DEFENSA DERECHOS'!AU18</f>
        <v>0</v>
      </c>
      <c r="W15" s="352">
        <f>+'05-POA PROM DEFENSA DERECHOS'!AV18</f>
        <v>26115</v>
      </c>
      <c r="X15" s="354">
        <f t="shared" si="0"/>
        <v>29918</v>
      </c>
      <c r="Y15" s="677">
        <f t="shared" si="1"/>
        <v>1.1456251196630289</v>
      </c>
      <c r="Z15" s="355">
        <f t="shared" si="3"/>
        <v>0.25438313068616614</v>
      </c>
      <c r="AA15" s="361">
        <f t="shared" si="4"/>
        <v>3.8157469602924918E-2</v>
      </c>
      <c r="AB15" s="1219"/>
      <c r="AD15" s="358">
        <f>+'05-POA PROM DEFENSA DERECHOS'!BD18</f>
        <v>1.1456251196630289</v>
      </c>
      <c r="AE15" s="360">
        <f t="shared" si="2"/>
        <v>0</v>
      </c>
      <c r="AG15" s="358">
        <f>+'05-POA PROM DEFENSA DERECHOS'!BH18</f>
        <v>0.25438313068616614</v>
      </c>
      <c r="AH15" s="360">
        <f t="shared" si="5"/>
        <v>0</v>
      </c>
    </row>
    <row r="16" spans="2:36" ht="51" customHeight="1">
      <c r="B16" s="1523"/>
      <c r="C16" s="1521"/>
      <c r="D16" s="31" t="str">
        <f>+'01-FR-03 POA INSTITUCIONAL'!D16</f>
        <v>1.1.4 Asistir a 28.586 personas en mecanismos alternativos de solución de conflictos.</v>
      </c>
      <c r="E16" s="52">
        <f>+'01-FR-03 POA INSTITUCIONAL'!E16</f>
        <v>0.04</v>
      </c>
      <c r="F16" s="139">
        <f>+'01-FR-03 POA INSTITUCIONAL'!F16</f>
        <v>28586</v>
      </c>
      <c r="G16" s="584" t="str">
        <f>+'01-FR-03 POA INSTITUCIONAL'!G16</f>
        <v>S.I.</v>
      </c>
      <c r="H16" s="141" t="str">
        <f>+'01-FR-03 POA INSTITUCIONAL'!H16</f>
        <v>Personas asistidas en Mecanismos Alternativos de Solución de Conflictos</v>
      </c>
      <c r="I16" s="142" t="str">
        <f>+'01-FR-03 POA INSTITUCIONAL'!I16</f>
        <v>Promoción y Defensa de Derechos</v>
      </c>
      <c r="J16" s="143" t="str">
        <f>+'01-FR-03 POA INSTITUCIONAL'!J16</f>
        <v>Dirección de Conciliación y M.A.S.C.</v>
      </c>
      <c r="K16" s="144">
        <f>+'01-FR-03 POA INSTITUCIONAL'!K16</f>
        <v>6810</v>
      </c>
      <c r="L16" s="144">
        <f>+'01-FR-03 POA INSTITUCIONAL'!L16</f>
        <v>6900</v>
      </c>
      <c r="M16" s="144">
        <f>+'01-FR-03 POA INSTITUCIONAL'!M16</f>
        <v>10500</v>
      </c>
      <c r="N16" s="144">
        <f>+'01-FR-03 POA INSTITUCIONAL'!N16</f>
        <v>4376</v>
      </c>
      <c r="O16" s="352">
        <f>'05-POA PROM DEFENSA DERECHOS'!V19</f>
        <v>900</v>
      </c>
      <c r="P16" s="352">
        <f>'05-POA PROM DEFENSA DERECHOS'!W19</f>
        <v>3289</v>
      </c>
      <c r="Q16" s="352">
        <f>+'05-POA PROM DEFENSA DERECHOS'!AD19</f>
        <v>1500</v>
      </c>
      <c r="R16" s="352">
        <f>+'05-POA PROM DEFENSA DERECHOS'!AE19</f>
        <v>3199</v>
      </c>
      <c r="S16" s="352">
        <f>+'05-POA PROM DEFENSA DERECHOS'!AL19</f>
        <v>2100</v>
      </c>
      <c r="T16" s="352">
        <f>+'05-POA PROM DEFENSA DERECHOS'!AM19</f>
        <v>3709</v>
      </c>
      <c r="U16" s="352">
        <f>+'05-POA PROM DEFENSA DERECHOS'!AT19</f>
        <v>2400</v>
      </c>
      <c r="V16" s="352">
        <f>+'05-POA PROM DEFENSA DERECHOS'!AU19</f>
        <v>0</v>
      </c>
      <c r="W16" s="352">
        <f>+'05-POA PROM DEFENSA DERECHOS'!AV19</f>
        <v>6900</v>
      </c>
      <c r="X16" s="354">
        <f t="shared" si="0"/>
        <v>10197</v>
      </c>
      <c r="Y16" s="677">
        <f t="shared" si="1"/>
        <v>1.4778260869565218</v>
      </c>
      <c r="Z16" s="355">
        <f t="shared" si="3"/>
        <v>0.35671307633107113</v>
      </c>
      <c r="AA16" s="361">
        <f t="shared" si="4"/>
        <v>1.4268523053242846E-2</v>
      </c>
      <c r="AB16" s="1219"/>
      <c r="AD16" s="358">
        <f>+'05-POA PROM DEFENSA DERECHOS'!BD19</f>
        <v>1.4778260869565218</v>
      </c>
      <c r="AE16" s="360">
        <f t="shared" si="2"/>
        <v>0</v>
      </c>
      <c r="AG16" s="358">
        <f>+'05-POA PROM DEFENSA DERECHOS'!BH19</f>
        <v>0.35671307633107113</v>
      </c>
      <c r="AH16" s="360">
        <f t="shared" si="5"/>
        <v>0</v>
      </c>
    </row>
    <row r="17" spans="2:34" ht="136.5" customHeight="1">
      <c r="B17" s="1523"/>
      <c r="C17" s="1521"/>
      <c r="D17" s="31" t="str">
        <f>+'01-FR-03 POA INSTITUCIONAL'!D17</f>
        <v>1.1.5 Atender y gestionar 55.722 peticiones y/o requerimientos presentados por la comunidad en garantía de derechos.</v>
      </c>
      <c r="E17" s="52">
        <f>+'01-FR-03 POA INSTITUCIONAL'!E17</f>
        <v>0.06</v>
      </c>
      <c r="F17" s="139">
        <f>+'01-FR-03 POA INSTITUCIONAL'!F17</f>
        <v>55722</v>
      </c>
      <c r="G17" s="584" t="str">
        <f>+'01-FR-03 POA INSTITUCIONAL'!G17</f>
        <v>S.I.</v>
      </c>
      <c r="H17" s="141" t="str">
        <f>+'01-FR-03 POA INSTITUCIONAL'!H17</f>
        <v>Peticiones o requerimientos ciudadanos atendidos en garantía de derechos</v>
      </c>
      <c r="I17" s="142" t="str">
        <f>+'01-FR-03 POA INSTITUCIONAL'!I17</f>
        <v>Promoción y Defensa de Derechos</v>
      </c>
      <c r="J17" s="143"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K17" s="144">
        <f>+'01-FR-03 POA INSTITUCIONAL'!K17</f>
        <v>14307</v>
      </c>
      <c r="L17" s="144">
        <f>+'01-FR-03 POA INSTITUCIONAL'!L17</f>
        <v>16115</v>
      </c>
      <c r="M17" s="144">
        <f>+'01-FR-03 POA INSTITUCIONAL'!M17</f>
        <v>21200</v>
      </c>
      <c r="N17" s="144">
        <f>+'01-FR-03 POA INSTITUCIONAL'!N17</f>
        <v>4100</v>
      </c>
      <c r="O17" s="352">
        <f>'05-POA PROM DEFENSA DERECHOS'!V20</f>
        <v>3408</v>
      </c>
      <c r="P17" s="352">
        <f>'05-POA PROM DEFENSA DERECHOS'!W20</f>
        <v>5102</v>
      </c>
      <c r="Q17" s="352">
        <f>+'05-POA PROM DEFENSA DERECHOS'!AD20</f>
        <v>4265</v>
      </c>
      <c r="R17" s="352">
        <f>+'05-POA PROM DEFENSA DERECHOS'!AE20</f>
        <v>5964</v>
      </c>
      <c r="S17" s="352">
        <f>+'05-POA PROM DEFENSA DERECHOS'!AL20</f>
        <v>4275</v>
      </c>
      <c r="T17" s="352">
        <f>+'05-POA PROM DEFENSA DERECHOS'!AM20</f>
        <v>6560</v>
      </c>
      <c r="U17" s="352">
        <f>+'05-POA PROM DEFENSA DERECHOS'!AT20</f>
        <v>4167</v>
      </c>
      <c r="V17" s="352">
        <f>+'05-POA PROM DEFENSA DERECHOS'!AU20</f>
        <v>0</v>
      </c>
      <c r="W17" s="352">
        <f>+'05-POA PROM DEFENSA DERECHOS'!AV20</f>
        <v>16115</v>
      </c>
      <c r="X17" s="354">
        <f t="shared" si="0"/>
        <v>17626</v>
      </c>
      <c r="Y17" s="677">
        <f t="shared" si="1"/>
        <v>1.0937635743096494</v>
      </c>
      <c r="Z17" s="355">
        <f t="shared" si="3"/>
        <v>0.31632030436811315</v>
      </c>
      <c r="AA17" s="361">
        <f t="shared" si="4"/>
        <v>1.8979218262086789E-2</v>
      </c>
      <c r="AB17" s="1219"/>
      <c r="AD17" s="358">
        <f>+'05-POA PROM DEFENSA DERECHOS'!BD20</f>
        <v>1.0937635743096494</v>
      </c>
      <c r="AE17" s="360">
        <f t="shared" si="2"/>
        <v>0</v>
      </c>
      <c r="AG17" s="358">
        <f>+'05-POA PROM DEFENSA DERECHOS'!BH20</f>
        <v>0.31632030436811315</v>
      </c>
      <c r="AH17" s="360">
        <f t="shared" si="5"/>
        <v>0</v>
      </c>
    </row>
    <row r="18" spans="2:34" ht="75">
      <c r="B18" s="1523"/>
      <c r="C18" s="1521"/>
      <c r="D18" s="31" t="str">
        <f>+'01-FR-03 POA INSTITUCIONAL'!D18</f>
        <v>1.1.6 Generar 80 espacios de mejora, de transferencia de conocimientos y buenas prácticas que permitan brindar una atención idónea a las personas que acuden a la Personería de Bogotá, D. C</v>
      </c>
      <c r="E18" s="52">
        <f>+'01-FR-03 POA INSTITUCIONAL'!E18</f>
        <v>0.01</v>
      </c>
      <c r="F18" s="139">
        <f>+'01-FR-03 POA INSTITUCIONAL'!F18</f>
        <v>80</v>
      </c>
      <c r="G18" s="584" t="str">
        <f>+'01-FR-03 POA INSTITUCIONAL'!G18</f>
        <v>S.I.</v>
      </c>
      <c r="H18" s="141" t="str">
        <f>+'01-FR-03 POA INSTITUCIONAL'!H18</f>
        <v>Espacios de mejora y transferencia de conocimiento realizados</v>
      </c>
      <c r="I18" s="142" t="str">
        <f>+'01-FR-03 POA INSTITUCIONAL'!I18</f>
        <v>Promoción y Defensa de Derechos</v>
      </c>
      <c r="J18" s="143" t="str">
        <f>+'01-FR-03 POA INSTITUCIONAL'!J18</f>
        <v>P.D. para la Coordinación del MP y DDHH y sus dependencias adscritas.</v>
      </c>
      <c r="K18" s="144">
        <f>+'01-FR-03 POA INSTITUCIONAL'!K18</f>
        <v>20</v>
      </c>
      <c r="L18" s="144">
        <f>+'01-FR-03 POA INSTITUCIONAL'!L18</f>
        <v>20</v>
      </c>
      <c r="M18" s="144">
        <f>+'01-FR-03 POA INSTITUCIONAL'!M18</f>
        <v>20</v>
      </c>
      <c r="N18" s="144">
        <f>+'01-FR-03 POA INSTITUCIONAL'!N18</f>
        <v>20</v>
      </c>
      <c r="O18" s="352">
        <f>'05-POA PROM DEFENSA DERECHOS'!V21</f>
        <v>2</v>
      </c>
      <c r="P18" s="352">
        <f>'05-POA PROM DEFENSA DERECHOS'!W21</f>
        <v>0</v>
      </c>
      <c r="Q18" s="352">
        <f>+'05-POA PROM DEFENSA DERECHOS'!AD21</f>
        <v>11</v>
      </c>
      <c r="R18" s="352">
        <f>+'05-POA PROM DEFENSA DERECHOS'!AE21</f>
        <v>11</v>
      </c>
      <c r="S18" s="352">
        <f>+'05-POA PROM DEFENSA DERECHOS'!AL21</f>
        <v>6</v>
      </c>
      <c r="T18" s="352">
        <f>+'05-POA PROM DEFENSA DERECHOS'!AM21</f>
        <v>4</v>
      </c>
      <c r="U18" s="352">
        <f>+'05-POA PROM DEFENSA DERECHOS'!AT21</f>
        <v>1</v>
      </c>
      <c r="V18" s="352">
        <f>+'05-POA PROM DEFENSA DERECHOS'!AU21</f>
        <v>0</v>
      </c>
      <c r="W18" s="352">
        <f>+'05-POA PROM DEFENSA DERECHOS'!AV21</f>
        <v>20</v>
      </c>
      <c r="X18" s="354">
        <f>+P18+R18+T18+V18</f>
        <v>15</v>
      </c>
      <c r="Y18" s="677">
        <f t="shared" si="1"/>
        <v>0.75</v>
      </c>
      <c r="Z18" s="355">
        <f t="shared" si="3"/>
        <v>0.1875</v>
      </c>
      <c r="AA18" s="361">
        <f t="shared" si="4"/>
        <v>1.8749999999999999E-3</v>
      </c>
      <c r="AB18" s="1219"/>
      <c r="AD18" s="358">
        <f>+'05-POA PROM DEFENSA DERECHOS'!BD21</f>
        <v>0.75</v>
      </c>
      <c r="AE18" s="360">
        <f t="shared" si="2"/>
        <v>0</v>
      </c>
      <c r="AG18" s="358">
        <f>+'05-POA PROM DEFENSA DERECHOS'!BH21</f>
        <v>0.1875</v>
      </c>
      <c r="AH18" s="360">
        <f>+Z18-AG18</f>
        <v>0</v>
      </c>
    </row>
    <row r="19" spans="2:34" ht="88.5" customHeight="1">
      <c r="B19" s="1523"/>
      <c r="C19" s="1521"/>
      <c r="D19" s="31" t="str">
        <f>+'01-FR-03 POA INSTITUCIONAL'!D19</f>
        <v>1.1.7 Entregar en un termino menor a los cinco (5) días hábiles, mas del 95% de las solicitudes de elaboración de tutelas, desacatos e impugnaciones que realicen las personas en el Distrito Capital.</v>
      </c>
      <c r="E19" s="683">
        <f>+'01-FR-03 POA INSTITUCIONAL'!E19</f>
        <v>0.01</v>
      </c>
      <c r="F19" s="139" t="str">
        <f>+'01-FR-03 POA INSTITUCIONAL'!F19</f>
        <v>&gt;=95%</v>
      </c>
      <c r="G19" s="584" t="str">
        <f>+'01-FR-03 POA INSTITUCIONAL'!G19</f>
        <v>S.I.</v>
      </c>
      <c r="H19" s="141" t="str">
        <f>+'01-FR-03 POA INSTITUCIONAL'!H19</f>
        <v>Porcentaje de Acciones de Tutela, Desacatos e Impugnaciones Entregadas en un Termino Menor a Cinco (5) Días Hábiles</v>
      </c>
      <c r="I19" s="142" t="str">
        <f>+'01-FR-03 POA INSTITUCIONAL'!I19</f>
        <v>Promoción y Defensa de Derechos</v>
      </c>
      <c r="J19" s="143" t="str">
        <f>+'01-FR-03 POA INSTITUCIONAL'!J19</f>
        <v>P.D. para Asuntos Jurisdiccionales, Víctimas y Penal II.
P.D. para la Coordinación de la Gestión de Personerías Locales y sus Personerías Locales adscritas</v>
      </c>
      <c r="K19" s="144" t="str">
        <f>+'01-FR-03 POA INSTITUCIONAL'!K19</f>
        <v>&gt;=95%</v>
      </c>
      <c r="L19" s="144" t="str">
        <f>+'01-FR-03 POA INSTITUCIONAL'!L19</f>
        <v>&gt;=95%</v>
      </c>
      <c r="M19" s="144" t="str">
        <f>+'01-FR-03 POA INSTITUCIONAL'!M19</f>
        <v>&gt;=95%</v>
      </c>
      <c r="N19" s="144" t="str">
        <f>+'01-FR-03 POA INSTITUCIONAL'!N19</f>
        <v>&gt;=95%</v>
      </c>
      <c r="O19" s="353">
        <f>'05-POA PROM DEFENSA DERECHOS'!V22</f>
        <v>0.94999999999999984</v>
      </c>
      <c r="P19" s="353">
        <f>'05-POA PROM DEFENSA DERECHOS'!W22</f>
        <v>1</v>
      </c>
      <c r="Q19" s="353">
        <f>+'05-POA PROM DEFENSA DERECHOS'!AD22</f>
        <v>0.94999999999999984</v>
      </c>
      <c r="R19" s="353">
        <f>'05-POA PROM DEFENSA DERECHOS'!AE22</f>
        <v>1</v>
      </c>
      <c r="S19" s="353">
        <f>+'05-POA PROM DEFENSA DERECHOS'!AL22</f>
        <v>0.94999999999999984</v>
      </c>
      <c r="T19" s="353">
        <f>'05-POA PROM DEFENSA DERECHOS'!AM22</f>
        <v>0.99933333333333341</v>
      </c>
      <c r="U19" s="353">
        <f>+'05-POA PROM DEFENSA DERECHOS'!AT22</f>
        <v>0.94999999999999984</v>
      </c>
      <c r="V19" s="353">
        <f>+'05-POA PROM DEFENSA DERECHOS'!AU22</f>
        <v>0</v>
      </c>
      <c r="W19" s="32">
        <f>+'05-POA PROM DEFENSA DERECHOS'!AV22</f>
        <v>0.94999999999999984</v>
      </c>
      <c r="X19" s="355">
        <f>IFERROR(IF(OR($W$19="",$W$19=0),0,ROUNDDOWN(AVERAGE($P19,R19,T19,V19),3)),0)</f>
        <v>0.749</v>
      </c>
      <c r="Y19" s="1134">
        <f>IF(AND($W19&gt;0),X19/$W19,"No programado")*0.75</f>
        <v>0.59131578947368424</v>
      </c>
      <c r="Z19" s="1134">
        <f>((IF(AND(X19&gt;0,95%&gt;0),X19/95%,0)))*0.75</f>
        <v>0.59131578947368424</v>
      </c>
      <c r="AA19" s="361">
        <f t="shared" si="4"/>
        <v>5.9131578947368424E-3</v>
      </c>
      <c r="AB19" s="1219"/>
      <c r="AD19" s="358">
        <f>+'05-POA PROM DEFENSA DERECHOS'!BD22</f>
        <v>0.78842105263157902</v>
      </c>
      <c r="AE19" s="360">
        <f t="shared" si="2"/>
        <v>-0.19710526315789478</v>
      </c>
      <c r="AG19" s="358">
        <f>+'05-POA PROM DEFENSA DERECHOS'!BH22</f>
        <v>0.19710526315789476</v>
      </c>
      <c r="AH19" s="360">
        <f t="shared" si="5"/>
        <v>0.39421052631578946</v>
      </c>
    </row>
    <row r="20" spans="2:34" ht="121.5" customHeight="1">
      <c r="B20" s="1523"/>
      <c r="C20" s="1521"/>
      <c r="D20" s="31"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0" s="52">
        <f>+'01-FR-03 POA INSTITUCIONAL'!E20</f>
        <v>0.02</v>
      </c>
      <c r="F20" s="139">
        <f>+'01-FR-03 POA INSTITUCIONAL'!F20</f>
        <v>19500</v>
      </c>
      <c r="G20" s="584" t="str">
        <f>+'01-FR-03 POA INSTITUCIONAL'!G20</f>
        <v>S.I.</v>
      </c>
      <c r="H20" s="141" t="str">
        <f>+'01-FR-03 POA INSTITUCIONAL'!H20</f>
        <v>Audiencias Publicas Realizadas con Asistencia del Ministerio Público</v>
      </c>
      <c r="I20" s="142" t="str">
        <f>+'01-FR-03 POA INSTITUCIONAL'!I20</f>
        <v>Promoción y Defensa de Derechos</v>
      </c>
      <c r="J20" s="143" t="str">
        <f>+'01-FR-03 POA INSTITUCIONAL'!J20</f>
        <v>P.D. para la Coordinación de la Gestión de Personerías Locales y sus Personerías Locales adscritas</v>
      </c>
      <c r="K20" s="144">
        <f>+'01-FR-03 POA INSTITUCIONAL'!K20</f>
        <v>5000</v>
      </c>
      <c r="L20" s="144">
        <f>+'01-FR-03 POA INSTITUCIONAL'!L20</f>
        <v>6000</v>
      </c>
      <c r="M20" s="144">
        <f>+'01-FR-03 POA INSTITUCIONAL'!M20</f>
        <v>6500</v>
      </c>
      <c r="N20" s="144">
        <f>+'01-FR-03 POA INSTITUCIONAL'!N20</f>
        <v>2000</v>
      </c>
      <c r="O20" s="352">
        <f>'05-POA PROM DEFENSA DERECHOS'!V23</f>
        <v>1200</v>
      </c>
      <c r="P20" s="352">
        <f>'05-POA PROM DEFENSA DERECHOS'!W23</f>
        <v>1452</v>
      </c>
      <c r="Q20" s="352">
        <f>+'05-POA PROM DEFENSA DERECHOS'!AD23</f>
        <v>1800</v>
      </c>
      <c r="R20" s="352">
        <f>+'05-POA PROM DEFENSA DERECHOS'!AE23</f>
        <v>1952</v>
      </c>
      <c r="S20" s="352">
        <f>+'05-POA PROM DEFENSA DERECHOS'!AL23</f>
        <v>1800</v>
      </c>
      <c r="T20" s="352">
        <f>+'05-POA PROM DEFENSA DERECHOS'!AM23</f>
        <v>2402</v>
      </c>
      <c r="U20" s="352">
        <f>+'05-POA PROM DEFENSA DERECHOS'!AT23</f>
        <v>1200</v>
      </c>
      <c r="V20" s="352">
        <f>+'05-POA PROM DEFENSA DERECHOS'!AU23</f>
        <v>0</v>
      </c>
      <c r="W20" s="352">
        <f>+'05-POA PROM DEFENSA DERECHOS'!AV23</f>
        <v>6000</v>
      </c>
      <c r="X20" s="354">
        <f>+P20+R20+T20+V20</f>
        <v>5806</v>
      </c>
      <c r="Y20" s="677">
        <f t="shared" ref="Y20:Y29" si="6">IF(AND($W20&gt;0),X20/$W20,"No programado")</f>
        <v>0.96766666666666667</v>
      </c>
      <c r="Z20" s="355">
        <f t="shared" si="3"/>
        <v>0.29774358974358972</v>
      </c>
      <c r="AA20" s="361">
        <f t="shared" si="4"/>
        <v>5.9548717948717947E-3</v>
      </c>
      <c r="AB20" s="1219"/>
      <c r="AD20" s="358">
        <f>+'05-POA PROM DEFENSA DERECHOS'!BD23</f>
        <v>0.96766666666666667</v>
      </c>
      <c r="AE20" s="360">
        <f t="shared" si="2"/>
        <v>0</v>
      </c>
      <c r="AG20" s="358">
        <f>+'05-POA PROM DEFENSA DERECHOS'!BH23</f>
        <v>0.29774358974358972</v>
      </c>
      <c r="AH20" s="360">
        <f t="shared" si="5"/>
        <v>0</v>
      </c>
    </row>
    <row r="21" spans="2:34" ht="84.75" customHeight="1">
      <c r="B21" s="1523"/>
      <c r="C21" s="1521"/>
      <c r="D21" s="31" t="str">
        <f>+'01-FR-03 POA INSTITUCIONAL'!D21</f>
        <v>1.1.9 Realizar 11.000 intervenciones de manera oportuna para evitar situaciones de caducidad y perdida de fuerza ejecutoria en las actuaciones administrativas y policivas</v>
      </c>
      <c r="E21" s="52">
        <f>+'01-FR-03 POA INSTITUCIONAL'!E21</f>
        <v>0.01</v>
      </c>
      <c r="F21" s="139">
        <f>+'01-FR-03 POA INSTITUCIONAL'!F21</f>
        <v>11000</v>
      </c>
      <c r="G21" s="584" t="str">
        <f>+'01-FR-03 POA INSTITUCIONAL'!G21</f>
        <v>S.I.</v>
      </c>
      <c r="H21" s="141" t="str">
        <f>+'01-FR-03 POA INSTITUCIONAL'!H21</f>
        <v>Intervenciones realizadas oportunamente para evitar la caducidad y perdida de fuerza ejecutoria (Impulsos procesales)</v>
      </c>
      <c r="I21" s="142" t="str">
        <f>+'01-FR-03 POA INSTITUCIONAL'!I21</f>
        <v>Promoción y Defensa de Derechos</v>
      </c>
      <c r="J21" s="143" t="str">
        <f>+'01-FR-03 POA INSTITUCIONAL'!J21</f>
        <v>P.D. para la Coordinación de la Gestión de Personerías Locales y sus Personerías Locales adscritas</v>
      </c>
      <c r="K21" s="144">
        <f>+'01-FR-03 POA INSTITUCIONAL'!K21</f>
        <v>3000</v>
      </c>
      <c r="L21" s="144">
        <f>+'01-FR-03 POA INSTITUCIONAL'!L21</f>
        <v>3000</v>
      </c>
      <c r="M21" s="144">
        <f>+'01-FR-03 POA INSTITUCIONAL'!M21</f>
        <v>4000</v>
      </c>
      <c r="N21" s="144">
        <f>+'01-FR-03 POA INSTITUCIONAL'!N21</f>
        <v>1000</v>
      </c>
      <c r="O21" s="352">
        <f>'05-POA PROM DEFENSA DERECHOS'!V24</f>
        <v>600</v>
      </c>
      <c r="P21" s="352">
        <f>'05-POA PROM DEFENSA DERECHOS'!W24</f>
        <v>438</v>
      </c>
      <c r="Q21" s="352">
        <f>+'05-POA PROM DEFENSA DERECHOS'!AD24</f>
        <v>900</v>
      </c>
      <c r="R21" s="352">
        <f>+'05-POA PROM DEFENSA DERECHOS'!AE24</f>
        <v>727</v>
      </c>
      <c r="S21" s="352">
        <f>+'05-POA PROM DEFENSA DERECHOS'!AL24</f>
        <v>900</v>
      </c>
      <c r="T21" s="352">
        <f>+'05-POA PROM DEFENSA DERECHOS'!AM24</f>
        <v>817</v>
      </c>
      <c r="U21" s="352">
        <f>+'05-POA PROM DEFENSA DERECHOS'!AT24</f>
        <v>600</v>
      </c>
      <c r="V21" s="352">
        <f>+'05-POA PROM DEFENSA DERECHOS'!AU24</f>
        <v>0</v>
      </c>
      <c r="W21" s="352">
        <f>+'05-POA PROM DEFENSA DERECHOS'!AV24</f>
        <v>3000</v>
      </c>
      <c r="X21" s="354">
        <f t="shared" ref="X21:X57" si="7">+P21+R21+T21+V21</f>
        <v>1982</v>
      </c>
      <c r="Y21" s="677">
        <f t="shared" si="6"/>
        <v>0.66066666666666662</v>
      </c>
      <c r="Z21" s="355">
        <f t="shared" si="3"/>
        <v>0.18018181818181819</v>
      </c>
      <c r="AA21" s="361">
        <f t="shared" si="4"/>
        <v>1.801818181818182E-3</v>
      </c>
      <c r="AB21" s="1219"/>
      <c r="AD21" s="358">
        <f>+'05-POA PROM DEFENSA DERECHOS'!BD24</f>
        <v>0.66066666666666662</v>
      </c>
      <c r="AE21" s="360">
        <f t="shared" si="2"/>
        <v>0</v>
      </c>
      <c r="AG21" s="358">
        <f>+'05-POA PROM DEFENSA DERECHOS'!BH24</f>
        <v>0.18018181818181819</v>
      </c>
      <c r="AH21" s="360">
        <f t="shared" si="5"/>
        <v>0</v>
      </c>
    </row>
    <row r="22" spans="2:34" ht="83.25" customHeight="1">
      <c r="B22" s="1523"/>
      <c r="C22" s="1521"/>
      <c r="D22" s="31" t="str">
        <f>+'01-FR-03 POA INSTITUCIONAL'!D22</f>
        <v>1.1.10 Impulsar 2.300 expedientes que contengan orden de policía (MULTA) en firme y ejecutoriada, para que se efectúen cobros persuasivos y/o se de traslado para el cobro coactivo.</v>
      </c>
      <c r="E22" s="52">
        <f>+'01-FR-03 POA INSTITUCIONAL'!E22</f>
        <v>0.01</v>
      </c>
      <c r="F22" s="139">
        <f>+'01-FR-03 POA INSTITUCIONAL'!F22</f>
        <v>2300</v>
      </c>
      <c r="G22" s="584" t="str">
        <f>+'01-FR-03 POA INSTITUCIONAL'!G22</f>
        <v>S.I.</v>
      </c>
      <c r="H22" s="141" t="str">
        <f>+'01-FR-03 POA INSTITUCIONAL'!H22</f>
        <v>Expedientes con impulso procesal para la gestión de multas</v>
      </c>
      <c r="I22" s="142" t="str">
        <f>+'01-FR-03 POA INSTITUCIONAL'!I22</f>
        <v>Promoción y Defensa de Derechos</v>
      </c>
      <c r="J22" s="143" t="str">
        <f>+'01-FR-03 POA INSTITUCIONAL'!J22</f>
        <v>P.D. para la Coordinación de la Gestión de Personerías Locales y sus Personerías Locales adscritas</v>
      </c>
      <c r="K22" s="144">
        <f>+'01-FR-03 POA INSTITUCIONAL'!K22</f>
        <v>700</v>
      </c>
      <c r="L22" s="144">
        <f>+'01-FR-03 POA INSTITUCIONAL'!L22</f>
        <v>500</v>
      </c>
      <c r="M22" s="144">
        <f>+'01-FR-03 POA INSTITUCIONAL'!M22</f>
        <v>800</v>
      </c>
      <c r="N22" s="144">
        <f>+'01-FR-03 POA INSTITUCIONAL'!N22</f>
        <v>300</v>
      </c>
      <c r="O22" s="352">
        <f>'05-POA PROM DEFENSA DERECHOS'!V25</f>
        <v>100</v>
      </c>
      <c r="P22" s="352">
        <f>'05-POA PROM DEFENSA DERECHOS'!W25</f>
        <v>82</v>
      </c>
      <c r="Q22" s="352">
        <f>+'05-POA PROM DEFENSA DERECHOS'!AD25</f>
        <v>150</v>
      </c>
      <c r="R22" s="352">
        <f>+'05-POA PROM DEFENSA DERECHOS'!AE25</f>
        <v>74</v>
      </c>
      <c r="S22" s="352">
        <f>+'05-POA PROM DEFENSA DERECHOS'!AL25</f>
        <v>150</v>
      </c>
      <c r="T22" s="352">
        <f>+'05-POA PROM DEFENSA DERECHOS'!AM25</f>
        <v>150</v>
      </c>
      <c r="U22" s="352">
        <f>+'05-POA PROM DEFENSA DERECHOS'!AT25</f>
        <v>100</v>
      </c>
      <c r="V22" s="352">
        <f>+'05-POA PROM DEFENSA DERECHOS'!AU25</f>
        <v>0</v>
      </c>
      <c r="W22" s="352">
        <f>+'05-POA PROM DEFENSA DERECHOS'!AV25</f>
        <v>500</v>
      </c>
      <c r="X22" s="354">
        <f t="shared" si="7"/>
        <v>306</v>
      </c>
      <c r="Y22" s="677">
        <f t="shared" si="6"/>
        <v>0.61199999999999999</v>
      </c>
      <c r="Z22" s="355">
        <f t="shared" si="3"/>
        <v>0.13304347826086957</v>
      </c>
      <c r="AA22" s="361">
        <f t="shared" si="4"/>
        <v>1.3304347826086956E-3</v>
      </c>
      <c r="AB22" s="1219"/>
      <c r="AD22" s="358">
        <f>+'05-POA PROM DEFENSA DERECHOS'!BD25</f>
        <v>0.61199999999999999</v>
      </c>
      <c r="AE22" s="360">
        <f t="shared" si="2"/>
        <v>0</v>
      </c>
      <c r="AG22" s="358">
        <f>+'05-POA PROM DEFENSA DERECHOS'!BH25</f>
        <v>0.13304347826086957</v>
      </c>
      <c r="AH22" s="360">
        <f t="shared" si="5"/>
        <v>0</v>
      </c>
    </row>
    <row r="23" spans="2:34" ht="93.75" customHeight="1">
      <c r="B23" s="1523"/>
      <c r="C23" s="1520"/>
      <c r="D23" s="31" t="str">
        <f>+'01-FR-03 POA INSTITUCIONAL'!D23</f>
        <v>1.1.11 Establecer de forma periódica, 40 estados de la vulneración de  los derechos humanos en las localidades, dando a conocer a las Entidades correspondientes los hechos observados que requieren su intervención.</v>
      </c>
      <c r="E23" s="52">
        <f>+'01-FR-03 POA INSTITUCIONAL'!E23</f>
        <v>0.01</v>
      </c>
      <c r="F23" s="139">
        <f>+'01-FR-03 POA INSTITUCIONAL'!F23</f>
        <v>40</v>
      </c>
      <c r="G23" s="584" t="str">
        <f>+'01-FR-03 POA INSTITUCIONAL'!G23</f>
        <v>S.I.</v>
      </c>
      <c r="H23" s="141" t="str">
        <f>+'01-FR-03 POA INSTITUCIONAL'!H23</f>
        <v>Estados de vulneración establecidos</v>
      </c>
      <c r="I23" s="142" t="str">
        <f>+'01-FR-03 POA INSTITUCIONAL'!I23</f>
        <v>Promoción y Defensa de Derechos</v>
      </c>
      <c r="J23" s="143" t="str">
        <f>+'01-FR-03 POA INSTITUCIONAL'!J23</f>
        <v>P.D. para la Coordinación de la Gestión de Personerías Locales y sus Personerías Locales adscritas</v>
      </c>
      <c r="K23" s="144">
        <f>+'01-FR-03 POA INSTITUCIONAL'!K23</f>
        <v>0</v>
      </c>
      <c r="L23" s="144">
        <f>+'01-FR-03 POA INSTITUCIONAL'!L23</f>
        <v>0</v>
      </c>
      <c r="M23" s="144">
        <f>+'01-FR-03 POA INSTITUCIONAL'!M23</f>
        <v>20</v>
      </c>
      <c r="N23" s="144">
        <f>+'01-FR-03 POA INSTITUCIONAL'!N23</f>
        <v>20</v>
      </c>
      <c r="O23" s="352">
        <f>'05-POA PROM DEFENSA DERECHOS'!V26</f>
        <v>0</v>
      </c>
      <c r="P23" s="352">
        <f>'05-POA PROM DEFENSA DERECHOS'!W26</f>
        <v>0</v>
      </c>
      <c r="Q23" s="352">
        <f>+'05-POA PROM DEFENSA DERECHOS'!AD26</f>
        <v>0</v>
      </c>
      <c r="R23" s="352">
        <f>+'05-POA PROM DEFENSA DERECHOS'!AE26</f>
        <v>0</v>
      </c>
      <c r="S23" s="352">
        <f>+'05-POA PROM DEFENSA DERECHOS'!AL26</f>
        <v>0</v>
      </c>
      <c r="T23" s="352">
        <f>+'05-POA PROM DEFENSA DERECHOS'!AM26</f>
        <v>0</v>
      </c>
      <c r="U23" s="352">
        <f>+'05-POA PROM DEFENSA DERECHOS'!AT26</f>
        <v>0</v>
      </c>
      <c r="V23" s="352">
        <f>+'05-POA PROM DEFENSA DERECHOS'!AU26</f>
        <v>0</v>
      </c>
      <c r="W23" s="352">
        <f>+'05-POA PROM DEFENSA DERECHOS'!AV26</f>
        <v>0</v>
      </c>
      <c r="X23" s="354">
        <f t="shared" si="7"/>
        <v>0</v>
      </c>
      <c r="Y23" s="677" t="str">
        <f t="shared" si="6"/>
        <v>No programado</v>
      </c>
      <c r="Z23" s="355">
        <f t="shared" si="3"/>
        <v>0</v>
      </c>
      <c r="AA23" s="361">
        <f t="shared" si="4"/>
        <v>0</v>
      </c>
      <c r="AB23" s="1313"/>
      <c r="AD23" s="358">
        <f>+'05-POA PROM DEFENSA DERECHOS'!BD26</f>
        <v>0</v>
      </c>
      <c r="AE23" s="360" t="e">
        <f t="shared" si="2"/>
        <v>#VALUE!</v>
      </c>
      <c r="AG23" s="358">
        <f>+'05-POA PROM DEFENSA DERECHOS'!BH26</f>
        <v>0</v>
      </c>
      <c r="AH23" s="360">
        <f t="shared" si="5"/>
        <v>0</v>
      </c>
    </row>
    <row r="24" spans="2:34" ht="135.75" customHeight="1">
      <c r="B24" s="1523"/>
      <c r="C24" s="1519" t="s">
        <v>132</v>
      </c>
      <c r="D24" s="31" t="str">
        <f>+'01-FR-03 POA INSTITUCIONAL'!D24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4" s="52">
        <f>+'01-FR-03 POA INSTITUCIONAL'!E24</f>
        <v>0.75</v>
      </c>
      <c r="F24" s="139">
        <f>+'01-FR-03 POA INSTITUCIONAL'!F24</f>
        <v>205930</v>
      </c>
      <c r="G24" s="584" t="str">
        <f>+'01-FR-03 POA INSTITUCIONAL'!G24</f>
        <v>S.I.</v>
      </c>
      <c r="H24" s="141" t="str">
        <f>+'01-FR-03 POA INSTITUCIONAL'!H24</f>
        <v>Personas sensibilizadas en el Distrito Capital</v>
      </c>
      <c r="I24" s="142" t="str">
        <f>+'01-FR-03 POA INSTITUCIONAL'!I24</f>
        <v>Promoción y Defensa de Derechos</v>
      </c>
      <c r="J24" s="143" t="str">
        <f>+'01-FR-03 POA INSTITUCIONAL'!J24</f>
        <v>P.D. para la Coordinación del MP y DDHH y sus dependencias adscritas
P.D. para la Coordinación de la Gestión de Personerías Locales y sus Personerías Locales adscritas</v>
      </c>
      <c r="K24" s="144">
        <f>+'01-FR-03 POA INSTITUCIONAL'!K24</f>
        <v>62360</v>
      </c>
      <c r="L24" s="144">
        <f>+'01-FR-03 POA INSTITUCIONAL'!L24</f>
        <v>71570</v>
      </c>
      <c r="M24" s="144">
        <f>+'01-FR-03 POA INSTITUCIONAL'!M24</f>
        <v>53000</v>
      </c>
      <c r="N24" s="144">
        <f>+'01-FR-03 POA INSTITUCIONAL'!N24</f>
        <v>19000</v>
      </c>
      <c r="O24" s="352">
        <f>'05-POA PROM DEFENSA DERECHOS'!V27</f>
        <v>10700</v>
      </c>
      <c r="P24" s="352">
        <f>'05-POA PROM DEFENSA DERECHOS'!W27</f>
        <v>16789</v>
      </c>
      <c r="Q24" s="352">
        <f>+'05-POA PROM DEFENSA DERECHOS'!AD27</f>
        <v>21400</v>
      </c>
      <c r="R24" s="352">
        <f>+'05-POA PROM DEFENSA DERECHOS'!AE27</f>
        <v>27872</v>
      </c>
      <c r="S24" s="352">
        <f>+'05-POA PROM DEFENSA DERECHOS'!AL27</f>
        <v>23550</v>
      </c>
      <c r="T24" s="352">
        <f>+'05-POA PROM DEFENSA DERECHOS'!AM27</f>
        <v>22710</v>
      </c>
      <c r="U24" s="352">
        <f>+'05-POA PROM DEFENSA DERECHOS'!AT27</f>
        <v>15920</v>
      </c>
      <c r="V24" s="352">
        <f>+'05-POA PROM DEFENSA DERECHOS'!AU27</f>
        <v>0</v>
      </c>
      <c r="W24" s="352">
        <f>+'05-POA PROM DEFENSA DERECHOS'!AV27</f>
        <v>71570</v>
      </c>
      <c r="X24" s="354">
        <f t="shared" si="7"/>
        <v>67371</v>
      </c>
      <c r="Y24" s="677">
        <f t="shared" si="6"/>
        <v>0.94133016627078381</v>
      </c>
      <c r="Z24" s="355">
        <f t="shared" si="3"/>
        <v>0.32715485844704512</v>
      </c>
      <c r="AA24" s="361">
        <f t="shared" si="4"/>
        <v>0.24536614383528382</v>
      </c>
      <c r="AB24" s="1323">
        <f>+AA24+AA25+AA26+AA27+AA28+AA29</f>
        <v>0.32123222092222897</v>
      </c>
      <c r="AD24" s="358">
        <f>+'05-POA PROM DEFENSA DERECHOS'!BD27</f>
        <v>0.94133016627078381</v>
      </c>
      <c r="AE24" s="360">
        <f t="shared" si="2"/>
        <v>0</v>
      </c>
      <c r="AG24" s="358">
        <f>+'05-POA PROM DEFENSA DERECHOS'!BH27</f>
        <v>0.32715485844704512</v>
      </c>
      <c r="AH24" s="360">
        <f t="shared" si="5"/>
        <v>0</v>
      </c>
    </row>
    <row r="25" spans="2:34" ht="115.15" customHeight="1">
      <c r="B25" s="1523"/>
      <c r="C25" s="1521"/>
      <c r="D25" s="31" t="str">
        <f>+'01-FR-03 POA INSTITUCIONAL'!D25</f>
        <v>1.2.2 Adelantar 23.910 acciones necesarias en favor de la población víctima del conflicto armado interno mediante el apoyo jurídico, la atención psicosocial, la gestión para acceso a derechos, la toma de declaraciones y la elaboración de derechos de petición.</v>
      </c>
      <c r="E25" s="52">
        <f>+'01-FR-03 POA INSTITUCIONAL'!E25</f>
        <v>0.12</v>
      </c>
      <c r="F25" s="139">
        <f>+'01-FR-03 POA INSTITUCIONAL'!F25</f>
        <v>23910</v>
      </c>
      <c r="G25" s="584" t="str">
        <f>+'01-FR-03 POA INSTITUCIONAL'!G25</f>
        <v>S.I.</v>
      </c>
      <c r="H25" s="141" t="str">
        <f>+'01-FR-03 POA INSTITUCIONAL'!H25</f>
        <v>Acciones en favor de las víctimas del conflicto armado interno adelantadas</v>
      </c>
      <c r="I25" s="142" t="str">
        <f>+'01-FR-03 POA INSTITUCIONAL'!I25</f>
        <v>Promoción y Defensa de Derechos</v>
      </c>
      <c r="J25" s="143" t="str">
        <f>+'01-FR-03 POA INSTITUCIONAL'!J25</f>
        <v>P.D. para la Protección de las Víctimas del Conflicto Armado Interno
P.D. para la Coordinación de la Gestión de Personerías Locales y sus Personerías Locales adscritas</v>
      </c>
      <c r="K25" s="144">
        <f>+'01-FR-03 POA INSTITUCIONAL'!K25</f>
        <v>5480</v>
      </c>
      <c r="L25" s="144">
        <f>+'01-FR-03 POA INSTITUCIONAL'!L25</f>
        <v>5480</v>
      </c>
      <c r="M25" s="144">
        <f>+'01-FR-03 POA INSTITUCIONAL'!M25</f>
        <v>8650</v>
      </c>
      <c r="N25" s="144">
        <f>+'01-FR-03 POA INSTITUCIONAL'!N25</f>
        <v>4300</v>
      </c>
      <c r="O25" s="352">
        <f>'05-POA PROM DEFENSA DERECHOS'!V28</f>
        <v>920</v>
      </c>
      <c r="P25" s="352">
        <f>'05-POA PROM DEFENSA DERECHOS'!W28</f>
        <v>2701</v>
      </c>
      <c r="Q25" s="352">
        <f>+'05-POA PROM DEFENSA DERECHOS'!AD28</f>
        <v>1760</v>
      </c>
      <c r="R25" s="606">
        <f>+'05-POA PROM DEFENSA DERECHOS'!AE28</f>
        <v>2810</v>
      </c>
      <c r="S25" s="352">
        <f>+'05-POA PROM DEFENSA DERECHOS'!AL28</f>
        <v>1680</v>
      </c>
      <c r="T25" s="352">
        <f>+'05-POA PROM DEFENSA DERECHOS'!AM28</f>
        <v>2279</v>
      </c>
      <c r="U25" s="352">
        <f>+'05-POA PROM DEFENSA DERECHOS'!AT28</f>
        <v>1120</v>
      </c>
      <c r="V25" s="352">
        <f>+'05-POA PROM DEFENSA DERECHOS'!AU28</f>
        <v>0</v>
      </c>
      <c r="W25" s="352">
        <f>+'05-POA PROM DEFENSA DERECHOS'!AV28</f>
        <v>5480</v>
      </c>
      <c r="X25" s="354">
        <f t="shared" si="7"/>
        <v>7790</v>
      </c>
      <c r="Y25" s="677">
        <f t="shared" si="6"/>
        <v>1.4215328467153285</v>
      </c>
      <c r="Z25" s="355">
        <f t="shared" si="3"/>
        <v>0.32580510246758676</v>
      </c>
      <c r="AA25" s="361">
        <f t="shared" si="4"/>
        <v>3.909661229611041E-2</v>
      </c>
      <c r="AB25" s="1324"/>
      <c r="AD25" s="358">
        <f>+'05-POA PROM DEFENSA DERECHOS'!BD28</f>
        <v>1.4215328467153285</v>
      </c>
      <c r="AE25" s="360">
        <f t="shared" si="2"/>
        <v>0</v>
      </c>
      <c r="AG25" s="358">
        <f>+'05-POA PROM DEFENSA DERECHOS'!BH28</f>
        <v>0.32580510246758676</v>
      </c>
      <c r="AH25" s="360">
        <f t="shared" si="5"/>
        <v>0</v>
      </c>
    </row>
    <row r="26" spans="2:34" ht="75">
      <c r="B26" s="1523"/>
      <c r="C26" s="1521"/>
      <c r="D26" s="31" t="str">
        <f>+'01-FR-03 POA INSTITUCIONAL'!D26</f>
        <v>1.2.3 Prevenir mediante la elaboración de 18.880 acciones constitucionales, la vulneración de derechos  con énfasis en sujetos de especial protección constitucional.</v>
      </c>
      <c r="E26" s="52">
        <f>+'01-FR-03 POA INSTITUCIONAL'!E26</f>
        <v>0.09</v>
      </c>
      <c r="F26" s="139">
        <f>+'01-FR-03 POA INSTITUCIONAL'!F26</f>
        <v>18880</v>
      </c>
      <c r="G26" s="584" t="str">
        <f>+'01-FR-03 POA INSTITUCIONAL'!G26</f>
        <v>S.I.</v>
      </c>
      <c r="H26" s="141" t="str">
        <f>+'01-FR-03 POA INSTITUCIONAL'!H26</f>
        <v>Acciones constitucionales elaboradas para prevenir vulneración de derechos</v>
      </c>
      <c r="I26" s="142" t="str">
        <f>+'01-FR-03 POA INSTITUCIONAL'!I26</f>
        <v>Promoción y Defensa de Derechos</v>
      </c>
      <c r="J26" s="143" t="str">
        <f>+'01-FR-03 POA INSTITUCIONAL'!J26</f>
        <v>P.D. para Asuntos Jurisdiccionales, Víctimas, Penal II y Consumidor.
P.D. para la Coordinación de la Gestión de Personerías Locales y sus Personerías Locales adscritas</v>
      </c>
      <c r="K26" s="144">
        <f>+'01-FR-03 POA INSTITUCIONAL'!K26</f>
        <v>4790</v>
      </c>
      <c r="L26" s="144">
        <f>+'01-FR-03 POA INSTITUCIONAL'!L26</f>
        <v>4790</v>
      </c>
      <c r="M26" s="144">
        <f>+'01-FR-03 POA INSTITUCIONAL'!M26</f>
        <v>6300</v>
      </c>
      <c r="N26" s="144">
        <f>+'01-FR-03 POA INSTITUCIONAL'!N26</f>
        <v>3000</v>
      </c>
      <c r="O26" s="352">
        <f>'05-POA PROM DEFENSA DERECHOS'!V29</f>
        <v>1311</v>
      </c>
      <c r="P26" s="352">
        <f>'05-POA PROM DEFENSA DERECHOS'!W29</f>
        <v>1473</v>
      </c>
      <c r="Q26" s="352">
        <f>+'05-POA PROM DEFENSA DERECHOS'!AD29</f>
        <v>1674</v>
      </c>
      <c r="R26" s="606">
        <f>+'05-POA PROM DEFENSA DERECHOS'!AE29</f>
        <v>1824</v>
      </c>
      <c r="S26" s="352">
        <f>+'05-POA PROM DEFENSA DERECHOS'!AL29</f>
        <v>1107</v>
      </c>
      <c r="T26" s="352">
        <f>+'05-POA PROM DEFENSA DERECHOS'!AM29</f>
        <v>2201</v>
      </c>
      <c r="U26" s="352">
        <f>+'05-POA PROM DEFENSA DERECHOS'!AT29</f>
        <v>698</v>
      </c>
      <c r="V26" s="352">
        <f>+'05-POA PROM DEFENSA DERECHOS'!AU29</f>
        <v>0</v>
      </c>
      <c r="W26" s="352">
        <f>+'05-POA PROM DEFENSA DERECHOS'!AV29</f>
        <v>4790</v>
      </c>
      <c r="X26" s="354">
        <f t="shared" si="7"/>
        <v>5498</v>
      </c>
      <c r="Y26" s="677">
        <f t="shared" si="6"/>
        <v>1.1478079331941544</v>
      </c>
      <c r="Z26" s="355">
        <f t="shared" si="3"/>
        <v>0.29120762711864406</v>
      </c>
      <c r="AA26" s="361">
        <f t="shared" si="4"/>
        <v>2.6208686440677965E-2</v>
      </c>
      <c r="AB26" s="1324"/>
      <c r="AD26" s="358">
        <f>+'05-POA PROM DEFENSA DERECHOS'!BD29</f>
        <v>1.1478079331941544</v>
      </c>
      <c r="AE26" s="360">
        <f t="shared" si="2"/>
        <v>0</v>
      </c>
      <c r="AG26" s="358">
        <f>+'05-POA PROM DEFENSA DERECHOS'!BH29</f>
        <v>0.29120762711864406</v>
      </c>
      <c r="AH26" s="360">
        <f t="shared" si="5"/>
        <v>0</v>
      </c>
    </row>
    <row r="27" spans="2:34" ht="100.9" customHeight="1">
      <c r="B27" s="1523"/>
      <c r="C27" s="1521"/>
      <c r="D27" s="31" t="str">
        <f>+'01-FR-03 POA INSTITUCIONAL'!D27</f>
        <v>1.2.4 Fortalecer el ejercicio del ministerio público ante las comisarías de familia, verificando el cumplimiento a 3.540 medidas de protección que se imponen.</v>
      </c>
      <c r="E27" s="52">
        <f>+'01-FR-03 POA INSTITUCIONAL'!E27</f>
        <v>0.02</v>
      </c>
      <c r="F27" s="139">
        <f>+'01-FR-03 POA INSTITUCIONAL'!F27</f>
        <v>3540</v>
      </c>
      <c r="G27" s="584" t="str">
        <f>+'01-FR-03 POA INSTITUCIONAL'!G27</f>
        <v>S.I.</v>
      </c>
      <c r="H27" s="141" t="str">
        <f>+'01-FR-03 POA INSTITUCIONAL'!H27</f>
        <v>Verificaciones de cumplimiento realizadas por el Ministerio Público a las medidas de protección impuestas por las Comisarías de Familia</v>
      </c>
      <c r="I27" s="142" t="str">
        <f>+'01-FR-03 POA INSTITUCIONAL'!I27</f>
        <v>Promoción y Defensa de Derechos</v>
      </c>
      <c r="J27" s="143" t="str">
        <f>+'01-FR-03 POA INSTITUCIONAL'!J27</f>
        <v>P.D. para la Familia y Sujetos de Especial Protección Constitucional</v>
      </c>
      <c r="K27" s="144">
        <f>+'01-FR-03 POA INSTITUCIONAL'!K27</f>
        <v>940</v>
      </c>
      <c r="L27" s="144">
        <f>+'01-FR-03 POA INSTITUCIONAL'!L27</f>
        <v>800</v>
      </c>
      <c r="M27" s="144">
        <f>+'01-FR-03 POA INSTITUCIONAL'!M27</f>
        <v>1200</v>
      </c>
      <c r="N27" s="144">
        <f>+'01-FR-03 POA INSTITUCIONAL'!N27</f>
        <v>600</v>
      </c>
      <c r="O27" s="352">
        <f>'05-POA PROM DEFENSA DERECHOS'!V30</f>
        <v>140</v>
      </c>
      <c r="P27" s="352">
        <f>'05-POA PROM DEFENSA DERECHOS'!W30</f>
        <v>53</v>
      </c>
      <c r="Q27" s="352">
        <f>+'05-POA PROM DEFENSA DERECHOS'!AD30</f>
        <v>270</v>
      </c>
      <c r="R27" s="606">
        <f>+'05-POA PROM DEFENSA DERECHOS'!AE30</f>
        <v>144</v>
      </c>
      <c r="S27" s="352">
        <f>+'05-POA PROM DEFENSA DERECHOS'!AL30</f>
        <v>240</v>
      </c>
      <c r="T27" s="352">
        <f>+'05-POA PROM DEFENSA DERECHOS'!AM30</f>
        <v>485</v>
      </c>
      <c r="U27" s="352">
        <f>+'05-POA PROM DEFENSA DERECHOS'!AT30</f>
        <v>150</v>
      </c>
      <c r="V27" s="352">
        <f>+'05-POA PROM DEFENSA DERECHOS'!AU30</f>
        <v>0</v>
      </c>
      <c r="W27" s="352">
        <f>+'05-POA PROM DEFENSA DERECHOS'!AV30</f>
        <v>800</v>
      </c>
      <c r="X27" s="354">
        <f t="shared" si="7"/>
        <v>682</v>
      </c>
      <c r="Y27" s="677">
        <f t="shared" si="6"/>
        <v>0.85250000000000004</v>
      </c>
      <c r="Z27" s="355">
        <f t="shared" si="3"/>
        <v>0.19265536723163842</v>
      </c>
      <c r="AA27" s="361">
        <f t="shared" si="4"/>
        <v>3.8531073446327687E-3</v>
      </c>
      <c r="AB27" s="1324"/>
      <c r="AD27" s="358">
        <f>+'05-POA PROM DEFENSA DERECHOS'!BD30</f>
        <v>0.85250000000000004</v>
      </c>
      <c r="AE27" s="360">
        <f t="shared" si="2"/>
        <v>0</v>
      </c>
      <c r="AG27" s="358">
        <f>+'05-POA PROM DEFENSA DERECHOS'!BH30</f>
        <v>0.19265536723163842</v>
      </c>
      <c r="AH27" s="360">
        <f t="shared" si="5"/>
        <v>0</v>
      </c>
    </row>
    <row r="28" spans="2:34" ht="120" customHeight="1">
      <c r="B28" s="1523"/>
      <c r="C28" s="1521"/>
      <c r="D28" s="31" t="str">
        <f>+'01-FR-03 POA INSTITUCIONAL'!D28</f>
        <v>1.2.5 Participar en 7.711 comités, mesas y consejos interinstitucionales en garantía de derechos, con énfasis en temas relacionados con sujetos de especial protección constitucional, en particular, persona mayor, mujer y población migrante.</v>
      </c>
      <c r="E28" s="52">
        <f>+'01-FR-03 POA INSTITUCIONAL'!E28</f>
        <v>0.01</v>
      </c>
      <c r="F28" s="139">
        <f>+'01-FR-03 POA INSTITUCIONAL'!F28</f>
        <v>7711</v>
      </c>
      <c r="G28" s="584" t="str">
        <f>+'01-FR-03 POA INSTITUCIONAL'!G28</f>
        <v>S.I.</v>
      </c>
      <c r="H28" s="141" t="str">
        <f>+'01-FR-03 POA INSTITUCIONAL'!H28</f>
        <v>Espacios Interinstitucionales con participación</v>
      </c>
      <c r="I28" s="142" t="str">
        <f>+'01-FR-03 POA INSTITUCIONAL'!I28</f>
        <v>Promoción y Defensa de Derechos</v>
      </c>
      <c r="J28" s="143"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K28" s="144">
        <f>+'01-FR-03 POA INSTITUCIONAL'!K28</f>
        <v>2802</v>
      </c>
      <c r="L28" s="144">
        <f>+'01-FR-03 POA INSTITUCIONAL'!L28</f>
        <v>2771</v>
      </c>
      <c r="M28" s="144">
        <f>+'01-FR-03 POA INSTITUCIONAL'!M28</f>
        <v>1092</v>
      </c>
      <c r="N28" s="144">
        <f>+'01-FR-03 POA INSTITUCIONAL'!N28</f>
        <v>1046</v>
      </c>
      <c r="O28" s="352">
        <f>'05-POA PROM DEFENSA DERECHOS'!V31</f>
        <v>678</v>
      </c>
      <c r="P28" s="352">
        <f>'05-POA PROM DEFENSA DERECHOS'!W31</f>
        <v>602</v>
      </c>
      <c r="Q28" s="352">
        <f>+'05-POA PROM DEFENSA DERECHOS'!AD31</f>
        <v>702</v>
      </c>
      <c r="R28" s="606">
        <f>+'05-POA PROM DEFENSA DERECHOS'!AE31</f>
        <v>847</v>
      </c>
      <c r="S28" s="352">
        <f>+'05-POA PROM DEFENSA DERECHOS'!AL31</f>
        <v>703</v>
      </c>
      <c r="T28" s="352">
        <f>+'05-POA PROM DEFENSA DERECHOS'!AM31</f>
        <v>810</v>
      </c>
      <c r="U28" s="352">
        <f>+'05-POA PROM DEFENSA DERECHOS'!AT31</f>
        <v>688</v>
      </c>
      <c r="V28" s="352">
        <f>+'05-POA PROM DEFENSA DERECHOS'!AU31</f>
        <v>0</v>
      </c>
      <c r="W28" s="352">
        <f>+'05-POA PROM DEFENSA DERECHOS'!AV31</f>
        <v>2771</v>
      </c>
      <c r="X28" s="354">
        <f t="shared" si="7"/>
        <v>2259</v>
      </c>
      <c r="Y28" s="677">
        <f t="shared" si="6"/>
        <v>0.81522915914832195</v>
      </c>
      <c r="Z28" s="355">
        <f t="shared" si="3"/>
        <v>0.29295811178835429</v>
      </c>
      <c r="AA28" s="361">
        <f t="shared" si="4"/>
        <v>2.9295811178835429E-3</v>
      </c>
      <c r="AB28" s="1324"/>
      <c r="AD28" s="358">
        <f>+'05-POA PROM DEFENSA DERECHOS'!BD31</f>
        <v>0.81522915914832195</v>
      </c>
      <c r="AE28" s="360">
        <f t="shared" si="2"/>
        <v>0</v>
      </c>
      <c r="AG28" s="358">
        <f>+'05-POA PROM DEFENSA DERECHOS'!BH31</f>
        <v>0.29295811178835429</v>
      </c>
      <c r="AH28" s="360">
        <f t="shared" si="5"/>
        <v>0</v>
      </c>
    </row>
    <row r="29" spans="2:34" ht="105">
      <c r="B29" s="1523"/>
      <c r="C29" s="1520"/>
      <c r="D29" s="31" t="str">
        <f>+'01-FR-03 POA INSTITUCIONAL'!D29</f>
        <v>1.2.6 Realizar 738 seguimientos a la amenaza y vulneración de los derechos, con énfasis en sujetos de especial protección constitucional, en particular, persona mayor, mujer y población migrante</v>
      </c>
      <c r="E29" s="52">
        <f>+'01-FR-03 POA INSTITUCIONAL'!E29</f>
        <v>0.01</v>
      </c>
      <c r="F29" s="139">
        <f>+'01-FR-03 POA INSTITUCIONAL'!F29</f>
        <v>712</v>
      </c>
      <c r="G29" s="584" t="str">
        <f>+'01-FR-03 POA INSTITUCIONAL'!G29</f>
        <v>S.I.</v>
      </c>
      <c r="H29" s="141" t="str">
        <f>+'01-FR-03 POA INSTITUCIONAL'!H29</f>
        <v>Seguimientos a la Amenaza y Vulneración de los Derechos Realizados</v>
      </c>
      <c r="I29" s="142" t="str">
        <f>+'01-FR-03 POA INSTITUCIONAL'!I29</f>
        <v>Promoción y Defensa de Derechos</v>
      </c>
      <c r="J29" s="143"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K29" s="144">
        <f>+'01-FR-03 POA INSTITUCIONAL'!K29</f>
        <v>228</v>
      </c>
      <c r="L29" s="144">
        <f>+'01-FR-03 POA INSTITUCIONAL'!L29</f>
        <v>208</v>
      </c>
      <c r="M29" s="144">
        <f>+'01-FR-03 POA INSTITUCIONAL'!M29</f>
        <v>182</v>
      </c>
      <c r="N29" s="144">
        <f>+'01-FR-03 POA INSTITUCIONAL'!N29</f>
        <v>120</v>
      </c>
      <c r="O29" s="352">
        <f>'05-POA PROM DEFENSA DERECHOS'!V32</f>
        <v>45</v>
      </c>
      <c r="P29" s="352">
        <f>'05-POA PROM DEFENSA DERECHOS'!W32</f>
        <v>88</v>
      </c>
      <c r="Q29" s="352">
        <f>+'05-POA PROM DEFENSA DERECHOS'!AD32</f>
        <v>64</v>
      </c>
      <c r="R29" s="606">
        <f>+'05-POA PROM DEFENSA DERECHOS'!AE32</f>
        <v>94</v>
      </c>
      <c r="S29" s="352">
        <f>+'05-POA PROM DEFENSA DERECHOS'!AL32</f>
        <v>57</v>
      </c>
      <c r="T29" s="352">
        <f>+'05-POA PROM DEFENSA DERECHOS'!AM32</f>
        <v>87</v>
      </c>
      <c r="U29" s="352">
        <f>+'05-POA PROM DEFENSA DERECHOS'!AT32</f>
        <v>42</v>
      </c>
      <c r="V29" s="352">
        <f>+'05-POA PROM DEFENSA DERECHOS'!AU32</f>
        <v>0</v>
      </c>
      <c r="W29" s="352">
        <f>+'05-POA PROM DEFENSA DERECHOS'!AV32</f>
        <v>208</v>
      </c>
      <c r="X29" s="354">
        <f t="shared" si="7"/>
        <v>269</v>
      </c>
      <c r="Y29" s="677">
        <f t="shared" si="6"/>
        <v>1.2932692307692308</v>
      </c>
      <c r="Z29" s="355">
        <f t="shared" si="3"/>
        <v>0.37780898876404495</v>
      </c>
      <c r="AA29" s="361">
        <f t="shared" si="4"/>
        <v>3.7780898876404495E-3</v>
      </c>
      <c r="AB29" s="1408"/>
      <c r="AD29" s="358">
        <f>+'05-POA PROM DEFENSA DERECHOS'!BD32</f>
        <v>1.2932692307692308</v>
      </c>
      <c r="AE29" s="360">
        <f t="shared" si="2"/>
        <v>0</v>
      </c>
      <c r="AG29" s="358">
        <f>+'05-POA PROM DEFENSA DERECHOS'!BH32</f>
        <v>0.37780898876404495</v>
      </c>
      <c r="AH29" s="360">
        <f t="shared" si="5"/>
        <v>0</v>
      </c>
    </row>
    <row r="30" spans="2:34" ht="90" customHeight="1">
      <c r="B30" s="1523"/>
      <c r="C30" s="1519" t="s">
        <v>133</v>
      </c>
      <c r="D30" s="31" t="str">
        <f>+'01-FR-03 POA INSTITUCIONAL'!D30</f>
        <v>1.3.1 Realizar 20 actividades que permitan el acercamiento de la Entidad a la Comunidad.</v>
      </c>
      <c r="E30" s="52">
        <f>+'01-FR-03 POA INSTITUCIONAL'!E30</f>
        <v>0.56000000000000005</v>
      </c>
      <c r="F30" s="139">
        <f>+'01-FR-03 POA INSTITUCIONAL'!F30</f>
        <v>20</v>
      </c>
      <c r="G30" s="584" t="str">
        <f>+'01-FR-03 POA INSTITUCIONAL'!G30</f>
        <v>S.I.</v>
      </c>
      <c r="H30" s="141" t="str">
        <f>+'01-FR-03 POA INSTITUCIONAL'!H30</f>
        <v>Actividades de acercamiento de la Entidad a la comunidad realizadas</v>
      </c>
      <c r="I30" s="142" t="str">
        <f>+'01-FR-03 POA INSTITUCIONAL'!I30</f>
        <v>Promoción y Defensa de Derechos</v>
      </c>
      <c r="J30" s="143" t="str">
        <f>+'01-FR-03 POA INSTITUCIONAL'!J30</f>
        <v>P.D. para la Coordinación del MP y DDHH y sus dependencias adscritas
 P.D. para la Coordinación de la Gestión de Personerías Locales y sus Personerías Locales adscritas</v>
      </c>
      <c r="K30" s="144">
        <f>+'01-FR-03 POA INSTITUCIONAL'!K30</f>
        <v>2</v>
      </c>
      <c r="L30" s="144">
        <f>+'01-FR-03 POA INSTITUCIONAL'!L30</f>
        <v>8</v>
      </c>
      <c r="M30" s="144">
        <f>+'01-FR-03 POA INSTITUCIONAL'!M30</f>
        <v>8</v>
      </c>
      <c r="N30" s="144">
        <f>+'01-FR-03 POA INSTITUCIONAL'!N30</f>
        <v>2</v>
      </c>
      <c r="O30" s="352">
        <f>'05-POA PROM DEFENSA DERECHOS'!V33</f>
        <v>0</v>
      </c>
      <c r="P30" s="352">
        <f>'05-POA PROM DEFENSA DERECHOS'!W33</f>
        <v>0.2</v>
      </c>
      <c r="Q30" s="352">
        <f>+'05-POA PROM DEFENSA DERECHOS'!AD33</f>
        <v>2</v>
      </c>
      <c r="R30" s="606">
        <f>+'05-POA PROM DEFENSA DERECHOS'!AE33</f>
        <v>1.8000000000000003</v>
      </c>
      <c r="S30" s="352">
        <f>+'05-POA PROM DEFENSA DERECHOS'!AL33</f>
        <v>5</v>
      </c>
      <c r="T30" s="352">
        <f>+'05-POA PROM DEFENSA DERECHOS'!AM33</f>
        <v>2.6</v>
      </c>
      <c r="U30" s="352">
        <f>+'05-POA PROM DEFENSA DERECHOS'!AT33</f>
        <v>1</v>
      </c>
      <c r="V30" s="352">
        <f>+'05-POA PROM DEFENSA DERECHOS'!AU33</f>
        <v>0</v>
      </c>
      <c r="W30" s="352">
        <f>+'05-POA PROM DEFENSA DERECHOS'!AV33</f>
        <v>8</v>
      </c>
      <c r="X30" s="354">
        <f t="shared" si="7"/>
        <v>4.6000000000000005</v>
      </c>
      <c r="Y30" s="677">
        <f t="shared" ref="Y30:Y31" si="8">IF(AND($W30&gt;0),X30/$W30,"No programado")</f>
        <v>0.57500000000000007</v>
      </c>
      <c r="Z30" s="355">
        <f t="shared" si="3"/>
        <v>0.23000000000000004</v>
      </c>
      <c r="AA30" s="361">
        <f t="shared" si="4"/>
        <v>0.12880000000000003</v>
      </c>
      <c r="AB30" s="1323">
        <f>+AA30+AA31+AA32</f>
        <v>0.15698181818181822</v>
      </c>
      <c r="AD30" s="358">
        <f>+'05-POA PROM DEFENSA DERECHOS'!BD33</f>
        <v>0.57500000000000007</v>
      </c>
      <c r="AE30" s="360">
        <f t="shared" si="2"/>
        <v>0</v>
      </c>
      <c r="AG30" s="358">
        <f>+'05-POA PROM DEFENSA DERECHOS'!BH33</f>
        <v>0.23000000000000004</v>
      </c>
      <c r="AH30" s="360">
        <f t="shared" si="5"/>
        <v>0</v>
      </c>
    </row>
    <row r="31" spans="2:34" ht="92.25" customHeight="1">
      <c r="B31" s="1523"/>
      <c r="C31" s="1521"/>
      <c r="D31" s="31" t="str">
        <f>+'01-FR-03 POA INSTITUCIONAL'!D31</f>
        <v>1.3.2 Incrementar la cobertura de los servicios que presta el proceso de Promoción y Defensa de Derechos, mediante la implementación de 11 acciones que propendan por el mejoramiento de los mismos.</v>
      </c>
      <c r="E31" s="52">
        <f>+'01-FR-03 POA INSTITUCIONAL'!E31</f>
        <v>0.31</v>
      </c>
      <c r="F31" s="139">
        <f>+'01-FR-03 POA INSTITUCIONAL'!F31</f>
        <v>11</v>
      </c>
      <c r="G31" s="584" t="str">
        <f>+'01-FR-03 POA INSTITUCIONAL'!G31</f>
        <v>S.I.</v>
      </c>
      <c r="H31" s="141" t="str">
        <f>+'01-FR-03 POA INSTITUCIONAL'!H31</f>
        <v>Acciones realizadas para incrementar la cobertura de los servicios</v>
      </c>
      <c r="I31" s="142" t="str">
        <f>+'01-FR-03 POA INSTITUCIONAL'!I31</f>
        <v>Promoción y Defensa de Derechos</v>
      </c>
      <c r="J31" s="143" t="str">
        <f>+'01-FR-03 POA INSTITUCIONAL'!J31</f>
        <v>P.D. para la Coordinación del MP y DDHH y sus dependencias adscritas
 P.D. para la Coordinación de la Gestión de Personerías Locales y sus Personerías Locales adscritas</v>
      </c>
      <c r="K31" s="144">
        <f>+'01-FR-03 POA INSTITUCIONAL'!K31</f>
        <v>3</v>
      </c>
      <c r="L31" s="144">
        <f>+'01-FR-03 POA INSTITUCIONAL'!L31</f>
        <v>3</v>
      </c>
      <c r="M31" s="144">
        <f>+'01-FR-03 POA INSTITUCIONAL'!M31</f>
        <v>3</v>
      </c>
      <c r="N31" s="144">
        <f>+'01-FR-03 POA INSTITUCIONAL'!N31</f>
        <v>2</v>
      </c>
      <c r="O31" s="352">
        <f>'05-POA PROM DEFENSA DERECHOS'!V34</f>
        <v>0</v>
      </c>
      <c r="P31" s="352">
        <f>'05-POA PROM DEFENSA DERECHOS'!W34</f>
        <v>0</v>
      </c>
      <c r="Q31" s="352">
        <f>+'05-POA PROM DEFENSA DERECHOS'!AD34</f>
        <v>0</v>
      </c>
      <c r="R31" s="606">
        <f>+'05-POA PROM DEFENSA DERECHOS'!AE34</f>
        <v>0</v>
      </c>
      <c r="S31" s="352">
        <f>+'05-POA PROM DEFENSA DERECHOS'!AL34</f>
        <v>3</v>
      </c>
      <c r="T31" s="352">
        <f>+'05-POA PROM DEFENSA DERECHOS'!AM34</f>
        <v>1</v>
      </c>
      <c r="U31" s="352">
        <f>+'05-POA PROM DEFENSA DERECHOS'!AT34</f>
        <v>0</v>
      </c>
      <c r="V31" s="352">
        <f>+'05-POA PROM DEFENSA DERECHOS'!AU34</f>
        <v>0</v>
      </c>
      <c r="W31" s="352">
        <f>+'05-POA PROM DEFENSA DERECHOS'!AV34</f>
        <v>3</v>
      </c>
      <c r="X31" s="354">
        <f t="shared" si="7"/>
        <v>1</v>
      </c>
      <c r="Y31" s="677">
        <f t="shared" si="8"/>
        <v>0.33333333333333331</v>
      </c>
      <c r="Z31" s="355">
        <f t="shared" si="3"/>
        <v>9.0909090909090912E-2</v>
      </c>
      <c r="AA31" s="361">
        <f t="shared" si="4"/>
        <v>2.8181818181818183E-2</v>
      </c>
      <c r="AB31" s="1324"/>
      <c r="AD31" s="358">
        <f>+'05-POA PROM DEFENSA DERECHOS'!BD34</f>
        <v>0.33333333333333331</v>
      </c>
      <c r="AE31" s="360">
        <f t="shared" si="2"/>
        <v>0</v>
      </c>
      <c r="AG31" s="358">
        <f>+'05-POA PROM DEFENSA DERECHOS'!BH34</f>
        <v>9.0909090909090912E-2</v>
      </c>
      <c r="AH31" s="360">
        <f t="shared" si="5"/>
        <v>0</v>
      </c>
    </row>
    <row r="32" spans="2:34" ht="83.25" customHeight="1">
      <c r="B32" s="1523"/>
      <c r="C32" s="1521"/>
      <c r="D32" s="31" t="str">
        <f>+'01-FR-03 POA INSTITUCIONAL'!D32</f>
        <v>1.3.3 Implementar 4 herramientas para la promoción y prevención a infracciones del Derecho Internacional Humanitario en el Distrito Capital</v>
      </c>
      <c r="E32" s="52">
        <f>+'01-FR-03 POA INSTITUCIONAL'!E32</f>
        <v>0.11</v>
      </c>
      <c r="F32" s="139">
        <f>+'01-FR-03 POA INSTITUCIONAL'!F32</f>
        <v>4</v>
      </c>
      <c r="G32" s="584" t="str">
        <f>+'01-FR-03 POA INSTITUCIONAL'!G32</f>
        <v>S.I.</v>
      </c>
      <c r="H32" s="141" t="str">
        <f>+'01-FR-03 POA INSTITUCIONAL'!H32</f>
        <v>Herramientas de promoción y prevención a infracciones del Derecho Internacional Humanitario implementadas</v>
      </c>
      <c r="I32" s="142" t="str">
        <f>+'01-FR-03 POA INSTITUCIONAL'!I32</f>
        <v>Promoción y Defensa de Derechos</v>
      </c>
      <c r="J32" s="143" t="str">
        <f>+'01-FR-03 POA INSTITUCIONAL'!J32</f>
        <v>P.D. para la Coordinación del MP y DDHH y sus dependencias adscritas
 P.D. para la Coordinación de la Gestión de Personerías Locales y sus Personerías Locales adscritas</v>
      </c>
      <c r="K32" s="144">
        <f>+'01-FR-03 POA INSTITUCIONAL'!K32</f>
        <v>1</v>
      </c>
      <c r="L32" s="144">
        <f>+'01-FR-03 POA INSTITUCIONAL'!L32</f>
        <v>1</v>
      </c>
      <c r="M32" s="144">
        <f>+'01-FR-03 POA INSTITUCIONAL'!M32</f>
        <v>1</v>
      </c>
      <c r="N32" s="144">
        <f>+'01-FR-03 POA INSTITUCIONAL'!N32</f>
        <v>1</v>
      </c>
      <c r="O32" s="352">
        <f>'05-POA PROM DEFENSA DERECHOS'!V35</f>
        <v>0</v>
      </c>
      <c r="P32" s="352">
        <f>'05-POA PROM DEFENSA DERECHOS'!W35</f>
        <v>0</v>
      </c>
      <c r="Q32" s="352">
        <f>+'05-POA PROM DEFENSA DERECHOS'!AD35</f>
        <v>0</v>
      </c>
      <c r="R32" s="606">
        <f>+'05-POA PROM DEFENSA DERECHOS'!AE35</f>
        <v>0</v>
      </c>
      <c r="S32" s="352">
        <f>+'05-POA PROM DEFENSA DERECHOS'!AL35</f>
        <v>0</v>
      </c>
      <c r="T32" s="352">
        <f>+'05-POA PROM DEFENSA DERECHOS'!AM35</f>
        <v>0</v>
      </c>
      <c r="U32" s="352">
        <f>+'05-POA PROM DEFENSA DERECHOS'!AT35</f>
        <v>1</v>
      </c>
      <c r="V32" s="352">
        <f>+'05-POA PROM DEFENSA DERECHOS'!AU35</f>
        <v>0</v>
      </c>
      <c r="W32" s="352">
        <f>+'05-POA PROM DEFENSA DERECHOS'!AV35</f>
        <v>1</v>
      </c>
      <c r="X32" s="354">
        <f t="shared" si="7"/>
        <v>0</v>
      </c>
      <c r="Y32" s="677">
        <f t="shared" ref="Y32:Y40" si="9">IF(AND($W32&gt;0),X32/$W32,"No programado")</f>
        <v>0</v>
      </c>
      <c r="Z32" s="355">
        <f t="shared" si="3"/>
        <v>0</v>
      </c>
      <c r="AA32" s="361">
        <f t="shared" si="4"/>
        <v>0</v>
      </c>
      <c r="AB32" s="1324"/>
      <c r="AD32" s="358">
        <f>+'05-POA PROM DEFENSA DERECHOS'!BD35</f>
        <v>0</v>
      </c>
      <c r="AE32" s="360">
        <f t="shared" si="2"/>
        <v>0</v>
      </c>
      <c r="AG32" s="358">
        <f>+'05-POA PROM DEFENSA DERECHOS'!BH35</f>
        <v>0</v>
      </c>
      <c r="AH32" s="360">
        <f t="shared" si="5"/>
        <v>0</v>
      </c>
    </row>
    <row r="33" spans="2:34" ht="102" customHeight="1">
      <c r="B33" s="1513" t="s">
        <v>134</v>
      </c>
      <c r="C33" s="1528" t="s">
        <v>135</v>
      </c>
      <c r="D33" s="151" t="str">
        <f>+'01-FR-03 POA INSTITUCIONAL'!D33</f>
        <v>2.1.1 Realizar 16 informes en los cuales se evalúen las políticas ambientales, el manejo de recursos hídricos, protección y bienestar animal y desarrollo urbano en el Distrito Capital.</v>
      </c>
      <c r="E33" s="152">
        <f>+'01-FR-03 POA INSTITUCIONAL'!E33</f>
        <v>0.72727272727272696</v>
      </c>
      <c r="F33" s="153">
        <f>+'01-FR-03 POA INSTITUCIONAL'!F33</f>
        <v>16</v>
      </c>
      <c r="G33" s="154" t="str">
        <f>+'01-FR-03 POA INSTITUCIONAL'!G33</f>
        <v>S.I.</v>
      </c>
      <c r="H33" s="155" t="str">
        <f>+'01-FR-03 POA INSTITUCIONAL'!H33</f>
        <v>Informes realizados en temas específicos.</v>
      </c>
      <c r="I33" s="156" t="str">
        <f>+'01-FR-03 POA INSTITUCIONAL'!I33</f>
        <v>Prevención y Control a la Función Pública</v>
      </c>
      <c r="J33" s="157"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K33" s="158">
        <f>+'01-FR-03 POA INSTITUCIONAL'!K33</f>
        <v>2</v>
      </c>
      <c r="L33" s="158">
        <f>+'01-FR-03 POA INSTITUCIONAL'!L33</f>
        <v>7</v>
      </c>
      <c r="M33" s="158">
        <f>+'01-FR-03 POA INSTITUCIONAL'!M33</f>
        <v>6</v>
      </c>
      <c r="N33" s="158">
        <f>+'01-FR-03 POA INSTITUCIONAL'!N33</f>
        <v>1</v>
      </c>
      <c r="O33" s="356">
        <f>+'06-PREV CTRL FUN PÚBLICA'!V16</f>
        <v>0</v>
      </c>
      <c r="P33" s="356">
        <f>+'06-PREV CTRL FUN PÚBLICA'!W16</f>
        <v>0</v>
      </c>
      <c r="Q33" s="356">
        <f>+'06-PREV CTRL FUN PÚBLICA'!AD16</f>
        <v>2</v>
      </c>
      <c r="R33" s="356">
        <f>+'06-PREV CTRL FUN PÚBLICA'!AE16</f>
        <v>0</v>
      </c>
      <c r="S33" s="356">
        <f>+'06-PREV CTRL FUN PÚBLICA'!AL16</f>
        <v>0</v>
      </c>
      <c r="T33" s="356">
        <f>+'06-PREV CTRL FUN PÚBLICA'!AM16</f>
        <v>2</v>
      </c>
      <c r="U33" s="356">
        <f>+'06-PREV CTRL FUN PÚBLICA'!AT16</f>
        <v>5</v>
      </c>
      <c r="V33" s="356">
        <f>+'06-PREV CTRL FUN PÚBLICA'!AU16</f>
        <v>0</v>
      </c>
      <c r="W33" s="356">
        <f>+'06-PREV CTRL FUN PÚBLICA'!AV16</f>
        <v>7</v>
      </c>
      <c r="X33" s="363">
        <f t="shared" si="7"/>
        <v>2</v>
      </c>
      <c r="Y33" s="679">
        <f t="shared" si="9"/>
        <v>0.2857142857142857</v>
      </c>
      <c r="Z33" s="366">
        <f>IF(AND(X33&gt;0,$F33&gt;0),X33/$F33,0)</f>
        <v>0.125</v>
      </c>
      <c r="AA33" s="367">
        <f>IF(AND(Z33&gt;0,E33&gt;0),Z33*E33,0)</f>
        <v>9.090909090909087E-2</v>
      </c>
      <c r="AB33" s="1640">
        <f>+AA33+AA34</f>
        <v>9.090909090909087E-2</v>
      </c>
      <c r="AD33" s="358">
        <f>+'06-PREV CTRL FUN PÚBLICA'!BD16</f>
        <v>0.2857142857142857</v>
      </c>
      <c r="AE33" s="360">
        <f t="shared" si="2"/>
        <v>0</v>
      </c>
      <c r="AG33" s="358">
        <f>+'06-PREV CTRL FUN PÚBLICA'!BH16</f>
        <v>0.125</v>
      </c>
      <c r="AH33" s="360">
        <f t="shared" si="5"/>
        <v>0</v>
      </c>
    </row>
    <row r="34" spans="2:34" ht="120" customHeight="1">
      <c r="B34" s="1514"/>
      <c r="C34" s="1529"/>
      <c r="D34" s="151"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34" s="152">
        <f>+'01-FR-03 POA INSTITUCIONAL'!E34</f>
        <v>0.27272727272727298</v>
      </c>
      <c r="F34" s="153">
        <f>+'01-FR-03 POA INSTITUCIONAL'!F34</f>
        <v>6</v>
      </c>
      <c r="G34" s="154" t="str">
        <f>+'01-FR-03 POA INSTITUCIONAL'!G34</f>
        <v>S.I.</v>
      </c>
      <c r="H34" s="155" t="str">
        <f>+'01-FR-03 POA INSTITUCIONAL'!H34</f>
        <v>Informes de seguimientos realizados en temas específicos.</v>
      </c>
      <c r="I34" s="156" t="str">
        <f>+'01-FR-03 POA INSTITUCIONAL'!I34</f>
        <v>Prevención y Control a la Función Pública</v>
      </c>
      <c r="J34" s="157"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K34" s="158">
        <f>+'01-FR-03 POA INSTITUCIONAL'!K34</f>
        <v>1</v>
      </c>
      <c r="L34" s="158">
        <f>+'01-FR-03 POA INSTITUCIONAL'!L34</f>
        <v>1</v>
      </c>
      <c r="M34" s="158">
        <f>+'01-FR-03 POA INSTITUCIONAL'!M34</f>
        <v>3</v>
      </c>
      <c r="N34" s="158">
        <f>+'01-FR-03 POA INSTITUCIONAL'!N34</f>
        <v>1</v>
      </c>
      <c r="O34" s="356">
        <f>+'06-PREV CTRL FUN PÚBLICA'!V17</f>
        <v>0</v>
      </c>
      <c r="P34" s="356">
        <f>+'06-PREV CTRL FUN PÚBLICA'!W17</f>
        <v>0</v>
      </c>
      <c r="Q34" s="356">
        <f>+'06-PREV CTRL FUN PÚBLICA'!AD17</f>
        <v>0</v>
      </c>
      <c r="R34" s="356">
        <f>+'06-PREV CTRL FUN PÚBLICA'!AE17</f>
        <v>0</v>
      </c>
      <c r="S34" s="356">
        <f>+'06-PREV CTRL FUN PÚBLICA'!AL17</f>
        <v>0</v>
      </c>
      <c r="T34" s="356">
        <f>+'06-PREV CTRL FUN PÚBLICA'!AM17</f>
        <v>0</v>
      </c>
      <c r="U34" s="356">
        <f>+'06-PREV CTRL FUN PÚBLICA'!AT17</f>
        <v>1</v>
      </c>
      <c r="V34" s="356">
        <f>+'06-PREV CTRL FUN PÚBLICA'!AU17</f>
        <v>0</v>
      </c>
      <c r="W34" s="356">
        <f>+'06-PREV CTRL FUN PÚBLICA'!AV17</f>
        <v>1</v>
      </c>
      <c r="X34" s="363">
        <f t="shared" si="7"/>
        <v>0</v>
      </c>
      <c r="Y34" s="679">
        <f t="shared" si="9"/>
        <v>0</v>
      </c>
      <c r="Z34" s="366">
        <f t="shared" ref="Z34:Z48" si="10">IF(AND(X34&gt;0,$F34&gt;0),X34/$F34,0)</f>
        <v>0</v>
      </c>
      <c r="AA34" s="367">
        <f t="shared" ref="AA34:AA38" si="11">IF(AND(Z34&gt;0,E34&gt;0),Z34*E34,0)</f>
        <v>0</v>
      </c>
      <c r="AB34" s="1405"/>
      <c r="AD34" s="358">
        <f>+'06-PREV CTRL FUN PÚBLICA'!BD17</f>
        <v>0</v>
      </c>
      <c r="AE34" s="360">
        <f t="shared" si="2"/>
        <v>0</v>
      </c>
      <c r="AG34" s="358">
        <f>+'06-PREV CTRL FUN PÚBLICA'!BH17</f>
        <v>0</v>
      </c>
      <c r="AH34" s="360">
        <f t="shared" si="5"/>
        <v>0</v>
      </c>
    </row>
    <row r="35" spans="2:34" ht="100.5" customHeight="1">
      <c r="B35" s="1514"/>
      <c r="C35" s="1528" t="s">
        <v>136</v>
      </c>
      <c r="D35" s="151" t="str">
        <f>+'01-FR-03 POA INSTITUCIONAL'!D35</f>
        <v>2.2.1 Realizar 817 acciones de prevención y control a la función pública para fortalecer la moralidad pública.</v>
      </c>
      <c r="E35" s="152">
        <f>+'01-FR-03 POA INSTITUCIONAL'!E35</f>
        <v>0.92840909090909096</v>
      </c>
      <c r="F35" s="153">
        <f>+'01-FR-03 POA INSTITUCIONAL'!F35</f>
        <v>817</v>
      </c>
      <c r="G35" s="154" t="str">
        <f>+'01-FR-03 POA INSTITUCIONAL'!G35</f>
        <v>S.I.</v>
      </c>
      <c r="H35" s="155" t="str">
        <f>+'01-FR-03 POA INSTITUCIONAL'!H35</f>
        <v>Acciones de Prevención y Control a la Función Pública realizadas, con informe.</v>
      </c>
      <c r="I35" s="156" t="str">
        <f>+'01-FR-03 POA INSTITUCIONAL'!I35</f>
        <v>Prevención y Control a la Función Pública</v>
      </c>
      <c r="J35" s="157"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K35" s="158">
        <f>+'01-FR-03 POA INSTITUCIONAL'!K35</f>
        <v>200</v>
      </c>
      <c r="L35" s="158">
        <f>+'01-FR-03 POA INSTITUCIONAL'!L35</f>
        <v>286</v>
      </c>
      <c r="M35" s="158">
        <f>+'01-FR-03 POA INSTITUCIONAL'!M35</f>
        <v>259</v>
      </c>
      <c r="N35" s="158">
        <f>+'01-FR-03 POA INSTITUCIONAL'!N35</f>
        <v>72</v>
      </c>
      <c r="O35" s="356">
        <f>+'06-PREV CTRL FUN PÚBLICA'!V18</f>
        <v>41</v>
      </c>
      <c r="P35" s="356">
        <f>+'06-PREV CTRL FUN PÚBLICA'!W18</f>
        <v>16</v>
      </c>
      <c r="Q35" s="356">
        <f>+'06-PREV CTRL FUN PÚBLICA'!AD18</f>
        <v>77</v>
      </c>
      <c r="R35" s="356">
        <f>+'06-PREV CTRL FUN PÚBLICA'!AE18</f>
        <v>97</v>
      </c>
      <c r="S35" s="356">
        <f>+'06-PREV CTRL FUN PÚBLICA'!AL18</f>
        <v>114</v>
      </c>
      <c r="T35" s="356">
        <f>+'06-PREV CTRL FUN PÚBLICA'!AM18</f>
        <v>74</v>
      </c>
      <c r="U35" s="356">
        <f>+'06-PREV CTRL FUN PÚBLICA'!AT18</f>
        <v>54</v>
      </c>
      <c r="V35" s="356">
        <f>+'06-PREV CTRL FUN PÚBLICA'!AU18</f>
        <v>0</v>
      </c>
      <c r="W35" s="356">
        <f>+'06-PREV CTRL FUN PÚBLICA'!AV18</f>
        <v>286</v>
      </c>
      <c r="X35" s="363">
        <f t="shared" si="7"/>
        <v>187</v>
      </c>
      <c r="Y35" s="679">
        <f t="shared" si="9"/>
        <v>0.65384615384615385</v>
      </c>
      <c r="Z35" s="366">
        <f t="shared" si="10"/>
        <v>0.22888616891064872</v>
      </c>
      <c r="AA35" s="367">
        <f t="shared" si="11"/>
        <v>0.21250000000000002</v>
      </c>
      <c r="AB35" s="1640">
        <f>+AA35+AA36</f>
        <v>0.24545454545454548</v>
      </c>
      <c r="AD35" s="358">
        <f>+'06-PREV CTRL FUN PÚBLICA'!BD18</f>
        <v>0.65384615384615385</v>
      </c>
      <c r="AE35" s="360">
        <f t="shared" si="2"/>
        <v>0</v>
      </c>
      <c r="AG35" s="358">
        <f>+'06-PREV CTRL FUN PÚBLICA'!BH18</f>
        <v>0.22888616891064872</v>
      </c>
      <c r="AH35" s="360">
        <f t="shared" si="5"/>
        <v>0</v>
      </c>
    </row>
    <row r="36" spans="2:34" ht="100.5" customHeight="1">
      <c r="B36" s="1514"/>
      <c r="C36" s="1529"/>
      <c r="D36" s="151" t="str">
        <f>+'01-FR-03 POA INSTITUCIONAL'!D36</f>
        <v>2.2.2 Realizar 135 acciones de prevención y control a la función pública - seguimientos, para fortalecer la moralidad pública en el Distrito Capital.</v>
      </c>
      <c r="E36" s="152">
        <f>+'01-FR-03 POA INSTITUCIONAL'!E36</f>
        <v>0.15340909090909091</v>
      </c>
      <c r="F36" s="153">
        <f>+'01-FR-03 POA INSTITUCIONAL'!F36</f>
        <v>135</v>
      </c>
      <c r="G36" s="154" t="str">
        <f>+'01-FR-03 POA INSTITUCIONAL'!G36</f>
        <v>S.I.</v>
      </c>
      <c r="H36" s="155" t="str">
        <f>+'01-FR-03 POA INSTITUCIONAL'!H36</f>
        <v>Seguimientos realizados sobre acciones previas, con informe</v>
      </c>
      <c r="I36" s="156" t="str">
        <f>+'01-FR-03 POA INSTITUCIONAL'!I36</f>
        <v>Prevención y Control a la Función Pública</v>
      </c>
      <c r="J36" s="157"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K36" s="158">
        <f>+'01-FR-03 POA INSTITUCIONAL'!K36</f>
        <v>28</v>
      </c>
      <c r="L36" s="158">
        <f>+'01-FR-03 POA INSTITUCIONAL'!L36</f>
        <v>67</v>
      </c>
      <c r="M36" s="158">
        <f>+'01-FR-03 POA INSTITUCIONAL'!M36</f>
        <v>30</v>
      </c>
      <c r="N36" s="158">
        <f>+'01-FR-03 POA INSTITUCIONAL'!N36</f>
        <v>10</v>
      </c>
      <c r="O36" s="356">
        <f>+'06-PREV CTRL FUN PÚBLICA'!V19</f>
        <v>1</v>
      </c>
      <c r="P36" s="356">
        <f>+'06-PREV CTRL FUN PÚBLICA'!W19</f>
        <v>2</v>
      </c>
      <c r="Q36" s="356">
        <f>+'06-PREV CTRL FUN PÚBLICA'!AD19</f>
        <v>20</v>
      </c>
      <c r="R36" s="356">
        <f>+'06-PREV CTRL FUN PÚBLICA'!AE19</f>
        <v>9</v>
      </c>
      <c r="S36" s="356">
        <f>+'06-PREV CTRL FUN PÚBLICA'!AL19</f>
        <v>43</v>
      </c>
      <c r="T36" s="356">
        <f>+'06-PREV CTRL FUN PÚBLICA'!AM19</f>
        <v>18</v>
      </c>
      <c r="U36" s="356">
        <f>+'06-PREV CTRL FUN PÚBLICA'!AT19</f>
        <v>3</v>
      </c>
      <c r="V36" s="356">
        <f>+'06-PREV CTRL FUN PÚBLICA'!AU19</f>
        <v>0</v>
      </c>
      <c r="W36" s="356">
        <f>+'06-PREV CTRL FUN PÚBLICA'!AV19</f>
        <v>67</v>
      </c>
      <c r="X36" s="363">
        <f t="shared" si="7"/>
        <v>29</v>
      </c>
      <c r="Y36" s="679">
        <f t="shared" si="9"/>
        <v>0.43283582089552236</v>
      </c>
      <c r="Z36" s="366">
        <f t="shared" si="10"/>
        <v>0.21481481481481482</v>
      </c>
      <c r="AA36" s="367">
        <f t="shared" si="11"/>
        <v>3.2954545454545459E-2</v>
      </c>
      <c r="AB36" s="1405"/>
      <c r="AD36" s="358">
        <f>+'06-PREV CTRL FUN PÚBLICA'!BD19</f>
        <v>0.43283582089552236</v>
      </c>
      <c r="AE36" s="360">
        <f t="shared" si="2"/>
        <v>0</v>
      </c>
      <c r="AG36" s="358">
        <f>+'06-PREV CTRL FUN PÚBLICA'!BH19</f>
        <v>0.21481481481481482</v>
      </c>
      <c r="AH36" s="360">
        <f t="shared" si="5"/>
        <v>0</v>
      </c>
    </row>
    <row r="37" spans="2:34" ht="65.25" customHeight="1">
      <c r="B37" s="1514"/>
      <c r="C37" s="1528" t="s">
        <v>137</v>
      </c>
      <c r="D37" s="151" t="str">
        <f>+'01-FR-03 POA INSTITUCIONAL'!D37</f>
        <v>2.3.1 Realizar 60 audiencias públicas y/o mesas de trabajo, las cuales permitan la participación ciudadana, con énfasis en los Derechos e intereses colectivos.</v>
      </c>
      <c r="E37" s="152">
        <f>+'01-FR-03 POA INSTITUCIONAL'!E37</f>
        <v>0.20338983050847459</v>
      </c>
      <c r="F37" s="153">
        <f>+'01-FR-03 POA INSTITUCIONAL'!F37</f>
        <v>60</v>
      </c>
      <c r="G37" s="154">
        <f>+'01-FR-03 POA INSTITUCIONAL'!G37</f>
        <v>75</v>
      </c>
      <c r="H37" s="155" t="str">
        <f>+'01-FR-03 POA INSTITUCIONAL'!H37</f>
        <v>Audiencias públicas y/o mesas de trabajo realizadas.</v>
      </c>
      <c r="I37" s="156" t="str">
        <f>+'01-FR-03 POA INSTITUCIONAL'!I37</f>
        <v>Prevención y Control a la Función Pública</v>
      </c>
      <c r="J37" s="157" t="str">
        <f>+'01-FR-03 POA INSTITUCIONAL'!J37</f>
        <v>Personería Delegada para la Coordinación de Prevención y Control a la Función Pública y sus Personerías Delegadas.</v>
      </c>
      <c r="K37" s="158">
        <f>+'01-FR-03 POA INSTITUCIONAL'!K37</f>
        <v>12</v>
      </c>
      <c r="L37" s="158">
        <f>+'01-FR-03 POA INSTITUCIONAL'!L37</f>
        <v>21</v>
      </c>
      <c r="M37" s="158">
        <f>+'01-FR-03 POA INSTITUCIONAL'!M37</f>
        <v>23</v>
      </c>
      <c r="N37" s="158">
        <f>+'01-FR-03 POA INSTITUCIONAL'!N37</f>
        <v>4</v>
      </c>
      <c r="O37" s="356">
        <f>+'06-PREV CTRL FUN PÚBLICA'!V20</f>
        <v>2</v>
      </c>
      <c r="P37" s="356">
        <f>+'06-PREV CTRL FUN PÚBLICA'!W20</f>
        <v>0</v>
      </c>
      <c r="Q37" s="356">
        <f>+'06-PREV CTRL FUN PÚBLICA'!AD20</f>
        <v>6</v>
      </c>
      <c r="R37" s="356">
        <f>+'06-PREV CTRL FUN PÚBLICA'!AE20</f>
        <v>3</v>
      </c>
      <c r="S37" s="356">
        <f>+'06-PREV CTRL FUN PÚBLICA'!AL20</f>
        <v>5</v>
      </c>
      <c r="T37" s="356">
        <f>+'06-PREV CTRL FUN PÚBLICA'!AM20</f>
        <v>9</v>
      </c>
      <c r="U37" s="356">
        <f>+'06-PREV CTRL FUN PÚBLICA'!AT20</f>
        <v>8</v>
      </c>
      <c r="V37" s="356">
        <f>+'06-PREV CTRL FUN PÚBLICA'!AU20</f>
        <v>0</v>
      </c>
      <c r="W37" s="356">
        <f>+'06-PREV CTRL FUN PÚBLICA'!AV20</f>
        <v>21</v>
      </c>
      <c r="X37" s="363">
        <f t="shared" si="7"/>
        <v>12</v>
      </c>
      <c r="Y37" s="679">
        <f t="shared" si="9"/>
        <v>0.5714285714285714</v>
      </c>
      <c r="Z37" s="366">
        <f t="shared" si="10"/>
        <v>0.2</v>
      </c>
      <c r="AA37" s="367">
        <f t="shared" si="11"/>
        <v>4.0677966101694919E-2</v>
      </c>
      <c r="AB37" s="1640">
        <f>+AA37+AA38+AA39</f>
        <v>0.28813559322033899</v>
      </c>
      <c r="AD37" s="358">
        <f>+'06-PREV CTRL FUN PÚBLICA'!BD20</f>
        <v>0.5714285714285714</v>
      </c>
      <c r="AE37" s="360">
        <f t="shared" si="2"/>
        <v>0</v>
      </c>
      <c r="AG37" s="358">
        <f>+'06-PREV CTRL FUN PÚBLICA'!BH20</f>
        <v>0.2</v>
      </c>
      <c r="AH37" s="360">
        <f t="shared" si="5"/>
        <v>0</v>
      </c>
    </row>
    <row r="38" spans="2:34" ht="63.75" customHeight="1">
      <c r="B38" s="1514"/>
      <c r="C38" s="1512"/>
      <c r="D38" s="151" t="str">
        <f>+'01-FR-03 POA INSTITUCIONAL'!D38</f>
        <v>2.3.2 Realizar 160 acompañamientos a los ciudadanos que intervienen en los diferentes espacios de participación ciudadana.</v>
      </c>
      <c r="E38" s="152">
        <f>+'01-FR-03 POA INSTITUCIONAL'!E38</f>
        <v>0.5423728813559322</v>
      </c>
      <c r="F38" s="153">
        <f>+'01-FR-03 POA INSTITUCIONAL'!F38</f>
        <v>160</v>
      </c>
      <c r="G38" s="154" t="str">
        <f>+'01-FR-03 POA INSTITUCIONAL'!G38</f>
        <v>S.I.</v>
      </c>
      <c r="H38" s="155" t="str">
        <f>+'01-FR-03 POA INSTITUCIONAL'!H38</f>
        <v>Acompañamientos a los ciudadanos realizados.</v>
      </c>
      <c r="I38" s="156" t="str">
        <f>+'01-FR-03 POA INSTITUCIONAL'!I38</f>
        <v>Prevención y Control a la Función Pública</v>
      </c>
      <c r="J38" s="157" t="str">
        <f>+'01-FR-03 POA INSTITUCIONAL'!J38</f>
        <v xml:space="preserve">Personería Delegada para la Coordinación de Gestión de las Personerías Locales y sus Personerías Locales. </v>
      </c>
      <c r="K38" s="158">
        <f>+'01-FR-03 POA INSTITUCIONAL'!K38</f>
        <v>40</v>
      </c>
      <c r="L38" s="158">
        <f>+'01-FR-03 POA INSTITUCIONAL'!L38</f>
        <v>60</v>
      </c>
      <c r="M38" s="158">
        <f>+'01-FR-03 POA INSTITUCIONAL'!M38</f>
        <v>40</v>
      </c>
      <c r="N38" s="158">
        <f>+'01-FR-03 POA INSTITUCIONAL'!N38</f>
        <v>20</v>
      </c>
      <c r="O38" s="356">
        <f>+'06-PREV CTRL FUN PÚBLICA'!V21</f>
        <v>12</v>
      </c>
      <c r="P38" s="356">
        <f>+'06-PREV CTRL FUN PÚBLICA'!W21</f>
        <v>18</v>
      </c>
      <c r="Q38" s="356">
        <f>+'06-PREV CTRL FUN PÚBLICA'!AD21</f>
        <v>18</v>
      </c>
      <c r="R38" s="356">
        <f>+'06-PREV CTRL FUN PÚBLICA'!AE21</f>
        <v>13</v>
      </c>
      <c r="S38" s="356">
        <f>+'06-PREV CTRL FUN PÚBLICA'!AL21</f>
        <v>18</v>
      </c>
      <c r="T38" s="356">
        <f>+'06-PREV CTRL FUN PÚBLICA'!AM21</f>
        <v>7</v>
      </c>
      <c r="U38" s="356">
        <f>+'06-PREV CTRL FUN PÚBLICA'!AT21</f>
        <v>12</v>
      </c>
      <c r="V38" s="356">
        <f>+'06-PREV CTRL FUN PÚBLICA'!AU21</f>
        <v>0</v>
      </c>
      <c r="W38" s="356">
        <f>+'06-PREV CTRL FUN PÚBLICA'!AV21</f>
        <v>60</v>
      </c>
      <c r="X38" s="363">
        <f t="shared" si="7"/>
        <v>38</v>
      </c>
      <c r="Y38" s="679">
        <f t="shared" si="9"/>
        <v>0.6333333333333333</v>
      </c>
      <c r="Z38" s="366">
        <f t="shared" si="10"/>
        <v>0.23749999999999999</v>
      </c>
      <c r="AA38" s="367">
        <f t="shared" si="11"/>
        <v>0.12881355932203389</v>
      </c>
      <c r="AB38" s="1404"/>
      <c r="AD38" s="358">
        <f>+'06-PREV CTRL FUN PÚBLICA'!BD21</f>
        <v>0.6333333333333333</v>
      </c>
      <c r="AE38" s="360">
        <f t="shared" si="2"/>
        <v>0</v>
      </c>
      <c r="AG38" s="358">
        <f>+'06-PREV CTRL FUN PÚBLICA'!BH21</f>
        <v>0.23749999999999999</v>
      </c>
      <c r="AH38" s="360">
        <f t="shared" si="5"/>
        <v>0</v>
      </c>
    </row>
    <row r="39" spans="2:34" ht="102" customHeight="1">
      <c r="B39" s="1515"/>
      <c r="C39" s="1529"/>
      <c r="D39" s="151" t="str">
        <f>+'01-FR-03 POA INSTITUCIONAL'!D39</f>
        <v>2.3.3 Realizar 100 espacios de diálogo con las personas para retroalimentar las actividades de participación ciudadana</v>
      </c>
      <c r="E39" s="152">
        <f>+'01-FR-03 POA INSTITUCIONAL'!E39</f>
        <v>0.33898305084745761</v>
      </c>
      <c r="F39" s="153">
        <f>+'01-FR-03 POA INSTITUCIONAL'!F39</f>
        <v>100</v>
      </c>
      <c r="G39" s="154" t="str">
        <f>+'01-FR-03 POA INSTITUCIONAL'!G39</f>
        <v>S.I.</v>
      </c>
      <c r="H39" s="155" t="str">
        <f>+'01-FR-03 POA INSTITUCIONAL'!H39</f>
        <v>Espacios de dialogo realizados.</v>
      </c>
      <c r="I39" s="156" t="str">
        <f>+'01-FR-03 POA INSTITUCIONAL'!I39</f>
        <v>Prevención y Control a la Función Pública</v>
      </c>
      <c r="J39" s="157" t="str">
        <f>+'01-FR-03 POA INSTITUCIONAL'!J39</f>
        <v>Personería Delegada para la Coordinación de Gestión de las Personerías Locales y sus Personerías Locales. 
Personería Delegada para la Coordinación de Prevención y Control a la Función Pública y sus Personerías Delegadas.</v>
      </c>
      <c r="K39" s="158">
        <f>+'01-FR-03 POA INSTITUCIONAL'!K39</f>
        <v>20</v>
      </c>
      <c r="L39" s="158">
        <f>+'01-FR-03 POA INSTITUCIONAL'!L39</f>
        <v>30</v>
      </c>
      <c r="M39" s="158">
        <f>+'01-FR-03 POA INSTITUCIONAL'!M39</f>
        <v>30</v>
      </c>
      <c r="N39" s="158">
        <f>+'01-FR-03 POA INSTITUCIONAL'!N39</f>
        <v>20</v>
      </c>
      <c r="O39" s="356">
        <f>+'06-PREV CTRL FUN PÚBLICA'!V22</f>
        <v>6</v>
      </c>
      <c r="P39" s="356">
        <f>+'06-PREV CTRL FUN PÚBLICA'!W22</f>
        <v>13</v>
      </c>
      <c r="Q39" s="356">
        <f>+'06-PREV CTRL FUN PÚBLICA'!AD22</f>
        <v>9</v>
      </c>
      <c r="R39" s="356">
        <f>+'06-PREV CTRL FUN PÚBLICA'!AE22</f>
        <v>4</v>
      </c>
      <c r="S39" s="356">
        <f>+'06-PREV CTRL FUN PÚBLICA'!AL22</f>
        <v>9</v>
      </c>
      <c r="T39" s="356">
        <f>+'06-PREV CTRL FUN PÚBLICA'!AM22</f>
        <v>18</v>
      </c>
      <c r="U39" s="356">
        <f>+'06-PREV CTRL FUN PÚBLICA'!AT22</f>
        <v>6</v>
      </c>
      <c r="V39" s="356">
        <f>+'06-PREV CTRL FUN PÚBLICA'!AU22</f>
        <v>0</v>
      </c>
      <c r="W39" s="356">
        <f>+'06-PREV CTRL FUN PÚBLICA'!AV22</f>
        <v>30</v>
      </c>
      <c r="X39" s="363">
        <f t="shared" si="7"/>
        <v>35</v>
      </c>
      <c r="Y39" s="679">
        <f t="shared" si="9"/>
        <v>1.1666666666666667</v>
      </c>
      <c r="Z39" s="366">
        <f t="shared" si="10"/>
        <v>0.35</v>
      </c>
      <c r="AA39" s="367">
        <f>IF(AND(Z39&gt;0,E39&gt;0),Z39*E39,0)</f>
        <v>0.11864406779661016</v>
      </c>
      <c r="AB39" s="1405"/>
      <c r="AD39" s="358">
        <f>+'06-PREV CTRL FUN PÚBLICA'!BD22</f>
        <v>1.1666666666666667</v>
      </c>
      <c r="AE39" s="360">
        <f t="shared" si="2"/>
        <v>0</v>
      </c>
      <c r="AG39" s="358">
        <f>+'06-PREV CTRL FUN PÚBLICA'!BH22</f>
        <v>0.35</v>
      </c>
      <c r="AH39" s="360">
        <f t="shared" si="5"/>
        <v>0</v>
      </c>
    </row>
    <row r="40" spans="2:34" ht="93.75" customHeight="1">
      <c r="B40" s="1522" t="s">
        <v>138</v>
      </c>
      <c r="C40" s="1519" t="s">
        <v>278</v>
      </c>
      <c r="D40" s="31" t="str">
        <f>+'01-FR-03 POA INSTITUCIONAL'!D40</f>
        <v xml:space="preserve">3.1.1 Identificar y decidir de fondo 6,700  procesos, priorizando aquellos que se encuentren con riesgo de prescripción y/o vencidos en su etapa procesal (indagación, investigación y juzgamiento). </v>
      </c>
      <c r="E40" s="52">
        <f>+'01-FR-03 POA INSTITUCIONAL'!E40</f>
        <v>0.8</v>
      </c>
      <c r="F40" s="139">
        <f>+'01-FR-03 POA INSTITUCIONAL'!F40</f>
        <v>6700</v>
      </c>
      <c r="G40" s="584">
        <f>+'01-FR-03 POA INSTITUCIONAL'!G40</f>
        <v>6287</v>
      </c>
      <c r="H40" s="141" t="str">
        <f>+'01-FR-03 POA INSTITUCIONAL'!H40</f>
        <v>Procesos priorizados identificados y decididos de fondo</v>
      </c>
      <c r="I40" s="142" t="str">
        <f>+'01-FR-03 POA INSTITUCIONAL'!I40</f>
        <v>Potestad Disciplinaria</v>
      </c>
      <c r="J40" s="143" t="str">
        <f>+'01-FR-03 POA INSTITUCIONAL'!J40</f>
        <v>Personería Delegada para la Coordinación de Potestad Disciplinaria</v>
      </c>
      <c r="K40" s="144">
        <f>+'01-FR-03 POA INSTITUCIONAL'!K40</f>
        <v>1600</v>
      </c>
      <c r="L40" s="144">
        <f>+'01-FR-03 POA INSTITUCIONAL'!L40</f>
        <v>1800</v>
      </c>
      <c r="M40" s="144">
        <f>+'01-FR-03 POA INSTITUCIONAL'!M40</f>
        <v>1800</v>
      </c>
      <c r="N40" s="144">
        <f>+'01-FR-03 POA INSTITUCIONAL'!N40</f>
        <v>1500</v>
      </c>
      <c r="O40" s="368">
        <f>+'07-POTESTAD DISCIPLINARIA'!V16</f>
        <v>300</v>
      </c>
      <c r="P40" s="368">
        <f>+'07-POTESTAD DISCIPLINARIA'!W16</f>
        <v>318</v>
      </c>
      <c r="Q40" s="368">
        <f>+'07-POTESTAD DISCIPLINARIA'!AD16</f>
        <v>490</v>
      </c>
      <c r="R40" s="368">
        <f>+'07-POTESTAD DISCIPLINARIA'!AE16</f>
        <v>366</v>
      </c>
      <c r="S40" s="368">
        <f>+'07-POTESTAD DISCIPLINARIA'!AL16</f>
        <v>630</v>
      </c>
      <c r="T40" s="368">
        <f>+'07-POTESTAD DISCIPLINARIA'!AM16</f>
        <v>450</v>
      </c>
      <c r="U40" s="368">
        <f>+'07-POTESTAD DISCIPLINARIA'!AT16</f>
        <v>380</v>
      </c>
      <c r="V40" s="368">
        <f>+'07-POTESTAD DISCIPLINARIA'!AU16</f>
        <v>0</v>
      </c>
      <c r="W40" s="368">
        <f>+'07-POTESTAD DISCIPLINARIA'!AV16</f>
        <v>1800</v>
      </c>
      <c r="X40" s="370">
        <f t="shared" si="7"/>
        <v>1134</v>
      </c>
      <c r="Y40" s="677">
        <f t="shared" si="9"/>
        <v>0.63</v>
      </c>
      <c r="Z40" s="355">
        <f t="shared" si="10"/>
        <v>0.16925373134328359</v>
      </c>
      <c r="AA40" s="361">
        <f t="shared" ref="AA40:AA48" si="12">IF(AND(Z40&gt;0,E40&gt;0),Z40*E40,0)</f>
        <v>0.13540298507462686</v>
      </c>
      <c r="AB40" s="1218">
        <f>SUM(AA40:AA41)</f>
        <v>0.23380298507462688</v>
      </c>
      <c r="AD40" s="358">
        <f>+'07-POTESTAD DISCIPLINARIA'!BD16</f>
        <v>0.63</v>
      </c>
      <c r="AE40" s="360">
        <f t="shared" si="2"/>
        <v>0</v>
      </c>
      <c r="AG40" s="358">
        <f>+'07-POTESTAD DISCIPLINARIA'!BH16</f>
        <v>0.16925373134328359</v>
      </c>
      <c r="AH40" s="360">
        <f t="shared" si="5"/>
        <v>0</v>
      </c>
    </row>
    <row r="41" spans="2:34" ht="67.5" customHeight="1">
      <c r="B41" s="1523"/>
      <c r="C41" s="1520"/>
      <c r="D41" s="31" t="str">
        <f>+'01-FR-03 POA INSTITUCIONAL'!D41</f>
        <v>3.1.2 Evaluar y dar impulso procesal al 100% las noticias disciplinarias (quejas) puestas en conocimiento de la Entidad.</v>
      </c>
      <c r="E41" s="52">
        <f>+'01-FR-03 POA INSTITUCIONAL'!E41</f>
        <v>0.2</v>
      </c>
      <c r="F41" s="139">
        <f>+'01-FR-03 POA INSTITUCIONAL'!F41</f>
        <v>1</v>
      </c>
      <c r="G41" s="584">
        <f>+'01-FR-03 POA INSTITUCIONAL'!G41</f>
        <v>0.98</v>
      </c>
      <c r="H41" s="141" t="str">
        <f>+'01-FR-03 POA INSTITUCIONAL'!H41</f>
        <v>Noticias disciplinarias  evaluadas y con impulso procesal</v>
      </c>
      <c r="I41" s="142" t="str">
        <f>+'01-FR-03 POA INSTITUCIONAL'!I41</f>
        <v>Potestad Disciplinaria</v>
      </c>
      <c r="J41" s="143" t="str">
        <f>+'01-FR-03 POA INSTITUCIONAL'!J41</f>
        <v>Personería Delegada para la Coordinación de Potestad Disciplinaria</v>
      </c>
      <c r="K41" s="144">
        <f>+'01-FR-03 POA INSTITUCIONAL'!K41</f>
        <v>1</v>
      </c>
      <c r="L41" s="144">
        <f>+'01-FR-03 POA INSTITUCIONAL'!L41</f>
        <v>1</v>
      </c>
      <c r="M41" s="144">
        <f>+'01-FR-03 POA INSTITUCIONAL'!M41</f>
        <v>1</v>
      </c>
      <c r="N41" s="144">
        <f>+'01-FR-03 POA INSTITUCIONAL'!N41</f>
        <v>1</v>
      </c>
      <c r="O41" s="353">
        <f>+'07-POTESTAD DISCIPLINARIA'!V17</f>
        <v>1</v>
      </c>
      <c r="P41" s="353">
        <f>+'07-POTESTAD DISCIPLINARIA'!W17</f>
        <v>0.79066666666666663</v>
      </c>
      <c r="Q41" s="353">
        <f>+'07-POTESTAD DISCIPLINARIA'!AD17</f>
        <v>1</v>
      </c>
      <c r="R41" s="353">
        <f>+'07-POTESTAD DISCIPLINARIA'!AE17</f>
        <v>0.91633333333333322</v>
      </c>
      <c r="S41" s="353">
        <f>+'07-POTESTAD DISCIPLINARIA'!AL17</f>
        <v>1</v>
      </c>
      <c r="T41" s="353">
        <f>+'07-POTESTAD DISCIPLINARIA'!AM17</f>
        <v>0.91733333333333322</v>
      </c>
      <c r="U41" s="32">
        <f>+'07-POTESTAD DISCIPLINARIA'!AT17</f>
        <v>1</v>
      </c>
      <c r="V41" s="32">
        <f>+'07-POTESTAD DISCIPLINARIA'!AU17</f>
        <v>0</v>
      </c>
      <c r="W41" s="353">
        <f>+'07-POTESTAD DISCIPLINARIA'!AV17</f>
        <v>1</v>
      </c>
      <c r="X41" s="355">
        <f>IFERROR(IF(OR($W$41="",$W$41=0),0,ROUNDDOWN(AVERAGE($P41,R41,T41,V41),3)),0)</f>
        <v>0.65600000000000003</v>
      </c>
      <c r="Y41" s="1134">
        <f>IF(AND($W41&gt;0),X41/$W41,"No programado")*0.75</f>
        <v>0.49199999999999999</v>
      </c>
      <c r="Z41" s="677">
        <f>(IF(AND(X41&gt;0,$F41&gt;0),X41/$F41,0))*0.75</f>
        <v>0.49199999999999999</v>
      </c>
      <c r="AA41" s="361">
        <f t="shared" si="12"/>
        <v>9.8400000000000001E-2</v>
      </c>
      <c r="AB41" s="1219"/>
      <c r="AD41" s="358">
        <f>+'07-POTESTAD DISCIPLINARIA'!BD17</f>
        <v>0.65600000000000003</v>
      </c>
      <c r="AE41" s="360">
        <f t="shared" si="2"/>
        <v>-0.16400000000000003</v>
      </c>
      <c r="AG41" s="358">
        <f>+'07-POTESTAD DISCIPLINARIA'!BH17</f>
        <v>0.16400000000000001</v>
      </c>
      <c r="AH41" s="360">
        <f t="shared" si="5"/>
        <v>0.32799999999999996</v>
      </c>
    </row>
    <row r="42" spans="2:34" ht="95.25" customHeight="1">
      <c r="B42" s="1523"/>
      <c r="C42" s="1519" t="s">
        <v>139</v>
      </c>
      <c r="D42" s="31" t="str">
        <f>+'01-FR-03 POA INSTITUCIONAL'!D42</f>
        <v>3.2.1 Realizar una visita de seguimiento a las 51 Oficinas de Control Interno Disciplinario del Distrito e identificar hechos constitutivos de faltas relevantes en temas de interés e impacto en cada anualidad.</v>
      </c>
      <c r="E42" s="52">
        <f>+'01-FR-03 POA INSTITUCIONAL'!E42</f>
        <v>0.5</v>
      </c>
      <c r="F42" s="139">
        <f>+'01-FR-03 POA INSTITUCIONAL'!F42</f>
        <v>204</v>
      </c>
      <c r="G42" s="584">
        <f>+'01-FR-03 POA INSTITUCIONAL'!G42</f>
        <v>204</v>
      </c>
      <c r="H42" s="141" t="str">
        <f>+'01-FR-03 POA INSTITUCIONAL'!H42</f>
        <v>Visitas de seguimiento a Oficinas de Control Interno Disciplinario realizadas</v>
      </c>
      <c r="I42" s="142" t="str">
        <f>+'01-FR-03 POA INSTITUCIONAL'!I42</f>
        <v>Potestad Disciplinaria</v>
      </c>
      <c r="J42" s="143" t="str">
        <f>+'01-FR-03 POA INSTITUCIONAL'!J42</f>
        <v>Personería Delegada para la Coordinación de Potestad Disciplinaria</v>
      </c>
      <c r="K42" s="144">
        <f>+'01-FR-03 POA INSTITUCIONAL'!K42</f>
        <v>51</v>
      </c>
      <c r="L42" s="144">
        <f>+'01-FR-03 POA INSTITUCIONAL'!L42</f>
        <v>51</v>
      </c>
      <c r="M42" s="144">
        <f>+'01-FR-03 POA INSTITUCIONAL'!M42</f>
        <v>51</v>
      </c>
      <c r="N42" s="144">
        <f>+'01-FR-03 POA INSTITUCIONAL'!N42</f>
        <v>51</v>
      </c>
      <c r="O42" s="368">
        <f>+'07-POTESTAD DISCIPLINARIA'!V18</f>
        <v>0</v>
      </c>
      <c r="P42" s="368">
        <f>+'07-POTESTAD DISCIPLINARIA'!W18</f>
        <v>0</v>
      </c>
      <c r="Q42" s="368">
        <f>+'07-POTESTAD DISCIPLINARIA'!AD18</f>
        <v>30</v>
      </c>
      <c r="R42" s="368">
        <f>+'07-POTESTAD DISCIPLINARIA'!AE18</f>
        <v>0</v>
      </c>
      <c r="S42" s="368">
        <f>+'07-POTESTAD DISCIPLINARIA'!AL18</f>
        <v>21</v>
      </c>
      <c r="T42" s="368">
        <f>+'07-POTESTAD DISCIPLINARIA'!AM18</f>
        <v>9</v>
      </c>
      <c r="U42" s="368">
        <f>+'07-POTESTAD DISCIPLINARIA'!AT18</f>
        <v>0</v>
      </c>
      <c r="V42" s="368">
        <f>+'07-POTESTAD DISCIPLINARIA'!AU18</f>
        <v>0</v>
      </c>
      <c r="W42" s="368">
        <f>+'07-POTESTAD DISCIPLINARIA'!AV18</f>
        <v>51</v>
      </c>
      <c r="X42" s="370">
        <f t="shared" si="7"/>
        <v>9</v>
      </c>
      <c r="Y42" s="677">
        <f t="shared" ref="Y42:Y60" si="13">IF(AND(X42&gt;0,$W42&gt;0),X42/$W42,0)</f>
        <v>0.17647058823529413</v>
      </c>
      <c r="Z42" s="355">
        <f t="shared" si="10"/>
        <v>4.4117647058823532E-2</v>
      </c>
      <c r="AA42" s="361">
        <f t="shared" si="12"/>
        <v>2.2058823529411766E-2</v>
      </c>
      <c r="AB42" s="1218">
        <f>SUM(AA42:AA43)</f>
        <v>9.0683823529411761E-2</v>
      </c>
      <c r="AD42" s="358">
        <f>+'07-POTESTAD DISCIPLINARIA'!BD18</f>
        <v>0.17647058823529413</v>
      </c>
      <c r="AE42" s="360">
        <f t="shared" si="2"/>
        <v>0</v>
      </c>
      <c r="AG42" s="358">
        <f>+'07-POTESTAD DISCIPLINARIA'!BH18</f>
        <v>4.4117647058823532E-2</v>
      </c>
      <c r="AH42" s="360">
        <f t="shared" si="5"/>
        <v>0</v>
      </c>
    </row>
    <row r="43" spans="2:34" ht="95.25" customHeight="1">
      <c r="B43" s="1523"/>
      <c r="C43" s="1520"/>
      <c r="D43" s="31" t="str">
        <f>+'01-FR-03 POA INSTITUCIONAL'!D43</f>
        <v>3.2.2 Asumir por competencia preferente el 100% de los procesos cuyos temas sean considerados de interés e impacto el Distrito Capital.</v>
      </c>
      <c r="E43" s="52">
        <f>+'01-FR-03 POA INSTITUCIONAL'!E43</f>
        <v>0.5</v>
      </c>
      <c r="F43" s="32">
        <f>+'01-FR-03 POA INSTITUCIONAL'!F43</f>
        <v>1</v>
      </c>
      <c r="G43" s="174">
        <f>+'01-FR-03 POA INSTITUCIONAL'!G43</f>
        <v>1</v>
      </c>
      <c r="H43" s="141" t="str">
        <f>+'01-FR-03 POA INSTITUCIONAL'!H43</f>
        <v>Procesos de interés e impacto asumidos por competencia</v>
      </c>
      <c r="I43" s="142" t="str">
        <f>+'01-FR-03 POA INSTITUCIONAL'!I43</f>
        <v>Potestad Disciplinaria</v>
      </c>
      <c r="J43" s="143" t="str">
        <f>+'01-FR-03 POA INSTITUCIONAL'!J43</f>
        <v>Personería Delegada para la Coordinación de Potestad Disciplinaria</v>
      </c>
      <c r="K43" s="145">
        <f>+'01-FR-03 POA INSTITUCIONAL'!K43</f>
        <v>1</v>
      </c>
      <c r="L43" s="145">
        <f>+'01-FR-03 POA INSTITUCIONAL'!L43</f>
        <v>1</v>
      </c>
      <c r="M43" s="145">
        <f>+'01-FR-03 POA INSTITUCIONAL'!M43</f>
        <v>1</v>
      </c>
      <c r="N43" s="145">
        <f>+'01-FR-03 POA INSTITUCIONAL'!N43</f>
        <v>1</v>
      </c>
      <c r="O43" s="32">
        <f>+'07-POTESTAD DISCIPLINARIA'!V19</f>
        <v>1</v>
      </c>
      <c r="P43" s="32">
        <f>+'07-POTESTAD DISCIPLINARIA'!W19</f>
        <v>1</v>
      </c>
      <c r="Q43" s="353">
        <f>+'07-POTESTAD DISCIPLINARIA'!AD19</f>
        <v>1</v>
      </c>
      <c r="R43" s="353">
        <f>+'07-POTESTAD DISCIPLINARIA'!AE19</f>
        <v>1</v>
      </c>
      <c r="S43" s="353">
        <f>+'07-POTESTAD DISCIPLINARIA'!AL19</f>
        <v>1</v>
      </c>
      <c r="T43" s="353">
        <f>+'07-POTESTAD DISCIPLINARIA'!AM19</f>
        <v>0.92966666666666675</v>
      </c>
      <c r="U43" s="32">
        <f>+'07-POTESTAD DISCIPLINARIA'!AT19</f>
        <v>1</v>
      </c>
      <c r="V43" s="32">
        <f>+'07-POTESTAD DISCIPLINARIA'!AU19</f>
        <v>0</v>
      </c>
      <c r="W43" s="353">
        <f>+'07-POTESTAD DISCIPLINARIA'!AV19</f>
        <v>1</v>
      </c>
      <c r="X43" s="653">
        <f>IFERROR(IF(OR($W$43="",$W$43=0),0,ROUNDDOWN(AVERAGE($P43,R43,T43,V43),3)),0)</f>
        <v>0.73199999999999998</v>
      </c>
      <c r="Y43" s="1134">
        <f>IF(AND(X43&gt;0,$W43&gt;0),X43/$W43,0)*0.75</f>
        <v>0.54899999999999993</v>
      </c>
      <c r="Z43" s="1136">
        <f>(IF(AND(X43&gt;0,$F43&gt;0),X43/$F43,0))*0.75</f>
        <v>0.54899999999999993</v>
      </c>
      <c r="AA43" s="361">
        <f>IF(AND(Z43&gt;0,E43&gt;0),Z43*E43,0)*0.25</f>
        <v>6.8624999999999992E-2</v>
      </c>
      <c r="AB43" s="1220"/>
      <c r="AD43" s="358">
        <f>+'07-POTESTAD DISCIPLINARIA'!BD19</f>
        <v>0.70799999999999996</v>
      </c>
      <c r="AE43" s="360">
        <f t="shared" si="2"/>
        <v>-0.15900000000000003</v>
      </c>
      <c r="AG43" s="358">
        <f>+'07-POTESTAD DISCIPLINARIA'!BH19</f>
        <v>0.17699999999999999</v>
      </c>
      <c r="AH43" s="360">
        <f t="shared" si="5"/>
        <v>0.37199999999999994</v>
      </c>
    </row>
    <row r="44" spans="2:34" ht="126.75" customHeight="1">
      <c r="B44" s="1523"/>
      <c r="C44" s="163" t="s">
        <v>140</v>
      </c>
      <c r="D44" s="31" t="str">
        <f>+'01-FR-03 POA INSTITUCIONAL'!D44</f>
        <v>3.3.1 Generar 8 escenarios de intercambio de conocimiento con los(as) servidores(as) públicos(as) para fortalecer el conocimiento en la sustanciación de procesos disciplinarios en el Distrito Capital.</v>
      </c>
      <c r="E44" s="52">
        <f>+'01-FR-03 POA INSTITUCIONAL'!E44</f>
        <v>1</v>
      </c>
      <c r="F44" s="139">
        <f>+'01-FR-03 POA INSTITUCIONAL'!F44</f>
        <v>8</v>
      </c>
      <c r="G44" s="584">
        <f>+'01-FR-03 POA INSTITUCIONAL'!G44</f>
        <v>8</v>
      </c>
      <c r="H44" s="141" t="str">
        <f>+'01-FR-03 POA INSTITUCIONAL'!H44</f>
        <v>Escenarios de intercambio de conocimiento generados</v>
      </c>
      <c r="I44" s="142" t="str">
        <f>+'01-FR-03 POA INSTITUCIONAL'!I44</f>
        <v>Potestad Disciplinaria</v>
      </c>
      <c r="J44" s="143" t="str">
        <f>+'01-FR-03 POA INSTITUCIONAL'!J44</f>
        <v>Personería Delegada para la Coordinación de Potestad Disciplinaria</v>
      </c>
      <c r="K44" s="144">
        <f>+'01-FR-03 POA INSTITUCIONAL'!K44</f>
        <v>2</v>
      </c>
      <c r="L44" s="144">
        <f>+'01-FR-03 POA INSTITUCIONAL'!L44</f>
        <v>2</v>
      </c>
      <c r="M44" s="144">
        <f>+'01-FR-03 POA INSTITUCIONAL'!M44</f>
        <v>2</v>
      </c>
      <c r="N44" s="144">
        <f>+'01-FR-03 POA INSTITUCIONAL'!N44</f>
        <v>2</v>
      </c>
      <c r="O44" s="368">
        <f>+'07-POTESTAD DISCIPLINARIA'!V20</f>
        <v>0</v>
      </c>
      <c r="P44" s="368">
        <f>+'07-POTESTAD DISCIPLINARIA'!W20</f>
        <v>0</v>
      </c>
      <c r="Q44" s="368">
        <f>+'07-POTESTAD DISCIPLINARIA'!AD20</f>
        <v>0</v>
      </c>
      <c r="R44" s="368">
        <f>+'07-POTESTAD DISCIPLINARIA'!AE20</f>
        <v>1</v>
      </c>
      <c r="S44" s="368">
        <f>+'07-POTESTAD DISCIPLINARIA'!AL20</f>
        <v>1</v>
      </c>
      <c r="T44" s="368">
        <f>+'07-POTESTAD DISCIPLINARIA'!AM20</f>
        <v>0</v>
      </c>
      <c r="U44" s="368">
        <f>+'07-POTESTAD DISCIPLINARIA'!AT20</f>
        <v>1</v>
      </c>
      <c r="V44" s="368">
        <f>+'07-POTESTAD DISCIPLINARIA'!AU20</f>
        <v>0</v>
      </c>
      <c r="W44" s="369">
        <f>+'07-POTESTAD DISCIPLINARIA'!AV20</f>
        <v>2</v>
      </c>
      <c r="X44" s="370">
        <f t="shared" si="7"/>
        <v>1</v>
      </c>
      <c r="Y44" s="677">
        <f t="shared" si="13"/>
        <v>0.5</v>
      </c>
      <c r="Z44" s="355">
        <f t="shared" si="10"/>
        <v>0.125</v>
      </c>
      <c r="AA44" s="361">
        <f t="shared" si="12"/>
        <v>0.125</v>
      </c>
      <c r="AB44" s="686">
        <f>SUM(AA44)</f>
        <v>0.125</v>
      </c>
      <c r="AD44" s="358">
        <f>+'07-POTESTAD DISCIPLINARIA'!BD20</f>
        <v>0.5</v>
      </c>
      <c r="AE44" s="360">
        <f t="shared" si="2"/>
        <v>0</v>
      </c>
      <c r="AG44" s="358">
        <f>+'07-POTESTAD DISCIPLINARIA'!BH20</f>
        <v>0.125</v>
      </c>
      <c r="AH44" s="360">
        <f t="shared" si="5"/>
        <v>0</v>
      </c>
    </row>
    <row r="45" spans="2:34" ht="61.5" customHeight="1">
      <c r="B45" s="1523"/>
      <c r="C45" s="1519" t="s">
        <v>277</v>
      </c>
      <c r="D45" s="31" t="str">
        <f>+'01-FR-03 POA INSTITUCIONAL'!D45</f>
        <v>3.4.1 Implementar un sistema de comunicación efectiva y eficiente con las Oficinas de Control Interno del Distrito Capital.</v>
      </c>
      <c r="E45" s="52">
        <f>+'01-FR-03 POA INSTITUCIONAL'!E45</f>
        <v>0.2</v>
      </c>
      <c r="F45" s="139">
        <f>+'01-FR-03 POA INSTITUCIONAL'!F45</f>
        <v>1</v>
      </c>
      <c r="G45" s="584" t="str">
        <f>+'01-FR-03 POA INSTITUCIONAL'!G45</f>
        <v>S.I.</v>
      </c>
      <c r="H45" s="141" t="str">
        <f>+'01-FR-03 POA INSTITUCIONAL'!H45</f>
        <v xml:space="preserve">Sistema de Comunicación con las Oficinas de Control Interno Disciplinario implementado </v>
      </c>
      <c r="I45" s="142" t="str">
        <f>+'01-FR-03 POA INSTITUCIONAL'!I45</f>
        <v>Potestad Disciplinaria</v>
      </c>
      <c r="J45" s="143" t="str">
        <f>+'01-FR-03 POA INSTITUCIONAL'!J45</f>
        <v>Personería Delegada para la Coordinación de Potestad Disciplinaria</v>
      </c>
      <c r="K45" s="603">
        <f>+'01-FR-03 POA INSTITUCIONAL'!K45</f>
        <v>0.5</v>
      </c>
      <c r="L45" s="603">
        <f>+'01-FR-03 POA INSTITUCIONAL'!L45</f>
        <v>0.5</v>
      </c>
      <c r="M45" s="603">
        <f>+'01-FR-03 POA INSTITUCIONAL'!M45</f>
        <v>0</v>
      </c>
      <c r="N45" s="603">
        <f>+'01-FR-03 POA INSTITUCIONAL'!N45</f>
        <v>0</v>
      </c>
      <c r="O45" s="369">
        <f>+'07-POTESTAD DISCIPLINARIA'!V21</f>
        <v>0.15000000000000002</v>
      </c>
      <c r="P45" s="369">
        <f>+'07-POTESTAD DISCIPLINARIA'!W21</f>
        <v>0.15000000000000002</v>
      </c>
      <c r="Q45" s="369">
        <f>+'07-POTESTAD DISCIPLINARIA'!AD21</f>
        <v>0.15000000000000002</v>
      </c>
      <c r="R45" s="369">
        <f>+'07-POTESTAD DISCIPLINARIA'!AE21</f>
        <v>0.15000000000000002</v>
      </c>
      <c r="S45" s="369">
        <f>+'07-POTESTAD DISCIPLINARIA'!AL21</f>
        <v>0.15000000000000002</v>
      </c>
      <c r="T45" s="369">
        <f>+'07-POTESTAD DISCIPLINARIA'!AM21</f>
        <v>0.15000000000000002</v>
      </c>
      <c r="U45" s="369">
        <f>+'07-POTESTAD DISCIPLINARIA'!AT21</f>
        <v>0.05</v>
      </c>
      <c r="V45" s="369">
        <f>+'07-POTESTAD DISCIPLINARIA'!AU21</f>
        <v>0</v>
      </c>
      <c r="W45" s="369">
        <f>+'07-POTESTAD DISCIPLINARIA'!AV21</f>
        <v>0.50000000000000011</v>
      </c>
      <c r="X45" s="371">
        <f t="shared" si="7"/>
        <v>0.45000000000000007</v>
      </c>
      <c r="Y45" s="677">
        <f t="shared" si="13"/>
        <v>0.89999999999999991</v>
      </c>
      <c r="Z45" s="355">
        <f t="shared" si="10"/>
        <v>0.45000000000000007</v>
      </c>
      <c r="AA45" s="361">
        <f t="shared" si="12"/>
        <v>9.0000000000000024E-2</v>
      </c>
      <c r="AB45" s="1267">
        <f>SUM(AA45:AA47)</f>
        <v>0.33100000000000007</v>
      </c>
      <c r="AD45" s="358">
        <f>+'07-POTESTAD DISCIPLINARIA'!BD21</f>
        <v>0.89999999999999991</v>
      </c>
      <c r="AE45" s="360">
        <f t="shared" si="2"/>
        <v>0</v>
      </c>
      <c r="AG45" s="358">
        <f>+'07-POTESTAD DISCIPLINARIA'!BH21</f>
        <v>0.45000000000000007</v>
      </c>
      <c r="AH45" s="360">
        <f t="shared" si="5"/>
        <v>0</v>
      </c>
    </row>
    <row r="46" spans="2:34" ht="61.5" customHeight="1">
      <c r="B46" s="1523"/>
      <c r="C46" s="1521"/>
      <c r="D46" s="31" t="str">
        <f>+'01-FR-03 POA INSTITUCIONAL'!D46</f>
        <v xml:space="preserve">3.4.2 Diseñar e implementar un sistema de información misional que generé el expediente electrónico  </v>
      </c>
      <c r="E46" s="52">
        <f>+'01-FR-03 POA INSTITUCIONAL'!E46</f>
        <v>0.7</v>
      </c>
      <c r="F46" s="139">
        <f>+'01-FR-03 POA INSTITUCIONAL'!F46</f>
        <v>1</v>
      </c>
      <c r="G46" s="584" t="str">
        <f>+'01-FR-03 POA INSTITUCIONAL'!G46</f>
        <v>S.I.</v>
      </c>
      <c r="H46" s="141" t="str">
        <f>+'01-FR-03 POA INSTITUCIONAL'!H46</f>
        <v xml:space="preserve">Sistema de información misional implementado </v>
      </c>
      <c r="I46" s="142" t="str">
        <f>+'01-FR-03 POA INSTITUCIONAL'!I46</f>
        <v>Potestad Disciplinaria</v>
      </c>
      <c r="J46" s="143" t="str">
        <f>+'01-FR-03 POA INSTITUCIONAL'!J46</f>
        <v>Personería Delegada para la Coordinación de Potestad Disciplinaria</v>
      </c>
      <c r="K46" s="603">
        <f>+'01-FR-03 POA INSTITUCIONAL'!K46</f>
        <v>0.2</v>
      </c>
      <c r="L46" s="603">
        <f>+'01-FR-03 POA INSTITUCIONAL'!L46</f>
        <v>0.4</v>
      </c>
      <c r="M46" s="603">
        <f>+'01-FR-03 POA INSTITUCIONAL'!M46</f>
        <v>0.3</v>
      </c>
      <c r="N46" s="603">
        <f>+'01-FR-03 POA INSTITUCIONAL'!N46</f>
        <v>0.1</v>
      </c>
      <c r="O46" s="369">
        <f>+'07-POTESTAD DISCIPLINARIA'!V22</f>
        <v>0.05</v>
      </c>
      <c r="P46" s="369">
        <f>+'07-POTESTAD DISCIPLINARIA'!W22</f>
        <v>0</v>
      </c>
      <c r="Q46" s="369">
        <f>+'07-POTESTAD DISCIPLINARIA'!AD22</f>
        <v>0.11</v>
      </c>
      <c r="R46" s="369">
        <f>+'07-POTESTAD DISCIPLINARIA'!AE22</f>
        <v>0.11</v>
      </c>
      <c r="S46" s="369">
        <f>+'07-POTESTAD DISCIPLINARIA'!AL22</f>
        <v>0.15000000000000002</v>
      </c>
      <c r="T46" s="369">
        <f>+'07-POTESTAD DISCIPLINARIA'!AM22</f>
        <v>0.2</v>
      </c>
      <c r="U46" s="369">
        <f>+'07-POTESTAD DISCIPLINARIA'!AT22</f>
        <v>0.09</v>
      </c>
      <c r="V46" s="369">
        <f>+'07-POTESTAD DISCIPLINARIA'!AU22</f>
        <v>0</v>
      </c>
      <c r="W46" s="369">
        <f>+'07-POTESTAD DISCIPLINARIA'!AV22</f>
        <v>0.4</v>
      </c>
      <c r="X46" s="371">
        <f t="shared" si="7"/>
        <v>0.31</v>
      </c>
      <c r="Y46" s="677">
        <f t="shared" si="13"/>
        <v>0.77499999999999991</v>
      </c>
      <c r="Z46" s="355">
        <f t="shared" si="10"/>
        <v>0.31</v>
      </c>
      <c r="AA46" s="361">
        <f t="shared" si="12"/>
        <v>0.217</v>
      </c>
      <c r="AB46" s="1267"/>
      <c r="AD46" s="358">
        <f>+'07-POTESTAD DISCIPLINARIA'!BD22</f>
        <v>0.77499999999999991</v>
      </c>
      <c r="AE46" s="360">
        <f t="shared" si="2"/>
        <v>0</v>
      </c>
      <c r="AG46" s="358">
        <f>+'07-POTESTAD DISCIPLINARIA'!BH22</f>
        <v>0.31</v>
      </c>
      <c r="AH46" s="360">
        <f t="shared" si="5"/>
        <v>0</v>
      </c>
    </row>
    <row r="47" spans="2:34" ht="61.5" customHeight="1">
      <c r="B47" s="1524"/>
      <c r="C47" s="1520"/>
      <c r="D47" s="31" t="str">
        <f>+'01-FR-03 POA INSTITUCIONAL'!D47</f>
        <v xml:space="preserve">3.4.3 Diseñar e implementar una relatoría de las decisiones de fondo adoptadas en ejercicio de la potestad disciplinaria  </v>
      </c>
      <c r="E47" s="52">
        <f>+'01-FR-03 POA INSTITUCIONAL'!E47</f>
        <v>0.1</v>
      </c>
      <c r="F47" s="139">
        <f>+'01-FR-03 POA INSTITUCIONAL'!F47</f>
        <v>1</v>
      </c>
      <c r="G47" s="584" t="str">
        <f>+'01-FR-03 POA INSTITUCIONAL'!G47</f>
        <v>S.I.</v>
      </c>
      <c r="H47" s="141" t="str">
        <f>+'01-FR-03 POA INSTITUCIONAL'!H47</f>
        <v>Relatoría diseñada e implementada</v>
      </c>
      <c r="I47" s="142" t="str">
        <f>+'01-FR-03 POA INSTITUCIONAL'!I47</f>
        <v>Potestad Disciplinaria</v>
      </c>
      <c r="J47" s="143" t="str">
        <f>+'01-FR-03 POA INSTITUCIONAL'!J47</f>
        <v>Personería Delegada para la Coordinación de Potestad Disciplinaria</v>
      </c>
      <c r="K47" s="603">
        <f>+'01-FR-03 POA INSTITUCIONAL'!K47</f>
        <v>0.1</v>
      </c>
      <c r="L47" s="603">
        <f>+'01-FR-03 POA INSTITUCIONAL'!L47</f>
        <v>0.3</v>
      </c>
      <c r="M47" s="603">
        <f>+'01-FR-03 POA INSTITUCIONAL'!M47</f>
        <v>0.4</v>
      </c>
      <c r="N47" s="603">
        <f>+'01-FR-03 POA INSTITUCIONAL'!N47</f>
        <v>0.2</v>
      </c>
      <c r="O47" s="369">
        <f>+'07-POTESTAD DISCIPLINARIA'!V23</f>
        <v>0.06</v>
      </c>
      <c r="P47" s="369">
        <f>+'07-POTESTAD DISCIPLINARIA'!W23</f>
        <v>0.06</v>
      </c>
      <c r="Q47" s="369">
        <f>+'07-POTESTAD DISCIPLINARIA'!AD23</f>
        <v>0.09</v>
      </c>
      <c r="R47" s="369">
        <f>+'07-POTESTAD DISCIPLINARIA'!AE23</f>
        <v>0.09</v>
      </c>
      <c r="S47" s="369">
        <f>+'07-POTESTAD DISCIPLINARIA'!AL23</f>
        <v>0.09</v>
      </c>
      <c r="T47" s="885">
        <f>+'07-POTESTAD DISCIPLINARIA'!AM23</f>
        <v>0.09</v>
      </c>
      <c r="U47" s="369">
        <f>+'07-POTESTAD DISCIPLINARIA'!AT23</f>
        <v>0.06</v>
      </c>
      <c r="V47" s="369">
        <f>+'07-POTESTAD DISCIPLINARIA'!AU23</f>
        <v>0</v>
      </c>
      <c r="W47" s="369">
        <f>+'07-POTESTAD DISCIPLINARIA'!AV23</f>
        <v>0.3</v>
      </c>
      <c r="X47" s="371">
        <f t="shared" si="7"/>
        <v>0.24</v>
      </c>
      <c r="Y47" s="677">
        <f t="shared" si="13"/>
        <v>0.8</v>
      </c>
      <c r="Z47" s="355">
        <f t="shared" si="10"/>
        <v>0.24</v>
      </c>
      <c r="AA47" s="361">
        <f t="shared" si="12"/>
        <v>2.4E-2</v>
      </c>
      <c r="AB47" s="1267"/>
      <c r="AD47" s="358">
        <f>+'07-POTESTAD DISCIPLINARIA'!BD23</f>
        <v>0.8</v>
      </c>
      <c r="AE47" s="360">
        <f t="shared" si="2"/>
        <v>0</v>
      </c>
      <c r="AG47" s="358">
        <f>+'07-POTESTAD DISCIPLINARIA'!BH23</f>
        <v>0.24</v>
      </c>
      <c r="AH47" s="360">
        <f t="shared" si="5"/>
        <v>0</v>
      </c>
    </row>
    <row r="48" spans="2:34" ht="75" customHeight="1">
      <c r="B48" s="1514" t="s">
        <v>141</v>
      </c>
      <c r="C48" s="1528" t="s">
        <v>142</v>
      </c>
      <c r="D48" s="151" t="str">
        <f>+'01-FR-03 POA INSTITUCIONAL'!D48</f>
        <v>4.1.1 Implementar el 100 % de los proyectos de hoja de ruta del Plan Estratégico de Tecnología de la Información de tal forma que se optimicen los procesos de la Entidad</v>
      </c>
      <c r="E48" s="164">
        <f>+'01-FR-03 POA INSTITUCIONAL'!E48</f>
        <v>0.14000000000000001</v>
      </c>
      <c r="F48" s="165">
        <f>+'01-FR-03 POA INSTITUCIONAL'!F48</f>
        <v>1</v>
      </c>
      <c r="G48" s="154" t="str">
        <f>+'01-FR-03 POA INSTITUCIONAL'!G48</f>
        <v>S.I.</v>
      </c>
      <c r="H48" s="166" t="str">
        <f>+'01-FR-03 POA INSTITUCIONAL'!H48</f>
        <v>Porcentaje de proyectos implementados de acuerdo al plan de tecnologías de la Información</v>
      </c>
      <c r="I48" s="151" t="str">
        <f>+'01-FR-03 POA INSTITUCIONAL'!I48</f>
        <v>Direccionamiento TIC</v>
      </c>
      <c r="J48" s="167" t="str">
        <f>+'01-FR-03 POA INSTITUCIONAL'!J48</f>
        <v>Dirección de Tecnologías de la  Información y las Comunicaciones</v>
      </c>
      <c r="K48" s="168">
        <f>+'01-FR-03 POA INSTITUCIONAL'!K48</f>
        <v>0.3</v>
      </c>
      <c r="L48" s="168">
        <f>+'01-FR-03 POA INSTITUCIONAL'!L48</f>
        <v>0.4</v>
      </c>
      <c r="M48" s="168">
        <f>+'01-FR-03 POA INSTITUCIONAL'!M48</f>
        <v>0.25</v>
      </c>
      <c r="N48" s="168">
        <f>+'01-FR-03 POA INSTITUCIONAL'!N48</f>
        <v>0.05</v>
      </c>
      <c r="O48" s="372">
        <f>+'03-DIRECCIONAMIENTO TIC'!V16</f>
        <v>7.0000000000000007E-2</v>
      </c>
      <c r="P48" s="372">
        <f>+'03-DIRECCIONAMIENTO TIC'!W16</f>
        <v>7.0000000000000007E-2</v>
      </c>
      <c r="Q48" s="372">
        <f>+'03-DIRECCIONAMIENTO TIC'!AD16</f>
        <v>0.13</v>
      </c>
      <c r="R48" s="372">
        <f>+'03-DIRECCIONAMIENTO TIC'!AE16</f>
        <v>0.13</v>
      </c>
      <c r="S48" s="372">
        <f>+'03-DIRECCIONAMIENTO TIC'!AL16</f>
        <v>0.13</v>
      </c>
      <c r="T48" s="372">
        <f>+'03-DIRECCIONAMIENTO TIC'!AM16</f>
        <v>0.13</v>
      </c>
      <c r="U48" s="372">
        <f>+'03-DIRECCIONAMIENTO TIC'!AT16</f>
        <v>7.0000000000000007E-2</v>
      </c>
      <c r="V48" s="372">
        <f>+'03-DIRECCIONAMIENTO TIC'!AU16</f>
        <v>0</v>
      </c>
      <c r="W48" s="372">
        <f>+'03-DIRECCIONAMIENTO TIC'!AV16</f>
        <v>0.4</v>
      </c>
      <c r="X48" s="373">
        <f t="shared" si="7"/>
        <v>0.33</v>
      </c>
      <c r="Y48" s="676">
        <f t="shared" si="13"/>
        <v>0.82499999999999996</v>
      </c>
      <c r="Z48" s="372">
        <f t="shared" si="10"/>
        <v>0.33</v>
      </c>
      <c r="AA48" s="372">
        <f t="shared" si="12"/>
        <v>4.6200000000000005E-2</v>
      </c>
      <c r="AB48" s="1626">
        <f>SUM(AA48:AA54)</f>
        <v>0.33</v>
      </c>
      <c r="AD48" s="358">
        <f>+'03-DIRECCIONAMIENTO TIC'!BD16</f>
        <v>0.82499999999999996</v>
      </c>
      <c r="AE48" s="360">
        <f t="shared" si="2"/>
        <v>0</v>
      </c>
      <c r="AG48" s="358">
        <f>+'03-DIRECCIONAMIENTO TIC'!BH16</f>
        <v>0.33</v>
      </c>
      <c r="AH48" s="360">
        <f t="shared" si="5"/>
        <v>0</v>
      </c>
    </row>
    <row r="49" spans="2:35" ht="80.25" customHeight="1">
      <c r="B49" s="1514"/>
      <c r="C49" s="1512"/>
      <c r="D49" s="151" t="str">
        <f>+'01-FR-03 POA INSTITUCIONAL'!D49</f>
        <v>4.1.2 Ejecutar en un 100 % las actividades programadas en el plan de Seguridad de la Información, garantizando la disponibilidad, confiabilidad e integridad de los activos de información</v>
      </c>
      <c r="E49" s="164">
        <f>+'01-FR-03 POA INSTITUCIONAL'!E49</f>
        <v>0.14000000000000001</v>
      </c>
      <c r="F49" s="165">
        <f>+'01-FR-03 POA INSTITUCIONAL'!F49</f>
        <v>1</v>
      </c>
      <c r="G49" s="154" t="str">
        <f>+'01-FR-03 POA INSTITUCIONAL'!G49</f>
        <v>S.I.</v>
      </c>
      <c r="H49" s="166" t="str">
        <f>+'01-FR-03 POA INSTITUCIONAL'!H49</f>
        <v>Porcentaje de actividades ejecutadas de acuerdo al plan de Seguridad de información</v>
      </c>
      <c r="I49" s="151" t="str">
        <f>+'01-FR-03 POA INSTITUCIONAL'!I49</f>
        <v>Direccionamiento TIC</v>
      </c>
      <c r="J49" s="167" t="str">
        <f>+'01-FR-03 POA INSTITUCIONAL'!J49</f>
        <v>Dirección de Tecnologías de la  Información y las Comunicaciones</v>
      </c>
      <c r="K49" s="168">
        <f>+'01-FR-03 POA INSTITUCIONAL'!K49</f>
        <v>0.3</v>
      </c>
      <c r="L49" s="168">
        <f>+'01-FR-03 POA INSTITUCIONAL'!L49</f>
        <v>0.4</v>
      </c>
      <c r="M49" s="168">
        <f>+'01-FR-03 POA INSTITUCIONAL'!M49</f>
        <v>0.25</v>
      </c>
      <c r="N49" s="168">
        <f>+'01-FR-03 POA INSTITUCIONAL'!N49</f>
        <v>0.05</v>
      </c>
      <c r="O49" s="372">
        <f>+'03-DIRECCIONAMIENTO TIC'!V17</f>
        <v>7.0000000000000007E-2</v>
      </c>
      <c r="P49" s="372">
        <f>+'03-DIRECCIONAMIENTO TIC'!W17</f>
        <v>7.0000000000000007E-2</v>
      </c>
      <c r="Q49" s="372">
        <f>+'03-DIRECCIONAMIENTO TIC'!AD17</f>
        <v>0.13</v>
      </c>
      <c r="R49" s="372">
        <f>+'03-DIRECCIONAMIENTO TIC'!AE17</f>
        <v>0.13</v>
      </c>
      <c r="S49" s="372">
        <f>+'03-DIRECCIONAMIENTO TIC'!AL17</f>
        <v>0.13</v>
      </c>
      <c r="T49" s="372">
        <f>+'03-DIRECCIONAMIENTO TIC'!AM17</f>
        <v>0.13</v>
      </c>
      <c r="U49" s="372">
        <f>+'03-DIRECCIONAMIENTO TIC'!AT17</f>
        <v>7.0000000000000007E-2</v>
      </c>
      <c r="V49" s="372">
        <f>+'03-DIRECCIONAMIENTO TIC'!AU17</f>
        <v>0</v>
      </c>
      <c r="W49" s="372">
        <f>+'03-DIRECCIONAMIENTO TIC'!AV17</f>
        <v>0.4</v>
      </c>
      <c r="X49" s="373">
        <f t="shared" si="7"/>
        <v>0.33</v>
      </c>
      <c r="Y49" s="676">
        <f t="shared" si="13"/>
        <v>0.82499999999999996</v>
      </c>
      <c r="Z49" s="372">
        <f t="shared" ref="Z49:Z58" si="14">IF(AND(X49&gt;0,$F49&gt;0),X49/$F49,0)</f>
        <v>0.33</v>
      </c>
      <c r="AA49" s="372">
        <f t="shared" ref="AA49:AA63" si="15">IF(AND(Z49&gt;0,E49&gt;0),Z49*E49,0)</f>
        <v>4.6200000000000005E-2</v>
      </c>
      <c r="AB49" s="1627"/>
      <c r="AD49" s="358">
        <f>+'03-DIRECCIONAMIENTO TIC'!BD17</f>
        <v>0.82499999999999996</v>
      </c>
      <c r="AE49" s="360">
        <f t="shared" ref="AE49:AE51" si="16">Y49-AD49</f>
        <v>0</v>
      </c>
      <c r="AG49" s="358">
        <f>+'03-DIRECCIONAMIENTO TIC'!BH17</f>
        <v>0.33</v>
      </c>
      <c r="AH49" s="360">
        <f t="shared" ref="AH49:AH51" si="17">+Z49-AG49</f>
        <v>0</v>
      </c>
    </row>
    <row r="50" spans="2:35" ht="111" customHeight="1">
      <c r="B50" s="1514"/>
      <c r="C50" s="1512"/>
      <c r="D50" s="151" t="str">
        <f>+'01-FR-03 POA INSTITUCIONAL'!D50</f>
        <v>4.1.3 Realizar el 100% de las actividades definidas en la estrategia de servicios ciudadanos digitales, que permitan acceder a los tramites y servicios de la Entidad a través de canales digitales rápidos, fiables y seguros</v>
      </c>
      <c r="E50" s="164">
        <f>+'01-FR-03 POA INSTITUCIONAL'!E50</f>
        <v>0.14000000000000001</v>
      </c>
      <c r="F50" s="165">
        <f>+'01-FR-03 POA INSTITUCIONAL'!F50</f>
        <v>1</v>
      </c>
      <c r="G50" s="154" t="str">
        <f>+'01-FR-03 POA INSTITUCIONAL'!G50</f>
        <v>S.I.</v>
      </c>
      <c r="H50" s="166" t="str">
        <f>+'01-FR-03 POA INSTITUCIONAL'!H50</f>
        <v xml:space="preserve">Porcentaje de actividades ejecutadas  en la estrategia de servicios ciudadanos digitales </v>
      </c>
      <c r="I50" s="151" t="str">
        <f>+'01-FR-03 POA INSTITUCIONAL'!I50</f>
        <v>Direccionamiento TIC</v>
      </c>
      <c r="J50" s="167" t="str">
        <f>+'01-FR-03 POA INSTITUCIONAL'!J50</f>
        <v>Dirección de Tecnologías de la  Información y las Comunicaciones</v>
      </c>
      <c r="K50" s="168">
        <f>+'01-FR-03 POA INSTITUCIONAL'!K50</f>
        <v>0.3</v>
      </c>
      <c r="L50" s="168">
        <f>+'01-FR-03 POA INSTITUCIONAL'!L50</f>
        <v>0.4</v>
      </c>
      <c r="M50" s="168">
        <f>+'01-FR-03 POA INSTITUCIONAL'!M50</f>
        <v>0.25</v>
      </c>
      <c r="N50" s="168">
        <f>+'01-FR-03 POA INSTITUCIONAL'!N50</f>
        <v>0.05</v>
      </c>
      <c r="O50" s="372">
        <f>+'03-DIRECCIONAMIENTO TIC'!V18</f>
        <v>7.0000000000000007E-2</v>
      </c>
      <c r="P50" s="372">
        <f>+'03-DIRECCIONAMIENTO TIC'!W18</f>
        <v>7.0000000000000007E-2</v>
      </c>
      <c r="Q50" s="372">
        <f>+'03-DIRECCIONAMIENTO TIC'!AD18</f>
        <v>0.13</v>
      </c>
      <c r="R50" s="372">
        <f>+'03-DIRECCIONAMIENTO TIC'!AE18</f>
        <v>0.13</v>
      </c>
      <c r="S50" s="372">
        <f>+'03-DIRECCIONAMIENTO TIC'!AL18</f>
        <v>0.13</v>
      </c>
      <c r="T50" s="372">
        <f>+'03-DIRECCIONAMIENTO TIC'!AM18</f>
        <v>0.13</v>
      </c>
      <c r="U50" s="372">
        <f>+'03-DIRECCIONAMIENTO TIC'!AT18</f>
        <v>7.0000000000000007E-2</v>
      </c>
      <c r="V50" s="372">
        <f>+'03-DIRECCIONAMIENTO TIC'!AU18</f>
        <v>0</v>
      </c>
      <c r="W50" s="372">
        <f>+'03-DIRECCIONAMIENTO TIC'!AV18</f>
        <v>0.4</v>
      </c>
      <c r="X50" s="373">
        <f t="shared" si="7"/>
        <v>0.33</v>
      </c>
      <c r="Y50" s="676">
        <f t="shared" si="13"/>
        <v>0.82499999999999996</v>
      </c>
      <c r="Z50" s="372">
        <f t="shared" si="14"/>
        <v>0.33</v>
      </c>
      <c r="AA50" s="372">
        <f t="shared" si="15"/>
        <v>4.6200000000000005E-2</v>
      </c>
      <c r="AB50" s="1627"/>
      <c r="AD50" s="358">
        <f>+'03-DIRECCIONAMIENTO TIC'!BD18</f>
        <v>0.82499999999999996</v>
      </c>
      <c r="AE50" s="360">
        <f t="shared" si="16"/>
        <v>0</v>
      </c>
      <c r="AG50" s="358">
        <f>+'03-DIRECCIONAMIENTO TIC'!BH18</f>
        <v>0.33</v>
      </c>
      <c r="AH50" s="360">
        <f t="shared" si="17"/>
        <v>0</v>
      </c>
    </row>
    <row r="51" spans="2:35" ht="82.5" customHeight="1">
      <c r="B51" s="1514"/>
      <c r="C51" s="1512"/>
      <c r="D51" s="151" t="str">
        <f>+'01-FR-03 POA INSTITUCIONAL'!D51</f>
        <v>4.1.4 Implementar en un 100% los lineamientos que adopte la Entidad para mejorar la gestión de datos que facilite la toma de decisiones</v>
      </c>
      <c r="E51" s="164">
        <f>+'01-FR-03 POA INSTITUCIONAL'!E51</f>
        <v>0.14000000000000001</v>
      </c>
      <c r="F51" s="165">
        <f>+'01-FR-03 POA INSTITUCIONAL'!F51</f>
        <v>1</v>
      </c>
      <c r="G51" s="154" t="str">
        <f>+'01-FR-03 POA INSTITUCIONAL'!G51</f>
        <v>S.I.</v>
      </c>
      <c r="H51" s="166" t="str">
        <f>+'01-FR-03 POA INSTITUCIONAL'!H51</f>
        <v>Porcentaje de lineamientos adoptados  en la estrategia de gestión de datos</v>
      </c>
      <c r="I51" s="151" t="str">
        <f>+'01-FR-03 POA INSTITUCIONAL'!I51</f>
        <v>Direccionamiento TIC</v>
      </c>
      <c r="J51" s="167" t="str">
        <f>+'01-FR-03 POA INSTITUCIONAL'!J51</f>
        <v>Dirección de Tecnologías de la  Información y las Comunicaciones</v>
      </c>
      <c r="K51" s="168">
        <f>+'01-FR-03 POA INSTITUCIONAL'!K51</f>
        <v>0.3</v>
      </c>
      <c r="L51" s="168">
        <f>+'01-FR-03 POA INSTITUCIONAL'!L51</f>
        <v>0.4</v>
      </c>
      <c r="M51" s="168">
        <f>+'01-FR-03 POA INSTITUCIONAL'!M51</f>
        <v>0.25</v>
      </c>
      <c r="N51" s="168">
        <f>+'01-FR-03 POA INSTITUCIONAL'!N51</f>
        <v>0.05</v>
      </c>
      <c r="O51" s="372">
        <f>+'03-DIRECCIONAMIENTO TIC'!V19</f>
        <v>7.0000000000000007E-2</v>
      </c>
      <c r="P51" s="372">
        <f>+'03-DIRECCIONAMIENTO TIC'!W19</f>
        <v>7.0000000000000007E-2</v>
      </c>
      <c r="Q51" s="372">
        <f>+'03-DIRECCIONAMIENTO TIC'!AD19</f>
        <v>0.13</v>
      </c>
      <c r="R51" s="372">
        <f>+'03-DIRECCIONAMIENTO TIC'!AE19</f>
        <v>0.13</v>
      </c>
      <c r="S51" s="372">
        <f>+'03-DIRECCIONAMIENTO TIC'!AL19</f>
        <v>0.13</v>
      </c>
      <c r="T51" s="372">
        <f>+'03-DIRECCIONAMIENTO TIC'!AM19</f>
        <v>0.13</v>
      </c>
      <c r="U51" s="372">
        <f>+'03-DIRECCIONAMIENTO TIC'!AT19</f>
        <v>7.0000000000000007E-2</v>
      </c>
      <c r="V51" s="372">
        <f>+'03-DIRECCIONAMIENTO TIC'!AU19</f>
        <v>0</v>
      </c>
      <c r="W51" s="372">
        <f>+'03-DIRECCIONAMIENTO TIC'!AV19</f>
        <v>0.4</v>
      </c>
      <c r="X51" s="373">
        <f t="shared" si="7"/>
        <v>0.33</v>
      </c>
      <c r="Y51" s="676">
        <f t="shared" si="13"/>
        <v>0.82499999999999996</v>
      </c>
      <c r="Z51" s="372">
        <f t="shared" si="14"/>
        <v>0.33</v>
      </c>
      <c r="AA51" s="372">
        <f t="shared" si="15"/>
        <v>4.6200000000000005E-2</v>
      </c>
      <c r="AB51" s="1627"/>
      <c r="AD51" s="358">
        <f>+'03-DIRECCIONAMIENTO TIC'!BD19</f>
        <v>0.82499999999999996</v>
      </c>
      <c r="AE51" s="360">
        <f t="shared" si="16"/>
        <v>0</v>
      </c>
      <c r="AG51" s="358">
        <f>+'03-DIRECCIONAMIENTO TIC'!BH19</f>
        <v>0.33</v>
      </c>
      <c r="AH51" s="360">
        <f t="shared" si="17"/>
        <v>0</v>
      </c>
    </row>
    <row r="52" spans="2:35" ht="94.5" customHeight="1">
      <c r="B52" s="1514"/>
      <c r="C52" s="1512"/>
      <c r="D52" s="151" t="str">
        <f>+'01-FR-03 POA INSTITUCIONAL'!D52</f>
        <v>4.1.5 Desarrollar el 100% de los requerimientos prioritarios a Sistemas de Información y de apoyo que garanticen el óptimo desempeño de la gestión de los procesos en la Entidad</v>
      </c>
      <c r="E52" s="164">
        <f>+'01-FR-03 POA INSTITUCIONAL'!E52</f>
        <v>0.14000000000000001</v>
      </c>
      <c r="F52" s="165">
        <f>+'01-FR-03 POA INSTITUCIONAL'!F52</f>
        <v>1</v>
      </c>
      <c r="G52" s="154" t="str">
        <f>+'01-FR-03 POA INSTITUCIONAL'!G52</f>
        <v>S.I.</v>
      </c>
      <c r="H52" s="166" t="str">
        <f>+'01-FR-03 POA INSTITUCIONAL'!H52</f>
        <v>Cantidad de requerimientos prioritarios desarrollados para los sistemas información</v>
      </c>
      <c r="I52" s="151" t="str">
        <f>+'01-FR-03 POA INSTITUCIONAL'!I52</f>
        <v>Direccionamiento TIC</v>
      </c>
      <c r="J52" s="167" t="str">
        <f>+'01-FR-03 POA INSTITUCIONAL'!J52</f>
        <v>Dirección de Tecnologías de la  Información y las Comunicaciones</v>
      </c>
      <c r="K52" s="168">
        <f>+'01-FR-03 POA INSTITUCIONAL'!K52</f>
        <v>0.3</v>
      </c>
      <c r="L52" s="168">
        <f>+'01-FR-03 POA INSTITUCIONAL'!L52</f>
        <v>0.4</v>
      </c>
      <c r="M52" s="168">
        <f>+'01-FR-03 POA INSTITUCIONAL'!M52</f>
        <v>0.25</v>
      </c>
      <c r="N52" s="168">
        <f>+'01-FR-03 POA INSTITUCIONAL'!N52</f>
        <v>0.05</v>
      </c>
      <c r="O52" s="372">
        <f>+'03-DIRECCIONAMIENTO TIC'!V20</f>
        <v>7.0000000000000007E-2</v>
      </c>
      <c r="P52" s="372">
        <f>+'03-DIRECCIONAMIENTO TIC'!W20</f>
        <v>7.0000000000000007E-2</v>
      </c>
      <c r="Q52" s="372">
        <f>+'03-DIRECCIONAMIENTO TIC'!AD20</f>
        <v>0.13</v>
      </c>
      <c r="R52" s="372">
        <f>+'03-DIRECCIONAMIENTO TIC'!AE20</f>
        <v>0.13</v>
      </c>
      <c r="S52" s="372">
        <f>+'03-DIRECCIONAMIENTO TIC'!AL20</f>
        <v>0.13</v>
      </c>
      <c r="T52" s="372">
        <f>+'03-DIRECCIONAMIENTO TIC'!AM20</f>
        <v>0.13</v>
      </c>
      <c r="U52" s="372">
        <f>+'03-DIRECCIONAMIENTO TIC'!AT20</f>
        <v>7.0000000000000007E-2</v>
      </c>
      <c r="V52" s="372">
        <f>+'03-DIRECCIONAMIENTO TIC'!AU20</f>
        <v>0</v>
      </c>
      <c r="W52" s="372">
        <f>+'03-DIRECCIONAMIENTO TIC'!AV20</f>
        <v>0.4</v>
      </c>
      <c r="X52" s="373">
        <f t="shared" si="7"/>
        <v>0.33</v>
      </c>
      <c r="Y52" s="676">
        <f t="shared" si="13"/>
        <v>0.82499999999999996</v>
      </c>
      <c r="Z52" s="372">
        <f t="shared" si="14"/>
        <v>0.33</v>
      </c>
      <c r="AA52" s="372">
        <f t="shared" si="15"/>
        <v>4.6200000000000005E-2</v>
      </c>
      <c r="AB52" s="1627"/>
      <c r="AD52" s="358">
        <f>+'03-DIRECCIONAMIENTO TIC'!BD20</f>
        <v>0.82499999999999996</v>
      </c>
      <c r="AE52" s="360">
        <f t="shared" ref="AE52:AE55" si="18">Y52-AD52</f>
        <v>0</v>
      </c>
      <c r="AG52" s="358">
        <f>+'03-DIRECCIONAMIENTO TIC'!BH20</f>
        <v>0.33</v>
      </c>
      <c r="AH52" s="360">
        <f t="shared" ref="AH52:AH55" si="19">+Z52-AG52</f>
        <v>0</v>
      </c>
    </row>
    <row r="53" spans="2:35" ht="71.25" customHeight="1">
      <c r="B53" s="1514"/>
      <c r="C53" s="1512"/>
      <c r="D53" s="151" t="str">
        <f>+'01-FR-03 POA INSTITUCIONAL'!D53</f>
        <v>4.1.6 Implementar en un 100% las actividades programadas en el plan de uso y apropiación de las TIC, para una óptima gestión institucional</v>
      </c>
      <c r="E53" s="164">
        <f>+'01-FR-03 POA INSTITUCIONAL'!E53</f>
        <v>0.15</v>
      </c>
      <c r="F53" s="165">
        <f>+'01-FR-03 POA INSTITUCIONAL'!F53</f>
        <v>1</v>
      </c>
      <c r="G53" s="154" t="str">
        <f>+'01-FR-03 POA INSTITUCIONAL'!G53</f>
        <v>S.I.</v>
      </c>
      <c r="H53" s="166" t="str">
        <f>+'01-FR-03 POA INSTITUCIONAL'!H53</f>
        <v>Porcentaje de actividades ejecutadas del plan de uso y apropiación</v>
      </c>
      <c r="I53" s="151" t="str">
        <f>+'01-FR-03 POA INSTITUCIONAL'!I53</f>
        <v>Direccionamiento TIC</v>
      </c>
      <c r="J53" s="167" t="str">
        <f>+'01-FR-03 POA INSTITUCIONAL'!J53</f>
        <v>Dirección de Tecnologías de la  Información y las Comunicaciones</v>
      </c>
      <c r="K53" s="168">
        <f>+'01-FR-03 POA INSTITUCIONAL'!K53</f>
        <v>0.3</v>
      </c>
      <c r="L53" s="168">
        <f>+'01-FR-03 POA INSTITUCIONAL'!L53</f>
        <v>0.4</v>
      </c>
      <c r="M53" s="168">
        <f>+'01-FR-03 POA INSTITUCIONAL'!M53</f>
        <v>0.25</v>
      </c>
      <c r="N53" s="168">
        <f>+'01-FR-03 POA INSTITUCIONAL'!N53</f>
        <v>0.05</v>
      </c>
      <c r="O53" s="372">
        <f>+'03-DIRECCIONAMIENTO TIC'!V21</f>
        <v>7.0000000000000007E-2</v>
      </c>
      <c r="P53" s="372">
        <f>+'03-DIRECCIONAMIENTO TIC'!W21</f>
        <v>7.0000000000000007E-2</v>
      </c>
      <c r="Q53" s="372">
        <f>+'03-DIRECCIONAMIENTO TIC'!AD21</f>
        <v>0.13</v>
      </c>
      <c r="R53" s="372">
        <f>+'03-DIRECCIONAMIENTO TIC'!AE21</f>
        <v>0.13</v>
      </c>
      <c r="S53" s="372">
        <f>+'03-DIRECCIONAMIENTO TIC'!AL21</f>
        <v>0.13</v>
      </c>
      <c r="T53" s="372">
        <f>+'03-DIRECCIONAMIENTO TIC'!AM21</f>
        <v>0.13</v>
      </c>
      <c r="U53" s="372">
        <f>+'03-DIRECCIONAMIENTO TIC'!AT21</f>
        <v>7.0000000000000007E-2</v>
      </c>
      <c r="V53" s="372">
        <f>+'03-DIRECCIONAMIENTO TIC'!AU21</f>
        <v>0</v>
      </c>
      <c r="W53" s="372">
        <f>+'03-DIRECCIONAMIENTO TIC'!AV21</f>
        <v>0.4</v>
      </c>
      <c r="X53" s="373">
        <f t="shared" si="7"/>
        <v>0.33</v>
      </c>
      <c r="Y53" s="676">
        <f t="shared" si="13"/>
        <v>0.82499999999999996</v>
      </c>
      <c r="Z53" s="372">
        <f t="shared" si="14"/>
        <v>0.33</v>
      </c>
      <c r="AA53" s="372">
        <f t="shared" si="15"/>
        <v>4.9500000000000002E-2</v>
      </c>
      <c r="AB53" s="1627"/>
      <c r="AD53" s="358">
        <f>+'03-DIRECCIONAMIENTO TIC'!BD21</f>
        <v>0.82499999999999996</v>
      </c>
      <c r="AE53" s="360">
        <f t="shared" si="18"/>
        <v>0</v>
      </c>
      <c r="AG53" s="358">
        <f>+'03-DIRECCIONAMIENTO TIC'!BH21</f>
        <v>0.33</v>
      </c>
      <c r="AH53" s="360">
        <f t="shared" si="19"/>
        <v>0</v>
      </c>
    </row>
    <row r="54" spans="2:35" ht="87.75" customHeight="1">
      <c r="B54" s="1514"/>
      <c r="C54" s="1529"/>
      <c r="D54" s="151" t="str">
        <f>+'01-FR-03 POA INSTITUCIONAL'!D54</f>
        <v>4.1.7 Optimizar la infraestructura tecnológica cumpliendo el 100% de las actividades de la hoja de ruta proyectada para garantizar la prestación continua de los servicios en la Entidad</v>
      </c>
      <c r="E54" s="164">
        <f>+'01-FR-03 POA INSTITUCIONAL'!E54</f>
        <v>0.15</v>
      </c>
      <c r="F54" s="165">
        <f>+'01-FR-03 POA INSTITUCIONAL'!F54</f>
        <v>1</v>
      </c>
      <c r="G54" s="154" t="str">
        <f>+'01-FR-03 POA INSTITUCIONAL'!G54</f>
        <v>S.I</v>
      </c>
      <c r="H54" s="166" t="str">
        <f>+'01-FR-03 POA INSTITUCIONAL'!H54</f>
        <v>Porcentaje de actividades ejecutadas de la hoja de ruta de optimización tecnológica</v>
      </c>
      <c r="I54" s="151" t="str">
        <f>+'01-FR-03 POA INSTITUCIONAL'!I54</f>
        <v>Direccionamiento TIC</v>
      </c>
      <c r="J54" s="167" t="str">
        <f>+'01-FR-03 POA INSTITUCIONAL'!J54</f>
        <v>Dirección de Tecnologías de la  Información y las Comunicaciones</v>
      </c>
      <c r="K54" s="168">
        <f>+'01-FR-03 POA INSTITUCIONAL'!K54</f>
        <v>0.3</v>
      </c>
      <c r="L54" s="168">
        <f>+'01-FR-03 POA INSTITUCIONAL'!L54</f>
        <v>0.4</v>
      </c>
      <c r="M54" s="168">
        <f>+'01-FR-03 POA INSTITUCIONAL'!M54</f>
        <v>0.25</v>
      </c>
      <c r="N54" s="168">
        <f>+'01-FR-03 POA INSTITUCIONAL'!N54</f>
        <v>0.05</v>
      </c>
      <c r="O54" s="372">
        <f>+'03-DIRECCIONAMIENTO TIC'!V22</f>
        <v>7.0000000000000007E-2</v>
      </c>
      <c r="P54" s="372">
        <f>+'03-DIRECCIONAMIENTO TIC'!W22</f>
        <v>7.0000000000000007E-2</v>
      </c>
      <c r="Q54" s="372">
        <f>+'03-DIRECCIONAMIENTO TIC'!AD22</f>
        <v>0.13</v>
      </c>
      <c r="R54" s="372">
        <f>+'03-DIRECCIONAMIENTO TIC'!AE22</f>
        <v>0.13</v>
      </c>
      <c r="S54" s="372">
        <f>+'03-DIRECCIONAMIENTO TIC'!AL22</f>
        <v>0.13</v>
      </c>
      <c r="T54" s="372">
        <f>+'03-DIRECCIONAMIENTO TIC'!AM22</f>
        <v>0.13</v>
      </c>
      <c r="U54" s="372">
        <f>+'03-DIRECCIONAMIENTO TIC'!AT22</f>
        <v>7.0000000000000007E-2</v>
      </c>
      <c r="V54" s="372">
        <f>+'03-DIRECCIONAMIENTO TIC'!AU22</f>
        <v>0</v>
      </c>
      <c r="W54" s="372">
        <f>+'03-DIRECCIONAMIENTO TIC'!AV22</f>
        <v>0.4</v>
      </c>
      <c r="X54" s="373">
        <f t="shared" si="7"/>
        <v>0.33</v>
      </c>
      <c r="Y54" s="676">
        <f t="shared" si="13"/>
        <v>0.82499999999999996</v>
      </c>
      <c r="Z54" s="372">
        <f t="shared" si="14"/>
        <v>0.33</v>
      </c>
      <c r="AA54" s="372">
        <f t="shared" si="15"/>
        <v>4.9500000000000002E-2</v>
      </c>
      <c r="AB54" s="1628"/>
      <c r="AD54" s="358">
        <f>+'03-DIRECCIONAMIENTO TIC'!BD22</f>
        <v>0.82499999999999996</v>
      </c>
      <c r="AE54" s="360">
        <f t="shared" si="18"/>
        <v>0</v>
      </c>
      <c r="AG54" s="358">
        <f>+'03-DIRECCIONAMIENTO TIC'!BH22</f>
        <v>0.33</v>
      </c>
      <c r="AH54" s="360">
        <f t="shared" si="19"/>
        <v>0</v>
      </c>
    </row>
    <row r="55" spans="2:35" ht="105" customHeight="1">
      <c r="B55" s="1514"/>
      <c r="C55" s="1533" t="s">
        <v>143</v>
      </c>
      <c r="D55" s="31" t="str">
        <f>+'01-FR-03 POA INSTITUCIONAL'!D55</f>
        <v>4.2.1 Formular e implementar el 100% de las acciones para la Sostenibilidad y mejora del Sistema de Gestión de la Calidad 
-SGC- (Meta Transversal)</v>
      </c>
      <c r="E55" s="52">
        <f>+'01-FR-03 POA INSTITUCIONAL'!E55</f>
        <v>0.2</v>
      </c>
      <c r="F55" s="32">
        <f>+'01-FR-03 POA INSTITUCIONAL'!F55</f>
        <v>1</v>
      </c>
      <c r="G55" s="174">
        <f>+'01-FR-03 POA INSTITUCIONAL'!G55</f>
        <v>1</v>
      </c>
      <c r="H55" s="141" t="str">
        <f>+'01-FR-03 POA INSTITUCIONAL'!H55</f>
        <v xml:space="preserve">Porcentaje de acciones implementadas para la sostenibilidad y mejora del SGC </v>
      </c>
      <c r="I55" s="142" t="str">
        <f>+'01-FR-03 POA INSTITUCIONAL'!I55</f>
        <v>Direccionamiento Estratégico</v>
      </c>
      <c r="J55" s="143" t="str">
        <f>+'01-FR-03 POA INSTITUCIONAL'!J55</f>
        <v>Dirección de Planeación
Aportan: Dependencias lideradas por  Responsables de procesos y operativos de todos los procesos institucionales</v>
      </c>
      <c r="K55" s="145">
        <f>+'01-FR-03 POA INSTITUCIONAL'!K55</f>
        <v>1</v>
      </c>
      <c r="L55" s="145">
        <f>+'01-FR-03 POA INSTITUCIONAL'!L55</f>
        <v>1</v>
      </c>
      <c r="M55" s="145">
        <f>+'01-FR-03 POA INSTITUCIONAL'!M55</f>
        <v>1</v>
      </c>
      <c r="N55" s="145">
        <f>+'01-FR-03 POA INSTITUCIONAL'!N55</f>
        <v>1</v>
      </c>
      <c r="O55" s="376">
        <f>+'01-DIRECCIONAMIENTO ESTRATÉGICO'!V16</f>
        <v>0.24000000000000002</v>
      </c>
      <c r="P55" s="619">
        <f>+'01-DIRECCIONAMIENTO ESTRATÉGICO'!W16</f>
        <v>0.24000000000000002</v>
      </c>
      <c r="Q55" s="376">
        <f>+'01-DIRECCIONAMIENTO ESTRATÉGICO'!AD16</f>
        <v>0.27</v>
      </c>
      <c r="R55" s="619">
        <f>+'01-DIRECCIONAMIENTO ESTRATÉGICO'!AE16</f>
        <v>0.27799999999999997</v>
      </c>
      <c r="S55" s="376">
        <f>+'01-DIRECCIONAMIENTO ESTRATÉGICO'!AL16</f>
        <v>0.27</v>
      </c>
      <c r="T55" s="376">
        <f>+'01-DIRECCIONAMIENTO ESTRATÉGICO'!AM16</f>
        <v>0.27800000000000002</v>
      </c>
      <c r="U55" s="376">
        <f>+'01-DIRECCIONAMIENTO ESTRATÉGICO'!AT16</f>
        <v>0.22</v>
      </c>
      <c r="V55" s="919">
        <f>+'01-DIRECCIONAMIENTO ESTRATÉGICO'!AU16</f>
        <v>0</v>
      </c>
      <c r="W55" s="376">
        <f>+'01-DIRECCIONAMIENTO ESTRATÉGICO'!AV16</f>
        <v>1</v>
      </c>
      <c r="X55" s="395">
        <f t="shared" si="7"/>
        <v>0.79600000000000004</v>
      </c>
      <c r="Y55" s="673">
        <f t="shared" si="13"/>
        <v>0.79600000000000004</v>
      </c>
      <c r="Z55" s="355">
        <f>(IF(AND(X55&gt;0,$F55&gt;0),X55/$F55,0)/4)</f>
        <v>0.19900000000000001</v>
      </c>
      <c r="AA55" s="361">
        <f t="shared" si="15"/>
        <v>3.9800000000000002E-2</v>
      </c>
      <c r="AB55" s="1323">
        <f>SUM(AA55:AA60)</f>
        <v>0.36379047619047622</v>
      </c>
      <c r="AD55" s="358">
        <f>+'01-DIRECCIONAMIENTO ESTRATÉGICO'!BD16</f>
        <v>0.79600000000000004</v>
      </c>
      <c r="AE55" s="360">
        <f t="shared" si="18"/>
        <v>0</v>
      </c>
      <c r="AG55" s="358">
        <f>+'01-DIRECCIONAMIENTO ESTRATÉGICO'!BH16</f>
        <v>0.19900000000000001</v>
      </c>
      <c r="AH55" s="360">
        <f t="shared" si="19"/>
        <v>0</v>
      </c>
    </row>
    <row r="56" spans="2:35" ht="96" customHeight="1">
      <c r="B56" s="1514"/>
      <c r="C56" s="1564"/>
      <c r="D56" s="31" t="str">
        <f>+'01-FR-03 POA INSTITUCIONAL'!D56</f>
        <v>4.2.2 Implementar el 40% de las actividades requeridas para la sostenibilidad y mejora del MIPG, de acuerdo con la metodología establecida por la Función Pública. (Meta Transversal)</v>
      </c>
      <c r="E56" s="52">
        <f>+'01-FR-03 POA INSTITUCIONAL'!E56</f>
        <v>0.2</v>
      </c>
      <c r="F56" s="32">
        <f>+'01-FR-03 POA INSTITUCIONAL'!F56</f>
        <v>0.4</v>
      </c>
      <c r="G56" s="174">
        <f>+'01-FR-03 POA INSTITUCIONAL'!G56</f>
        <v>0.6</v>
      </c>
      <c r="H56" s="141" t="str">
        <f>+'01-FR-03 POA INSTITUCIONAL'!H56</f>
        <v>Porcentaje de actividades implementadas para la sostenibilidad  y mejora del MIPG</v>
      </c>
      <c r="I56" s="142" t="str">
        <f>+'01-FR-03 POA INSTITUCIONAL'!I56</f>
        <v>Direccionamiento Estratégico</v>
      </c>
      <c r="J56" s="143" t="str">
        <f>+'01-FR-03 POA INSTITUCIONAL'!J56</f>
        <v>Dirección de Planeación
Aportan: Dependencias lideradas por  Responsables de procesos y operativos de todos los procesos institucionales</v>
      </c>
      <c r="K56" s="145">
        <f>+'01-FR-03 POA INSTITUCIONAL'!K56</f>
        <v>0.22</v>
      </c>
      <c r="L56" s="145">
        <f>+'01-FR-03 POA INSTITUCIONAL'!L56</f>
        <v>0.14000000000000001</v>
      </c>
      <c r="M56" s="145">
        <f>+'01-FR-03 POA INSTITUCIONAL'!M56</f>
        <v>0.02</v>
      </c>
      <c r="N56" s="145">
        <f>+'01-FR-03 POA INSTITUCIONAL'!N56</f>
        <v>0.02</v>
      </c>
      <c r="O56" s="376">
        <f>+'01-DIRECCIONAMIENTO ESTRATÉGICO'!V17</f>
        <v>5.1000000000000004E-2</v>
      </c>
      <c r="P56" s="376">
        <f>+'01-DIRECCIONAMIENTO ESTRATÉGICO'!W17</f>
        <v>5.1000000000000004E-2</v>
      </c>
      <c r="Q56" s="376">
        <f>+'01-DIRECCIONAMIENTO ESTRATÉGICO'!AD17</f>
        <v>3.5999999999999997E-2</v>
      </c>
      <c r="R56" s="376">
        <f>+'01-DIRECCIONAMIENTO ESTRATÉGICO'!AE17</f>
        <v>3.5400000000000001E-2</v>
      </c>
      <c r="S56" s="376">
        <f>+'01-DIRECCIONAMIENTO ESTRATÉGICO'!AL17</f>
        <v>2.7E-2</v>
      </c>
      <c r="T56" s="376">
        <f>+'01-DIRECCIONAMIENTO ESTRATÉGICO'!AM17</f>
        <v>2.7E-2</v>
      </c>
      <c r="U56" s="376">
        <f>+'01-DIRECCIONAMIENTO ESTRATÉGICO'!AT17</f>
        <v>2.6000000000000002E-2</v>
      </c>
      <c r="V56" s="376">
        <f>+'01-DIRECCIONAMIENTO ESTRATÉGICO'!AU17</f>
        <v>0</v>
      </c>
      <c r="W56" s="376">
        <f>+'01-DIRECCIONAMIENTO ESTRATÉGICO'!AV17</f>
        <v>0.13999999999999999</v>
      </c>
      <c r="X56" s="377">
        <f t="shared" si="7"/>
        <v>0.1134</v>
      </c>
      <c r="Y56" s="674">
        <f t="shared" si="13"/>
        <v>0.81</v>
      </c>
      <c r="Z56" s="355">
        <f t="shared" si="14"/>
        <v>0.28349999999999997</v>
      </c>
      <c r="AA56" s="361">
        <f t="shared" si="15"/>
        <v>5.67E-2</v>
      </c>
      <c r="AB56" s="1629"/>
      <c r="AD56" s="358">
        <f>+'01-DIRECCIONAMIENTO ESTRATÉGICO'!BD17</f>
        <v>0.81</v>
      </c>
      <c r="AE56" s="360">
        <f t="shared" ref="AE56:AE61" si="20">Y56-AD56</f>
        <v>0</v>
      </c>
      <c r="AG56" s="358">
        <f>+'01-DIRECCIONAMIENTO ESTRATÉGICO'!BH17</f>
        <v>0.28349999999999997</v>
      </c>
      <c r="AH56" s="360">
        <f t="shared" ref="AH56:AH61" si="21">+Z56-AG56</f>
        <v>0</v>
      </c>
    </row>
    <row r="57" spans="2:35" ht="74.25" customHeight="1">
      <c r="B57" s="1514"/>
      <c r="C57" s="1564"/>
      <c r="D57" s="31" t="str">
        <f>+'01-FR-03 POA INSTITUCIONAL'!D57</f>
        <v>4.2.3 Implementar el 100% de los requisitos del Sistema de Gestión Ambiental –SGA-, bajo los estándares de la norma ISO 14001</v>
      </c>
      <c r="E57" s="52">
        <f>+'01-FR-03 POA INSTITUCIONAL'!E57</f>
        <v>0.15</v>
      </c>
      <c r="F57" s="32">
        <f>+'01-FR-03 POA INSTITUCIONAL'!F57</f>
        <v>1</v>
      </c>
      <c r="G57" s="174" t="str">
        <f>+'01-FR-03 POA INSTITUCIONAL'!G57</f>
        <v>S.I.</v>
      </c>
      <c r="H57" s="141" t="str">
        <f>+'01-FR-03 POA INSTITUCIONAL'!H57</f>
        <v xml:space="preserve">Porcentaje de requisitos del  SGA implementados bajo los estándares de la norma ISO 14001 </v>
      </c>
      <c r="I57" s="142" t="str">
        <f>+'01-FR-03 POA INSTITUCIONAL'!I57</f>
        <v>Direccionamiento Estratégico</v>
      </c>
      <c r="J57" s="143" t="str">
        <f>+'01-FR-03 POA INSTITUCIONAL'!J57</f>
        <v>Dirección de Planeación</v>
      </c>
      <c r="K57" s="145">
        <f>+'01-FR-03 POA INSTITUCIONAL'!K57</f>
        <v>0.38</v>
      </c>
      <c r="L57" s="145">
        <f>+'01-FR-03 POA INSTITUCIONAL'!L57</f>
        <v>0.33</v>
      </c>
      <c r="M57" s="145">
        <f>+'01-FR-03 POA INSTITUCIONAL'!M57</f>
        <v>0.28999999999999998</v>
      </c>
      <c r="N57" s="145">
        <f>+'01-FR-03 POA INSTITUCIONAL'!N57</f>
        <v>0</v>
      </c>
      <c r="O57" s="376">
        <f>+'01-DIRECCIONAMIENTO ESTRATÉGICO'!V18</f>
        <v>8.7999999999999995E-2</v>
      </c>
      <c r="P57" s="376">
        <f>+'01-DIRECCIONAMIENTO ESTRATÉGICO'!W18</f>
        <v>8.7999999999999995E-2</v>
      </c>
      <c r="Q57" s="376">
        <f>+'01-DIRECCIONAMIENTO ESTRATÉGICO'!AD18</f>
        <v>8.7999999999999995E-2</v>
      </c>
      <c r="R57" s="376">
        <f>+'01-DIRECCIONAMIENTO ESTRATÉGICO'!AE18</f>
        <v>8.7999999999999995E-2</v>
      </c>
      <c r="S57" s="376">
        <f>+'01-DIRECCIONAMIENTO ESTRATÉGICO'!AL18</f>
        <v>8.7999999999999995E-2</v>
      </c>
      <c r="T57" s="376">
        <f>+'01-DIRECCIONAMIENTO ESTRATÉGICO'!AM18</f>
        <v>8.7999999999999995E-2</v>
      </c>
      <c r="U57" s="376">
        <f>+'01-DIRECCIONAMIENTO ESTRATÉGICO'!AT18</f>
        <v>6.6000000000000003E-2</v>
      </c>
      <c r="V57" s="376">
        <f>+'01-DIRECCIONAMIENTO ESTRATÉGICO'!AU18</f>
        <v>0</v>
      </c>
      <c r="W57" s="376">
        <f>+'01-DIRECCIONAMIENTO ESTRATÉGICO'!AV18</f>
        <v>0.33</v>
      </c>
      <c r="X57" s="377">
        <f t="shared" si="7"/>
        <v>0.26400000000000001</v>
      </c>
      <c r="Y57" s="674">
        <f t="shared" si="13"/>
        <v>0.8</v>
      </c>
      <c r="Z57" s="355">
        <f t="shared" si="14"/>
        <v>0.26400000000000001</v>
      </c>
      <c r="AA57" s="361">
        <f t="shared" si="15"/>
        <v>3.9600000000000003E-2</v>
      </c>
      <c r="AB57" s="1629"/>
      <c r="AD57" s="358">
        <f>+'01-DIRECCIONAMIENTO ESTRATÉGICO'!BD18</f>
        <v>0.8</v>
      </c>
      <c r="AE57" s="360">
        <f t="shared" si="20"/>
        <v>0</v>
      </c>
      <c r="AG57" s="358">
        <f>+'01-DIRECCIONAMIENTO ESTRATÉGICO'!BH18</f>
        <v>0.26400000000000001</v>
      </c>
      <c r="AH57" s="360">
        <f t="shared" si="21"/>
        <v>0</v>
      </c>
    </row>
    <row r="58" spans="2:35" ht="63" customHeight="1">
      <c r="B58" s="1514"/>
      <c r="C58" s="1564"/>
      <c r="D58" s="31" t="str">
        <f>+'01-FR-03 POA INSTITUCIONAL'!D58</f>
        <v>4.2.4 Realizar 12 acciones de monitoreo y revisión  al Plan Anticorrupción y de Atención al Ciudadano -PAAC- de la vigencia.</v>
      </c>
      <c r="E58" s="52">
        <f>+'01-FR-03 POA INSTITUCIONAL'!E58</f>
        <v>0.1</v>
      </c>
      <c r="F58" s="139">
        <f>+'01-FR-03 POA INSTITUCIONAL'!F58</f>
        <v>12</v>
      </c>
      <c r="G58" s="584" t="str">
        <f>+'01-FR-03 POA INSTITUCIONAL'!G58</f>
        <v>3 
(En el último año)</v>
      </c>
      <c r="H58" s="141" t="str">
        <f>+'01-FR-03 POA INSTITUCIONAL'!H58</f>
        <v>Acciones de monitoreo y revisión realizadas al PAAC</v>
      </c>
      <c r="I58" s="142" t="str">
        <f>+'01-FR-03 POA INSTITUCIONAL'!I58</f>
        <v>Direccionamiento Estratégico</v>
      </c>
      <c r="J58" s="143" t="str">
        <f>+'01-FR-03 POA INSTITUCIONAL'!J58</f>
        <v>Dirección de Planeación</v>
      </c>
      <c r="K58" s="144">
        <f>+'01-FR-03 POA INSTITUCIONAL'!K58</f>
        <v>3</v>
      </c>
      <c r="L58" s="144">
        <f>+'01-FR-03 POA INSTITUCIONAL'!L58</f>
        <v>3</v>
      </c>
      <c r="M58" s="144">
        <f>+'01-FR-03 POA INSTITUCIONAL'!M58</f>
        <v>3</v>
      </c>
      <c r="N58" s="144">
        <f>+'01-FR-03 POA INSTITUCIONAL'!N58</f>
        <v>3</v>
      </c>
      <c r="O58" s="173">
        <f>+'01-DIRECCIONAMIENTO ESTRATÉGICO'!V19</f>
        <v>1</v>
      </c>
      <c r="P58" s="173">
        <f>+'01-DIRECCIONAMIENTO ESTRATÉGICO'!W19</f>
        <v>1</v>
      </c>
      <c r="Q58" s="172">
        <f>+'01-DIRECCIONAMIENTO ESTRATÉGICO'!AD19</f>
        <v>1</v>
      </c>
      <c r="R58" s="172">
        <f>+'01-DIRECCIONAMIENTO ESTRATÉGICO'!AE19</f>
        <v>1</v>
      </c>
      <c r="S58" s="172">
        <f>+'01-DIRECCIONAMIENTO ESTRATÉGICO'!AL19</f>
        <v>1</v>
      </c>
      <c r="T58" s="172">
        <f>+'01-DIRECCIONAMIENTO ESTRATÉGICO'!AM19</f>
        <v>1</v>
      </c>
      <c r="U58" s="172">
        <f>+'01-DIRECCIONAMIENTO ESTRATÉGICO'!AT19</f>
        <v>0</v>
      </c>
      <c r="V58" s="172">
        <f>+'01-DIRECCIONAMIENTO ESTRATÉGICO'!AU19</f>
        <v>0</v>
      </c>
      <c r="W58" s="172">
        <f>+'01-DIRECCIONAMIENTO ESTRATÉGICO'!AV19</f>
        <v>3</v>
      </c>
      <c r="X58" s="371">
        <f t="shared" ref="X58:X60" si="22">+P58+R58+T58+V58</f>
        <v>3</v>
      </c>
      <c r="Y58" s="674">
        <f t="shared" si="13"/>
        <v>1</v>
      </c>
      <c r="Z58" s="355">
        <f t="shared" si="14"/>
        <v>0.25</v>
      </c>
      <c r="AA58" s="361">
        <f t="shared" si="15"/>
        <v>2.5000000000000001E-2</v>
      </c>
      <c r="AB58" s="1629"/>
      <c r="AD58" s="358">
        <f>+'01-DIRECCIONAMIENTO ESTRATÉGICO'!BD19</f>
        <v>1</v>
      </c>
      <c r="AE58" s="360">
        <f t="shared" si="20"/>
        <v>0</v>
      </c>
      <c r="AG58" s="358">
        <f>+'01-DIRECCIONAMIENTO ESTRATÉGICO'!BH19</f>
        <v>0.25</v>
      </c>
      <c r="AH58" s="360">
        <f t="shared" si="21"/>
        <v>0</v>
      </c>
    </row>
    <row r="59" spans="2:35" ht="63" customHeight="1">
      <c r="B59" s="1514"/>
      <c r="C59" s="1564"/>
      <c r="D59" s="31" t="str">
        <f>+'01-FR-03 POA INSTITUCIONAL'!D59</f>
        <v>4.2.5 Incrementar al 90% la percepción de los usuarios que califican como excelente y bueno el servicio en la Personería de Bogotá</v>
      </c>
      <c r="E59" s="52">
        <f>+'01-FR-03 POA INSTITUCIONAL'!E59</f>
        <v>0.2</v>
      </c>
      <c r="F59" s="32">
        <f>+'01-FR-03 POA INSTITUCIONAL'!F59</f>
        <v>0.9</v>
      </c>
      <c r="G59" s="174">
        <f>+'01-FR-03 POA INSTITUCIONAL'!G59</f>
        <v>0.86</v>
      </c>
      <c r="H59" s="141" t="str">
        <f>+'01-FR-03 POA INSTITUCIONAL'!H59</f>
        <v>Porcentaje de Percepción de los usuarios en calificación excelente y bueno incrementado</v>
      </c>
      <c r="I59" s="142" t="str">
        <f>+'01-FR-03 POA INSTITUCIONAL'!I59</f>
        <v>Servicio al Usuario</v>
      </c>
      <c r="J59" s="143" t="str">
        <f>+'01-FR-03 POA INSTITUCIONAL'!J59</f>
        <v>Secretaría General</v>
      </c>
      <c r="K59" s="145">
        <f>+'01-FR-03 POA INSTITUCIONAL'!K59</f>
        <v>0.9</v>
      </c>
      <c r="L59" s="145">
        <f>+'01-FR-03 POA INSTITUCIONAL'!L59</f>
        <v>0.9</v>
      </c>
      <c r="M59" s="145">
        <f>+'01-FR-03 POA INSTITUCIONAL'!M59</f>
        <v>0.9</v>
      </c>
      <c r="N59" s="145">
        <f>+'01-FR-03 POA INSTITUCIONAL'!N59</f>
        <v>0.9</v>
      </c>
      <c r="O59" s="398">
        <f>+'14-SERVICIO AL USUARIO'!V16</f>
        <v>0.9</v>
      </c>
      <c r="P59" s="399">
        <f>+'14-SERVICIO AL USUARIO'!W16</f>
        <v>0.95899999999999996</v>
      </c>
      <c r="Q59" s="398">
        <f>+'14-SERVICIO AL USUARIO'!AD16</f>
        <v>0</v>
      </c>
      <c r="R59" s="398">
        <f>+'14-SERVICIO AL USUARIO'!AE16</f>
        <v>0</v>
      </c>
      <c r="S59" s="398">
        <f>+'14-SERVICIO AL USUARIO'!AL16</f>
        <v>0.9</v>
      </c>
      <c r="T59" s="398">
        <f>+'14-SERVICIO AL USUARIO'!AM16</f>
        <v>0.96</v>
      </c>
      <c r="U59" s="398">
        <f>+'14-SERVICIO AL USUARIO'!AT16</f>
        <v>0</v>
      </c>
      <c r="V59" s="945">
        <f>+'14-SERVICIO AL USUARIO'!AU16</f>
        <v>0</v>
      </c>
      <c r="W59" s="398">
        <f>+'14-SERVICIO AL USUARIO'!AV16</f>
        <v>0.9</v>
      </c>
      <c r="X59" s="1148">
        <f>IFERROR(IF(OR($W$59="",$W$59=0),0,ROUNDDOWN(AVERAGE($P59,T59),3)),0)</f>
        <v>0.95899999999999996</v>
      </c>
      <c r="Y59" s="674">
        <f>IF(AND(X59&gt;0,$W59&gt;0),X59/$W59,0)</f>
        <v>1.0655555555555556</v>
      </c>
      <c r="Z59" s="1137">
        <f>(IF(AND(X59&gt;0,$F59&gt;0),X59/$F59,0))*0.75</f>
        <v>0.79916666666666669</v>
      </c>
      <c r="AA59" s="400">
        <f t="shared" si="15"/>
        <v>0.15983333333333336</v>
      </c>
      <c r="AB59" s="1629"/>
      <c r="AD59" s="358">
        <f>+'14-SERVICIO AL USUARIO'!BD16</f>
        <v>1.0666666666666667</v>
      </c>
      <c r="AE59" s="360">
        <f t="shared" si="20"/>
        <v>-1.1111111111110628E-3</v>
      </c>
      <c r="AF59" s="138"/>
      <c r="AG59" s="358">
        <f>+'14-SERVICIO AL USUARIO'!BH16</f>
        <v>0.26666666666666666</v>
      </c>
      <c r="AH59" s="360">
        <f t="shared" si="21"/>
        <v>0.53249999999999997</v>
      </c>
    </row>
    <row r="60" spans="2:35" ht="70.5" customHeight="1">
      <c r="B60" s="1514"/>
      <c r="C60" s="1534"/>
      <c r="D60" s="31" t="str">
        <f>+'01-FR-03 POA INSTITUCIONAL'!D60</f>
        <v xml:space="preserve">4.2.6 Implementar 7 lineamientos en compromiso con la calidad para satisfacer las necesidades y expectativas de los (as) usuarios(as) y partes interesadas </v>
      </c>
      <c r="E60" s="52">
        <f>+'01-FR-03 POA INSTITUCIONAL'!E60</f>
        <v>0.15</v>
      </c>
      <c r="F60" s="139">
        <f>+'01-FR-03 POA INSTITUCIONAL'!F60</f>
        <v>7</v>
      </c>
      <c r="G60" s="584">
        <f>+'01-FR-03 POA INSTITUCIONAL'!G60</f>
        <v>3</v>
      </c>
      <c r="H60" s="141" t="str">
        <f>+'01-FR-03 POA INSTITUCIONAL'!H60</f>
        <v>Lineamientos implementados</v>
      </c>
      <c r="I60" s="142" t="str">
        <f>+'01-FR-03 POA INSTITUCIONAL'!I60</f>
        <v>Servicio al Usuario</v>
      </c>
      <c r="J60" s="143" t="str">
        <f>+'01-FR-03 POA INSTITUCIONAL'!J60</f>
        <v>Secretaría General</v>
      </c>
      <c r="K60" s="144">
        <f>+'01-FR-03 POA INSTITUCIONAL'!K60</f>
        <v>2</v>
      </c>
      <c r="L60" s="144">
        <f>+'01-FR-03 POA INSTITUCIONAL'!L60</f>
        <v>3</v>
      </c>
      <c r="M60" s="144">
        <f>+'01-FR-03 POA INSTITUCIONAL'!M60</f>
        <v>1</v>
      </c>
      <c r="N60" s="144">
        <f>+'01-FR-03 POA INSTITUCIONAL'!N60</f>
        <v>1</v>
      </c>
      <c r="O60" s="401">
        <f>+'14-SERVICIO AL USUARIO'!V17</f>
        <v>1</v>
      </c>
      <c r="P60" s="401">
        <f>+'14-SERVICIO AL USUARIO'!W17</f>
        <v>1</v>
      </c>
      <c r="Q60" s="401">
        <f>+'14-SERVICIO AL USUARIO'!AD17</f>
        <v>1</v>
      </c>
      <c r="R60" s="401">
        <f>+'14-SERVICIO AL USUARIO'!AE17</f>
        <v>1</v>
      </c>
      <c r="S60" s="401">
        <f>+'14-SERVICIO AL USUARIO'!AL17</f>
        <v>0</v>
      </c>
      <c r="T60" s="401">
        <f>+'14-SERVICIO AL USUARIO'!AM17</f>
        <v>0</v>
      </c>
      <c r="U60" s="401">
        <f>+'14-SERVICIO AL USUARIO'!AT17</f>
        <v>1</v>
      </c>
      <c r="V60" s="401">
        <f>+'14-SERVICIO AL USUARIO'!AU17</f>
        <v>0</v>
      </c>
      <c r="W60" s="401">
        <f>+'14-SERVICIO AL USUARIO'!AV17</f>
        <v>3</v>
      </c>
      <c r="X60" s="402">
        <f t="shared" si="22"/>
        <v>2</v>
      </c>
      <c r="Y60" s="678">
        <f t="shared" si="13"/>
        <v>0.66666666666666663</v>
      </c>
      <c r="Z60" s="384">
        <f>IF(AND(X60&gt;0,$F60&gt;0),X60/$F60,0)</f>
        <v>0.2857142857142857</v>
      </c>
      <c r="AA60" s="400">
        <f t="shared" si="15"/>
        <v>4.2857142857142851E-2</v>
      </c>
      <c r="AB60" s="1630"/>
      <c r="AD60" s="358">
        <f>+'14-SERVICIO AL USUARIO'!BD17</f>
        <v>0.66666666666666663</v>
      </c>
      <c r="AE60" s="360">
        <f t="shared" si="20"/>
        <v>0</v>
      </c>
      <c r="AF60" s="138"/>
      <c r="AG60" s="358">
        <f>+'14-SERVICIO AL USUARIO'!BH17</f>
        <v>0.2857142857142857</v>
      </c>
      <c r="AH60" s="360">
        <f t="shared" si="21"/>
        <v>0</v>
      </c>
      <c r="AI60" s="917"/>
    </row>
    <row r="61" spans="2:35" ht="60" customHeight="1">
      <c r="B61" s="1514"/>
      <c r="C61" s="1528" t="s">
        <v>144</v>
      </c>
      <c r="D61" s="151" t="str">
        <f>+'01-FR-03 POA INSTITUCIONAL'!D61</f>
        <v xml:space="preserve">4.3.1 Gestionar el 100% de las novedades y situaciones administrativas de los servidores públicos de la Entidad.
</v>
      </c>
      <c r="E61" s="164">
        <f>+'01-FR-03 POA INSTITUCIONAL'!E61</f>
        <v>0.1</v>
      </c>
      <c r="F61" s="165">
        <f>+'01-FR-03 POA INSTITUCIONAL'!F61</f>
        <v>1</v>
      </c>
      <c r="G61" s="154">
        <f>+'01-FR-03 POA INSTITUCIONAL'!G61</f>
        <v>1</v>
      </c>
      <c r="H61" s="166" t="str">
        <f>+'01-FR-03 POA INSTITUCIONAL'!H61</f>
        <v>Porcentaje de novedades y situaciones administrativas gestionadas</v>
      </c>
      <c r="I61" s="151" t="str">
        <f>+'01-FR-03 POA INSTITUCIONAL'!I61</f>
        <v>Gestión del Talento Humano</v>
      </c>
      <c r="J61" s="167" t="str">
        <f>+'01-FR-03 POA INSTITUCIONAL'!J61</f>
        <v xml:space="preserve">
Dirección de Talento Humano
</v>
      </c>
      <c r="K61" s="168">
        <f>+'01-FR-03 POA INSTITUCIONAL'!K61</f>
        <v>1</v>
      </c>
      <c r="L61" s="168">
        <f>+'01-FR-03 POA INSTITUCIONAL'!L61</f>
        <v>1</v>
      </c>
      <c r="M61" s="168">
        <f>+'01-FR-03 POA INSTITUCIONAL'!M61</f>
        <v>1</v>
      </c>
      <c r="N61" s="168">
        <f>+'01-FR-03 POA INSTITUCIONAL'!N61</f>
        <v>1</v>
      </c>
      <c r="O61" s="380">
        <f>+'08-G. DEL TALENTO HUMANO'!V16</f>
        <v>1</v>
      </c>
      <c r="P61" s="380">
        <f>+'08-G. DEL TALENTO HUMANO'!W16</f>
        <v>1</v>
      </c>
      <c r="Q61" s="181">
        <f>+'08-G. DEL TALENTO HUMANO'!AD16</f>
        <v>1</v>
      </c>
      <c r="R61" s="380">
        <f>+'08-G. DEL TALENTO HUMANO'!AE16</f>
        <v>1</v>
      </c>
      <c r="S61" s="181">
        <f>+'08-G. DEL TALENTO HUMANO'!AL16</f>
        <v>1</v>
      </c>
      <c r="T61" s="181">
        <f>'08-G. DEL TALENTO HUMANO'!AM16</f>
        <v>1</v>
      </c>
      <c r="U61" s="181">
        <f>+'08-G. DEL TALENTO HUMANO'!AT16</f>
        <v>1</v>
      </c>
      <c r="V61" s="181">
        <f>+'08-G. DEL TALENTO HUMANO'!AU16</f>
        <v>0</v>
      </c>
      <c r="W61" s="181">
        <f>+'08-G. DEL TALENTO HUMANO'!AV16</f>
        <v>1</v>
      </c>
      <c r="X61" s="366">
        <f>IFERROR(IF(OR($W$61="",$W$61=0),0,ROUNDDOWN(AVERAGE($P61,R61,T61),3)),0)</f>
        <v>1</v>
      </c>
      <c r="Y61" s="1135">
        <f>IF(AND(X61&gt;0,$W61&gt;0),X61/$W61,0)*0.75</f>
        <v>0.75</v>
      </c>
      <c r="Z61" s="1135">
        <f>((IF(AND(X61&gt;0,$F61&gt;0),X61/$F61,0))/4)*0.75</f>
        <v>0.1875</v>
      </c>
      <c r="AA61" s="381">
        <f t="shared" si="15"/>
        <v>1.8750000000000003E-2</v>
      </c>
      <c r="AB61" s="1631">
        <f>SUM(AA61:AA68)</f>
        <v>0.16430101190476187</v>
      </c>
      <c r="AD61" s="358">
        <f>+'08-G. DEL TALENTO HUMANO'!BD16</f>
        <v>0.75</v>
      </c>
      <c r="AE61" s="360">
        <f t="shared" si="20"/>
        <v>0</v>
      </c>
      <c r="AG61" s="358">
        <f>+'08-G. DEL TALENTO HUMANO'!BH16</f>
        <v>0.1875</v>
      </c>
      <c r="AH61" s="360">
        <f t="shared" si="21"/>
        <v>0</v>
      </c>
    </row>
    <row r="62" spans="2:35" ht="88.5" customHeight="1">
      <c r="B62" s="1514"/>
      <c r="C62" s="1512"/>
      <c r="D62" s="151" t="str">
        <f>+'01-FR-03 POA INSTITUCIONAL'!D62</f>
        <v xml:space="preserve">4.3.2 Incluir el 97,8% de las Novedades en la nómina oportunamente, para liquidación y pago </v>
      </c>
      <c r="E62" s="164">
        <f>+'01-FR-03 POA INSTITUCIONAL'!E62</f>
        <v>0.1</v>
      </c>
      <c r="F62" s="947">
        <f>+'01-FR-03 POA INSTITUCIONAL'!F62</f>
        <v>0.97799999999999998</v>
      </c>
      <c r="G62" s="154">
        <f>+'01-FR-03 POA INSTITUCIONAL'!G62</f>
        <v>0.97</v>
      </c>
      <c r="H62" s="166" t="str">
        <f>+'01-FR-03 POA INSTITUCIONAL'!H62</f>
        <v xml:space="preserve">Novedades incluidas en la nómina  oportunamente  </v>
      </c>
      <c r="I62" s="151" t="str">
        <f>+'01-FR-03 POA INSTITUCIONAL'!I62</f>
        <v>Gestión del Talento Humano</v>
      </c>
      <c r="J62" s="167" t="str">
        <f>+'01-FR-03 POA INSTITUCIONAL'!J62</f>
        <v>Dependencia Líder: 
Dirección de Talento Humano
Dependencia Operativa:
Subdirección de Gestión del Talento Humano</v>
      </c>
      <c r="K62" s="168">
        <f>+'01-FR-03 POA INSTITUCIONAL'!K62</f>
        <v>0.97</v>
      </c>
      <c r="L62" s="168">
        <f>+'01-FR-03 POA INSTITUCIONAL'!L62</f>
        <v>0.98</v>
      </c>
      <c r="M62" s="168">
        <f>+'01-FR-03 POA INSTITUCIONAL'!M62</f>
        <v>0.98</v>
      </c>
      <c r="N62" s="168">
        <f>+'01-FR-03 POA INSTITUCIONAL'!N62</f>
        <v>0.98</v>
      </c>
      <c r="O62" s="380">
        <f>+'08-G. DEL TALENTO HUMANO'!V17</f>
        <v>0.98</v>
      </c>
      <c r="P62" s="380">
        <f>+'08-G. DEL TALENTO HUMANO'!W17</f>
        <v>0.98766666666666669</v>
      </c>
      <c r="Q62" s="181">
        <f>+'08-G. DEL TALENTO HUMANO'!AD17</f>
        <v>0.98</v>
      </c>
      <c r="R62" s="380">
        <f>+'08-G. DEL TALENTO HUMANO'!AE17</f>
        <v>0.95699999999999996</v>
      </c>
      <c r="S62" s="181">
        <f>+'08-G. DEL TALENTO HUMANO'!AL17</f>
        <v>0.98</v>
      </c>
      <c r="T62" s="380">
        <f>'08-G. DEL TALENTO HUMANO'!AM17</f>
        <v>0.9903333333333334</v>
      </c>
      <c r="U62" s="181">
        <f>+'08-G. DEL TALENTO HUMANO'!AT17</f>
        <v>0.98</v>
      </c>
      <c r="V62" s="181">
        <f>+'08-G. DEL TALENTO HUMANO'!AU17</f>
        <v>0</v>
      </c>
      <c r="W62" s="380">
        <f>+'08-G. DEL TALENTO HUMANO'!AV17</f>
        <v>0.98000000000000032</v>
      </c>
      <c r="X62" s="366">
        <f>IFERROR(IF(OR($W$62="",$W$62=0),0,ROUNDDOWN(AVERAGE($P62,R62,T62),3)),0)</f>
        <v>0.97799999999999998</v>
      </c>
      <c r="Y62" s="1135">
        <f>IF(AND(X62&gt;0,$W62&gt;0),X62/$W62,0)*0.75</f>
        <v>0.74846938775510174</v>
      </c>
      <c r="Z62" s="1135">
        <f>((IF(AND(X62&gt;0,$F62&gt;0),X62/$F62,0))/4)*0.75</f>
        <v>0.1875</v>
      </c>
      <c r="AA62" s="381">
        <f t="shared" si="15"/>
        <v>1.8750000000000003E-2</v>
      </c>
      <c r="AB62" s="1632"/>
      <c r="AD62" s="358">
        <f>+'08-G. DEL TALENTO HUMANO'!BD17</f>
        <v>0.74795918367346914</v>
      </c>
      <c r="AE62" s="360">
        <f t="shared" ref="AE62:AE71" si="23">Y62-AD62</f>
        <v>5.1020408163260367E-4</v>
      </c>
      <c r="AG62" s="358">
        <f>+'08-G. DEL TALENTO HUMANO'!BH17</f>
        <v>0.18737218813905931</v>
      </c>
      <c r="AH62" s="360">
        <f t="shared" ref="AH62:AH69" si="24">+Z62-AG62</f>
        <v>1.2781186094068531E-4</v>
      </c>
    </row>
    <row r="63" spans="2:35" ht="99.75" customHeight="1">
      <c r="B63" s="1514"/>
      <c r="C63" s="1512"/>
      <c r="D63" s="151" t="str">
        <f>+'01-FR-03 POA INSTITUCIONAL'!D63</f>
        <v xml:space="preserve">4.3.3 Lograr el 94,5 % de usuarios internos  satisfechos con las solicitudes de servicios atendidas de la SGTH (Certificaciones laborales, bonos pensionales y autorizaciones de retiro de cesantías). </v>
      </c>
      <c r="E63" s="164">
        <f>+'01-FR-03 POA INSTITUCIONAL'!E63</f>
        <v>0.1</v>
      </c>
      <c r="F63" s="947">
        <f>+'01-FR-03 POA INSTITUCIONAL'!F63</f>
        <v>0.94499999999999995</v>
      </c>
      <c r="G63" s="154" t="str">
        <f>+'01-FR-03 POA INSTITUCIONAL'!G63</f>
        <v>S.I.</v>
      </c>
      <c r="H63" s="166" t="str">
        <f>+'01-FR-03 POA INSTITUCIONAL'!H63</f>
        <v>Porcentaje de Usuarios internos satisfechos con las solicitudes de los servicios atendidas de la SGTH (Certificaciones laborales, bonos pensionales y autorizaciones de retiro de cesantías)</v>
      </c>
      <c r="I63" s="151" t="str">
        <f>+'01-FR-03 POA INSTITUCIONAL'!I63</f>
        <v>Gestión del Talento Humano</v>
      </c>
      <c r="J63" s="167" t="str">
        <f>+'01-FR-03 POA INSTITUCIONAL'!J63</f>
        <v>Dependencia Líder: 
Dirección de Talento Humano
Dependencia Operativa:
Subdirección de Gestión del Talento Humano</v>
      </c>
      <c r="K63" s="168">
        <f>+'01-FR-03 POA INSTITUCIONAL'!K63</f>
        <v>0.9</v>
      </c>
      <c r="L63" s="168">
        <f>+'01-FR-03 POA INSTITUCIONAL'!L63</f>
        <v>0.96</v>
      </c>
      <c r="M63" s="168">
        <f>+'01-FR-03 POA INSTITUCIONAL'!M63</f>
        <v>0.96</v>
      </c>
      <c r="N63" s="168">
        <f>+'01-FR-03 POA INSTITUCIONAL'!N63</f>
        <v>0.96</v>
      </c>
      <c r="O63" s="380">
        <f>+'08-G. DEL TALENTO HUMANO'!V18</f>
        <v>0.96</v>
      </c>
      <c r="P63" s="380">
        <f>+'08-G. DEL TALENTO HUMANO'!W18</f>
        <v>0.92900000000000005</v>
      </c>
      <c r="Q63" s="181">
        <f>+'08-G. DEL TALENTO HUMANO'!AD18</f>
        <v>0.96</v>
      </c>
      <c r="R63" s="380">
        <f>+'08-G. DEL TALENTO HUMANO'!AE18</f>
        <v>0.99199999999999999</v>
      </c>
      <c r="S63" s="181">
        <f>+'08-G. DEL TALENTO HUMANO'!AL18</f>
        <v>0.96</v>
      </c>
      <c r="T63" s="380">
        <f>'08-G. DEL TALENTO HUMANO'!AM18</f>
        <v>0.97</v>
      </c>
      <c r="U63" s="181">
        <f>+'08-G. DEL TALENTO HUMANO'!AT18</f>
        <v>0.96</v>
      </c>
      <c r="V63" s="181">
        <f>+'08-G. DEL TALENTO HUMANO'!AU18</f>
        <v>0</v>
      </c>
      <c r="W63" s="380">
        <f>+'08-G. DEL TALENTO HUMANO'!AV18</f>
        <v>0.96000000000000008</v>
      </c>
      <c r="X63" s="366">
        <f>IFERROR(IF(OR($W$63="",$W$63=0),0,ROUNDDOWN(AVERAGE(R63,T63,P63),3)),0)</f>
        <v>0.96299999999999997</v>
      </c>
      <c r="Y63" s="1135">
        <f>IF(AND(X63&gt;0,$W63&gt;0),X63/$W63,0)*0.75</f>
        <v>0.75234374999999987</v>
      </c>
      <c r="Z63" s="1135">
        <f>((IF(AND(X63&gt;0,$F63&gt;0),X63/$F63,0))/4)*0.75</f>
        <v>0.19107142857142856</v>
      </c>
      <c r="AA63" s="381">
        <f t="shared" si="15"/>
        <v>1.9107142857142857E-2</v>
      </c>
      <c r="AB63" s="1632"/>
      <c r="AD63" s="358">
        <f>+'08-G. DEL TALENTO HUMANO'!BD18</f>
        <v>1.0218749999999999</v>
      </c>
      <c r="AE63" s="360">
        <f t="shared" si="23"/>
        <v>-0.26953125</v>
      </c>
      <c r="AG63" s="358">
        <f>+'08-G. DEL TALENTO HUMANO'!BH18</f>
        <v>0.25952380952380955</v>
      </c>
      <c r="AH63" s="360">
        <f t="shared" si="24"/>
        <v>-6.8452380952380987E-2</v>
      </c>
    </row>
    <row r="64" spans="2:35" ht="87" customHeight="1">
      <c r="B64" s="1514"/>
      <c r="C64" s="1512"/>
      <c r="D64" s="151" t="str">
        <f>+'01-FR-03 POA INSTITUCIONAL'!D64</f>
        <v xml:space="preserve">4.3.4 Formular e implementar el 100% del Plan Institucional de Capacitación de la vigencia.
</v>
      </c>
      <c r="E64" s="164">
        <f>+'01-FR-03 POA INSTITUCIONAL'!E64</f>
        <v>0.15</v>
      </c>
      <c r="F64" s="165">
        <f>+'01-FR-03 POA INSTITUCIONAL'!F64</f>
        <v>1</v>
      </c>
      <c r="G64" s="154">
        <f>+'01-FR-03 POA INSTITUCIONAL'!G64</f>
        <v>1</v>
      </c>
      <c r="H64" s="166" t="str">
        <f>+'01-FR-03 POA INSTITUCIONAL'!H64</f>
        <v>Plan Institucional de Capacitación formulado y ejecutado</v>
      </c>
      <c r="I64" s="151" t="str">
        <f>+'01-FR-03 POA INSTITUCIONAL'!I64</f>
        <v>Gestión del Talento Humano</v>
      </c>
      <c r="J64" s="167" t="str">
        <f>+'01-FR-03 POA INSTITUCIONAL'!J64</f>
        <v>Dependencia Líder: 
Dirección de Talento Humano
Dependencia Operativa:
Subdirección de Desarrollo del Talento Humano</v>
      </c>
      <c r="K64" s="168">
        <f>+'01-FR-03 POA INSTITUCIONAL'!K64</f>
        <v>1</v>
      </c>
      <c r="L64" s="168">
        <f>+'01-FR-03 POA INSTITUCIONAL'!L64</f>
        <v>1</v>
      </c>
      <c r="M64" s="168">
        <f>+'01-FR-03 POA INSTITUCIONAL'!M64</f>
        <v>1</v>
      </c>
      <c r="N64" s="168">
        <f>+'01-FR-03 POA INSTITUCIONAL'!N64</f>
        <v>1</v>
      </c>
      <c r="O64" s="380">
        <f>+'08-G. DEL TALENTO HUMANO'!V19</f>
        <v>0.3</v>
      </c>
      <c r="P64" s="380">
        <f>+'08-G. DEL TALENTO HUMANO'!W19</f>
        <v>0.3</v>
      </c>
      <c r="Q64" s="380">
        <f>+'08-G. DEL TALENTO HUMANO'!AD19</f>
        <v>0.15000000000000002</v>
      </c>
      <c r="R64" s="380">
        <f>+'08-G. DEL TALENTO HUMANO'!AE19</f>
        <v>0.15000000000000002</v>
      </c>
      <c r="S64" s="380">
        <f>+'08-G. DEL TALENTO HUMANO'!AL19</f>
        <v>0.2</v>
      </c>
      <c r="T64" s="886">
        <f>+'08-G. DEL TALENTO HUMANO'!AM19</f>
        <v>0.1</v>
      </c>
      <c r="U64" s="380">
        <f>+'08-G. DEL TALENTO HUMANO'!AT19</f>
        <v>0.35000000000000003</v>
      </c>
      <c r="V64" s="380">
        <f>+'08-G. DEL TALENTO HUMANO'!AU19</f>
        <v>0</v>
      </c>
      <c r="W64" s="380">
        <f>+'08-G. DEL TALENTO HUMANO'!AV19</f>
        <v>1</v>
      </c>
      <c r="X64" s="373">
        <f t="shared" ref="X64:X68" si="25">+P64+R64+T64+V64</f>
        <v>0.55000000000000004</v>
      </c>
      <c r="Y64" s="680">
        <f>IF(AND(X64&gt;0,$W64&gt;0),X64/$W64,0)</f>
        <v>0.55000000000000004</v>
      </c>
      <c r="Z64" s="381">
        <f>(IF(AND(X64&gt;0,$F64&gt;0),X64/$F64,0)/4)</f>
        <v>0.13750000000000001</v>
      </c>
      <c r="AA64" s="382">
        <f>IF(AND(Z64&gt;0,E64&gt;0),Z64*E64,0)</f>
        <v>2.0625000000000001E-2</v>
      </c>
      <c r="AB64" s="1632"/>
      <c r="AD64" s="358">
        <f>+'08-G. DEL TALENTO HUMANO'!BD19</f>
        <v>0.55000000000000004</v>
      </c>
      <c r="AE64" s="360">
        <f t="shared" si="23"/>
        <v>0</v>
      </c>
      <c r="AG64" s="358">
        <f>+'08-G. DEL TALENTO HUMANO'!BH19</f>
        <v>0.13750000000000001</v>
      </c>
      <c r="AH64" s="360">
        <f>+Z64-AG64</f>
        <v>0</v>
      </c>
    </row>
    <row r="65" spans="2:34" ht="88.15" customHeight="1">
      <c r="B65" s="1514"/>
      <c r="C65" s="1512"/>
      <c r="D65" s="151" t="str">
        <f>+'01-FR-03 POA INSTITUCIONAL'!D65</f>
        <v>4.3.5 Formular e implementar el 100% del Plan Institucional de Bienestar de la vigencia .</v>
      </c>
      <c r="E65" s="164">
        <f>+'01-FR-03 POA INSTITUCIONAL'!E65</f>
        <v>0.15</v>
      </c>
      <c r="F65" s="165">
        <f>+'01-FR-03 POA INSTITUCIONAL'!F65</f>
        <v>1</v>
      </c>
      <c r="G65" s="154">
        <f>+'01-FR-03 POA INSTITUCIONAL'!G65</f>
        <v>1</v>
      </c>
      <c r="H65" s="166" t="str">
        <f>+'01-FR-03 POA INSTITUCIONAL'!H65</f>
        <v>Plan Institucional de Bienestar formulado y ejecutado</v>
      </c>
      <c r="I65" s="151" t="str">
        <f>+'01-FR-03 POA INSTITUCIONAL'!I65</f>
        <v>Gestión del Talento Humano</v>
      </c>
      <c r="J65" s="167" t="str">
        <f>+'01-FR-03 POA INSTITUCIONAL'!J65</f>
        <v>Dependencia Líder: 
Dirección de Talento Humano
Dependencia Operativa:
Subdirección de Desarrollo del Talento Humano</v>
      </c>
      <c r="K65" s="168">
        <f>+'01-FR-03 POA INSTITUCIONAL'!K65</f>
        <v>1</v>
      </c>
      <c r="L65" s="168">
        <f>+'01-FR-03 POA INSTITUCIONAL'!L65</f>
        <v>1</v>
      </c>
      <c r="M65" s="168">
        <f>+'01-FR-03 POA INSTITUCIONAL'!M65</f>
        <v>1</v>
      </c>
      <c r="N65" s="168">
        <f>+'01-FR-03 POA INSTITUCIONAL'!N65</f>
        <v>1</v>
      </c>
      <c r="O65" s="380">
        <f>+'08-G. DEL TALENTO HUMANO'!V20</f>
        <v>0.25830000000000003</v>
      </c>
      <c r="P65" s="380">
        <f>+'08-G. DEL TALENTO HUMANO'!W20</f>
        <v>0.25830000000000003</v>
      </c>
      <c r="Q65" s="380">
        <f>+'08-G. DEL TALENTO HUMANO'!AD20</f>
        <v>0.17499999999999999</v>
      </c>
      <c r="R65" s="380">
        <f>+'08-G. DEL TALENTO HUMANO'!AE20</f>
        <v>0.1361</v>
      </c>
      <c r="S65" s="181">
        <f>+'08-G. DEL TALENTO HUMANO'!AL20</f>
        <v>0.22369999999999995</v>
      </c>
      <c r="T65" s="380">
        <f>+'08-G. DEL TALENTO HUMANO'!AM20</f>
        <v>0.24309999999999998</v>
      </c>
      <c r="U65" s="181">
        <f>+'08-G. DEL TALENTO HUMANO'!AT20</f>
        <v>0.34299999999999997</v>
      </c>
      <c r="V65" s="181">
        <f>+'08-G. DEL TALENTO HUMANO'!AU20</f>
        <v>0</v>
      </c>
      <c r="W65" s="181">
        <f>+'08-G. DEL TALENTO HUMANO'!AV20</f>
        <v>1</v>
      </c>
      <c r="X65" s="373">
        <f t="shared" si="25"/>
        <v>0.63749999999999996</v>
      </c>
      <c r="Y65" s="680">
        <f>IF(AND(X65&gt;0,$W65&gt;0),X65/$W65,0)</f>
        <v>0.63749999999999996</v>
      </c>
      <c r="Z65" s="381">
        <f t="shared" ref="Z65:Z67" si="26">(IF(AND(X65&gt;0,$F65&gt;0),X65/$F65,0)/4)</f>
        <v>0.15937499999999999</v>
      </c>
      <c r="AA65" s="382">
        <f t="shared" ref="AA65:AA69" si="27">IF(AND(Z65&gt;0,E65&gt;0),Z65*E65,0)</f>
        <v>2.3906249999999997E-2</v>
      </c>
      <c r="AB65" s="1632"/>
      <c r="AD65" s="358">
        <f>+'08-G. DEL TALENTO HUMANO'!BD20</f>
        <v>0.63749999999999996</v>
      </c>
      <c r="AE65" s="360">
        <f t="shared" si="23"/>
        <v>0</v>
      </c>
      <c r="AG65" s="358">
        <f>+'08-G. DEL TALENTO HUMANO'!BH20</f>
        <v>0.15937499999999999</v>
      </c>
      <c r="AH65" s="360">
        <f t="shared" si="24"/>
        <v>0</v>
      </c>
    </row>
    <row r="66" spans="2:34" ht="99.6" customHeight="1">
      <c r="B66" s="1514"/>
      <c r="C66" s="1512"/>
      <c r="D66" s="151" t="str">
        <f>+'01-FR-03 POA INSTITUCIONAL'!D66</f>
        <v>4.3.6 Formular e implementar el 100% del Plan Institucional de Incentivos de la vigencia.</v>
      </c>
      <c r="E66" s="164">
        <f>+'01-FR-03 POA INSTITUCIONAL'!E66</f>
        <v>0.15</v>
      </c>
      <c r="F66" s="165">
        <f>+'01-FR-03 POA INSTITUCIONAL'!F66</f>
        <v>1</v>
      </c>
      <c r="G66" s="154">
        <f>+'01-FR-03 POA INSTITUCIONAL'!G66</f>
        <v>1</v>
      </c>
      <c r="H66" s="166" t="str">
        <f>+'01-FR-03 POA INSTITUCIONAL'!H66</f>
        <v>Plan Institucional de Incentivos formulado y ejecutado</v>
      </c>
      <c r="I66" s="151" t="str">
        <f>+'01-FR-03 POA INSTITUCIONAL'!I66</f>
        <v>Gestión del Talento Humano</v>
      </c>
      <c r="J66" s="167" t="str">
        <f>+'01-FR-03 POA INSTITUCIONAL'!J66</f>
        <v>Dependencia Líder: 
Dirección de Talento Humano
Dependencia Operativa:
Subdirección de Desarrollo del Talento Humano</v>
      </c>
      <c r="K66" s="168">
        <f>+'01-FR-03 POA INSTITUCIONAL'!K66</f>
        <v>1</v>
      </c>
      <c r="L66" s="168">
        <f>+'01-FR-03 POA INSTITUCIONAL'!L66</f>
        <v>1</v>
      </c>
      <c r="M66" s="168">
        <f>+'01-FR-03 POA INSTITUCIONAL'!M66</f>
        <v>1</v>
      </c>
      <c r="N66" s="168">
        <f>+'01-FR-03 POA INSTITUCIONAL'!N66</f>
        <v>1</v>
      </c>
      <c r="O66" s="380">
        <f>+'08-G. DEL TALENTO HUMANO'!V21</f>
        <v>0.25</v>
      </c>
      <c r="P66" s="380">
        <f>+'08-G. DEL TALENTO HUMANO'!W21</f>
        <v>0.25</v>
      </c>
      <c r="Q66" s="380">
        <f>+'08-G. DEL TALENTO HUMANO'!AD21</f>
        <v>0.1</v>
      </c>
      <c r="R66" s="380">
        <f>+'08-G. DEL TALENTO HUMANO'!AE21</f>
        <v>0.1</v>
      </c>
      <c r="S66" s="181">
        <f>+'08-G. DEL TALENTO HUMANO'!AL21</f>
        <v>0.1</v>
      </c>
      <c r="T66" s="886">
        <f>+'08-G. DEL TALENTO HUMANO'!AM21</f>
        <v>0.1</v>
      </c>
      <c r="U66" s="181">
        <f>+'08-G. DEL TALENTO HUMANO'!AT21</f>
        <v>0.54999999999999993</v>
      </c>
      <c r="V66" s="181">
        <f>+'08-G. DEL TALENTO HUMANO'!AU21</f>
        <v>0</v>
      </c>
      <c r="W66" s="181">
        <f>+'08-G. DEL TALENTO HUMANO'!AV21</f>
        <v>0.99999999999999989</v>
      </c>
      <c r="X66" s="609">
        <f t="shared" si="25"/>
        <v>0.44999999999999996</v>
      </c>
      <c r="Y66" s="680">
        <f t="shared" ref="Y66:Y68" si="28">IF(AND(X66&gt;0,$W66&gt;0),X66/$W66,0)</f>
        <v>0.45</v>
      </c>
      <c r="Z66" s="381">
        <f>(IF(AND(X66&gt;0,$F66&gt;0),X66/$F66,0)/4)</f>
        <v>0.11249999999999999</v>
      </c>
      <c r="AA66" s="382">
        <f t="shared" si="27"/>
        <v>1.6874999999999998E-2</v>
      </c>
      <c r="AB66" s="1632"/>
      <c r="AD66" s="358">
        <f>+'08-G. DEL TALENTO HUMANO'!BD21</f>
        <v>0.45</v>
      </c>
      <c r="AE66" s="360">
        <f t="shared" si="23"/>
        <v>0</v>
      </c>
      <c r="AG66" s="358">
        <f>+'08-G. DEL TALENTO HUMANO'!BH21</f>
        <v>0.11249999999999999</v>
      </c>
      <c r="AH66" s="360">
        <f t="shared" si="24"/>
        <v>0</v>
      </c>
    </row>
    <row r="67" spans="2:34" ht="85.9" customHeight="1">
      <c r="B67" s="1514"/>
      <c r="C67" s="1512"/>
      <c r="D67" s="151" t="str">
        <f>+'01-FR-03 POA INSTITUCIONAL'!D67</f>
        <v>4.3.7 Diseñar e implementar el 100 % del Plan Anual de Trabajo del Sistema de Gestión de Seguridad y Salud en el Trabajo SG-SST de la vigencia.</v>
      </c>
      <c r="E67" s="164">
        <f>+'01-FR-03 POA INSTITUCIONAL'!E67</f>
        <v>0.15</v>
      </c>
      <c r="F67" s="165">
        <f>+'01-FR-03 POA INSTITUCIONAL'!F67</f>
        <v>1</v>
      </c>
      <c r="G67" s="154">
        <f>+'01-FR-03 POA INSTITUCIONAL'!G67</f>
        <v>0.99</v>
      </c>
      <c r="H67" s="166" t="str">
        <f>+'01-FR-03 POA INSTITUCIONAL'!H67</f>
        <v>Plan Anual de Trabajo del Sistema de Gestión de Seguridad y Salud en el Trabajo SG-SST diseñado y ejecutado</v>
      </c>
      <c r="I67" s="151" t="str">
        <f>+'01-FR-03 POA INSTITUCIONAL'!I67</f>
        <v>Gestión del Talento Humano</v>
      </c>
      <c r="J67" s="167" t="str">
        <f>+'01-FR-03 POA INSTITUCIONAL'!J67</f>
        <v>Dependencia Líder: 
Dirección de Talento Humano
Dependencia Operativa:
Subdirección de Desarrollo del Talento Humano</v>
      </c>
      <c r="K67" s="168">
        <f>+'01-FR-03 POA INSTITUCIONAL'!K67</f>
        <v>1</v>
      </c>
      <c r="L67" s="168">
        <f>+'01-FR-03 POA INSTITUCIONAL'!L67</f>
        <v>1</v>
      </c>
      <c r="M67" s="168">
        <f>+'01-FR-03 POA INSTITUCIONAL'!M67</f>
        <v>1</v>
      </c>
      <c r="N67" s="168">
        <f>+'01-FR-03 POA INSTITUCIONAL'!N67</f>
        <v>1</v>
      </c>
      <c r="O67" s="380">
        <f>+'08-G. DEL TALENTO HUMANO'!V22</f>
        <v>0.40160000000000001</v>
      </c>
      <c r="P67" s="380">
        <f>+'08-G. DEL TALENTO HUMANO'!W22</f>
        <v>0.40160000000000001</v>
      </c>
      <c r="Q67" s="380">
        <f>+'08-G. DEL TALENTO HUMANO'!AD22</f>
        <v>0.19600000000000001</v>
      </c>
      <c r="R67" s="380">
        <f>+'08-G. DEL TALENTO HUMANO'!AE22</f>
        <v>0.19600000000000001</v>
      </c>
      <c r="S67" s="181">
        <f>+'08-G. DEL TALENTO HUMANO'!AL22</f>
        <v>0.1232</v>
      </c>
      <c r="T67" s="886">
        <f>+'08-G. DEL TALENTO HUMANO'!AM22</f>
        <v>0.1288</v>
      </c>
      <c r="U67" s="181">
        <f>+'08-G. DEL TALENTO HUMANO'!AT22</f>
        <v>0.2792</v>
      </c>
      <c r="V67" s="181">
        <f>+'08-G. DEL TALENTO HUMANO'!AU22</f>
        <v>0</v>
      </c>
      <c r="W67" s="181">
        <f>+'08-G. DEL TALENTO HUMANO'!AV22</f>
        <v>1</v>
      </c>
      <c r="X67" s="609">
        <f t="shared" si="25"/>
        <v>0.72640000000000005</v>
      </c>
      <c r="Y67" s="680">
        <f t="shared" si="28"/>
        <v>0.72640000000000005</v>
      </c>
      <c r="Z67" s="381">
        <f t="shared" si="26"/>
        <v>0.18160000000000001</v>
      </c>
      <c r="AA67" s="382">
        <f t="shared" si="27"/>
        <v>2.724E-2</v>
      </c>
      <c r="AB67" s="1632"/>
      <c r="AD67" s="358">
        <f>+'08-G. DEL TALENTO HUMANO'!BD22</f>
        <v>0.72640000000000005</v>
      </c>
      <c r="AE67" s="360">
        <f t="shared" si="23"/>
        <v>0</v>
      </c>
      <c r="AG67" s="358">
        <f>+'08-G. DEL TALENTO HUMANO'!BH22</f>
        <v>0.18160000000000001</v>
      </c>
      <c r="AH67" s="360">
        <f t="shared" si="24"/>
        <v>0</v>
      </c>
    </row>
    <row r="68" spans="2:34" ht="84.75" customHeight="1">
      <c r="B68" s="1514"/>
      <c r="C68" s="1529"/>
      <c r="D68" s="151" t="str">
        <f>+'01-FR-03 POA INSTITUCIONAL'!D68</f>
        <v>4.3.8 Realizar 21 capacitaciones sobre los Sistemas de Gestión y Evaluación del Desempeño Laboral de la Entidad.</v>
      </c>
      <c r="E68" s="152">
        <f>+'01-FR-03 POA INSTITUCIONAL'!E68</f>
        <v>0.1</v>
      </c>
      <c r="F68" s="183">
        <f>+'01-FR-03 POA INSTITUCIONAL'!F68</f>
        <v>21</v>
      </c>
      <c r="G68" s="184" t="str">
        <f>+'01-FR-03 POA INSTITUCIONAL'!G68</f>
        <v>S.I.</v>
      </c>
      <c r="H68" s="177" t="str">
        <f>+'01-FR-03 POA INSTITUCIONAL'!H68</f>
        <v>Capacitaciones realizadas sobre los Sistemas de Gestión y Evaluación del Desempeño Laboral de la Personería de Bogotá, D.C.</v>
      </c>
      <c r="I68" s="178" t="str">
        <f>+'01-FR-03 POA INSTITUCIONAL'!I68</f>
        <v>Gestión del Talento Humano</v>
      </c>
      <c r="J68" s="179" t="str">
        <f>+'01-FR-03 POA INSTITUCIONAL'!J68</f>
        <v>Dirección de Talento Humano</v>
      </c>
      <c r="K68" s="185">
        <f>+'01-FR-03 POA INSTITUCIONAL'!K68</f>
        <v>9</v>
      </c>
      <c r="L68" s="185">
        <f>+'01-FR-03 POA INSTITUCIONAL'!L68</f>
        <v>4</v>
      </c>
      <c r="M68" s="185">
        <f>+'01-FR-03 POA INSTITUCIONAL'!M68</f>
        <v>4</v>
      </c>
      <c r="N68" s="185">
        <f>+'01-FR-03 POA INSTITUCIONAL'!N68</f>
        <v>4</v>
      </c>
      <c r="O68" s="185">
        <f>+'08-G. DEL TALENTO HUMANO'!V23</f>
        <v>2</v>
      </c>
      <c r="P68" s="185">
        <f>+'08-G. DEL TALENTO HUMANO'!W23</f>
        <v>2</v>
      </c>
      <c r="Q68" s="185">
        <f>+'08-G. DEL TALENTO HUMANO'!AD23</f>
        <v>1</v>
      </c>
      <c r="R68" s="185">
        <f>+'08-G. DEL TALENTO HUMANO'!AE23</f>
        <v>1</v>
      </c>
      <c r="S68" s="185">
        <f>+'08-G. DEL TALENTO HUMANO'!AL23</f>
        <v>1</v>
      </c>
      <c r="T68" s="185">
        <f>+'08-G. DEL TALENTO HUMANO'!AM23</f>
        <v>1</v>
      </c>
      <c r="U68" s="185">
        <f>+'08-G. DEL TALENTO HUMANO'!AT23</f>
        <v>0</v>
      </c>
      <c r="V68" s="185">
        <f>+'08-G. DEL TALENTO HUMANO'!AU23</f>
        <v>0</v>
      </c>
      <c r="W68" s="185">
        <f>+'08-G. DEL TALENTO HUMANO'!AV23</f>
        <v>4</v>
      </c>
      <c r="X68" s="185">
        <f t="shared" si="25"/>
        <v>4</v>
      </c>
      <c r="Y68" s="680">
        <f t="shared" si="28"/>
        <v>1</v>
      </c>
      <c r="Z68" s="381">
        <f t="shared" ref="Z68" si="29">IF(AND(X68&gt;0,$F68&gt;0),X68/$F68,0)</f>
        <v>0.19047619047619047</v>
      </c>
      <c r="AA68" s="382">
        <f t="shared" si="27"/>
        <v>1.9047619047619049E-2</v>
      </c>
      <c r="AB68" s="1633"/>
      <c r="AD68" s="358">
        <f>+'08-G. DEL TALENTO HUMANO'!BD23</f>
        <v>1</v>
      </c>
      <c r="AE68" s="360">
        <f t="shared" si="23"/>
        <v>0</v>
      </c>
      <c r="AG68" s="358">
        <f>+'08-G. DEL TALENTO HUMANO'!BH23</f>
        <v>0.19047619047619047</v>
      </c>
      <c r="AH68" s="360">
        <f t="shared" si="24"/>
        <v>0</v>
      </c>
    </row>
    <row r="69" spans="2:34" ht="76.5" customHeight="1">
      <c r="B69" s="1514"/>
      <c r="C69" s="1536" t="s">
        <v>145</v>
      </c>
      <c r="D69" s="31" t="str">
        <f>+'01-FR-03 POA INSTITUCIONAL'!D69</f>
        <v>4.4.1 Atender el 100% de los servicios de mantenimiento, almacén, transporte. Aseo y cafetería</v>
      </c>
      <c r="E69" s="52">
        <f>+'01-FR-03 POA INSTITUCIONAL'!E69</f>
        <v>0.1</v>
      </c>
      <c r="F69" s="32">
        <f>+'01-FR-03 POA INSTITUCIONAL'!F69</f>
        <v>1</v>
      </c>
      <c r="G69" s="174">
        <f>+'01-FR-03 POA INSTITUCIONAL'!G69</f>
        <v>0.99199999999999999</v>
      </c>
      <c r="H69" s="141" t="str">
        <f>+'01-FR-03 POA INSTITUCIONAL'!H69</f>
        <v>Porcentaje de servicios atendidos</v>
      </c>
      <c r="I69" s="142" t="str">
        <f>+'01-FR-03 POA INSTITUCIONAL'!I69</f>
        <v>Gestión Administrativa</v>
      </c>
      <c r="J69" s="143" t="str">
        <f>+'01-FR-03 POA INSTITUCIONAL'!J69</f>
        <v>Subdirección de Gestión Documental y Recursos Físicos
Dirección Administrativa y Financiera</v>
      </c>
      <c r="K69" s="145">
        <f>+'01-FR-03 POA INSTITUCIONAL'!K69</f>
        <v>1</v>
      </c>
      <c r="L69" s="145">
        <f>+'01-FR-03 POA INSTITUCIONAL'!L69</f>
        <v>1</v>
      </c>
      <c r="M69" s="145">
        <f>+'01-FR-03 POA INSTITUCIONAL'!M69</f>
        <v>1</v>
      </c>
      <c r="N69" s="145">
        <f>+'01-FR-03 POA INSTITUCIONAL'!N69</f>
        <v>1</v>
      </c>
      <c r="O69" s="353">
        <f>+'09-G.  ADMINISTRATIVA'!V16</f>
        <v>1</v>
      </c>
      <c r="P69" s="353">
        <f>+'09-G.  ADMINISTRATIVA'!W16</f>
        <v>1</v>
      </c>
      <c r="Q69" s="353">
        <f>+'09-G.  ADMINISTRATIVA'!AD16</f>
        <v>1</v>
      </c>
      <c r="R69" s="353">
        <f>+'09-G.  ADMINISTRATIVA'!AE16</f>
        <v>1</v>
      </c>
      <c r="S69" s="353">
        <f>+'09-G.  ADMINISTRATIVA'!AL16</f>
        <v>1</v>
      </c>
      <c r="T69" s="353">
        <f>+'09-G.  ADMINISTRATIVA'!AM16</f>
        <v>1</v>
      </c>
      <c r="U69" s="353">
        <f>+'09-G.  ADMINISTRATIVA'!AT16</f>
        <v>1</v>
      </c>
      <c r="V69" s="353">
        <f>+'09-G.  ADMINISTRATIVA'!AU16</f>
        <v>0</v>
      </c>
      <c r="W69" s="353">
        <f>+'09-G.  ADMINISTRATIVA'!AV16</f>
        <v>1</v>
      </c>
      <c r="X69" s="384">
        <f>IFERROR(IF(OR($W$69="",$W$69=0),0,ROUNDDOWN(AVERAGE($P69,R69,T69),3)),0)</f>
        <v>1</v>
      </c>
      <c r="Y69" s="1134">
        <f>IF(AND(X69&gt;0,$W69&gt;0),X69/$W69,0)*0.75</f>
        <v>0.75</v>
      </c>
      <c r="Z69" s="1152">
        <f>((IF(AND(X69&gt;0,$F69&gt;0),X69/$F69,0))/4)*0.75</f>
        <v>0.1875</v>
      </c>
      <c r="AA69" s="355">
        <f t="shared" si="27"/>
        <v>1.8750000000000003E-2</v>
      </c>
      <c r="AB69" s="1312">
        <f>SUM(AA69:AA86)</f>
        <v>0.19008767541033639</v>
      </c>
      <c r="AD69" s="358">
        <f>+'09-G.  ADMINISTRATIVA'!BD16</f>
        <v>0.75</v>
      </c>
      <c r="AE69" s="360">
        <f t="shared" si="23"/>
        <v>0</v>
      </c>
      <c r="AG69" s="358">
        <f>+'09-G.  ADMINISTRATIVA'!BH16</f>
        <v>0.1875</v>
      </c>
      <c r="AH69" s="360">
        <f t="shared" si="24"/>
        <v>0</v>
      </c>
    </row>
    <row r="70" spans="2:34" ht="62.25" customHeight="1">
      <c r="B70" s="1514"/>
      <c r="C70" s="1291"/>
      <c r="D70" s="31" t="str">
        <f>+'01-FR-03 POA INSTITUCIONAL'!D70</f>
        <v>4.4.2 Ejecutar el 97% de las actividades del Plan Estratégico de Seguridad Vial (PESV)</v>
      </c>
      <c r="E70" s="52">
        <f>+'01-FR-03 POA INSTITUCIONAL'!E70</f>
        <v>0.1</v>
      </c>
      <c r="F70" s="32">
        <f>+'01-FR-03 POA INSTITUCIONAL'!F70</f>
        <v>0.97</v>
      </c>
      <c r="G70" s="174">
        <f>+'01-FR-03 POA INSTITUCIONAL'!G70</f>
        <v>0.96599999999999997</v>
      </c>
      <c r="H70" s="141" t="str">
        <f>+'01-FR-03 POA INSTITUCIONAL'!H70</f>
        <v>Porcentaje de actividades del PESV ejecutadas</v>
      </c>
      <c r="I70" s="142" t="str">
        <f>+'01-FR-03 POA INSTITUCIONAL'!I70</f>
        <v>Gestión Administrativa</v>
      </c>
      <c r="J70" s="143" t="str">
        <f>+'01-FR-03 POA INSTITUCIONAL'!J70</f>
        <v>Subdirección de Gestión Documental y Recursos Físicos
Dirección Administrativa y Financiera</v>
      </c>
      <c r="K70" s="145">
        <f>+'01-FR-03 POA INSTITUCIONAL'!K70</f>
        <v>0.97</v>
      </c>
      <c r="L70" s="145">
        <f>+'01-FR-03 POA INSTITUCIONAL'!L70</f>
        <v>0.97</v>
      </c>
      <c r="M70" s="145">
        <f>+'01-FR-03 POA INSTITUCIONAL'!M70</f>
        <v>0.97</v>
      </c>
      <c r="N70" s="145">
        <f>+'01-FR-03 POA INSTITUCIONAL'!N70</f>
        <v>0.97</v>
      </c>
      <c r="O70" s="353">
        <f>+'09-G.  ADMINISTRATIVA'!V17</f>
        <v>0.97000000000000008</v>
      </c>
      <c r="P70" s="353">
        <f>+'09-G.  ADMINISTRATIVA'!W17</f>
        <v>1.0923333333333334</v>
      </c>
      <c r="Q70" s="353">
        <f>+'09-G.  ADMINISTRATIVA'!AD17</f>
        <v>0.97000000000000008</v>
      </c>
      <c r="R70" s="353">
        <f>+'09-G.  ADMINISTRATIVA'!AE17</f>
        <v>1.0946666666666667</v>
      </c>
      <c r="S70" s="353">
        <f>+'09-G.  ADMINISTRATIVA'!AL17</f>
        <v>0.97000000000000008</v>
      </c>
      <c r="T70" s="353">
        <f>+'09-G.  ADMINISTRATIVA'!AM17</f>
        <v>1.272</v>
      </c>
      <c r="U70" s="353">
        <f>+'09-G.  ADMINISTRATIVA'!AT17</f>
        <v>0.97000000000000008</v>
      </c>
      <c r="V70" s="353">
        <f>+'09-G.  ADMINISTRATIVA'!AU17</f>
        <v>0</v>
      </c>
      <c r="W70" s="353">
        <f>+'09-G.  ADMINISTRATIVA'!AV17</f>
        <v>0.97000000000000008</v>
      </c>
      <c r="X70" s="384">
        <f>IFERROR(IF(OR($W$70="",$W$70=0),0,ROUNDDOWN(AVERAGE($P70,R70,T70),3)),0)</f>
        <v>1.153</v>
      </c>
      <c r="Y70" s="1136">
        <f>IF(AND(X70&gt;0,$W70&gt;0),X70/$W70,0)*0.75</f>
        <v>0.89149484536082468</v>
      </c>
      <c r="Z70" s="1152">
        <f>((IF(AND(X70&gt;0,$F70&gt;0),X70/$F70,0))/4)*0.75</f>
        <v>0.22287371134020617</v>
      </c>
      <c r="AA70" s="355">
        <f t="shared" ref="AA70" si="30">IF(AND(Z70&gt;0,E70&gt;0),Z70*E70,0)</f>
        <v>2.2287371134020618E-2</v>
      </c>
      <c r="AB70" s="1219"/>
      <c r="AD70" s="358">
        <f>+'09-G.  ADMINISTRATIVA'!BD17</f>
        <v>0.89072164948453603</v>
      </c>
      <c r="AE70" s="360">
        <f t="shared" si="23"/>
        <v>7.7319587628865705E-4</v>
      </c>
      <c r="AG70" s="358">
        <f>+'09-G.  ADMINISTRATIVA'!BH17</f>
        <v>0.22268041237113403</v>
      </c>
      <c r="AH70" s="360">
        <f t="shared" ref="AH70:AH71" si="31">+Z70-AG70</f>
        <v>1.9329896907213651E-4</v>
      </c>
    </row>
    <row r="71" spans="2:34" ht="64.5" customHeight="1">
      <c r="B71" s="1514"/>
      <c r="C71" s="1291"/>
      <c r="D71" s="31" t="str">
        <f>+'01-FR-03 POA INSTITUCIONAL'!D71</f>
        <v>4.4.3 Ejecutar el 95% del presupuesto aprobado para la Entidad</v>
      </c>
      <c r="E71" s="52">
        <f>+'01-FR-03 POA INSTITUCIONAL'!E71</f>
        <v>7.0000000000000007E-2</v>
      </c>
      <c r="F71" s="32">
        <f>+'01-FR-03 POA INSTITUCIONAL'!F71</f>
        <v>0.95</v>
      </c>
      <c r="G71" s="174" t="str">
        <f>+'01-FR-03 POA INSTITUCIONAL'!G71</f>
        <v>S.I.</v>
      </c>
      <c r="H71" s="141" t="str">
        <f>+'01-FR-03 POA INSTITUCIONAL'!H71</f>
        <v>Porcentaje del presupuesto aprobado y ejecutado.</v>
      </c>
      <c r="I71" s="142" t="str">
        <f>+'01-FR-03 POA INSTITUCIONAL'!I71</f>
        <v>Gestión Financiera</v>
      </c>
      <c r="J71" s="143" t="str">
        <f>+'01-FR-03 POA INSTITUCIONAL'!J71</f>
        <v>Subdirección de Gestión Financiera
Dirección Administrativa y Financiera</v>
      </c>
      <c r="K71" s="145">
        <f>+'01-FR-03 POA INSTITUCIONAL'!K71</f>
        <v>0.95</v>
      </c>
      <c r="L71" s="145">
        <f>+'01-FR-03 POA INSTITUCIONAL'!L71</f>
        <v>0.95</v>
      </c>
      <c r="M71" s="145">
        <f>+'01-FR-03 POA INSTITUCIONAL'!M71</f>
        <v>0.95</v>
      </c>
      <c r="N71" s="145">
        <f>+'01-FR-03 POA INSTITUCIONAL'!N71</f>
        <v>0.95</v>
      </c>
      <c r="O71" s="353">
        <f>+'10-GESTIÓN FINANCIERA'!V16</f>
        <v>0.22000000000000003</v>
      </c>
      <c r="P71" s="353">
        <f>+'10-GESTIÓN FINANCIERA'!W16</f>
        <v>0.27100000000000002</v>
      </c>
      <c r="Q71" s="353">
        <f>+'10-GESTIÓN FINANCIERA'!AD16</f>
        <v>0.25</v>
      </c>
      <c r="R71" s="353">
        <f>+'10-GESTIÓN FINANCIERA'!AE16</f>
        <v>0.23899999999999999</v>
      </c>
      <c r="S71" s="353">
        <f>+'10-GESTIÓN FINANCIERA'!AL16</f>
        <v>0.25</v>
      </c>
      <c r="T71" s="353">
        <f>+'10-GESTIÓN FINANCIERA'!AM16</f>
        <v>0.21600000000000003</v>
      </c>
      <c r="U71" s="353">
        <f>+'10-GESTIÓN FINANCIERA'!AT16</f>
        <v>0.23</v>
      </c>
      <c r="V71" s="353">
        <f>+'10-GESTIÓN FINANCIERA'!AU16</f>
        <v>0</v>
      </c>
      <c r="W71" s="353">
        <f>+'10-GESTIÓN FINANCIERA'!AV16</f>
        <v>0.95</v>
      </c>
      <c r="X71" s="385">
        <f t="shared" ref="X71" si="32">+P71+R71+T71+V71</f>
        <v>0.72599999999999998</v>
      </c>
      <c r="Y71" s="681">
        <f>IF(AND(X71&gt;0,$W71&gt;0),X71/$W71,0)</f>
        <v>0.76421052631578945</v>
      </c>
      <c r="Z71" s="387">
        <f>(IF(AND(X71&gt;0,$F71&gt;0),X71/$F71,0)/4)</f>
        <v>0.19105263157894736</v>
      </c>
      <c r="AA71" s="386">
        <f>IF(AND(Z71&gt;0,E71&gt;0),Z71*E71,0)</f>
        <v>1.3373684210526317E-2</v>
      </c>
      <c r="AB71" s="1219"/>
      <c r="AD71" s="358">
        <f>+'10-GESTIÓN FINANCIERA'!BD16</f>
        <v>0.76421052631578945</v>
      </c>
      <c r="AE71" s="360">
        <f t="shared" si="23"/>
        <v>0</v>
      </c>
      <c r="AG71" s="358">
        <f>+'10-GESTIÓN FINANCIERA'!BH16</f>
        <v>0.19105263157894736</v>
      </c>
      <c r="AH71" s="360">
        <f t="shared" si="31"/>
        <v>0</v>
      </c>
    </row>
    <row r="72" spans="2:34" ht="64.5" customHeight="1">
      <c r="B72" s="1514"/>
      <c r="C72" s="1291"/>
      <c r="D72" s="31" t="str">
        <f>+'01-FR-03 POA INSTITUCIONAL'!D72</f>
        <v>4.4.4 Programar y ejecutar el 95% de los compromisos de pago adquiridos por la Entidad</v>
      </c>
      <c r="E72" s="52">
        <f>+'01-FR-03 POA INSTITUCIONAL'!E72</f>
        <v>7.0000000000000007E-2</v>
      </c>
      <c r="F72" s="32">
        <f>+'01-FR-03 POA INSTITUCIONAL'!F72</f>
        <v>0.95</v>
      </c>
      <c r="G72" s="174" t="str">
        <f>+'01-FR-03 POA INSTITUCIONAL'!G72</f>
        <v>S.I.</v>
      </c>
      <c r="H72" s="141" t="str">
        <f>+'01-FR-03 POA INSTITUCIONAL'!H72</f>
        <v>Porcentaje de los compromisos de pago programados y ejecutados.</v>
      </c>
      <c r="I72" s="142" t="str">
        <f>+'01-FR-03 POA INSTITUCIONAL'!I72</f>
        <v>Gestión Financiera</v>
      </c>
      <c r="J72" s="143" t="str">
        <f>+'01-FR-03 POA INSTITUCIONAL'!J72</f>
        <v>Subdirección de Gestión Financiera
Dirección Administrativa y Financiera</v>
      </c>
      <c r="K72" s="145">
        <f>+'01-FR-03 POA INSTITUCIONAL'!K72</f>
        <v>0.95</v>
      </c>
      <c r="L72" s="145">
        <f>+'01-FR-03 POA INSTITUCIONAL'!L72</f>
        <v>0.95</v>
      </c>
      <c r="M72" s="145">
        <f>+'01-FR-03 POA INSTITUCIONAL'!M72</f>
        <v>0.95</v>
      </c>
      <c r="N72" s="145">
        <f>+'01-FR-03 POA INSTITUCIONAL'!N72</f>
        <v>0.95</v>
      </c>
      <c r="O72" s="353">
        <f>+'10-GESTIÓN FINANCIERA'!V17</f>
        <v>0.14000000000000001</v>
      </c>
      <c r="P72" s="353">
        <f>+'10-GESTIÓN FINANCIERA'!W17</f>
        <v>0.13159999999999999</v>
      </c>
      <c r="Q72" s="353">
        <f>+'10-GESTIÓN FINANCIERA'!AD17</f>
        <v>0.25</v>
      </c>
      <c r="R72" s="353">
        <f>+'10-GESTIÓN FINANCIERA'!AE17</f>
        <v>0.25280000000000002</v>
      </c>
      <c r="S72" s="353">
        <f>+'10-GESTIÓN FINANCIERA'!AL17</f>
        <v>0.23000000000000004</v>
      </c>
      <c r="T72" s="353">
        <f>+'10-GESTIÓN FINANCIERA'!AM17</f>
        <v>0.23039999999999999</v>
      </c>
      <c r="U72" s="353">
        <f>+'10-GESTIÓN FINANCIERA'!AT17</f>
        <v>0.32999999999999996</v>
      </c>
      <c r="V72" s="353">
        <f>+'10-GESTIÓN FINANCIERA'!AU17</f>
        <v>0</v>
      </c>
      <c r="W72" s="353">
        <f>+'10-GESTIÓN FINANCIERA'!AV17</f>
        <v>0.95000000000000007</v>
      </c>
      <c r="X72" s="385">
        <f t="shared" ref="X72:X73" si="33">+P72+R72+T72+V72</f>
        <v>0.61480000000000001</v>
      </c>
      <c r="Y72" s="681">
        <f t="shared" ref="Y72:Y74" si="34">IF(AND(X72&gt;0,$W72&gt;0),X72/$W72,0)</f>
        <v>0.64715789473684204</v>
      </c>
      <c r="Z72" s="387">
        <f>(IF(AND(X72&gt;0,$F72&gt;0),X72/$F72,0)/4)</f>
        <v>0.16178947368421054</v>
      </c>
      <c r="AA72" s="386">
        <f t="shared" ref="AA72:AA73" si="35">IF(AND(Z72&gt;0,E72&gt;0),Z72*E72,0)</f>
        <v>1.1325263157894739E-2</v>
      </c>
      <c r="AB72" s="1219"/>
      <c r="AD72" s="358">
        <f>+'10-GESTIÓN FINANCIERA'!BD17</f>
        <v>0.64715789473684204</v>
      </c>
      <c r="AE72" s="360">
        <f t="shared" ref="AE72:AE99" si="36">Y72-AD72</f>
        <v>0</v>
      </c>
      <c r="AG72" s="358">
        <f>+'10-GESTIÓN FINANCIERA'!BH17</f>
        <v>0.16178947368421054</v>
      </c>
      <c r="AH72" s="360">
        <f t="shared" ref="AH72:AH99" si="37">+Z72-AG72</f>
        <v>0</v>
      </c>
    </row>
    <row r="73" spans="2:34" ht="64.5" customHeight="1">
      <c r="B73" s="1514"/>
      <c r="C73" s="1291"/>
      <c r="D73" s="31" t="str">
        <f>+'01-FR-03 POA INSTITUCIONAL'!D73</f>
        <v>4.4.5 Elaborar y presentar el 100% de los estados financieros de la Entidad</v>
      </c>
      <c r="E73" s="52">
        <f>+'01-FR-03 POA INSTITUCIONAL'!E73</f>
        <v>0.06</v>
      </c>
      <c r="F73" s="32">
        <f>+'01-FR-03 POA INSTITUCIONAL'!F73</f>
        <v>1</v>
      </c>
      <c r="G73" s="174" t="str">
        <f>+'01-FR-03 POA INSTITUCIONAL'!G73</f>
        <v>S.I.</v>
      </c>
      <c r="H73" s="141" t="str">
        <f>+'01-FR-03 POA INSTITUCIONAL'!H73</f>
        <v>Porcentaje de estados financieros de la Entidad elaborados y presentados.</v>
      </c>
      <c r="I73" s="142" t="str">
        <f>+'01-FR-03 POA INSTITUCIONAL'!I73</f>
        <v>Gestión Financiera</v>
      </c>
      <c r="J73" s="143" t="str">
        <f>+'01-FR-03 POA INSTITUCIONAL'!J73</f>
        <v>Subdirección de Gestión Financiera
Dirección Administrativa y Financiera</v>
      </c>
      <c r="K73" s="145">
        <f>+'01-FR-03 POA INSTITUCIONAL'!K73</f>
        <v>1</v>
      </c>
      <c r="L73" s="145">
        <f>+'01-FR-03 POA INSTITUCIONAL'!L73</f>
        <v>1</v>
      </c>
      <c r="M73" s="145">
        <f>+'01-FR-03 POA INSTITUCIONAL'!M73</f>
        <v>1</v>
      </c>
      <c r="N73" s="145">
        <f>+'01-FR-03 POA INSTITUCIONAL'!N73</f>
        <v>1</v>
      </c>
      <c r="O73" s="353">
        <f>+'10-GESTIÓN FINANCIERA'!V18</f>
        <v>0.25</v>
      </c>
      <c r="P73" s="353">
        <f>+'10-GESTIÓN FINANCIERA'!W18</f>
        <v>0.25</v>
      </c>
      <c r="Q73" s="353">
        <f>+'10-GESTIÓN FINANCIERA'!AD18</f>
        <v>0.25</v>
      </c>
      <c r="R73" s="353">
        <f>+'10-GESTIÓN FINANCIERA'!AE18</f>
        <v>0.25</v>
      </c>
      <c r="S73" s="353">
        <f>+'10-GESTIÓN FINANCIERA'!AL18</f>
        <v>0.25</v>
      </c>
      <c r="T73" s="353">
        <f>+'10-GESTIÓN FINANCIERA'!AM18</f>
        <v>0.25</v>
      </c>
      <c r="U73" s="353">
        <f>+'10-GESTIÓN FINANCIERA'!AT18</f>
        <v>0.25</v>
      </c>
      <c r="V73" s="353">
        <f>+'10-GESTIÓN FINANCIERA'!AU18</f>
        <v>0</v>
      </c>
      <c r="W73" s="353">
        <f>+'10-GESTIÓN FINANCIERA'!AV18</f>
        <v>1</v>
      </c>
      <c r="X73" s="385">
        <f t="shared" si="33"/>
        <v>0.75</v>
      </c>
      <c r="Y73" s="681">
        <f t="shared" si="34"/>
        <v>0.75</v>
      </c>
      <c r="Z73" s="387">
        <f>(IF(AND(X73&gt;0,$F73&gt;0),X73/$F73,0)/4)</f>
        <v>0.1875</v>
      </c>
      <c r="AA73" s="386">
        <f t="shared" si="35"/>
        <v>1.125E-2</v>
      </c>
      <c r="AB73" s="1219"/>
      <c r="AD73" s="358">
        <f>+'10-GESTIÓN FINANCIERA'!BD18</f>
        <v>0.75</v>
      </c>
      <c r="AE73" s="360">
        <f t="shared" si="36"/>
        <v>0</v>
      </c>
      <c r="AG73" s="358">
        <f>+'10-GESTIÓN FINANCIERA'!BH18</f>
        <v>0.1875</v>
      </c>
      <c r="AH73" s="360">
        <f t="shared" si="37"/>
        <v>0</v>
      </c>
    </row>
    <row r="74" spans="2:34" ht="78" customHeight="1">
      <c r="B74" s="1514"/>
      <c r="C74" s="1291"/>
      <c r="D74" s="31" t="str">
        <f>+'01-FR-03 POA INSTITUCIONAL'!D74</f>
        <v>4.4.6 Ejecutar el 95% del Plan Anual de Adquisiciones respecto de gastos generales</v>
      </c>
      <c r="E74" s="52">
        <f>+'01-FR-03 POA INSTITUCIONAL'!E74</f>
        <v>0.1</v>
      </c>
      <c r="F74" s="32">
        <f>+'01-FR-03 POA INSTITUCIONAL'!F74</f>
        <v>0.95</v>
      </c>
      <c r="G74" s="174" t="str">
        <f>+'01-FR-03 POA INSTITUCIONAL'!G74</f>
        <v>S.I.</v>
      </c>
      <c r="H74" s="141" t="str">
        <f>+'01-FR-03 POA INSTITUCIONAL'!H74</f>
        <v xml:space="preserve">Porcentaje del Plan Anual de Adquisiciones ejecutado </v>
      </c>
      <c r="I74" s="142" t="str">
        <f>+'01-FR-03 POA INSTITUCIONAL'!I74</f>
        <v>Gestión Contractual</v>
      </c>
      <c r="J74" s="143" t="str">
        <f>+'01-FR-03 POA INSTITUCIONAL'!J74</f>
        <v>Subdirección de Gestión Contractual
Dirección Administrativa y Financiera</v>
      </c>
      <c r="K74" s="145">
        <f>+'01-FR-03 POA INSTITUCIONAL'!K74</f>
        <v>0.95</v>
      </c>
      <c r="L74" s="145">
        <f>+'01-FR-03 POA INSTITUCIONAL'!L74</f>
        <v>0.95</v>
      </c>
      <c r="M74" s="145">
        <f>+'01-FR-03 POA INSTITUCIONAL'!M74</f>
        <v>0.95</v>
      </c>
      <c r="N74" s="145">
        <f>+'01-FR-03 POA INSTITUCIONAL'!N74</f>
        <v>0.95</v>
      </c>
      <c r="O74" s="353">
        <f>+'11-GESTIÓN CONTRACTUAL'!V16</f>
        <v>0.36000000000000004</v>
      </c>
      <c r="P74" s="353">
        <f>+'11-GESTIÓN CONTRACTUAL'!W16</f>
        <v>0.38</v>
      </c>
      <c r="Q74" s="353">
        <f>+'11-GESTIÓN CONTRACTUAL'!AD16</f>
        <v>0.22000000000000003</v>
      </c>
      <c r="R74" s="353">
        <f>+'11-GESTIÓN CONTRACTUAL'!AE16</f>
        <v>0.16</v>
      </c>
      <c r="S74" s="353">
        <f>+'11-GESTIÓN CONTRACTUAL'!AL16</f>
        <v>0.21999999999999997</v>
      </c>
      <c r="T74" s="353">
        <f>+'11-GESTIÓN CONTRACTUAL'!AM16</f>
        <v>0.19</v>
      </c>
      <c r="U74" s="353">
        <f>+'11-GESTIÓN CONTRACTUAL'!AT16</f>
        <v>0.15000000000000002</v>
      </c>
      <c r="V74" s="353">
        <f>+'11-GESTIÓN CONTRACTUAL'!AU16</f>
        <v>0</v>
      </c>
      <c r="W74" s="353">
        <f>+'11-GESTIÓN CONTRACTUAL'!AV16</f>
        <v>0.95000000000000007</v>
      </c>
      <c r="X74" s="385">
        <f t="shared" ref="X74" si="38">+P74+R74+T74+V74</f>
        <v>0.73</v>
      </c>
      <c r="Y74" s="681">
        <f t="shared" si="34"/>
        <v>0.76842105263157889</v>
      </c>
      <c r="Z74" s="387">
        <f>(IF(AND(X74&gt;0,$F74&gt;0),X74/$F74,0)/4)</f>
        <v>0.19210526315789475</v>
      </c>
      <c r="AA74" s="604">
        <f t="shared" ref="AA74:AA81" si="39">IF(AND(Z74&gt;0,E74&gt;0),Z74*E74,0)</f>
        <v>1.9210526315789477E-2</v>
      </c>
      <c r="AB74" s="1219"/>
      <c r="AD74" s="358">
        <f>+'11-GESTIÓN CONTRACTUAL'!BD16</f>
        <v>0.76842105263157889</v>
      </c>
      <c r="AE74" s="360">
        <f t="shared" si="36"/>
        <v>0</v>
      </c>
      <c r="AG74" s="358">
        <f>+'11-GESTIÓN CONTRACTUAL'!BH16</f>
        <v>0.19210526315789475</v>
      </c>
      <c r="AH74" s="360">
        <f t="shared" si="37"/>
        <v>0</v>
      </c>
    </row>
    <row r="75" spans="2:34" ht="96.75" customHeight="1">
      <c r="B75" s="1514"/>
      <c r="C75" s="1291"/>
      <c r="D75" s="31" t="str">
        <f>+'01-FR-03 POA INSTITUCIONAL'!D75</f>
        <v>4.4.7 Realizar el 95% del reparto, dentro de un término no superior a tres (3) días hábiles, de las comunicaciones oficiales institucionales recibidas por el Grupo de Correspondencia.</v>
      </c>
      <c r="E75" s="52">
        <f>+'01-FR-03 POA INSTITUCIONAL'!E75</f>
        <v>0.05</v>
      </c>
      <c r="F75" s="32">
        <f>+'01-FR-03 POA INSTITUCIONAL'!F75</f>
        <v>0.95</v>
      </c>
      <c r="G75" s="174" t="str">
        <f>+'01-FR-03 POA INSTITUCIONAL'!G75</f>
        <v>S.I.</v>
      </c>
      <c r="H75" s="141" t="str">
        <f>+'01-FR-03 POA INSTITUCIONAL'!H75</f>
        <v>Porcentaje de Comunicaciones oficiales con reparto realizado dentro de los 3 días hábiles desde su radicación</v>
      </c>
      <c r="I75" s="142" t="str">
        <f>+'01-FR-03 POA INSTITUCIONAL'!I75</f>
        <v>Gestión Documental</v>
      </c>
      <c r="J75" s="143" t="str">
        <f>+'01-FR-03 POA INSTITUCIONAL'!J75</f>
        <v>Subdirección de Gestión Documental y Recursos Físicos - Grupo de Correspondencia</v>
      </c>
      <c r="K75" s="145">
        <f>+'01-FR-03 POA INSTITUCIONAL'!K75</f>
        <v>0.95</v>
      </c>
      <c r="L75" s="145">
        <f>+'01-FR-03 POA INSTITUCIONAL'!L75</f>
        <v>0.95</v>
      </c>
      <c r="M75" s="145">
        <f>+'01-FR-03 POA INSTITUCIONAL'!M75</f>
        <v>0.95</v>
      </c>
      <c r="N75" s="145">
        <f>+'01-FR-03 POA INSTITUCIONAL'!N75</f>
        <v>0.95</v>
      </c>
      <c r="O75" s="353">
        <f>+'12-GESTIÓN DOCUMENTAL'!V16</f>
        <v>0.94999999999999984</v>
      </c>
      <c r="P75" s="353">
        <f>+'12-GESTIÓN DOCUMENTAL'!W16</f>
        <v>0.98523333333333341</v>
      </c>
      <c r="Q75" s="353">
        <f>+'12-GESTIÓN DOCUMENTAL'!AD16</f>
        <v>0.94999999999999984</v>
      </c>
      <c r="R75" s="353">
        <f>+'12-GESTIÓN DOCUMENTAL'!AE16</f>
        <v>0.99406666666666654</v>
      </c>
      <c r="S75" s="353">
        <f>+'12-GESTIÓN DOCUMENTAL'!AL16</f>
        <v>0.94999999999999984</v>
      </c>
      <c r="T75" s="353">
        <f>+'12-GESTIÓN DOCUMENTAL'!AM16</f>
        <v>0.97889999999999999</v>
      </c>
      <c r="U75" s="353">
        <f>+'12-GESTIÓN DOCUMENTAL'!AT16</f>
        <v>0.94999999999999984</v>
      </c>
      <c r="V75" s="353">
        <f>+'12-GESTIÓN DOCUMENTAL'!AU16</f>
        <v>0</v>
      </c>
      <c r="W75" s="353">
        <f>+'12-GESTIÓN DOCUMENTAL'!AV16</f>
        <v>0.94999999999999984</v>
      </c>
      <c r="X75" s="384">
        <f>IFERROR(IF(OR($W$75="",$W$75=0),0,ROUNDDOWN(AVERAGE($P75,R75,T75),3)),0)</f>
        <v>0.98599999999999999</v>
      </c>
      <c r="Y75" s="1136">
        <f>IF(AND(X75&gt;0,$W75&gt;0),X75/$W75,0)*0.75</f>
        <v>0.77842105263157912</v>
      </c>
      <c r="Z75" s="1152">
        <f t="shared" ref="Z75:Z76" si="40">((IF(AND(X75&gt;0,$F75&gt;0),X75/$F75,0))/4)*0.75</f>
        <v>0.19460526315789473</v>
      </c>
      <c r="AA75" s="355">
        <f t="shared" si="39"/>
        <v>9.7302631578947366E-3</v>
      </c>
      <c r="AB75" s="1219"/>
      <c r="AD75" s="358">
        <f>+'12-GESTIÓN DOCUMENTAL'!BD16</f>
        <v>0.77789473684210542</v>
      </c>
      <c r="AE75" s="360">
        <f t="shared" si="36"/>
        <v>5.2631578947370805E-4</v>
      </c>
      <c r="AG75" s="358">
        <f>+'12-GESTIÓN DOCUMENTAL'!BH16</f>
        <v>0.19447368421052633</v>
      </c>
      <c r="AH75" s="360">
        <f t="shared" si="37"/>
        <v>1.3157894736839926E-4</v>
      </c>
    </row>
    <row r="76" spans="2:34" ht="76.5" customHeight="1">
      <c r="B76" s="1514"/>
      <c r="C76" s="1291"/>
      <c r="D76" s="31" t="str">
        <f>+'01-FR-03 POA INSTITUCIONAL'!D76</f>
        <v>4.4.8 Incorporar el 80% al archivo central de las transferencias documentales provenientes de las dependencias, en razón a que cumplen los requisitos exigidos para ello.</v>
      </c>
      <c r="E76" s="52">
        <f>+'01-FR-03 POA INSTITUCIONAL'!E76</f>
        <v>0.05</v>
      </c>
      <c r="F76" s="32">
        <f>+'01-FR-03 POA INSTITUCIONAL'!F76</f>
        <v>0.8</v>
      </c>
      <c r="G76" s="882">
        <f>+'01-FR-03 POA INSTITUCIONAL'!G76</f>
        <v>264</v>
      </c>
      <c r="H76" s="141" t="str">
        <f>+'01-FR-03 POA INSTITUCIONAL'!H76</f>
        <v>Porcentaje de documentación incorporada en el archivo central durante la vigencia.</v>
      </c>
      <c r="I76" s="142" t="str">
        <f>+'01-FR-03 POA INSTITUCIONAL'!I76</f>
        <v>Gestión Documental</v>
      </c>
      <c r="J76" s="143" t="str">
        <f>+'01-FR-03 POA INSTITUCIONAL'!J76</f>
        <v>Subdirección de Gestión Documental y Recursos Físicos - Archivo central</v>
      </c>
      <c r="K76" s="145">
        <f>+'01-FR-03 POA INSTITUCIONAL'!K76</f>
        <v>0.8</v>
      </c>
      <c r="L76" s="145">
        <f>+'01-FR-03 POA INSTITUCIONAL'!L76</f>
        <v>0.8</v>
      </c>
      <c r="M76" s="145">
        <f>+'01-FR-03 POA INSTITUCIONAL'!M76</f>
        <v>0.8</v>
      </c>
      <c r="N76" s="145">
        <f>+'01-FR-03 POA INSTITUCIONAL'!N76</f>
        <v>0.8</v>
      </c>
      <c r="O76" s="353">
        <f>+'12-GESTIÓN DOCUMENTAL'!V17</f>
        <v>0.80000000000000016</v>
      </c>
      <c r="P76" s="353">
        <f>+'12-GESTIÓN DOCUMENTAL'!W17</f>
        <v>0.8753333333333333</v>
      </c>
      <c r="Q76" s="353">
        <f>+'12-GESTIÓN DOCUMENTAL'!AD17</f>
        <v>0.80000000000000016</v>
      </c>
      <c r="R76" s="353">
        <f>+'12-GESTIÓN DOCUMENTAL'!AE17</f>
        <v>0.88233333333333341</v>
      </c>
      <c r="S76" s="353">
        <f>+'12-GESTIÓN DOCUMENTAL'!AL17</f>
        <v>0.80000000000000016</v>
      </c>
      <c r="T76" s="353">
        <f>+'12-GESTIÓN DOCUMENTAL'!AM17</f>
        <v>0.80166666666666675</v>
      </c>
      <c r="U76" s="353">
        <f>+'12-GESTIÓN DOCUMENTAL'!AT17</f>
        <v>0.80000000000000016</v>
      </c>
      <c r="V76" s="353">
        <f>+'12-GESTIÓN DOCUMENTAL'!AU17</f>
        <v>0</v>
      </c>
      <c r="W76" s="353">
        <f>+'12-GESTIÓN DOCUMENTAL'!AV17</f>
        <v>0.79999999999999993</v>
      </c>
      <c r="X76" s="384">
        <f>IFERROR(IF(OR($W$76="",$W$76=0),0,ROUNDDOWN(AVERAGE($P76,R76,T76),3)),0)</f>
        <v>0.85299999999999998</v>
      </c>
      <c r="Y76" s="1136">
        <f>IF(AND(X76&gt;0,$W76&gt;0),X76/$W76,0)*0.75</f>
        <v>0.79968750000000011</v>
      </c>
      <c r="Z76" s="1152">
        <f t="shared" si="40"/>
        <v>0.19992187499999997</v>
      </c>
      <c r="AA76" s="355">
        <f t="shared" si="39"/>
        <v>9.9960937499999989E-3</v>
      </c>
      <c r="AB76" s="1219"/>
      <c r="AD76" s="358">
        <f>+'12-GESTIÓN DOCUMENTAL'!BD17</f>
        <v>0.79875000000000007</v>
      </c>
      <c r="AE76" s="360">
        <f t="shared" si="36"/>
        <v>9.3750000000003553E-4</v>
      </c>
      <c r="AG76" s="358">
        <f>+'12-GESTIÓN DOCUMENTAL'!BH17</f>
        <v>0.19968749999999999</v>
      </c>
      <c r="AH76" s="360">
        <f t="shared" si="37"/>
        <v>2.3437499999998113E-4</v>
      </c>
    </row>
    <row r="77" spans="2:34" ht="120" customHeight="1">
      <c r="B77" s="1514"/>
      <c r="C77" s="1291"/>
      <c r="D77" s="31" t="str">
        <f>+'01-FR-03 POA INSTITUCIONAL'!D77</f>
        <v>4.4.9 Realizar 100 actividades de diseño, actualización o ajuste de los instrumentos archivísticos establecidos por norma.</v>
      </c>
      <c r="E77" s="52">
        <f>+'01-FR-03 POA INSTITUCIONAL'!E77</f>
        <v>0.05</v>
      </c>
      <c r="F77" s="139">
        <f>+'01-FR-03 POA INSTITUCIONAL'!F77</f>
        <v>100</v>
      </c>
      <c r="G77" s="584">
        <f>+'01-FR-03 POA INSTITUCIONAL'!G77</f>
        <v>32</v>
      </c>
      <c r="H77" s="141" t="str">
        <f>+'01-FR-03 POA INSTITUCIONAL'!H77</f>
        <v>Cantidad de actividades realizadas por año para el diseño, actualización o ajuste de los instrumentos archivísticos establecidos por norma</v>
      </c>
      <c r="I77" s="142" t="str">
        <f>+'01-FR-03 POA INSTITUCIONAL'!I77</f>
        <v>Gestión Documental</v>
      </c>
      <c r="J77" s="143" t="str">
        <f>+'01-FR-03 POA INSTITUCIONAL'!J77</f>
        <v xml:space="preserve">Subdirección de Gestión Documental y Recursos Físicos </v>
      </c>
      <c r="K77" s="144">
        <f>+'01-FR-03 POA INSTITUCIONAL'!K77</f>
        <v>25</v>
      </c>
      <c r="L77" s="144">
        <f>+'01-FR-03 POA INSTITUCIONAL'!L77</f>
        <v>25</v>
      </c>
      <c r="M77" s="144">
        <f>+'01-FR-03 POA INSTITUCIONAL'!M77</f>
        <v>25</v>
      </c>
      <c r="N77" s="144">
        <f>+'01-FR-03 POA INSTITUCIONAL'!N77</f>
        <v>25</v>
      </c>
      <c r="O77" s="173">
        <f>+'12-GESTIÓN DOCUMENTAL'!V18</f>
        <v>5</v>
      </c>
      <c r="P77" s="173">
        <f>+'12-GESTIÓN DOCUMENTAL'!W18</f>
        <v>6</v>
      </c>
      <c r="Q77" s="173">
        <f>+'12-GESTIÓN DOCUMENTAL'!AD18</f>
        <v>7</v>
      </c>
      <c r="R77" s="173">
        <f>+'12-GESTIÓN DOCUMENTAL'!AE18</f>
        <v>7.75</v>
      </c>
      <c r="S77" s="173">
        <f>+'12-GESTIÓN DOCUMENTAL'!AL18</f>
        <v>7</v>
      </c>
      <c r="T77" s="173">
        <f>+'12-GESTIÓN DOCUMENTAL'!AM18</f>
        <v>5.6</v>
      </c>
      <c r="U77" s="173">
        <f>+'12-GESTIÓN DOCUMENTAL'!AT18</f>
        <v>6</v>
      </c>
      <c r="V77" s="173">
        <f>+'12-GESTIÓN DOCUMENTAL'!AU18</f>
        <v>0</v>
      </c>
      <c r="W77" s="173">
        <f>+'12-GESTIÓN DOCUMENTAL'!AV18</f>
        <v>25</v>
      </c>
      <c r="X77" s="1153">
        <f t="shared" ref="X77:X78" si="41">+P77+R77+T77+V77</f>
        <v>19.350000000000001</v>
      </c>
      <c r="Y77" s="682">
        <f t="shared" ref="Y77:Y78" si="42">IF(AND(X77&gt;0,$W77&gt;0),X77/$W77,0)</f>
        <v>0.77400000000000002</v>
      </c>
      <c r="Z77" s="355">
        <f t="shared" ref="Z77:Z78" si="43">IF(AND(X77&gt;0,$F77&gt;0),X77/$F77,0)</f>
        <v>0.19350000000000001</v>
      </c>
      <c r="AA77" s="361">
        <f t="shared" si="39"/>
        <v>9.6750000000000013E-3</v>
      </c>
      <c r="AB77" s="1219"/>
      <c r="AD77" s="358">
        <f>+'12-GESTIÓN DOCUMENTAL'!BD18</f>
        <v>0.77400000000000002</v>
      </c>
      <c r="AE77" s="360">
        <f t="shared" si="36"/>
        <v>0</v>
      </c>
      <c r="AG77" s="358">
        <f>+'12-GESTIÓN DOCUMENTAL'!BH18</f>
        <v>0.19350000000000001</v>
      </c>
      <c r="AH77" s="360">
        <f t="shared" si="37"/>
        <v>0</v>
      </c>
    </row>
    <row r="78" spans="2:34" ht="87" customHeight="1">
      <c r="B78" s="1514"/>
      <c r="C78" s="1291"/>
      <c r="D78" s="31" t="str">
        <f>+'01-FR-03 POA INSTITUCIONAL'!D78</f>
        <v>4.4.10 Realizar 100 actividades de implementación de los instrumentos archivísticos establecidos por norma, y de las herramientas de apoyo a la gestión documental.</v>
      </c>
      <c r="E78" s="52">
        <f>+'01-FR-03 POA INSTITUCIONAL'!E78</f>
        <v>0.05</v>
      </c>
      <c r="F78" s="139">
        <f>+'01-FR-03 POA INSTITUCIONAL'!F78</f>
        <v>100</v>
      </c>
      <c r="G78" s="584">
        <f>+'01-FR-03 POA INSTITUCIONAL'!G78</f>
        <v>26</v>
      </c>
      <c r="H78" s="141" t="str">
        <f>+'01-FR-03 POA INSTITUCIONAL'!H78</f>
        <v>Cantidad de actividades realizadas por año para implementación de los instrumentos archivísticos establecidos por norma, y de herramientas de apoyo a la gestión documental.</v>
      </c>
      <c r="I78" s="142" t="str">
        <f>+'01-FR-03 POA INSTITUCIONAL'!I78</f>
        <v>Gestión Documental
Direccionamiento TIC</v>
      </c>
      <c r="J78" s="143" t="str">
        <f>+'01-FR-03 POA INSTITUCIONAL'!J78</f>
        <v>Subdirección de Gestión Documental y Recursos Físicos
Dirección de Tecnologías de la Información y Comunicaciones</v>
      </c>
      <c r="K78" s="144">
        <f>+'01-FR-03 POA INSTITUCIONAL'!K78</f>
        <v>25</v>
      </c>
      <c r="L78" s="144">
        <f>+'01-FR-03 POA INSTITUCIONAL'!L78</f>
        <v>25</v>
      </c>
      <c r="M78" s="144">
        <f>+'01-FR-03 POA INSTITUCIONAL'!M78</f>
        <v>25</v>
      </c>
      <c r="N78" s="144">
        <f>+'01-FR-03 POA INSTITUCIONAL'!N78</f>
        <v>25</v>
      </c>
      <c r="O78" s="173">
        <f>+'12-GESTIÓN DOCUMENTAL'!V19</f>
        <v>5</v>
      </c>
      <c r="P78" s="173">
        <f>+'12-GESTIÓN DOCUMENTAL'!W19</f>
        <v>5</v>
      </c>
      <c r="Q78" s="173">
        <f>+'12-GESTIÓN DOCUMENTAL'!AD19</f>
        <v>7</v>
      </c>
      <c r="R78" s="173">
        <f>+'12-GESTIÓN DOCUMENTAL'!AE19</f>
        <v>7</v>
      </c>
      <c r="S78" s="173">
        <f>+'12-GESTIÓN DOCUMENTAL'!AL19</f>
        <v>7</v>
      </c>
      <c r="T78" s="173">
        <f>+'12-GESTIÓN DOCUMENTAL'!AM19</f>
        <v>7.4</v>
      </c>
      <c r="U78" s="173">
        <f>+'12-GESTIÓN DOCUMENTAL'!AT19</f>
        <v>6</v>
      </c>
      <c r="V78" s="173">
        <f>+'12-GESTIÓN DOCUMENTAL'!AU19</f>
        <v>0</v>
      </c>
      <c r="W78" s="173">
        <f>+'12-GESTIÓN DOCUMENTAL'!AV19</f>
        <v>25</v>
      </c>
      <c r="X78" s="1153">
        <f t="shared" si="41"/>
        <v>19.399999999999999</v>
      </c>
      <c r="Y78" s="682">
        <f t="shared" si="42"/>
        <v>0.77599999999999991</v>
      </c>
      <c r="Z78" s="355">
        <f t="shared" si="43"/>
        <v>0.19399999999999998</v>
      </c>
      <c r="AA78" s="361">
        <f t="shared" si="39"/>
        <v>9.7000000000000003E-3</v>
      </c>
      <c r="AB78" s="1219"/>
      <c r="AD78" s="358">
        <f>+'12-GESTIÓN DOCUMENTAL'!BD19</f>
        <v>0.77599999999999991</v>
      </c>
      <c r="AE78" s="360">
        <f t="shared" si="36"/>
        <v>0</v>
      </c>
      <c r="AG78" s="358">
        <f>+'12-GESTIÓN DOCUMENTAL'!BH19</f>
        <v>0.19399999999999998</v>
      </c>
      <c r="AH78" s="360">
        <f t="shared" si="37"/>
        <v>0</v>
      </c>
    </row>
    <row r="79" spans="2:34" ht="63" customHeight="1">
      <c r="B79" s="1514"/>
      <c r="C79" s="1291"/>
      <c r="D79" s="31" t="str">
        <f>+'01-FR-03 POA INSTITUCIONAL'!D79</f>
        <v>4.4.11  Representar a la Entidad en el 100% de los procesos judiciales en los cuales la sea vinculada o demandada.</v>
      </c>
      <c r="E79" s="52">
        <f>+'01-FR-03 POA INSTITUCIONAL'!E79</f>
        <v>0.05</v>
      </c>
      <c r="F79" s="32">
        <f>+'01-FR-03 POA INSTITUCIONAL'!F79</f>
        <v>1</v>
      </c>
      <c r="G79" s="174">
        <f>+'01-FR-03 POA INSTITUCIONAL'!G79</f>
        <v>1</v>
      </c>
      <c r="H79" s="141" t="str">
        <f>+'01-FR-03 POA INSTITUCIONAL'!H79</f>
        <v>Porcentaje de procesos judiciales en los que se vincule o demande a la Entidad, objeto de representación oportuna</v>
      </c>
      <c r="I79" s="142" t="str">
        <f>+'01-FR-03 POA INSTITUCIONAL'!I79</f>
        <v xml:space="preserve"> Gestión Jurídica</v>
      </c>
      <c r="J79" s="143" t="str">
        <f>+'01-FR-03 POA INSTITUCIONAL'!J79</f>
        <v>Oficina Asesora Jurídica</v>
      </c>
      <c r="K79" s="145">
        <f>+'01-FR-03 POA INSTITUCIONAL'!K79</f>
        <v>1</v>
      </c>
      <c r="L79" s="145">
        <f>+'01-FR-03 POA INSTITUCIONAL'!L79</f>
        <v>1</v>
      </c>
      <c r="M79" s="145">
        <f>+'01-FR-03 POA INSTITUCIONAL'!M79</f>
        <v>1</v>
      </c>
      <c r="N79" s="145">
        <f>+'01-FR-03 POA INSTITUCIONAL'!N79</f>
        <v>1</v>
      </c>
      <c r="O79" s="388">
        <f>+'13-GESTIÓN JURÍDICA'!V16</f>
        <v>1</v>
      </c>
      <c r="P79" s="388">
        <f>+'13-GESTIÓN JURÍDICA'!W16</f>
        <v>1</v>
      </c>
      <c r="Q79" s="388">
        <f>+'13-GESTIÓN JURÍDICA'!AD16</f>
        <v>1</v>
      </c>
      <c r="R79" s="388">
        <f>+'13-GESTIÓN JURÍDICA'!AE16</f>
        <v>1</v>
      </c>
      <c r="S79" s="388">
        <f>+'13-GESTIÓN JURÍDICA'!AL16</f>
        <v>1</v>
      </c>
      <c r="T79" s="353">
        <f>+'13-GESTIÓN JURÍDICA'!AM16</f>
        <v>1</v>
      </c>
      <c r="U79" s="353">
        <f>+'13-GESTIÓN JURÍDICA'!AT16</f>
        <v>1</v>
      </c>
      <c r="V79" s="353">
        <f>+'13-GESTIÓN JURÍDICA'!AU16</f>
        <v>0</v>
      </c>
      <c r="W79" s="353">
        <f>+'13-GESTIÓN JURÍDICA'!AV16</f>
        <v>1</v>
      </c>
      <c r="X79" s="384">
        <f>IFERROR(IF(OR($W$79="",$W$79=0),0,ROUNDDOWN(AVERAGE($P79,R79,T79),3)),0)</f>
        <v>1</v>
      </c>
      <c r="Y79" s="1136">
        <f t="shared" ref="Y79:Y86" si="44">IF(AND(X79&gt;0,$W79&gt;0),X79/$W79,0)*0.75</f>
        <v>0.75</v>
      </c>
      <c r="Z79" s="1152">
        <f t="shared" ref="Z79:Z83" si="45">((IF(AND(X79&gt;0,$F79&gt;0),X79/$F79,0))/4)*0.75</f>
        <v>0.1875</v>
      </c>
      <c r="AA79" s="361">
        <f t="shared" si="39"/>
        <v>9.3750000000000014E-3</v>
      </c>
      <c r="AB79" s="1219"/>
      <c r="AD79" s="358">
        <f>+'13-GESTIÓN JURÍDICA'!BD16</f>
        <v>0.75</v>
      </c>
      <c r="AE79" s="360">
        <f t="shared" si="36"/>
        <v>0</v>
      </c>
      <c r="AG79" s="358">
        <f>+'13-GESTIÓN JURÍDICA'!BH16</f>
        <v>0.1875</v>
      </c>
      <c r="AH79" s="360">
        <f t="shared" si="37"/>
        <v>0</v>
      </c>
    </row>
    <row r="80" spans="2:34" ht="54.75" customHeight="1">
      <c r="B80" s="1514"/>
      <c r="C80" s="1291"/>
      <c r="D80" s="31" t="str">
        <f>+'01-FR-03 POA INSTITUCIONAL'!D80</f>
        <v xml:space="preserve">4.4.12 Defender judicialmente a la Entidad en el 100% de las acciones de tutela en las cuales sea vinculada o accionada </v>
      </c>
      <c r="E80" s="52">
        <f>+'01-FR-03 POA INSTITUCIONAL'!E80</f>
        <v>0.05</v>
      </c>
      <c r="F80" s="32">
        <f>+'01-FR-03 POA INSTITUCIONAL'!F80</f>
        <v>1</v>
      </c>
      <c r="G80" s="174">
        <f>+'01-FR-03 POA INSTITUCIONAL'!G80</f>
        <v>1</v>
      </c>
      <c r="H80" s="141" t="str">
        <f>+'01-FR-03 POA INSTITUCIONAL'!H80</f>
        <v xml:space="preserve">Porcentaje de acciones de tutela en las cuales se defienda judicialmente a la Entidad oportunamente </v>
      </c>
      <c r="I80" s="142" t="str">
        <f>+'01-FR-03 POA INSTITUCIONAL'!I80</f>
        <v xml:space="preserve"> Gestión Jurídica</v>
      </c>
      <c r="J80" s="143" t="str">
        <f>+'01-FR-03 POA INSTITUCIONAL'!J80</f>
        <v>Oficina Asesora Jurídica</v>
      </c>
      <c r="K80" s="145">
        <f>+'01-FR-03 POA INSTITUCIONAL'!K80</f>
        <v>1</v>
      </c>
      <c r="L80" s="145">
        <f>+'01-FR-03 POA INSTITUCIONAL'!L80</f>
        <v>1</v>
      </c>
      <c r="M80" s="145">
        <f>+'01-FR-03 POA INSTITUCIONAL'!M80</f>
        <v>1</v>
      </c>
      <c r="N80" s="145">
        <f>+'01-FR-03 POA INSTITUCIONAL'!N80</f>
        <v>1</v>
      </c>
      <c r="O80" s="388">
        <f>+'13-GESTIÓN JURÍDICA'!V17</f>
        <v>1</v>
      </c>
      <c r="P80" s="388">
        <f>+'13-GESTIÓN JURÍDICA'!W17</f>
        <v>1</v>
      </c>
      <c r="Q80" s="388">
        <f>+'13-GESTIÓN JURÍDICA'!AD17</f>
        <v>1</v>
      </c>
      <c r="R80" s="388">
        <f>+'13-GESTIÓN JURÍDICA'!AE17</f>
        <v>1</v>
      </c>
      <c r="S80" s="388">
        <f>+'13-GESTIÓN JURÍDICA'!AL17</f>
        <v>1</v>
      </c>
      <c r="T80" s="353">
        <f>+'13-GESTIÓN JURÍDICA'!AM17</f>
        <v>1</v>
      </c>
      <c r="U80" s="353">
        <f>+'13-GESTIÓN JURÍDICA'!AT17</f>
        <v>1</v>
      </c>
      <c r="V80" s="353">
        <f>+'13-GESTIÓN JURÍDICA'!AU17</f>
        <v>0</v>
      </c>
      <c r="W80" s="353">
        <f>+'13-GESTIÓN JURÍDICA'!AV17</f>
        <v>1</v>
      </c>
      <c r="X80" s="384">
        <f>IFERROR(IF(OR($W$79="",$W$79=0),0,ROUNDDOWN(AVERAGE($P80,R80,T80),3)),0)</f>
        <v>1</v>
      </c>
      <c r="Y80" s="1136">
        <f t="shared" si="44"/>
        <v>0.75</v>
      </c>
      <c r="Z80" s="1152">
        <f t="shared" si="45"/>
        <v>0.1875</v>
      </c>
      <c r="AA80" s="361">
        <f t="shared" si="39"/>
        <v>9.3750000000000014E-3</v>
      </c>
      <c r="AB80" s="1219"/>
      <c r="AD80" s="358">
        <f>+'13-GESTIÓN JURÍDICA'!BD17</f>
        <v>0.75</v>
      </c>
      <c r="AE80" s="360">
        <f t="shared" si="36"/>
        <v>0</v>
      </c>
      <c r="AG80" s="358">
        <f>+'13-GESTIÓN JURÍDICA'!BH17</f>
        <v>0.1875</v>
      </c>
      <c r="AH80" s="360">
        <f t="shared" si="37"/>
        <v>0</v>
      </c>
    </row>
    <row r="81" spans="2:34" ht="78.75" customHeight="1">
      <c r="B81" s="1514"/>
      <c r="C81" s="1291"/>
      <c r="D81" s="31" t="str">
        <f>+'01-FR-03 POA INSTITUCIONAL'!D81</f>
        <v>4.4.13 Emitir oportunamente el 100% de los conceptos jurídicos solicitados por el Despacho del Personero de Bogotá o sus delegados.</v>
      </c>
      <c r="E81" s="52">
        <f>+'01-FR-03 POA INSTITUCIONAL'!E81</f>
        <v>0.05</v>
      </c>
      <c r="F81" s="32">
        <f>+'01-FR-03 POA INSTITUCIONAL'!F81</f>
        <v>1</v>
      </c>
      <c r="G81" s="174">
        <f>+'01-FR-03 POA INSTITUCIONAL'!G81</f>
        <v>1</v>
      </c>
      <c r="H81" s="141" t="str">
        <f>+'01-FR-03 POA INSTITUCIONAL'!H81</f>
        <v>Porcentaje de conceptos de competencia de la dependencia emitidos oportunamente</v>
      </c>
      <c r="I81" s="142" t="str">
        <f>+'01-FR-03 POA INSTITUCIONAL'!I81</f>
        <v xml:space="preserve"> Gestión Jurídica</v>
      </c>
      <c r="J81" s="143" t="str">
        <f>+'01-FR-03 POA INSTITUCIONAL'!J81</f>
        <v>Oficina Asesora Jurídica</v>
      </c>
      <c r="K81" s="145">
        <f>+'01-FR-03 POA INSTITUCIONAL'!K81</f>
        <v>1</v>
      </c>
      <c r="L81" s="145">
        <f>+'01-FR-03 POA INSTITUCIONAL'!L81</f>
        <v>1</v>
      </c>
      <c r="M81" s="145">
        <f>+'01-FR-03 POA INSTITUCIONAL'!M81</f>
        <v>1</v>
      </c>
      <c r="N81" s="145">
        <f>+'01-FR-03 POA INSTITUCIONAL'!N81</f>
        <v>1</v>
      </c>
      <c r="O81" s="388">
        <f>+'13-GESTIÓN JURÍDICA'!V18</f>
        <v>1</v>
      </c>
      <c r="P81" s="388">
        <f>+'13-GESTIÓN JURÍDICA'!W18</f>
        <v>1</v>
      </c>
      <c r="Q81" s="388">
        <f>+'13-GESTIÓN JURÍDICA'!AD18</f>
        <v>1</v>
      </c>
      <c r="R81" s="388">
        <f>+'13-GESTIÓN JURÍDICA'!AE18</f>
        <v>1</v>
      </c>
      <c r="S81" s="388">
        <f>+'13-GESTIÓN JURÍDICA'!AL18</f>
        <v>1</v>
      </c>
      <c r="T81" s="353">
        <f>+'13-GESTIÓN JURÍDICA'!AM18</f>
        <v>1</v>
      </c>
      <c r="U81" s="353">
        <f>+'13-GESTIÓN JURÍDICA'!AT18</f>
        <v>1</v>
      </c>
      <c r="V81" s="353">
        <f>+'13-GESTIÓN JURÍDICA'!AU18</f>
        <v>0</v>
      </c>
      <c r="W81" s="353">
        <f>+'13-GESTIÓN JURÍDICA'!AV18</f>
        <v>1</v>
      </c>
      <c r="X81" s="384">
        <f t="shared" ref="X81:X82" si="46">IFERROR(IF(OR($W$79="",$W$79=0),0,ROUNDDOWN(AVERAGE($P81,R81,T81),3)),0)</f>
        <v>1</v>
      </c>
      <c r="Y81" s="1136">
        <f t="shared" si="44"/>
        <v>0.75</v>
      </c>
      <c r="Z81" s="1152">
        <f t="shared" si="45"/>
        <v>0.1875</v>
      </c>
      <c r="AA81" s="361">
        <f t="shared" si="39"/>
        <v>9.3750000000000014E-3</v>
      </c>
      <c r="AB81" s="1219"/>
      <c r="AD81" s="358">
        <f>+'13-GESTIÓN JURÍDICA'!BD18</f>
        <v>0.75</v>
      </c>
      <c r="AE81" s="360">
        <f t="shared" si="36"/>
        <v>0</v>
      </c>
      <c r="AG81" s="358">
        <f>+'13-GESTIÓN JURÍDICA'!BH18</f>
        <v>0.1875</v>
      </c>
      <c r="AH81" s="360">
        <f t="shared" si="37"/>
        <v>0</v>
      </c>
    </row>
    <row r="82" spans="2:34" ht="76.5" customHeight="1">
      <c r="B82" s="1514"/>
      <c r="C82" s="1291"/>
      <c r="D82" s="1602" t="str">
        <f>+'01-FR-03 POA INSTITUCIONAL'!D82</f>
        <v>4.4.14 Registrar el 100% de los reportes de las sanciones disciplinarias de los servidores públicos distritales.</v>
      </c>
      <c r="E82" s="1600">
        <f>+'01-FR-03 POA INSTITUCIONAL'!E82</f>
        <v>0.05</v>
      </c>
      <c r="F82" s="32">
        <f>+'01-FR-03 POA INSTITUCIONAL'!F82</f>
        <v>1</v>
      </c>
      <c r="G82" s="174">
        <f>+'01-FR-03 POA INSTITUCIONAL'!G82</f>
        <v>1</v>
      </c>
      <c r="H82" s="141" t="str">
        <f>+'01-FR-03 POA INSTITUCIONAL'!H82</f>
        <v>Porcentaje de reportes de la base de datos de sanciones disciplinarias registrados</v>
      </c>
      <c r="I82" s="142" t="str">
        <f>+'01-FR-03 POA INSTITUCIONAL'!I82</f>
        <v xml:space="preserve"> Gestión Jurídica</v>
      </c>
      <c r="J82" s="143" t="str">
        <f>+'01-FR-03 POA INSTITUCIONAL'!J82</f>
        <v>Oficina Asesora Jurídica</v>
      </c>
      <c r="K82" s="145">
        <f>+'01-FR-03 POA INSTITUCIONAL'!K82</f>
        <v>1</v>
      </c>
      <c r="L82" s="145">
        <f>+'01-FR-03 POA INSTITUCIONAL'!L82</f>
        <v>1</v>
      </c>
      <c r="M82" s="145">
        <f>+'01-FR-03 POA INSTITUCIONAL'!M82</f>
        <v>1</v>
      </c>
      <c r="N82" s="145">
        <f>+'01-FR-03 POA INSTITUCIONAL'!N82</f>
        <v>1</v>
      </c>
      <c r="O82" s="388">
        <f>+'13-GESTIÓN JURÍDICA'!V19</f>
        <v>1</v>
      </c>
      <c r="P82" s="388">
        <f>+'13-GESTIÓN JURÍDICA'!W19</f>
        <v>1</v>
      </c>
      <c r="Q82" s="388">
        <f>+'13-GESTIÓN JURÍDICA'!AD19</f>
        <v>1</v>
      </c>
      <c r="R82" s="388">
        <f>+'13-GESTIÓN JURÍDICA'!AE19</f>
        <v>1</v>
      </c>
      <c r="S82" s="388">
        <f>+'13-GESTIÓN JURÍDICA'!AL19</f>
        <v>1</v>
      </c>
      <c r="T82" s="353">
        <f>+'13-GESTIÓN JURÍDICA'!AM19</f>
        <v>1</v>
      </c>
      <c r="U82" s="353">
        <f>+'13-GESTIÓN JURÍDICA'!AT19</f>
        <v>1</v>
      </c>
      <c r="V82" s="353">
        <f>+'13-GESTIÓN JURÍDICA'!AU19</f>
        <v>0</v>
      </c>
      <c r="W82" s="353">
        <f>+'13-GESTIÓN JURÍDICA'!AV19</f>
        <v>1</v>
      </c>
      <c r="X82" s="384">
        <f t="shared" si="46"/>
        <v>1</v>
      </c>
      <c r="Y82" s="1136">
        <f t="shared" si="44"/>
        <v>0.75</v>
      </c>
      <c r="Z82" s="1152">
        <f t="shared" si="45"/>
        <v>0.1875</v>
      </c>
      <c r="AA82" s="1634">
        <f>AVERAGE((IF(AND(Z82&gt;0,E82&gt;0),Z82*E82,0)),(IF(AND(Z83&gt;0,E82&gt;0),Z83*E82,0)))</f>
        <v>9.3750000000000014E-3</v>
      </c>
      <c r="AB82" s="1219"/>
      <c r="AD82" s="358">
        <f>+'13-GESTIÓN JURÍDICA'!BD19</f>
        <v>0.75</v>
      </c>
      <c r="AE82" s="360">
        <f t="shared" si="36"/>
        <v>0</v>
      </c>
      <c r="AG82" s="358">
        <f>+'13-GESTIÓN JURÍDICA'!BH19</f>
        <v>0.1875</v>
      </c>
      <c r="AH82" s="360">
        <f t="shared" si="37"/>
        <v>0</v>
      </c>
    </row>
    <row r="83" spans="2:34" ht="76.5" customHeight="1">
      <c r="B83" s="1514"/>
      <c r="C83" s="1291"/>
      <c r="D83" s="1603"/>
      <c r="E83" s="1601"/>
      <c r="F83" s="32">
        <f>+'01-FR-03 POA INSTITUCIONAL'!F83</f>
        <v>1</v>
      </c>
      <c r="G83" s="174">
        <f>+'01-FR-03 POA INSTITUCIONAL'!G83</f>
        <v>1</v>
      </c>
      <c r="H83" s="141" t="str">
        <f>+'01-FR-03 POA INSTITUCIONAL'!H83</f>
        <v>Porcentaje de antecedentes disciplinarios expedidos</v>
      </c>
      <c r="I83" s="142" t="str">
        <f>+'01-FR-03 POA INSTITUCIONAL'!I83</f>
        <v xml:space="preserve"> Gestión Jurídica</v>
      </c>
      <c r="J83" s="143" t="str">
        <f>+'01-FR-03 POA INSTITUCIONAL'!J83</f>
        <v>Oficina Asesora Jurídica</v>
      </c>
      <c r="K83" s="145">
        <f>+'01-FR-03 POA INSTITUCIONAL'!K83</f>
        <v>1</v>
      </c>
      <c r="L83" s="145">
        <f>+'01-FR-03 POA INSTITUCIONAL'!L83</f>
        <v>1</v>
      </c>
      <c r="M83" s="145">
        <f>+'01-FR-03 POA INSTITUCIONAL'!M83</f>
        <v>1</v>
      </c>
      <c r="N83" s="145">
        <f>+'01-FR-03 POA INSTITUCIONAL'!N83</f>
        <v>1</v>
      </c>
      <c r="O83" s="388">
        <f>+'13-GESTIÓN JURÍDICA'!V20</f>
        <v>1</v>
      </c>
      <c r="P83" s="388">
        <f>+'13-GESTIÓN JURÍDICA'!W20</f>
        <v>1</v>
      </c>
      <c r="Q83" s="388">
        <f>+'13-GESTIÓN JURÍDICA'!AD20</f>
        <v>1</v>
      </c>
      <c r="R83" s="388">
        <f>+'13-GESTIÓN JURÍDICA'!AE20</f>
        <v>1</v>
      </c>
      <c r="S83" s="388">
        <f>+'13-GESTIÓN JURÍDICA'!AL20</f>
        <v>1</v>
      </c>
      <c r="T83" s="353">
        <f>+'13-GESTIÓN JURÍDICA'!AM20</f>
        <v>1</v>
      </c>
      <c r="U83" s="353">
        <f>+'13-GESTIÓN JURÍDICA'!AT20</f>
        <v>1</v>
      </c>
      <c r="V83" s="353">
        <f>+'13-GESTIÓN JURÍDICA'!AU20</f>
        <v>0</v>
      </c>
      <c r="W83" s="353">
        <f>+'13-GESTIÓN JURÍDICA'!AV20</f>
        <v>1</v>
      </c>
      <c r="X83" s="384">
        <f>IFERROR(IF(OR($W$79="",$W$79=0),0,ROUNDDOWN(AVERAGE($P83,R83,T83),3)),0)</f>
        <v>1</v>
      </c>
      <c r="Y83" s="1136">
        <f t="shared" si="44"/>
        <v>0.75</v>
      </c>
      <c r="Z83" s="1152">
        <f t="shared" si="45"/>
        <v>0.1875</v>
      </c>
      <c r="AA83" s="1635"/>
      <c r="AB83" s="1219"/>
      <c r="AD83" s="358">
        <f>+'13-GESTIÓN JURÍDICA'!BD20</f>
        <v>0.75</v>
      </c>
      <c r="AE83" s="360">
        <f t="shared" si="36"/>
        <v>0</v>
      </c>
      <c r="AG83" s="358">
        <f>+'13-GESTIÓN JURÍDICA'!BH20</f>
        <v>0.1875</v>
      </c>
      <c r="AH83" s="360">
        <f t="shared" si="37"/>
        <v>0</v>
      </c>
    </row>
    <row r="84" spans="2:34" ht="76.5" customHeight="1">
      <c r="B84" s="1514"/>
      <c r="C84" s="1291"/>
      <c r="D84" s="1531" t="str">
        <f>+'01-FR-03 POA INSTITUCIONAL'!D84</f>
        <v>4.4.15 Elaborar el 95% de los contratos en cada una de las modalidades de selección en los tiempos óptimos</v>
      </c>
      <c r="E84" s="1530">
        <f>+'01-FR-03 POA INSTITUCIONAL'!E84</f>
        <v>0.1</v>
      </c>
      <c r="F84" s="32">
        <f>+'01-FR-03 POA INSTITUCIONAL'!F84</f>
        <v>0.95</v>
      </c>
      <c r="G84" s="174" t="str">
        <f>+'01-FR-03 POA INSTITUCIONAL'!G84</f>
        <v>S.I.</v>
      </c>
      <c r="H84" s="141" t="str">
        <f>+'01-FR-03 POA INSTITUCIONAL'!H84</f>
        <v xml:space="preserve">Porcentaje de contratos en la modalidad de contratacion directa elaborados en los tiempos óptimos </v>
      </c>
      <c r="I84" s="142" t="str">
        <f>+'01-FR-03 POA INSTITUCIONAL'!I84</f>
        <v>Gestión Contractual</v>
      </c>
      <c r="J84" s="143" t="str">
        <f>+'01-FR-03 POA INSTITUCIONAL'!J84</f>
        <v>Subdirección de Gestión Contractual
Dirección Administrativa y Financiera</v>
      </c>
      <c r="K84" s="145">
        <f>+'01-FR-03 POA INSTITUCIONAL'!K84</f>
        <v>0.6</v>
      </c>
      <c r="L84" s="145">
        <f>+'01-FR-03 POA INSTITUCIONAL'!L84</f>
        <v>0.8</v>
      </c>
      <c r="M84" s="145">
        <f>+'01-FR-03 POA INSTITUCIONAL'!M84</f>
        <v>0.9</v>
      </c>
      <c r="N84" s="145">
        <f>+'01-FR-03 POA INSTITUCIONAL'!N84</f>
        <v>0.95</v>
      </c>
      <c r="O84" s="353">
        <f>+'11-GESTIÓN CONTRACTUAL'!V17</f>
        <v>0.8</v>
      </c>
      <c r="P84" s="353">
        <f>+'11-GESTIÓN CONTRACTUAL'!W17</f>
        <v>1</v>
      </c>
      <c r="Q84" s="353">
        <f>+'11-GESTIÓN CONTRACTUAL'!AD17</f>
        <v>0</v>
      </c>
      <c r="R84" s="353">
        <f>+'11-GESTIÓN CONTRACTUAL'!AE17</f>
        <v>1</v>
      </c>
      <c r="S84" s="353">
        <f>+'11-GESTIÓN CONTRACTUAL'!AL17</f>
        <v>0.80000000000000016</v>
      </c>
      <c r="T84" s="353">
        <f>+'11-GESTIÓN CONTRACTUAL'!AM17</f>
        <v>0.94899999999999995</v>
      </c>
      <c r="U84" s="353">
        <f>+'11-GESTIÓN CONTRACTUAL'!AT17</f>
        <v>0.80000000000000016</v>
      </c>
      <c r="V84" s="918">
        <f>+'11-GESTIÓN CONTRACTUAL'!AU17</f>
        <v>0</v>
      </c>
      <c r="W84" s="353">
        <f>+'11-GESTIÓN CONTRACTUAL'!AJ17</f>
        <v>0.8</v>
      </c>
      <c r="X84" s="384">
        <f>+'11-GESTIÓN CONTRACTUAL'!AY17</f>
        <v>0.96199999999999997</v>
      </c>
      <c r="Y84" s="1134">
        <f t="shared" si="44"/>
        <v>0.90187499999999998</v>
      </c>
      <c r="Z84" s="1152">
        <f>((IF(AND(X84&gt;0,$F84&gt;0),X84/$F84,0))/4)*0.75</f>
        <v>0.18986842105263158</v>
      </c>
      <c r="AA84" s="1634">
        <f>AVERAGE((IF(AND(Z84&gt;0,E84&gt;0),Z84*E84,0)),(IF(AND(Z85&gt;0,E84&gt;0),Z85*E84,0)),(IF(AND(Z86&gt;0,E84&gt;0),Z86*E84,0)))</f>
        <v>1.7289473684210532E-2</v>
      </c>
      <c r="AB84" s="1219"/>
      <c r="AD84" s="358">
        <f>+'11-GESTIÓN CONTRACTUAL'!BD17</f>
        <v>0.68625000000000014</v>
      </c>
      <c r="AE84" s="360">
        <f t="shared" ref="AE84" si="47">Y84-AD84</f>
        <v>0.21562499999999984</v>
      </c>
      <c r="AG84" s="358">
        <f>+'11-GESTIÓN CONTRACTUAL'!BH17</f>
        <v>0.14447368421052634</v>
      </c>
      <c r="AH84" s="360">
        <f t="shared" ref="AH84" si="48">+Z84-AG84</f>
        <v>4.5394736842105238E-2</v>
      </c>
    </row>
    <row r="85" spans="2:34" ht="76.5" customHeight="1">
      <c r="B85" s="1514"/>
      <c r="C85" s="1291"/>
      <c r="D85" s="1604"/>
      <c r="E85" s="1353"/>
      <c r="F85" s="32">
        <f>+'01-FR-03 POA INSTITUCIONAL'!F85</f>
        <v>0.95</v>
      </c>
      <c r="G85" s="174" t="str">
        <f>+'01-FR-03 POA INSTITUCIONAL'!G85</f>
        <v>S.I.</v>
      </c>
      <c r="H85" s="141" t="str">
        <f>+'01-FR-03 POA INSTITUCIONAL'!H85</f>
        <v xml:space="preserve">Porcentaje de contratos en la modalidad de selección abreviada de menor cuantía elaborados en los tiempos óptimos </v>
      </c>
      <c r="I85" s="142" t="str">
        <f>+'01-FR-03 POA INSTITUCIONAL'!I85</f>
        <v>Gestión Contractual</v>
      </c>
      <c r="J85" s="143" t="str">
        <f>+'01-FR-03 POA INSTITUCIONAL'!J85</f>
        <v>Subdirección de Gestión Contractual
Dirección Administrativa y Financiera</v>
      </c>
      <c r="K85" s="145">
        <f>+'01-FR-03 POA INSTITUCIONAL'!K85</f>
        <v>0.6</v>
      </c>
      <c r="L85" s="145">
        <f>+'01-FR-03 POA INSTITUCIONAL'!L85</f>
        <v>0.8</v>
      </c>
      <c r="M85" s="145">
        <f>+'01-FR-03 POA INSTITUCIONAL'!M85</f>
        <v>0.9</v>
      </c>
      <c r="N85" s="145">
        <f>+'01-FR-03 POA INSTITUCIONAL'!N85</f>
        <v>0.95</v>
      </c>
      <c r="O85" s="353">
        <f>+'11-GESTIÓN CONTRACTUAL'!V18</f>
        <v>0</v>
      </c>
      <c r="P85" s="353">
        <f>+'11-GESTIÓN CONTRACTUAL'!W18</f>
        <v>1</v>
      </c>
      <c r="Q85" s="353">
        <f>+'11-GESTIÓN CONTRACTUAL'!AD18</f>
        <v>0.8</v>
      </c>
      <c r="R85" s="353">
        <f>+'11-GESTIÓN CONTRACTUAL'!AE18</f>
        <v>0.8</v>
      </c>
      <c r="S85" s="353">
        <f>+'11-GESTIÓN CONTRACTUAL'!AL18</f>
        <v>0.80000000000000016</v>
      </c>
      <c r="T85" s="353">
        <f>+'11-GESTIÓN CONTRACTUAL'!AM18</f>
        <v>0.86599999999999999</v>
      </c>
      <c r="U85" s="353">
        <f>+'11-GESTIÓN CONTRACTUAL'!AT18</f>
        <v>0.53333333333333333</v>
      </c>
      <c r="V85" s="918">
        <f>+'11-GESTIÓN CONTRACTUAL'!AU18</f>
        <v>0</v>
      </c>
      <c r="W85" s="353">
        <f>+'11-GESTIÓN CONTRACTUAL'!AJ18</f>
        <v>0.8</v>
      </c>
      <c r="X85" s="384">
        <f>+'11-GESTIÓN CONTRACTUAL'!AY18</f>
        <v>0.86599999999999999</v>
      </c>
      <c r="Y85" s="1134">
        <f t="shared" si="44"/>
        <v>0.81187500000000001</v>
      </c>
      <c r="Z85" s="1152">
        <f>((IF(AND(X85&gt;0,$F85&gt;0),X85/$F85,0))/4)*0.75</f>
        <v>0.17092105263157895</v>
      </c>
      <c r="AA85" s="1639"/>
      <c r="AB85" s="1219"/>
      <c r="AD85" s="358">
        <f>+'11-GESTIÓN CONTRACTUAL'!BD18</f>
        <v>0.54125000000000001</v>
      </c>
      <c r="AE85" s="360">
        <f t="shared" ref="AE85:AE86" si="49">Y85-AD85</f>
        <v>0.270625</v>
      </c>
      <c r="AG85" s="358">
        <f>+'11-GESTIÓN CONTRACTUAL'!BH18</f>
        <v>0.11394736842105263</v>
      </c>
      <c r="AH85" s="360">
        <f t="shared" ref="AH85:AH86" si="50">+Z85-AG85</f>
        <v>5.6973684210526315E-2</v>
      </c>
    </row>
    <row r="86" spans="2:34" ht="76.5" customHeight="1">
      <c r="B86" s="1514"/>
      <c r="C86" s="1286"/>
      <c r="D86" s="1532"/>
      <c r="E86" s="1344"/>
      <c r="F86" s="32">
        <f>+'01-FR-03 POA INSTITUCIONAL'!F86</f>
        <v>0.95</v>
      </c>
      <c r="G86" s="174" t="str">
        <f>+'01-FR-03 POA INSTITUCIONAL'!G86</f>
        <v>S.I.</v>
      </c>
      <c r="H86" s="141" t="str">
        <f>+'01-FR-03 POA INSTITUCIONAL'!H86</f>
        <v xml:space="preserve">Porcentaje de contratos en la modalidad de selección abreviada de subasta inversa, licitación pública y concurso de méritos elaborados en los tiempos óptimos </v>
      </c>
      <c r="I86" s="142" t="str">
        <f>+'01-FR-03 POA INSTITUCIONAL'!I86</f>
        <v>Gestión Contractual</v>
      </c>
      <c r="J86" s="143" t="str">
        <f>+'01-FR-03 POA INSTITUCIONAL'!J86</f>
        <v>Subdirección de Gestión Contractual
Dirección Administrativa y Financiera</v>
      </c>
      <c r="K86" s="145">
        <f>+'01-FR-03 POA INSTITUCIONAL'!K86</f>
        <v>0.6</v>
      </c>
      <c r="L86" s="145">
        <f>+'01-FR-03 POA INSTITUCIONAL'!L86</f>
        <v>0.8</v>
      </c>
      <c r="M86" s="145">
        <f>+'01-FR-03 POA INSTITUCIONAL'!M86</f>
        <v>0.9</v>
      </c>
      <c r="N86" s="145">
        <f>+'01-FR-03 POA INSTITUCIONAL'!N86</f>
        <v>0.95</v>
      </c>
      <c r="O86" s="353">
        <f>+'11-GESTIÓN CONTRACTUAL'!V19</f>
        <v>0.8</v>
      </c>
      <c r="P86" s="353">
        <f>+'11-GESTIÓN CONTRACTUAL'!W19</f>
        <v>0.8</v>
      </c>
      <c r="Q86" s="353">
        <f>+'11-GESTIÓN CONTRACTUAL'!AD19</f>
        <v>0.8</v>
      </c>
      <c r="R86" s="353">
        <f>+'11-GESTIÓN CONTRACTUAL'!AE19</f>
        <v>0.86599999999999999</v>
      </c>
      <c r="S86" s="353">
        <f>+'11-GESTIÓN CONTRACTUAL'!AL19</f>
        <v>0.80000000000000016</v>
      </c>
      <c r="T86" s="353">
        <f>+'11-GESTIÓN CONTRACTUAL'!AM19</f>
        <v>0.8</v>
      </c>
      <c r="U86" s="353">
        <f>+'11-GESTIÓN CONTRACTUAL'!AT19</f>
        <v>0.80000000000000016</v>
      </c>
      <c r="V86" s="918">
        <v>0.8</v>
      </c>
      <c r="W86" s="353">
        <f>+'11-GESTIÓN CONTRACTUAL'!AJ19</f>
        <v>0.8</v>
      </c>
      <c r="X86" s="384">
        <f>+'11-GESTIÓN CONTRACTUAL'!AY19</f>
        <v>0.8</v>
      </c>
      <c r="Y86" s="1134">
        <f t="shared" si="44"/>
        <v>0.75</v>
      </c>
      <c r="Z86" s="1152">
        <f>((IF(AND(X86&gt;0,$F86&gt;0),X86/$F86,0))/4)*0.75</f>
        <v>0.15789473684210528</v>
      </c>
      <c r="AA86" s="1635"/>
      <c r="AB86" s="1313"/>
      <c r="AD86" s="358">
        <f>+'11-GESTIÓN CONTRACTUAL'!BD19</f>
        <v>0.50000000000000011</v>
      </c>
      <c r="AE86" s="360">
        <f t="shared" si="49"/>
        <v>0.24999999999999989</v>
      </c>
      <c r="AG86" s="358">
        <f>+'11-GESTIÓN CONTRACTUAL'!BH19</f>
        <v>0.10526315789473685</v>
      </c>
      <c r="AH86" s="360">
        <f t="shared" si="50"/>
        <v>5.2631578947368432E-2</v>
      </c>
    </row>
    <row r="87" spans="2:34" ht="73.5" customHeight="1">
      <c r="B87" s="1514"/>
      <c r="C87" s="1528" t="s">
        <v>146</v>
      </c>
      <c r="D87" s="151" t="str">
        <f>+'01-FR-03 POA INSTITUCIONAL'!D87</f>
        <v xml:space="preserve">4.5.1 Emitir 96 solicitudes de aplicación de medidas de preservación del orden interno, con el fin de prevenir la materialización de conductas con alcance disciplinario. </v>
      </c>
      <c r="E87" s="152">
        <f>+'01-FR-03 POA INSTITUCIONAL'!E87</f>
        <v>0.05</v>
      </c>
      <c r="F87" s="183">
        <f>+'01-FR-03 POA INSTITUCIONAL'!F87</f>
        <v>148</v>
      </c>
      <c r="G87" s="184" t="str">
        <f>+'01-FR-03 POA INSTITUCIONAL'!G87</f>
        <v>S.I.</v>
      </c>
      <c r="H87" s="177" t="str">
        <f>+'01-FR-03 POA INSTITUCIONAL'!H87</f>
        <v>Medidas de preservación del orden interno emitidas</v>
      </c>
      <c r="I87" s="178" t="str">
        <f>+'01-FR-03 POA INSTITUCIONAL'!I87</f>
        <v>Control Disciplinario Interno</v>
      </c>
      <c r="J87" s="179" t="str">
        <f>+'01-FR-03 POA INSTITUCIONAL'!J87</f>
        <v>Oficina Control Interno Disciplinario</v>
      </c>
      <c r="K87" s="185">
        <f>+'01-FR-03 POA INSTITUCIONAL'!K87</f>
        <v>24</v>
      </c>
      <c r="L87" s="185">
        <f>+'01-FR-03 POA INSTITUCIONAL'!L87</f>
        <v>52</v>
      </c>
      <c r="M87" s="185">
        <f>+'01-FR-03 POA INSTITUCIONAL'!M87</f>
        <v>36</v>
      </c>
      <c r="N87" s="185">
        <f>+'01-FR-03 POA INSTITUCIONAL'!N87</f>
        <v>36</v>
      </c>
      <c r="O87" s="153">
        <f>+'15-CTRL DISCIPLINARIO INTERNO'!V16</f>
        <v>6</v>
      </c>
      <c r="P87" s="153">
        <f>+'15-CTRL DISCIPLINARIO INTERNO'!W16</f>
        <v>26</v>
      </c>
      <c r="Q87" s="153">
        <f>+'15-CTRL DISCIPLINARIO INTERNO'!AD16</f>
        <v>6</v>
      </c>
      <c r="R87" s="153">
        <f>+'15-CTRL DISCIPLINARIO INTERNO'!AE16</f>
        <v>14</v>
      </c>
      <c r="S87" s="153">
        <f>+'15-CTRL DISCIPLINARIO INTERNO'!AL16</f>
        <v>21</v>
      </c>
      <c r="T87" s="153">
        <f>+'15-CTRL DISCIPLINARIO INTERNO'!AM16</f>
        <v>16</v>
      </c>
      <c r="U87" s="153">
        <f>+'15-CTRL DISCIPLINARIO INTERNO'!AT16</f>
        <v>19</v>
      </c>
      <c r="V87" s="153">
        <f>+'15-CTRL DISCIPLINARIO INTERNO'!AU16</f>
        <v>0</v>
      </c>
      <c r="W87" s="153">
        <f>+'15-CTRL DISCIPLINARIO INTERNO'!AV16</f>
        <v>52</v>
      </c>
      <c r="X87" s="365">
        <f t="shared" ref="X87:X92" si="51">+P87+R87+T87+V87</f>
        <v>56</v>
      </c>
      <c r="Y87" s="679">
        <f t="shared" ref="Y87:Y92" si="52">IF(AND(X87&gt;0,$W87&gt;0),X87/$W87,0)</f>
        <v>1.0769230769230769</v>
      </c>
      <c r="Z87" s="366">
        <f t="shared" ref="Z87:Z89" si="53">IF(AND(X87&gt;0,$F87&gt;0),X87/$F87,0)</f>
        <v>0.3783783783783784</v>
      </c>
      <c r="AA87" s="366">
        <f t="shared" ref="AA87:AA89" si="54">IF(AND(Z87&gt;0,E87&gt;0),Z87*E87,0)</f>
        <v>1.891891891891892E-2</v>
      </c>
      <c r="AB87" s="1636">
        <f>SUM(AA87:AA92)</f>
        <v>0.23491891891891895</v>
      </c>
      <c r="AD87" s="358">
        <f>+'15-CTRL DISCIPLINARIO INTERNO'!BD16</f>
        <v>1.0769230769230769</v>
      </c>
      <c r="AE87" s="360">
        <f t="shared" si="36"/>
        <v>0</v>
      </c>
      <c r="AG87" s="358">
        <f>+'15-CTRL DISCIPLINARIO INTERNO'!BH16</f>
        <v>0.3783783783783784</v>
      </c>
      <c r="AH87" s="360">
        <f t="shared" si="37"/>
        <v>0</v>
      </c>
    </row>
    <row r="88" spans="2:34" ht="86.25" customHeight="1">
      <c r="B88" s="1514"/>
      <c r="C88" s="1512"/>
      <c r="D88" s="151" t="str">
        <f>+'01-FR-03 POA INSTITUCIONAL'!D88</f>
        <v>4.5.2 Realizar 20 jornadas de sensibilización a funcionarios de la Personería de Bogotá D.C. sobre la prevención de las faltas disciplinarias más recurrentes en la Entidad.</v>
      </c>
      <c r="E88" s="152">
        <f>+'01-FR-03 POA INSTITUCIONAL'!E88</f>
        <v>0.05</v>
      </c>
      <c r="F88" s="183">
        <f>+'01-FR-03 POA INSTITUCIONAL'!F88</f>
        <v>20</v>
      </c>
      <c r="G88" s="184" t="str">
        <f>+'01-FR-03 POA INSTITUCIONAL'!G88</f>
        <v>S.I.</v>
      </c>
      <c r="H88" s="177" t="str">
        <f>+'01-FR-03 POA INSTITUCIONAL'!H88</f>
        <v>Jornadas de sensibilización realizadas</v>
      </c>
      <c r="I88" s="178" t="str">
        <f>+'01-FR-03 POA INSTITUCIONAL'!I88</f>
        <v>Control Disciplinario Interno</v>
      </c>
      <c r="J88" s="179" t="str">
        <f>+'01-FR-03 POA INSTITUCIONAL'!J88</f>
        <v>Oficina Control Interno Disciplinario</v>
      </c>
      <c r="K88" s="185">
        <f>+'01-FR-03 POA INSTITUCIONAL'!K88</f>
        <v>2</v>
      </c>
      <c r="L88" s="185">
        <f>+'01-FR-03 POA INSTITUCIONAL'!L88</f>
        <v>6</v>
      </c>
      <c r="M88" s="185">
        <f>+'01-FR-03 POA INSTITUCIONAL'!M88</f>
        <v>6</v>
      </c>
      <c r="N88" s="185">
        <f>+'01-FR-03 POA INSTITUCIONAL'!N88</f>
        <v>6</v>
      </c>
      <c r="O88" s="153">
        <f>+'15-CTRL DISCIPLINARIO INTERNO'!V17</f>
        <v>0</v>
      </c>
      <c r="P88" s="153">
        <f>+'15-CTRL DISCIPLINARIO INTERNO'!W17</f>
        <v>1</v>
      </c>
      <c r="Q88" s="153">
        <f>+'15-CTRL DISCIPLINARIO INTERNO'!AD17</f>
        <v>2</v>
      </c>
      <c r="R88" s="153">
        <f>+'15-CTRL DISCIPLINARIO INTERNO'!AE17</f>
        <v>1</v>
      </c>
      <c r="S88" s="153">
        <f>+'15-CTRL DISCIPLINARIO INTERNO'!AL17</f>
        <v>3</v>
      </c>
      <c r="T88" s="153">
        <f>+'15-CTRL DISCIPLINARIO INTERNO'!AM17</f>
        <v>2</v>
      </c>
      <c r="U88" s="153">
        <f>+'15-CTRL DISCIPLINARIO INTERNO'!AT17</f>
        <v>1</v>
      </c>
      <c r="V88" s="153">
        <f>+'15-CTRL DISCIPLINARIO INTERNO'!AU17</f>
        <v>0</v>
      </c>
      <c r="W88" s="153">
        <f>+'15-CTRL DISCIPLINARIO INTERNO'!AV17</f>
        <v>6</v>
      </c>
      <c r="X88" s="365">
        <f t="shared" si="51"/>
        <v>4</v>
      </c>
      <c r="Y88" s="679">
        <f t="shared" si="52"/>
        <v>0.66666666666666663</v>
      </c>
      <c r="Z88" s="366">
        <f t="shared" si="53"/>
        <v>0.2</v>
      </c>
      <c r="AA88" s="366">
        <f t="shared" si="54"/>
        <v>1.0000000000000002E-2</v>
      </c>
      <c r="AB88" s="1637"/>
      <c r="AD88" s="358">
        <f>+'15-CTRL DISCIPLINARIO INTERNO'!BD17</f>
        <v>0.66666666666666663</v>
      </c>
      <c r="AE88" s="360">
        <f t="shared" si="36"/>
        <v>0</v>
      </c>
      <c r="AG88" s="358">
        <f>+'15-CTRL DISCIPLINARIO INTERNO'!BH17</f>
        <v>0.2</v>
      </c>
      <c r="AH88" s="360">
        <f t="shared" si="37"/>
        <v>0</v>
      </c>
    </row>
    <row r="89" spans="2:34" ht="96.75" customHeight="1">
      <c r="B89" s="1514"/>
      <c r="C89" s="1512"/>
      <c r="D89" s="151" t="str">
        <f>+'01-FR-03 POA INSTITUCIONAL'!D89</f>
        <v>4.5.3 Decidir de fondo 400 procesos disciplinarios que se encuentren en términos o con periodos vencidos, dando prelación a aquellos con mayor antigüedad o aquellos próximos a prescribir o caducar.</v>
      </c>
      <c r="E89" s="152">
        <f>+'01-FR-03 POA INSTITUCIONAL'!E89</f>
        <v>0.2</v>
      </c>
      <c r="F89" s="183">
        <f>+'01-FR-03 POA INSTITUCIONAL'!F89</f>
        <v>400</v>
      </c>
      <c r="G89" s="184" t="str">
        <f>+'01-FR-03 POA INSTITUCIONAL'!G89</f>
        <v>115 (en el último año)</v>
      </c>
      <c r="H89" s="177" t="str">
        <f>+'01-FR-03 POA INSTITUCIONAL'!H89</f>
        <v>Procesos disciplinarios con decisión de fondo proferida</v>
      </c>
      <c r="I89" s="178" t="str">
        <f>+'01-FR-03 POA INSTITUCIONAL'!I89</f>
        <v>Control Disciplinario Interno</v>
      </c>
      <c r="J89" s="179" t="str">
        <f>+'01-FR-03 POA INSTITUCIONAL'!J89</f>
        <v>Oficina Control Interno Disciplinario</v>
      </c>
      <c r="K89" s="185">
        <f>+'01-FR-03 POA INSTITUCIONAL'!K89</f>
        <v>100</v>
      </c>
      <c r="L89" s="185">
        <f>+'01-FR-03 POA INSTITUCIONAL'!L89</f>
        <v>100</v>
      </c>
      <c r="M89" s="185">
        <f>+'01-FR-03 POA INSTITUCIONAL'!M89</f>
        <v>100</v>
      </c>
      <c r="N89" s="185">
        <f>+'01-FR-03 POA INSTITUCIONAL'!N89</f>
        <v>100</v>
      </c>
      <c r="O89" s="153">
        <f>+'15-CTRL DISCIPLINARIO INTERNO'!V18</f>
        <v>23</v>
      </c>
      <c r="P89" s="153">
        <f>+'15-CTRL DISCIPLINARIO INTERNO'!W18</f>
        <v>30</v>
      </c>
      <c r="Q89" s="153">
        <f>+'15-CTRL DISCIPLINARIO INTERNO'!AD18</f>
        <v>30</v>
      </c>
      <c r="R89" s="153">
        <f>+'15-CTRL DISCIPLINARIO INTERNO'!AE18</f>
        <v>46</v>
      </c>
      <c r="S89" s="153">
        <f>+'15-CTRL DISCIPLINARIO INTERNO'!AL18</f>
        <v>30</v>
      </c>
      <c r="T89" s="153">
        <f>+'15-CTRL DISCIPLINARIO INTERNO'!AM18</f>
        <v>51</v>
      </c>
      <c r="U89" s="153">
        <f>+'15-CTRL DISCIPLINARIO INTERNO'!AT18</f>
        <v>17</v>
      </c>
      <c r="V89" s="153">
        <f>+'15-CTRL DISCIPLINARIO INTERNO'!AU18</f>
        <v>0</v>
      </c>
      <c r="W89" s="153">
        <f>+'15-CTRL DISCIPLINARIO INTERNO'!AV18</f>
        <v>100</v>
      </c>
      <c r="X89" s="365">
        <f t="shared" si="51"/>
        <v>127</v>
      </c>
      <c r="Y89" s="679">
        <f t="shared" si="52"/>
        <v>1.27</v>
      </c>
      <c r="Z89" s="366">
        <f t="shared" si="53"/>
        <v>0.3175</v>
      </c>
      <c r="AA89" s="366">
        <f t="shared" si="54"/>
        <v>6.3500000000000001E-2</v>
      </c>
      <c r="AB89" s="1637"/>
      <c r="AD89" s="358">
        <f>+'15-CTRL DISCIPLINARIO INTERNO'!BD18</f>
        <v>1.27</v>
      </c>
      <c r="AE89" s="360">
        <f t="shared" si="36"/>
        <v>0</v>
      </c>
      <c r="AG89" s="358">
        <f>+'15-CTRL DISCIPLINARIO INTERNO'!BH18</f>
        <v>0.3175</v>
      </c>
      <c r="AH89" s="360">
        <f t="shared" si="37"/>
        <v>0</v>
      </c>
    </row>
    <row r="90" spans="2:34" ht="69.75" customHeight="1">
      <c r="B90" s="1514"/>
      <c r="C90" s="1512"/>
      <c r="D90" s="151" t="str">
        <f>+'01-FR-03 POA INSTITUCIONAL'!D90</f>
        <v>4.5.4 Ejecutar  4 programas anuales de auditorias, aprobados por el Comité Institucional de Coordinación del Sistema de Control Interno.</v>
      </c>
      <c r="E90" s="152">
        <f>+'01-FR-03 POA INSTITUCIONAL'!E90</f>
        <v>0.5</v>
      </c>
      <c r="F90" s="183">
        <f>+'01-FR-03 POA INSTITUCIONAL'!F90</f>
        <v>4</v>
      </c>
      <c r="G90" s="184">
        <f>+'01-FR-03 POA INSTITUCIONAL'!G90</f>
        <v>4</v>
      </c>
      <c r="H90" s="177" t="str">
        <f>+'01-FR-03 POA INSTITUCIONAL'!H90</f>
        <v>Programa anual de auditorías ejecutado.</v>
      </c>
      <c r="I90" s="178" t="str">
        <f>+'01-FR-03 POA INSTITUCIONAL'!I90</f>
        <v>Evaluación y Seguimiento</v>
      </c>
      <c r="J90" s="179" t="str">
        <f>+'01-FR-03 POA INSTITUCIONAL'!J90</f>
        <v>Oficina de Control Interno</v>
      </c>
      <c r="K90" s="185">
        <f>+'01-FR-03 POA INSTITUCIONAL'!K90</f>
        <v>1</v>
      </c>
      <c r="L90" s="185">
        <f>+'01-FR-03 POA INSTITUCIONAL'!L90</f>
        <v>1</v>
      </c>
      <c r="M90" s="185">
        <f>+'01-FR-03 POA INSTITUCIONAL'!M90</f>
        <v>1</v>
      </c>
      <c r="N90" s="185">
        <f>+'01-FR-03 POA INSTITUCIONAL'!N90</f>
        <v>1</v>
      </c>
      <c r="O90" s="389">
        <f>+'16-EVALUACIÓN Y SEGUIMIENTO'!V16</f>
        <v>0.35</v>
      </c>
      <c r="P90" s="389">
        <f>+'16-EVALUACIÓN Y SEGUIMIENTO'!W16</f>
        <v>0.35</v>
      </c>
      <c r="Q90" s="389">
        <f>+'16-EVALUACIÓN Y SEGUIMIENTO'!AD16</f>
        <v>0.15</v>
      </c>
      <c r="R90" s="607">
        <f>+'16-EVALUACIÓN Y SEGUIMIENTO'!AE16</f>
        <v>0.15</v>
      </c>
      <c r="S90" s="389">
        <f>+'16-EVALUACIÓN Y SEGUIMIENTO'!AL16</f>
        <v>0.44000000000000006</v>
      </c>
      <c r="T90" s="607">
        <f>+'16-EVALUACIÓN Y SEGUIMIENTO'!AM16</f>
        <v>0.44000000000000006</v>
      </c>
      <c r="U90" s="389">
        <f>+'16-EVALUACIÓN Y SEGUIMIENTO'!AT16</f>
        <v>0.06</v>
      </c>
      <c r="V90" s="607">
        <f>+'16-EVALUACIÓN Y SEGUIMIENTO'!AU16</f>
        <v>0</v>
      </c>
      <c r="W90" s="390">
        <f>+'16-EVALUACIÓN Y SEGUIMIENTO'!AV16</f>
        <v>1</v>
      </c>
      <c r="X90" s="365">
        <f t="shared" si="51"/>
        <v>0.94000000000000006</v>
      </c>
      <c r="Y90" s="679">
        <f t="shared" si="52"/>
        <v>0.94000000000000006</v>
      </c>
      <c r="Z90" s="366">
        <f t="shared" ref="Z90:Z92" si="55">IF(AND(X90&gt;0,$F90&gt;0),X90/$F90,0)</f>
        <v>0.23500000000000001</v>
      </c>
      <c r="AA90" s="366">
        <f t="shared" ref="AA90:AA93" si="56">IF(AND(Z90&gt;0,E90&gt;0),Z90*E90,0)</f>
        <v>0.11750000000000001</v>
      </c>
      <c r="AB90" s="1637"/>
      <c r="AD90" s="358">
        <f>+'16-EVALUACIÓN Y SEGUIMIENTO'!BD16</f>
        <v>0.94000000000000006</v>
      </c>
      <c r="AE90" s="360">
        <f t="shared" si="36"/>
        <v>0</v>
      </c>
      <c r="AG90" s="383">
        <f>+'16-EVALUACIÓN Y SEGUIMIENTO'!BH16</f>
        <v>0.23500000000000001</v>
      </c>
      <c r="AH90" s="360">
        <f t="shared" si="37"/>
        <v>0</v>
      </c>
    </row>
    <row r="91" spans="2:34" ht="56.25" customHeight="1">
      <c r="B91" s="1514"/>
      <c r="C91" s="1512"/>
      <c r="D91" s="151" t="str">
        <f>+'01-FR-03 POA INSTITUCIONAL'!D91</f>
        <v>4.5.5 Desarrollar 4 estrategias de sensibilización acerca de la cultura del control.</v>
      </c>
      <c r="E91" s="152">
        <f>+'01-FR-03 POA INSTITUCIONAL'!E91</f>
        <v>0.1</v>
      </c>
      <c r="F91" s="183">
        <f>+'01-FR-03 POA INSTITUCIONAL'!F91</f>
        <v>4</v>
      </c>
      <c r="G91" s="184">
        <f>+'01-FR-03 POA INSTITUCIONAL'!G91</f>
        <v>4</v>
      </c>
      <c r="H91" s="177" t="str">
        <f>+'01-FR-03 POA INSTITUCIONAL'!H91</f>
        <v>Estrategia de Sensibilización acerca de la Cultura del Control realizada</v>
      </c>
      <c r="I91" s="178" t="str">
        <f>+'01-FR-03 POA INSTITUCIONAL'!I91</f>
        <v>Evaluación y Seguimiento</v>
      </c>
      <c r="J91" s="179" t="str">
        <f>+'01-FR-03 POA INSTITUCIONAL'!J91</f>
        <v>Oficina de Control Interno</v>
      </c>
      <c r="K91" s="185">
        <f>+'01-FR-03 POA INSTITUCIONAL'!K91</f>
        <v>1</v>
      </c>
      <c r="L91" s="185">
        <f>+'01-FR-03 POA INSTITUCIONAL'!L91</f>
        <v>1</v>
      </c>
      <c r="M91" s="185">
        <f>+'01-FR-03 POA INSTITUCIONAL'!M91</f>
        <v>1</v>
      </c>
      <c r="N91" s="185">
        <f>+'01-FR-03 POA INSTITUCIONAL'!N91</f>
        <v>1</v>
      </c>
      <c r="O91" s="391">
        <f>+'16-EVALUACIÓN Y SEGUIMIENTO'!V17</f>
        <v>0</v>
      </c>
      <c r="P91" s="391">
        <f>+'16-EVALUACIÓN Y SEGUIMIENTO'!W17</f>
        <v>0</v>
      </c>
      <c r="Q91" s="391">
        <f>+'16-EVALUACIÓN Y SEGUIMIENTO'!AD17</f>
        <v>0</v>
      </c>
      <c r="R91" s="608">
        <f>+'16-EVALUACIÓN Y SEGUIMIENTO'!AE17</f>
        <v>0</v>
      </c>
      <c r="S91" s="391">
        <f>+'16-EVALUACIÓN Y SEGUIMIENTO'!AL17</f>
        <v>0</v>
      </c>
      <c r="T91" s="608">
        <f>+'16-EVALUACIÓN Y SEGUIMIENTO'!AM17</f>
        <v>0</v>
      </c>
      <c r="U91" s="391">
        <f>+'16-EVALUACIÓN Y SEGUIMIENTO'!AT17</f>
        <v>1</v>
      </c>
      <c r="V91" s="608">
        <f>+'16-EVALUACIÓN Y SEGUIMIENTO'!AU17</f>
        <v>0</v>
      </c>
      <c r="W91" s="390">
        <f>+'16-EVALUACIÓN Y SEGUIMIENTO'!AV17</f>
        <v>1</v>
      </c>
      <c r="X91" s="365">
        <f t="shared" si="51"/>
        <v>0</v>
      </c>
      <c r="Y91" s="679">
        <f t="shared" si="52"/>
        <v>0</v>
      </c>
      <c r="Z91" s="366">
        <f t="shared" si="55"/>
        <v>0</v>
      </c>
      <c r="AA91" s="366">
        <f t="shared" si="56"/>
        <v>0</v>
      </c>
      <c r="AB91" s="1637"/>
      <c r="AD91" s="358">
        <f>+'16-EVALUACIÓN Y SEGUIMIENTO'!BD17</f>
        <v>0</v>
      </c>
      <c r="AE91" s="360">
        <f t="shared" si="36"/>
        <v>0</v>
      </c>
      <c r="AG91" s="383">
        <f>+'16-EVALUACIÓN Y SEGUIMIENTO'!BH17</f>
        <v>0</v>
      </c>
      <c r="AH91" s="360">
        <f t="shared" si="37"/>
        <v>0</v>
      </c>
    </row>
    <row r="92" spans="2:34" ht="61.5" customHeight="1">
      <c r="B92" s="1514"/>
      <c r="C92" s="1529"/>
      <c r="D92" s="151" t="str">
        <f>+'01-FR-03 POA INSTITUCIONAL'!D92</f>
        <v>4.5.6 Realizar 4 jornadas de sensibilización a Directivos y Referentes de proceso sobre la Séptima Dimensión.</v>
      </c>
      <c r="E92" s="152">
        <f>+'01-FR-03 POA INSTITUCIONAL'!E92</f>
        <v>0.1</v>
      </c>
      <c r="F92" s="183">
        <f>+'01-FR-03 POA INSTITUCIONAL'!F92</f>
        <v>4</v>
      </c>
      <c r="G92" s="184">
        <f>+'01-FR-03 POA INSTITUCIONAL'!G92</f>
        <v>4</v>
      </c>
      <c r="H92" s="177" t="str">
        <f>+'01-FR-03 POA INSTITUCIONAL'!H92</f>
        <v>Sensibilización a Directivos y Referentes de Gestión sobre la Séptima Dimensión del MIPG realizada</v>
      </c>
      <c r="I92" s="178" t="str">
        <f>+'01-FR-03 POA INSTITUCIONAL'!I92</f>
        <v>Evaluación y Seguimiento</v>
      </c>
      <c r="J92" s="179" t="str">
        <f>+'01-FR-03 POA INSTITUCIONAL'!J92</f>
        <v>Oficina de Control Interno</v>
      </c>
      <c r="K92" s="185">
        <f>+'01-FR-03 POA INSTITUCIONAL'!K92</f>
        <v>1</v>
      </c>
      <c r="L92" s="185">
        <f>+'01-FR-03 POA INSTITUCIONAL'!L92</f>
        <v>1</v>
      </c>
      <c r="M92" s="185">
        <f>+'01-FR-03 POA INSTITUCIONAL'!M92</f>
        <v>1</v>
      </c>
      <c r="N92" s="185">
        <f>+'01-FR-03 POA INSTITUCIONAL'!N92</f>
        <v>1</v>
      </c>
      <c r="O92" s="391">
        <f>+'16-EVALUACIÓN Y SEGUIMIENTO'!V18</f>
        <v>0</v>
      </c>
      <c r="P92" s="391">
        <f>+'16-EVALUACIÓN Y SEGUIMIENTO'!W18</f>
        <v>0</v>
      </c>
      <c r="Q92" s="391">
        <f>+'16-EVALUACIÓN Y SEGUIMIENTO'!AD18</f>
        <v>1</v>
      </c>
      <c r="R92" s="608">
        <f>+'16-EVALUACIÓN Y SEGUIMIENTO'!AE18</f>
        <v>1</v>
      </c>
      <c r="S92" s="391">
        <f>+'16-EVALUACIÓN Y SEGUIMIENTO'!AL18</f>
        <v>0</v>
      </c>
      <c r="T92" s="608">
        <f>+'16-EVALUACIÓN Y SEGUIMIENTO'!AM18</f>
        <v>0</v>
      </c>
      <c r="U92" s="391">
        <f>+'16-EVALUACIÓN Y SEGUIMIENTO'!AT18</f>
        <v>0</v>
      </c>
      <c r="V92" s="608">
        <f>+'16-EVALUACIÓN Y SEGUIMIENTO'!AU18</f>
        <v>0</v>
      </c>
      <c r="W92" s="390">
        <f>+'16-EVALUACIÓN Y SEGUIMIENTO'!AV18</f>
        <v>1</v>
      </c>
      <c r="X92" s="365">
        <f t="shared" si="51"/>
        <v>1</v>
      </c>
      <c r="Y92" s="679">
        <f t="shared" si="52"/>
        <v>1</v>
      </c>
      <c r="Z92" s="366">
        <f t="shared" si="55"/>
        <v>0.25</v>
      </c>
      <c r="AA92" s="366">
        <f t="shared" si="56"/>
        <v>2.5000000000000001E-2</v>
      </c>
      <c r="AB92" s="1638"/>
      <c r="AD92" s="358">
        <f>+'16-EVALUACIÓN Y SEGUIMIENTO'!BD18</f>
        <v>1</v>
      </c>
      <c r="AE92" s="360">
        <f t="shared" si="36"/>
        <v>0</v>
      </c>
      <c r="AG92" s="383">
        <f>+'16-EVALUACIÓN Y SEGUIMIENTO'!BH18</f>
        <v>0.25</v>
      </c>
      <c r="AH92" s="360">
        <f t="shared" si="37"/>
        <v>0</v>
      </c>
    </row>
    <row r="93" spans="2:34" ht="60" customHeight="1">
      <c r="B93" s="1514"/>
      <c r="C93" s="1533" t="s">
        <v>147</v>
      </c>
      <c r="D93" s="31" t="str">
        <f>+'01-FR-03 POA INSTITUCIONAL'!D93</f>
        <v>4.6.1  Desarrollar el 100% de los productos para comunicación y divulgación externa que promuevan y difundan la gestión institucional</v>
      </c>
      <c r="E93" s="52">
        <f>+'01-FR-03 POA INSTITUCIONAL'!E93</f>
        <v>0.5</v>
      </c>
      <c r="F93" s="32">
        <f>+'01-FR-03 POA INSTITUCIONAL'!F93</f>
        <v>1</v>
      </c>
      <c r="G93" s="174">
        <f>+'01-FR-03 POA INSTITUCIONAL'!G93</f>
        <v>1</v>
      </c>
      <c r="H93" s="141" t="str">
        <f>+'01-FR-03 POA INSTITUCIONAL'!H93</f>
        <v>Productos de comunicación externa desarrollados</v>
      </c>
      <c r="I93" s="142" t="str">
        <f>+'01-FR-03 POA INSTITUCIONAL'!I93</f>
        <v>Comunicación Estratégica</v>
      </c>
      <c r="J93" s="143" t="str">
        <f>+'01-FR-03 POA INSTITUCIONAL'!J93</f>
        <v>Oficina Asesora de Comunicaciones</v>
      </c>
      <c r="K93" s="145">
        <f>+'01-FR-03 POA INSTITUCIONAL'!K93</f>
        <v>1</v>
      </c>
      <c r="L93" s="145">
        <f>+'01-FR-03 POA INSTITUCIONAL'!L93</f>
        <v>1</v>
      </c>
      <c r="M93" s="145">
        <f>+'01-FR-03 POA INSTITUCIONAL'!M93</f>
        <v>1</v>
      </c>
      <c r="N93" s="145">
        <f>+'01-FR-03 POA INSTITUCIONAL'!N93</f>
        <v>1</v>
      </c>
      <c r="O93" s="388">
        <f>+'04-COMUNICACIÓN ESTRATÉGICA'!V16</f>
        <v>1</v>
      </c>
      <c r="P93" s="388">
        <f>+'04-COMUNICACIÓN ESTRATÉGICA'!W16</f>
        <v>1</v>
      </c>
      <c r="Q93" s="388">
        <f>+'04-COMUNICACIÓN ESTRATÉGICA'!AD16</f>
        <v>1</v>
      </c>
      <c r="R93" s="388">
        <f>+'04-COMUNICACIÓN ESTRATÉGICA'!AE16</f>
        <v>1</v>
      </c>
      <c r="S93" s="388">
        <f>+'04-COMUNICACIÓN ESTRATÉGICA'!AL16</f>
        <v>1</v>
      </c>
      <c r="T93" s="388">
        <f>+'04-COMUNICACIÓN ESTRATÉGICA'!AM16</f>
        <v>1</v>
      </c>
      <c r="U93" s="388">
        <f>+'04-COMUNICACIÓN ESTRATÉGICA'!AT16</f>
        <v>1</v>
      </c>
      <c r="V93" s="388">
        <f>+'04-COMUNICACIÓN ESTRATÉGICA'!AU16</f>
        <v>0</v>
      </c>
      <c r="W93" s="388">
        <f>+'04-COMUNICACIÓN ESTRATÉGICA'!AV16</f>
        <v>1</v>
      </c>
      <c r="X93" s="384">
        <f>IFERROR(IF(OR($W$93="",$W$93=0),0,ROUNDDOWN(AVERAGE($P93,R93,T93),3)),0)</f>
        <v>1</v>
      </c>
      <c r="Y93" s="1136">
        <f>IF(AND(X93&gt;0,$W93&gt;0),X93/$W93,0)*0.75</f>
        <v>0.75</v>
      </c>
      <c r="Z93" s="1152">
        <f t="shared" ref="Z93:Z94" si="57">((IF(AND(X93&gt;0,$F93&gt;0),X93/$F93,0))/4)*0.75</f>
        <v>0.1875</v>
      </c>
      <c r="AA93" s="361">
        <f t="shared" si="56"/>
        <v>9.375E-2</v>
      </c>
      <c r="AB93" s="1624">
        <f>SUM(AA93:AA94)</f>
        <v>0.1875</v>
      </c>
      <c r="AD93" s="358">
        <f>+'04-COMUNICACIÓN ESTRATÉGICA'!BD16</f>
        <v>0.75</v>
      </c>
      <c r="AE93" s="360">
        <f t="shared" si="36"/>
        <v>0</v>
      </c>
      <c r="AG93" s="358">
        <f>+'04-COMUNICACIÓN ESTRATÉGICA'!BH16</f>
        <v>0.1875</v>
      </c>
      <c r="AH93" s="360">
        <f t="shared" si="37"/>
        <v>0</v>
      </c>
    </row>
    <row r="94" spans="2:34" ht="69.75" customHeight="1">
      <c r="B94" s="1514"/>
      <c r="C94" s="1534"/>
      <c r="D94" s="31" t="str">
        <f>+'01-FR-03 POA INSTITUCIONAL'!D94</f>
        <v>4.6.2 Desarrollar el 100% de los productos para comunicación y divulgación interna que contribuyan a la consecución de objetivos institucionales</v>
      </c>
      <c r="E94" s="52">
        <f>+'01-FR-03 POA INSTITUCIONAL'!E94</f>
        <v>0.5</v>
      </c>
      <c r="F94" s="32">
        <f>+'01-FR-03 POA INSTITUCIONAL'!F94</f>
        <v>1</v>
      </c>
      <c r="G94" s="174">
        <f>+'01-FR-03 POA INSTITUCIONAL'!G94</f>
        <v>1</v>
      </c>
      <c r="H94" s="141" t="str">
        <f>+'01-FR-03 POA INSTITUCIONAL'!H94</f>
        <v>Productos  de comunicación interna
desarrollados</v>
      </c>
      <c r="I94" s="142" t="str">
        <f>+'01-FR-03 POA INSTITUCIONAL'!I94</f>
        <v>Comunicación Estratégica</v>
      </c>
      <c r="J94" s="143" t="str">
        <f>+'01-FR-03 POA INSTITUCIONAL'!J94</f>
        <v>Oficina Asesora de Comunicaciones</v>
      </c>
      <c r="K94" s="145">
        <f>+'01-FR-03 POA INSTITUCIONAL'!K94</f>
        <v>1</v>
      </c>
      <c r="L94" s="145">
        <f>+'01-FR-03 POA INSTITUCIONAL'!L94</f>
        <v>1</v>
      </c>
      <c r="M94" s="145">
        <f>+'01-FR-03 POA INSTITUCIONAL'!M94</f>
        <v>1</v>
      </c>
      <c r="N94" s="145">
        <f>+'01-FR-03 POA INSTITUCIONAL'!N94</f>
        <v>1</v>
      </c>
      <c r="O94" s="388">
        <f>+'04-COMUNICACIÓN ESTRATÉGICA'!V17</f>
        <v>1</v>
      </c>
      <c r="P94" s="388">
        <f>+'04-COMUNICACIÓN ESTRATÉGICA'!W17</f>
        <v>1</v>
      </c>
      <c r="Q94" s="388">
        <f>+'04-COMUNICACIÓN ESTRATÉGICA'!AD17</f>
        <v>1</v>
      </c>
      <c r="R94" s="388">
        <f>+'04-COMUNICACIÓN ESTRATÉGICA'!AE17</f>
        <v>1</v>
      </c>
      <c r="S94" s="388">
        <f>+'04-COMUNICACIÓN ESTRATÉGICA'!AL17</f>
        <v>1</v>
      </c>
      <c r="T94" s="388">
        <f>+'04-COMUNICACIÓN ESTRATÉGICA'!AM17</f>
        <v>1</v>
      </c>
      <c r="U94" s="388">
        <f>+'04-COMUNICACIÓN ESTRATÉGICA'!AT17</f>
        <v>1</v>
      </c>
      <c r="V94" s="388">
        <f>+'04-COMUNICACIÓN ESTRATÉGICA'!AU17</f>
        <v>0</v>
      </c>
      <c r="W94" s="388">
        <f>+'04-COMUNICACIÓN ESTRATÉGICA'!AV17</f>
        <v>1</v>
      </c>
      <c r="X94" s="384">
        <f>IFERROR(IF(OR($W$94="",$W$94=0),0,ROUNDDOWN(AVERAGE($P94,R94,T94),3)),0)</f>
        <v>1</v>
      </c>
      <c r="Y94" s="1136">
        <f>IF(AND(X94&gt;0,$W94&gt;0),X94/$W94,0)*0.75</f>
        <v>0.75</v>
      </c>
      <c r="Z94" s="1152">
        <f t="shared" si="57"/>
        <v>0.1875</v>
      </c>
      <c r="AA94" s="361">
        <f t="shared" ref="AA94:AA95" si="58">IF(AND(Z94&gt;0,E94&gt;0),Z94*E94,0)</f>
        <v>9.375E-2</v>
      </c>
      <c r="AB94" s="1625"/>
      <c r="AD94" s="358">
        <f>+'04-COMUNICACIÓN ESTRATÉGICA'!BD17</f>
        <v>0.75</v>
      </c>
      <c r="AE94" s="360">
        <f t="shared" si="36"/>
        <v>0</v>
      </c>
      <c r="AG94" s="358">
        <f>+'04-COMUNICACIÓN ESTRATÉGICA'!BH17</f>
        <v>0.1875</v>
      </c>
      <c r="AH94" s="360">
        <f t="shared" si="37"/>
        <v>0</v>
      </c>
    </row>
    <row r="95" spans="2:34" ht="114" customHeight="1">
      <c r="B95" s="1515"/>
      <c r="C95" s="198" t="s">
        <v>148</v>
      </c>
      <c r="D95" s="151" t="str">
        <f>+'01-FR-03 POA INSTITUCIONAL'!D95</f>
        <v>4.7.1 Gestionar 3 acuerdos interinstitucionales o de cooperación nacional y/o internacional para garantizar el enfoque social, en el marco de un estado pluralista, para el fortalecimiento de la prestación del servicio al usuario</v>
      </c>
      <c r="E95" s="152">
        <f>+'01-FR-03 POA INSTITUCIONAL'!E95</f>
        <v>1</v>
      </c>
      <c r="F95" s="183">
        <f>+'01-FR-03 POA INSTITUCIONAL'!F95</f>
        <v>3</v>
      </c>
      <c r="G95" s="184" t="str">
        <f>+'01-FR-03 POA INSTITUCIONAL'!G95</f>
        <v>S.I.</v>
      </c>
      <c r="H95" s="177" t="str">
        <f>+'01-FR-03 POA INSTITUCIONAL'!H95</f>
        <v>Acuerdos interinstitucionales gestionados</v>
      </c>
      <c r="I95" s="178" t="str">
        <f>+'01-FR-03 POA INSTITUCIONAL'!I95</f>
        <v>Servicio al Usuario</v>
      </c>
      <c r="J95" s="179" t="str">
        <f>+'01-FR-03 POA INSTITUCIONAL'!J95</f>
        <v>Secretaría General</v>
      </c>
      <c r="K95" s="185">
        <f>+'01-FR-03 POA INSTITUCIONAL'!K95</f>
        <v>1</v>
      </c>
      <c r="L95" s="185">
        <f>+'01-FR-03 POA INSTITUCIONAL'!L95</f>
        <v>1</v>
      </c>
      <c r="M95" s="185">
        <f>+'01-FR-03 POA INSTITUCIONAL'!M95</f>
        <v>1</v>
      </c>
      <c r="N95" s="185">
        <f>+'01-FR-03 POA INSTITUCIONAL'!N95</f>
        <v>0</v>
      </c>
      <c r="O95" s="392">
        <f>+'14-SERVICIO AL USUARIO'!V18</f>
        <v>0</v>
      </c>
      <c r="P95" s="392">
        <f>+'14-SERVICIO AL USUARIO'!W18</f>
        <v>0</v>
      </c>
      <c r="Q95" s="392">
        <f>+'14-SERVICIO AL USUARIO'!AD18</f>
        <v>0</v>
      </c>
      <c r="R95" s="392">
        <f>+'14-SERVICIO AL USUARIO'!AE18</f>
        <v>0</v>
      </c>
      <c r="S95" s="392">
        <f>+'14-SERVICIO AL USUARIO'!AL18</f>
        <v>0</v>
      </c>
      <c r="T95" s="392">
        <f>+'14-SERVICIO AL USUARIO'!AM18</f>
        <v>0</v>
      </c>
      <c r="U95" s="392">
        <f>+'14-SERVICIO AL USUARIO'!AT18</f>
        <v>1</v>
      </c>
      <c r="V95" s="392">
        <f>+'14-SERVICIO AL USUARIO'!AU18</f>
        <v>0</v>
      </c>
      <c r="W95" s="392">
        <f>+'14-SERVICIO AL USUARIO'!AV18</f>
        <v>1</v>
      </c>
      <c r="X95" s="365">
        <f t="shared" ref="X95:X99" si="59">+P95+R95+T95+V95</f>
        <v>0</v>
      </c>
      <c r="Y95" s="679">
        <f t="shared" ref="Y95:Y99" si="60">IF(AND(X95&gt;0,$W95&gt;0),X95/$W95,0)</f>
        <v>0</v>
      </c>
      <c r="Z95" s="366">
        <f t="shared" ref="Z95" si="61">IF(AND(X95&gt;0,$F95&gt;0),X95/$F95,0)</f>
        <v>0</v>
      </c>
      <c r="AA95" s="366">
        <f t="shared" si="58"/>
        <v>0</v>
      </c>
      <c r="AB95" s="393">
        <f>+AA95</f>
        <v>0</v>
      </c>
      <c r="AD95" s="358">
        <f>+'14-SERVICIO AL USUARIO'!BD18</f>
        <v>0</v>
      </c>
      <c r="AE95" s="360">
        <f t="shared" si="36"/>
        <v>0</v>
      </c>
      <c r="AG95" s="358">
        <f>+'14-SERVICIO AL USUARIO'!BH18</f>
        <v>0</v>
      </c>
      <c r="AH95" s="360">
        <f t="shared" si="37"/>
        <v>0</v>
      </c>
    </row>
    <row r="96" spans="2:34" ht="93.75" customHeight="1">
      <c r="B96" s="1522" t="s">
        <v>149</v>
      </c>
      <c r="C96" s="1508" t="s">
        <v>150</v>
      </c>
      <c r="D96" s="31" t="str">
        <f>+'01-FR-03 POA INSTITUCIONAL'!D96</f>
        <v xml:space="preserve">5.1.1 Elaborar cuatro (4) proyectos de investigación, desarrollo e innovación I+D+I para la Entidad </v>
      </c>
      <c r="E96" s="52">
        <f>+'01-FR-03 POA INSTITUCIONAL'!E96</f>
        <v>0.5</v>
      </c>
      <c r="F96" s="139">
        <f>+'01-FR-03 POA INSTITUCIONAL'!F96</f>
        <v>4</v>
      </c>
      <c r="G96" s="584">
        <f>+'01-FR-03 POA INSTITUCIONAL'!G96</f>
        <v>2</v>
      </c>
      <c r="H96" s="141" t="str">
        <f>+'01-FR-03 POA INSTITUCIONAL'!H96</f>
        <v>Proyectos de Investigación, Desarrollo e Innovación (I+D+I) elaborados</v>
      </c>
      <c r="I96" s="142" t="str">
        <f>+'01-FR-03 POA INSTITUCIONAL'!I96</f>
        <v xml:space="preserve">Gestión del Conocimiento e Innovación </v>
      </c>
      <c r="J96" s="143" t="str">
        <f>+'01-FR-03 POA INSTITUCIONAL'!J96</f>
        <v xml:space="preserve">Dirección de Gestión del Conocimiento e Innovación </v>
      </c>
      <c r="K96" s="144">
        <f>+'01-FR-03 POA INSTITUCIONAL'!K96</f>
        <v>1</v>
      </c>
      <c r="L96" s="144">
        <f>+'01-FR-03 POA INSTITUCIONAL'!L96</f>
        <v>1</v>
      </c>
      <c r="M96" s="144">
        <f>+'01-FR-03 POA INSTITUCIONAL'!M96</f>
        <v>1</v>
      </c>
      <c r="N96" s="144">
        <f>+'01-FR-03 POA INSTITUCIONAL'!N96</f>
        <v>1</v>
      </c>
      <c r="O96" s="394">
        <f>+'02-G. CONOCIMIENTO INNOVACIÓN'!V16</f>
        <v>0</v>
      </c>
      <c r="P96" s="394">
        <f>+'02-G. CONOCIMIENTO INNOVACIÓN'!W16</f>
        <v>0</v>
      </c>
      <c r="Q96" s="394">
        <f>+'02-G. CONOCIMIENTO INNOVACIÓN'!AD16</f>
        <v>0</v>
      </c>
      <c r="R96" s="394">
        <f>+'02-G. CONOCIMIENTO INNOVACIÓN'!AE16</f>
        <v>0</v>
      </c>
      <c r="S96" s="394">
        <f>+'02-G. CONOCIMIENTO INNOVACIÓN'!AL16</f>
        <v>0</v>
      </c>
      <c r="T96" s="394">
        <f>+'02-G. CONOCIMIENTO INNOVACIÓN'!AM16</f>
        <v>0</v>
      </c>
      <c r="U96" s="394">
        <f>+'02-G. CONOCIMIENTO INNOVACIÓN'!AT16</f>
        <v>1</v>
      </c>
      <c r="V96" s="394">
        <f>+'02-G. CONOCIMIENTO INNOVACIÓN'!AU16</f>
        <v>0</v>
      </c>
      <c r="W96" s="394">
        <f>+'02-G. CONOCIMIENTO INNOVACIÓN'!AV16</f>
        <v>1</v>
      </c>
      <c r="X96" s="364">
        <f t="shared" si="59"/>
        <v>0</v>
      </c>
      <c r="Y96" s="675">
        <f t="shared" si="60"/>
        <v>0</v>
      </c>
      <c r="Z96" s="395">
        <f t="shared" ref="Z96:Z99" si="62">IF(AND(X96&gt;0,$F96&gt;0),X96/$F96,0)</f>
        <v>0</v>
      </c>
      <c r="AA96" s="395">
        <f t="shared" ref="AA96:AA99" si="63">IF(AND(Z96&gt;0,E96&gt;0),Z96*E96,0)</f>
        <v>0</v>
      </c>
      <c r="AB96" s="1234">
        <f>SUM(AA96:AA97)</f>
        <v>0</v>
      </c>
      <c r="AD96" s="358">
        <f>+'02-G. CONOCIMIENTO INNOVACIÓN'!BD16</f>
        <v>0</v>
      </c>
      <c r="AE96" s="360">
        <f t="shared" si="36"/>
        <v>0</v>
      </c>
      <c r="AG96" s="358">
        <f>+'02-G. CONOCIMIENTO INNOVACIÓN'!BH16</f>
        <v>0</v>
      </c>
      <c r="AH96" s="360">
        <f t="shared" si="37"/>
        <v>0</v>
      </c>
    </row>
    <row r="97" spans="2:34" ht="93.75" customHeight="1">
      <c r="B97" s="1523"/>
      <c r="C97" s="1509"/>
      <c r="D97" s="31" t="str">
        <f>+'01-FR-03 POA INSTITUCIONAL'!D97</f>
        <v>5.1.2. Entregar dos (2) productos resultado de los proyectos de investigación, desarrollo e innovación (I+D+I) realizados en la Entidad para la comunidad</v>
      </c>
      <c r="E97" s="52">
        <f>+'01-FR-03 POA INSTITUCIONAL'!E97</f>
        <v>0.5</v>
      </c>
      <c r="F97" s="139">
        <f>+'01-FR-03 POA INSTITUCIONAL'!F97</f>
        <v>2</v>
      </c>
      <c r="G97" s="949" t="str">
        <f>+'01-FR-03 POA INSTITUCIONAL'!G97</f>
        <v>S.I.</v>
      </c>
      <c r="H97" s="141" t="str">
        <f>+'01-FR-03 POA INSTITUCIONAL'!H97</f>
        <v>Productos resultado de investigaciones, entregadas para la comunidad</v>
      </c>
      <c r="I97" s="142" t="str">
        <f>+'01-FR-03 POA INSTITUCIONAL'!I97</f>
        <v xml:space="preserve">Gestión del Conocimiento e Innovación </v>
      </c>
      <c r="J97" s="143" t="str">
        <f>+'01-FR-03 POA INSTITUCIONAL'!J97</f>
        <v xml:space="preserve">Dirección de Gestión del Conocimiento e Innovación </v>
      </c>
      <c r="K97" s="144">
        <f>+'01-FR-03 POA INSTITUCIONAL'!K97</f>
        <v>0</v>
      </c>
      <c r="L97" s="144">
        <f>+'01-FR-03 POA INSTITUCIONAL'!L97</f>
        <v>1</v>
      </c>
      <c r="M97" s="144">
        <f>+'01-FR-03 POA INSTITUCIONAL'!M97</f>
        <v>1</v>
      </c>
      <c r="N97" s="144">
        <f>+'01-FR-03 POA INSTITUCIONAL'!N97</f>
        <v>0</v>
      </c>
      <c r="O97" s="394">
        <f>+'02-G. CONOCIMIENTO INNOVACIÓN'!V17</f>
        <v>0</v>
      </c>
      <c r="P97" s="394">
        <f>+'02-G. CONOCIMIENTO INNOVACIÓN'!W17</f>
        <v>0</v>
      </c>
      <c r="Q97" s="394">
        <f>+'02-G. CONOCIMIENTO INNOVACIÓN'!AD17</f>
        <v>0</v>
      </c>
      <c r="R97" s="394">
        <f>+'02-G. CONOCIMIENTO INNOVACIÓN'!AE17</f>
        <v>0</v>
      </c>
      <c r="S97" s="394">
        <f>+'02-G. CONOCIMIENTO INNOVACIÓN'!AL17</f>
        <v>0</v>
      </c>
      <c r="T97" s="394">
        <f>+'02-G. CONOCIMIENTO INNOVACIÓN'!AM17</f>
        <v>0</v>
      </c>
      <c r="U97" s="394">
        <f>+'02-G. CONOCIMIENTO INNOVACIÓN'!AT17</f>
        <v>1</v>
      </c>
      <c r="V97" s="394">
        <f>+'02-G. CONOCIMIENTO INNOVACIÓN'!AU17</f>
        <v>0</v>
      </c>
      <c r="W97" s="394">
        <f>+'02-G. CONOCIMIENTO INNOVACIÓN'!AV17</f>
        <v>1</v>
      </c>
      <c r="X97" s="364">
        <f t="shared" si="59"/>
        <v>0</v>
      </c>
      <c r="Y97" s="675">
        <f t="shared" si="60"/>
        <v>0</v>
      </c>
      <c r="Z97" s="395">
        <f t="shared" ref="Z97" si="64">IF(AND(X97&gt;0,$F97&gt;0),X97/$F97,0)</f>
        <v>0</v>
      </c>
      <c r="AA97" s="395">
        <f t="shared" ref="AA97" si="65">IF(AND(Z97&gt;0,E97&gt;0),Z97*E97,0)</f>
        <v>0</v>
      </c>
      <c r="AB97" s="1275"/>
      <c r="AD97" s="358"/>
      <c r="AE97" s="360"/>
      <c r="AG97" s="358"/>
      <c r="AH97" s="360"/>
    </row>
    <row r="98" spans="2:34" ht="102" customHeight="1">
      <c r="B98" s="1523"/>
      <c r="C98" s="202" t="s">
        <v>151</v>
      </c>
      <c r="D98" s="31" t="str">
        <f>+'01-FR-03 POA INSTITUCIONAL'!D98</f>
        <v xml:space="preserve">5.2.1 Construir ocho (8) informes de investigación e innovación que reflejen la analítica institucional </v>
      </c>
      <c r="E98" s="52">
        <f>+'01-FR-03 POA INSTITUCIONAL'!E98</f>
        <v>1</v>
      </c>
      <c r="F98" s="139">
        <f>+'01-FR-03 POA INSTITUCIONAL'!F98</f>
        <v>8</v>
      </c>
      <c r="G98" s="584" t="str">
        <f>+'01-FR-03 POA INSTITUCIONAL'!G98</f>
        <v>S.I.</v>
      </c>
      <c r="H98" s="141" t="str">
        <f>+'01-FR-03 POA INSTITUCIONAL'!H98</f>
        <v>Informes de investigación e innovación construidos</v>
      </c>
      <c r="I98" s="142" t="str">
        <f>+'01-FR-03 POA INSTITUCIONAL'!I98</f>
        <v xml:space="preserve">Gestión del Conocimiento e Innovación </v>
      </c>
      <c r="J98" s="143" t="str">
        <f>+'01-FR-03 POA INSTITUCIONAL'!J98</f>
        <v xml:space="preserve">Dirección de Gestión del Conocimiento e Innovación </v>
      </c>
      <c r="K98" s="144">
        <f>+'01-FR-03 POA INSTITUCIONAL'!K98</f>
        <v>2</v>
      </c>
      <c r="L98" s="144">
        <f>+'01-FR-03 POA INSTITUCIONAL'!L98</f>
        <v>2</v>
      </c>
      <c r="M98" s="144">
        <f>+'01-FR-03 POA INSTITUCIONAL'!M98</f>
        <v>3</v>
      </c>
      <c r="N98" s="144">
        <f>+'01-FR-03 POA INSTITUCIONAL'!N98</f>
        <v>1</v>
      </c>
      <c r="O98" s="394">
        <f>+'02-G. CONOCIMIENTO INNOVACIÓN'!V18</f>
        <v>0</v>
      </c>
      <c r="P98" s="394">
        <f>+'02-G. CONOCIMIENTO INNOVACIÓN'!W18</f>
        <v>0</v>
      </c>
      <c r="Q98" s="394">
        <f>+'02-G. CONOCIMIENTO INNOVACIÓN'!AD18</f>
        <v>1</v>
      </c>
      <c r="R98" s="394">
        <f>+'02-G. CONOCIMIENTO INNOVACIÓN'!AE18</f>
        <v>1</v>
      </c>
      <c r="S98" s="394">
        <f>+'02-G. CONOCIMIENTO INNOVACIÓN'!AL18</f>
        <v>0</v>
      </c>
      <c r="T98" s="394">
        <f>+'02-G. CONOCIMIENTO INNOVACIÓN'!AM18</f>
        <v>0</v>
      </c>
      <c r="U98" s="394">
        <f>+'02-G. CONOCIMIENTO INNOVACIÓN'!AT18</f>
        <v>1</v>
      </c>
      <c r="V98" s="394">
        <f>+'02-G. CONOCIMIENTO INNOVACIÓN'!AU18</f>
        <v>0</v>
      </c>
      <c r="W98" s="394">
        <f>+'02-G. CONOCIMIENTO INNOVACIÓN'!AV18</f>
        <v>2</v>
      </c>
      <c r="X98" s="397">
        <f t="shared" si="59"/>
        <v>1</v>
      </c>
      <c r="Y98" s="675">
        <f t="shared" si="60"/>
        <v>0.5</v>
      </c>
      <c r="Z98" s="395">
        <f t="shared" si="62"/>
        <v>0.125</v>
      </c>
      <c r="AA98" s="395">
        <f t="shared" si="63"/>
        <v>0.125</v>
      </c>
      <c r="AB98" s="396">
        <f>+AA98</f>
        <v>0.125</v>
      </c>
      <c r="AD98" s="358">
        <f>+'02-G. CONOCIMIENTO INNOVACIÓN'!BD18</f>
        <v>0.5</v>
      </c>
      <c r="AE98" s="360">
        <f t="shared" si="36"/>
        <v>0</v>
      </c>
      <c r="AG98" s="358">
        <f>+'02-G. CONOCIMIENTO INNOVACIÓN'!BH18</f>
        <v>0.125</v>
      </c>
      <c r="AH98" s="360">
        <f t="shared" si="37"/>
        <v>0</v>
      </c>
    </row>
    <row r="99" spans="2:34" ht="124.5" customHeight="1">
      <c r="B99" s="1524"/>
      <c r="C99" s="203" t="s">
        <v>152</v>
      </c>
      <c r="D99" s="31" t="str">
        <f>+'01-FR-03 POA INSTITUCIONAL'!D99</f>
        <v>5.3.1 Desarrollar ochenta (80) actividades de apropiación social del conocimiento para la creación de la cultura de la investigación e innovación.</v>
      </c>
      <c r="E99" s="52">
        <f>+'01-FR-03 POA INSTITUCIONAL'!E99</f>
        <v>1</v>
      </c>
      <c r="F99" s="139">
        <f>+'01-FR-03 POA INSTITUCIONAL'!F99</f>
        <v>80</v>
      </c>
      <c r="G99" s="584">
        <f>+'01-FR-03 POA INSTITUCIONAL'!G99</f>
        <v>3</v>
      </c>
      <c r="H99" s="141" t="str">
        <f>+'01-FR-03 POA INSTITUCIONAL'!H99</f>
        <v>Actividades de apropiación social del conocimiento desarrolladas</v>
      </c>
      <c r="I99" s="142" t="str">
        <f>+'01-FR-03 POA INSTITUCIONAL'!I99</f>
        <v xml:space="preserve">Gestión del Conocimiento e Innovación </v>
      </c>
      <c r="J99" s="143" t="str">
        <f>+'01-FR-03 POA INSTITUCIONAL'!J99</f>
        <v xml:space="preserve">Dirección de Gestión del Conocimiento e Innovación </v>
      </c>
      <c r="K99" s="144">
        <f>+'01-FR-03 POA INSTITUCIONAL'!K99</f>
        <v>3</v>
      </c>
      <c r="L99" s="144">
        <f>+'01-FR-03 POA INSTITUCIONAL'!L99</f>
        <v>38</v>
      </c>
      <c r="M99" s="144">
        <f>+'01-FR-03 POA INSTITUCIONAL'!M99</f>
        <v>39</v>
      </c>
      <c r="N99" s="144">
        <f>+'01-FR-03 POA INSTITUCIONAL'!N99</f>
        <v>0</v>
      </c>
      <c r="O99" s="394">
        <f>+'02-G. CONOCIMIENTO INNOVACIÓN'!V19</f>
        <v>6</v>
      </c>
      <c r="P99" s="394">
        <f>+'02-G. CONOCIMIENTO INNOVACIÓN'!W19</f>
        <v>9</v>
      </c>
      <c r="Q99" s="394">
        <f>+'02-G. CONOCIMIENTO INNOVACIÓN'!AD19</f>
        <v>12</v>
      </c>
      <c r="R99" s="394">
        <f>+'02-G. CONOCIMIENTO INNOVACIÓN'!AE19</f>
        <v>12</v>
      </c>
      <c r="S99" s="394">
        <f>+'02-G. CONOCIMIENTO INNOVACIÓN'!AL19</f>
        <v>12</v>
      </c>
      <c r="T99" s="394">
        <f>+'02-G. CONOCIMIENTO INNOVACIÓN'!AM19</f>
        <v>10</v>
      </c>
      <c r="U99" s="394">
        <f>+'02-G. CONOCIMIENTO INNOVACIÓN'!AT19</f>
        <v>8</v>
      </c>
      <c r="V99" s="394">
        <f>+'02-G. CONOCIMIENTO INNOVACIÓN'!AU19</f>
        <v>0</v>
      </c>
      <c r="W99" s="394">
        <f>+'02-G. CONOCIMIENTO INNOVACIÓN'!AV19</f>
        <v>38</v>
      </c>
      <c r="X99" s="397">
        <f t="shared" si="59"/>
        <v>31</v>
      </c>
      <c r="Y99" s="677">
        <f t="shared" si="60"/>
        <v>0.81578947368421051</v>
      </c>
      <c r="Z99" s="395">
        <f t="shared" si="62"/>
        <v>0.38750000000000001</v>
      </c>
      <c r="AA99" s="395">
        <f t="shared" si="63"/>
        <v>0.38750000000000001</v>
      </c>
      <c r="AB99" s="396">
        <f>+AA99</f>
        <v>0.38750000000000001</v>
      </c>
      <c r="AD99" s="358">
        <f>+'02-G. CONOCIMIENTO INNOVACIÓN'!BD19</f>
        <v>0.81578947368421051</v>
      </c>
      <c r="AE99" s="360">
        <f t="shared" si="36"/>
        <v>0</v>
      </c>
      <c r="AG99" s="358">
        <f>+'02-G. CONOCIMIENTO INNOVACIÓN'!BH19</f>
        <v>0.38750000000000001</v>
      </c>
      <c r="AH99" s="360">
        <f t="shared" si="37"/>
        <v>0</v>
      </c>
    </row>
    <row r="100" spans="2:34">
      <c r="B100" s="333"/>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799"/>
      <c r="Y100" s="1154">
        <f>IFERROR(AVERAGE(Y13:Y99),0)</f>
        <v>0.73547525049818685</v>
      </c>
      <c r="Z100" s="1155">
        <f>AVERAGE(Z13:Z99)</f>
        <v>0.23143591507041064</v>
      </c>
      <c r="AA100" s="1156"/>
      <c r="AB100" s="1155">
        <f>IFERROR(AVERAGE(AB13:AB99),0)</f>
        <v>0.20731497704318819</v>
      </c>
      <c r="AH100" s="360"/>
    </row>
    <row r="101" spans="2:34" ht="13.5" customHeight="1">
      <c r="B101" s="205"/>
      <c r="C101" s="205"/>
      <c r="D101" s="205"/>
      <c r="E101" s="204"/>
      <c r="F101" s="204"/>
      <c r="G101" s="204"/>
      <c r="H101" s="205"/>
      <c r="I101" s="205"/>
      <c r="J101" s="205"/>
      <c r="K101" s="205"/>
      <c r="L101" s="205"/>
      <c r="M101" s="205"/>
      <c r="N101" s="205"/>
      <c r="O101" s="205"/>
      <c r="P101" s="205"/>
      <c r="Q101" s="205"/>
      <c r="R101" s="205"/>
      <c r="S101" s="205"/>
      <c r="T101" s="205"/>
      <c r="U101" s="205"/>
      <c r="V101" s="205"/>
      <c r="W101" s="205"/>
    </row>
    <row r="102" spans="2:34" ht="15" customHeight="1">
      <c r="B102" s="205"/>
      <c r="C102" s="205"/>
      <c r="D102" s="205"/>
      <c r="E102" s="204"/>
      <c r="F102" s="204"/>
      <c r="G102" s="204"/>
      <c r="H102" s="205"/>
      <c r="I102" s="205"/>
      <c r="J102" s="205"/>
      <c r="K102" s="205"/>
      <c r="L102" s="205"/>
      <c r="M102" s="205"/>
      <c r="N102" s="205"/>
      <c r="O102" s="205"/>
      <c r="P102" s="205"/>
      <c r="Q102" s="205"/>
      <c r="R102" s="205"/>
      <c r="S102" s="205"/>
      <c r="T102" s="205"/>
      <c r="U102" s="205"/>
      <c r="V102" s="205"/>
      <c r="W102" s="205"/>
    </row>
    <row r="103" spans="2:34" ht="15" customHeight="1">
      <c r="B103" s="205"/>
      <c r="C103" s="205"/>
      <c r="D103" s="205"/>
      <c r="E103" s="204"/>
      <c r="F103" s="204"/>
      <c r="G103" s="204"/>
      <c r="H103" s="569"/>
      <c r="I103" s="569"/>
      <c r="J103" s="569"/>
      <c r="K103" s="569"/>
      <c r="L103" s="569"/>
      <c r="M103" s="569"/>
      <c r="N103" s="569"/>
      <c r="O103" s="569"/>
      <c r="P103" s="569"/>
      <c r="Q103" s="569"/>
      <c r="R103" s="569"/>
      <c r="S103" s="569"/>
      <c r="T103" s="569"/>
      <c r="U103" s="569"/>
      <c r="V103" s="569"/>
      <c r="W103" s="569"/>
    </row>
    <row r="104" spans="2:34" ht="15" customHeight="1">
      <c r="B104" s="205"/>
      <c r="C104" s="205"/>
      <c r="D104" s="205"/>
      <c r="E104" s="204"/>
      <c r="F104" s="204"/>
      <c r="G104" s="204"/>
      <c r="H104" s="205"/>
      <c r="I104" s="205"/>
      <c r="J104" s="205"/>
      <c r="K104" s="205"/>
      <c r="L104" s="205"/>
      <c r="M104" s="205"/>
      <c r="N104" s="205"/>
      <c r="O104" s="205"/>
      <c r="P104" s="205"/>
      <c r="Q104" s="205"/>
      <c r="R104" s="205"/>
      <c r="S104" s="205"/>
      <c r="T104" s="205"/>
      <c r="U104" s="205"/>
      <c r="V104" s="205"/>
      <c r="W104" s="205"/>
    </row>
    <row r="105" spans="2:34" ht="15" customHeight="1">
      <c r="B105" s="205"/>
      <c r="C105" s="205"/>
      <c r="D105" s="205"/>
      <c r="E105" s="204"/>
      <c r="F105" s="204"/>
      <c r="G105" s="204"/>
      <c r="H105" s="569"/>
      <c r="I105" s="569"/>
      <c r="J105" s="569"/>
      <c r="K105" s="569"/>
      <c r="L105" s="569"/>
      <c r="M105" s="569"/>
      <c r="N105" s="569"/>
      <c r="O105" s="569"/>
      <c r="P105" s="569"/>
      <c r="Q105" s="569"/>
      <c r="R105" s="569"/>
      <c r="S105" s="569"/>
      <c r="T105" s="569"/>
      <c r="U105" s="569"/>
      <c r="V105" s="569"/>
      <c r="W105" s="569"/>
    </row>
  </sheetData>
  <sheetProtection algorithmName="SHA-512" hashValue="QPQXme/IcUiIpHDTXUBVu0xeeMArSIWlux6O2wU6v1r8PiWV7BfdDww0+OP3pG3qTpvJ25mGdmhYkMBsTih5pQ==" saltValue="5Ol0/NvZ8RK8rAvXi6imxw==" spinCount="100000" sheet="1" objects="1" scenarios="1"/>
  <mergeCells count="66">
    <mergeCell ref="AA82:AA83"/>
    <mergeCell ref="AB13:AB23"/>
    <mergeCell ref="W11:W12"/>
    <mergeCell ref="AB87:AB92"/>
    <mergeCell ref="AA84:AA86"/>
    <mergeCell ref="AB33:AB34"/>
    <mergeCell ref="AB35:AB36"/>
    <mergeCell ref="AB37:AB39"/>
    <mergeCell ref="AB93:AB94"/>
    <mergeCell ref="AB24:AB29"/>
    <mergeCell ref="AB30:AB32"/>
    <mergeCell ref="AB48:AB54"/>
    <mergeCell ref="AB55:AB60"/>
    <mergeCell ref="AB61:AB68"/>
    <mergeCell ref="AB69:AB86"/>
    <mergeCell ref="AB40:AB41"/>
    <mergeCell ref="AB42:AB43"/>
    <mergeCell ref="AB45:AB47"/>
    <mergeCell ref="I10:I12"/>
    <mergeCell ref="C2:AB6"/>
    <mergeCell ref="Z10:AB10"/>
    <mergeCell ref="O11:P11"/>
    <mergeCell ref="Q11:R11"/>
    <mergeCell ref="S11:T11"/>
    <mergeCell ref="U11:V11"/>
    <mergeCell ref="O10:Y10"/>
    <mergeCell ref="X11:X12"/>
    <mergeCell ref="AA11:AA12"/>
    <mergeCell ref="AB11:AB12"/>
    <mergeCell ref="J10:J12"/>
    <mergeCell ref="K10:N10"/>
    <mergeCell ref="Z11:Z12"/>
    <mergeCell ref="C10:C12"/>
    <mergeCell ref="F10:F12"/>
    <mergeCell ref="B96:B99"/>
    <mergeCell ref="B33:B39"/>
    <mergeCell ref="C33:C34"/>
    <mergeCell ref="C35:C36"/>
    <mergeCell ref="C37:C39"/>
    <mergeCell ref="B40:B47"/>
    <mergeCell ref="C40:C41"/>
    <mergeCell ref="C42:C43"/>
    <mergeCell ref="C45:C47"/>
    <mergeCell ref="B48:B95"/>
    <mergeCell ref="C96:C97"/>
    <mergeCell ref="G10:G12"/>
    <mergeCell ref="B2:B6"/>
    <mergeCell ref="H10:H12"/>
    <mergeCell ref="D10:D12"/>
    <mergeCell ref="E10:E12"/>
    <mergeCell ref="AB96:AB97"/>
    <mergeCell ref="B10:B12"/>
    <mergeCell ref="E82:E83"/>
    <mergeCell ref="C87:C92"/>
    <mergeCell ref="C93:C94"/>
    <mergeCell ref="B13:B32"/>
    <mergeCell ref="C13:C23"/>
    <mergeCell ref="C24:C29"/>
    <mergeCell ref="C30:C32"/>
    <mergeCell ref="C48:C54"/>
    <mergeCell ref="C55:C60"/>
    <mergeCell ref="C61:C68"/>
    <mergeCell ref="D82:D83"/>
    <mergeCell ref="C69:C86"/>
    <mergeCell ref="D84:D86"/>
    <mergeCell ref="E84:E86"/>
  </mergeCells>
  <pageMargins left="0.7" right="0.7" top="0.75" bottom="0.75" header="0.3" footer="0.3"/>
  <pageSetup orientation="portrait" r:id="rId1"/>
  <ignoredErrors>
    <ignoredError sqref="X19"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80B9898-88F4-44B6-BCF4-CF4632C37086}">
          <x14:formula1>
            <xm:f>LISTAS!$I$5:$I$9</xm:f>
          </x14:formula1>
          <xm:sqref>C8</xm:sqref>
        </x14:dataValidation>
        <x14:dataValidation type="list" allowBlank="1" showInputMessage="1" showErrorMessage="1" xr:uid="{1A3497A4-26BF-4B48-A074-F6DCE0D55A74}">
          <x14:formula1>
            <xm:f>LISTAS!$E$6:$E$9</xm:f>
          </x14:formula1>
          <xm:sqref>D8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768A-941F-43A9-B2B7-F769F295165F}">
  <sheetPr>
    <tabColor rgb="FF0070C0"/>
  </sheetPr>
  <dimension ref="B1:R84"/>
  <sheetViews>
    <sheetView showGridLines="0" topLeftCell="C1" workbookViewId="0">
      <selection activeCell="K30" sqref="K30"/>
    </sheetView>
  </sheetViews>
  <sheetFormatPr baseColWidth="10" defaultColWidth="11.42578125" defaultRowHeight="15"/>
  <cols>
    <col min="1" max="1" width="3.7109375" style="516" customWidth="1"/>
    <col min="2" max="2" width="52.42578125" style="516" customWidth="1"/>
    <col min="3" max="5" width="18.42578125" style="518" customWidth="1"/>
    <col min="6" max="7" width="18.42578125" style="516" customWidth="1"/>
    <col min="8" max="8" width="6.140625" style="518" hidden="1" customWidth="1"/>
    <col min="9" max="9" width="11.42578125" style="516" hidden="1" customWidth="1"/>
    <col min="10" max="16" width="11.42578125" style="516"/>
    <col min="17" max="17" width="62.42578125" style="516" bestFit="1" customWidth="1"/>
    <col min="18" max="18" width="40" style="516" customWidth="1"/>
    <col min="19" max="16356" width="11.42578125" style="516"/>
    <col min="16357" max="16357" width="1.42578125" style="516" customWidth="1"/>
    <col min="16358" max="16384" width="2.85546875" style="516" customWidth="1"/>
  </cols>
  <sheetData>
    <row r="1" spans="2:18">
      <c r="C1" s="517"/>
      <c r="D1" s="517"/>
      <c r="E1" s="517"/>
    </row>
    <row r="2" spans="2:18" ht="15.75">
      <c r="B2" s="1467" t="s">
        <v>889</v>
      </c>
      <c r="C2" s="1468" t="s">
        <v>894</v>
      </c>
      <c r="D2" s="1469"/>
      <c r="E2" s="1469"/>
      <c r="F2" s="1469"/>
      <c r="G2" s="1470"/>
      <c r="H2" s="565"/>
    </row>
    <row r="3" spans="2:18" ht="18">
      <c r="B3" s="1467"/>
      <c r="C3" s="1471" t="str">
        <f>+'3.Resum Desemp Procesos POA T1'!C3</f>
        <v>PLAN OPERATIVO ANUAL 2022</v>
      </c>
      <c r="D3" s="1472"/>
      <c r="E3" s="1472"/>
      <c r="F3" s="1472"/>
      <c r="G3" s="1473"/>
      <c r="H3" s="565"/>
    </row>
    <row r="4" spans="2:18" ht="9.75" customHeight="1">
      <c r="B4" s="1482"/>
      <c r="C4" s="1482"/>
      <c r="D4" s="1482"/>
      <c r="E4" s="1482"/>
      <c r="F4" s="1482"/>
      <c r="G4" s="1053"/>
      <c r="H4" s="538"/>
    </row>
    <row r="5" spans="2:18" ht="19.5" customHeight="1">
      <c r="B5" s="1069" t="str">
        <f>+'3.Resum Desemp Procesos POA T1'!B5</f>
        <v xml:space="preserve">Fecha de corte: </v>
      </c>
      <c r="C5" s="1064">
        <f>+'3.Resum Desemp Procesos POA T1'!C5</f>
        <v>44834</v>
      </c>
    </row>
    <row r="6" spans="2:18" ht="19.5" customHeight="1">
      <c r="B6" s="519"/>
    </row>
    <row r="7" spans="2:18" s="528" customFormat="1" ht="31.5" customHeight="1">
      <c r="B7" s="1431" t="s">
        <v>717</v>
      </c>
      <c r="C7" s="1483" t="s">
        <v>1157</v>
      </c>
      <c r="D7" s="1484"/>
      <c r="E7" s="1484"/>
      <c r="F7" s="1484"/>
      <c r="G7" s="1485"/>
      <c r="H7" s="529"/>
      <c r="Q7" s="516"/>
      <c r="R7" s="516"/>
    </row>
    <row r="8" spans="2:18" s="528" customFormat="1" ht="74.45" customHeight="1">
      <c r="B8" s="1431"/>
      <c r="C8" s="611" t="s">
        <v>895</v>
      </c>
      <c r="D8" s="611" t="s">
        <v>896</v>
      </c>
      <c r="E8" s="611" t="s">
        <v>897</v>
      </c>
      <c r="F8" s="611" t="s">
        <v>904</v>
      </c>
      <c r="G8" s="570" t="s">
        <v>923</v>
      </c>
      <c r="H8" s="529"/>
      <c r="Q8" s="516"/>
      <c r="R8" s="516"/>
    </row>
    <row r="9" spans="2:18">
      <c r="B9" s="521" t="s">
        <v>724</v>
      </c>
      <c r="C9" s="616">
        <f>+'4.Segto Medición POA 2022 T4'!C64</f>
        <v>4</v>
      </c>
      <c r="D9" s="541">
        <f>COUNTIF('2.Infor Detallado Desempeño POA'!K12:K15,"=100%")</f>
        <v>4</v>
      </c>
      <c r="E9" s="542">
        <f>COUNTIF('2.Infor Detallado Desempeño POA'!K12:K15,"&gt;100%")</f>
        <v>0</v>
      </c>
      <c r="F9" s="614">
        <f>COUNTIF('2.Infor Detallado Desempeño POA'!K12:K15,"&lt;100%")</f>
        <v>0</v>
      </c>
      <c r="G9" s="612">
        <f>COUNTIF('2.Infor Detallado Desempeño POA'!K12:K15,"=No programado")</f>
        <v>0</v>
      </c>
      <c r="H9" s="539">
        <f>SUM(D9:G9)</f>
        <v>4</v>
      </c>
      <c r="I9" s="540">
        <f t="shared" ref="I9:I25" si="0">C9-H9</f>
        <v>0</v>
      </c>
    </row>
    <row r="10" spans="2:18">
      <c r="B10" s="521" t="s">
        <v>726</v>
      </c>
      <c r="C10" s="616">
        <f>+'4.Segto Medición POA 2022 T4'!C65</f>
        <v>4</v>
      </c>
      <c r="D10" s="541">
        <f>COUNTIF('2.Infor Detallado Desempeño POA'!K21:K24,"=100%")</f>
        <v>0</v>
      </c>
      <c r="E10" s="542">
        <f>COUNTIF('2.Infor Detallado Desempeño POA'!K21:K24,"&gt;100%")</f>
        <v>1</v>
      </c>
      <c r="F10" s="614">
        <f>COUNTIF('2.Infor Detallado Desempeño POA'!K21:K24,"&lt;100%")</f>
        <v>0</v>
      </c>
      <c r="G10" s="612">
        <f>COUNTIF('2.Infor Detallado Desempeño POA'!K21:K24,"=No programado")</f>
        <v>3</v>
      </c>
      <c r="H10" s="539">
        <f t="shared" ref="H10:H24" si="1">SUM(D10:G10)</f>
        <v>4</v>
      </c>
      <c r="I10" s="540">
        <f t="shared" si="0"/>
        <v>0</v>
      </c>
    </row>
    <row r="11" spans="2:18">
      <c r="B11" s="521" t="s">
        <v>727</v>
      </c>
      <c r="C11" s="616">
        <f>+'4.Segto Medición POA 2022 T4'!C66</f>
        <v>7</v>
      </c>
      <c r="D11" s="541">
        <f>COUNTIF('2.Infor Detallado Desempeño POA'!K30:K36,"=100%")</f>
        <v>7</v>
      </c>
      <c r="E11" s="542">
        <f>COUNTIF('2.Infor Detallado Desempeño POA'!K30:K36,"&gt;100%")</f>
        <v>0</v>
      </c>
      <c r="F11" s="614">
        <f>COUNTIF('2.Infor Detallado Desempeño POA'!K30:K36,"&lt;100%")</f>
        <v>0</v>
      </c>
      <c r="G11" s="612">
        <f>COUNTIF('2.Infor Detallado Desempeño POA'!K30:K36,"=No programado")</f>
        <v>0</v>
      </c>
      <c r="H11" s="539">
        <f t="shared" si="1"/>
        <v>7</v>
      </c>
      <c r="I11" s="540">
        <f t="shared" si="0"/>
        <v>0</v>
      </c>
    </row>
    <row r="12" spans="2:18">
      <c r="B12" s="521" t="s">
        <v>728</v>
      </c>
      <c r="C12" s="616">
        <f>+'4.Segto Medición POA 2022 T4'!C67</f>
        <v>2</v>
      </c>
      <c r="D12" s="541">
        <f>COUNTIF('2.Infor Detallado Desempeño POA'!K42:K43,"=100%")</f>
        <v>2</v>
      </c>
      <c r="E12" s="542">
        <f>COUNTIF('2.Infor Detallado Desempeño POA'!K42:K43,"&gt;100%")</f>
        <v>0</v>
      </c>
      <c r="F12" s="614">
        <f>COUNTIF('2.Infor Detallado Desempeño POA'!K42:K43,"&lt;100%")</f>
        <v>0</v>
      </c>
      <c r="G12" s="612">
        <f>COUNTIF('2.Infor Detallado Desempeño POA'!K42:K43,"=No programado")</f>
        <v>0</v>
      </c>
      <c r="H12" s="539">
        <f>SUM(D12:G12)</f>
        <v>2</v>
      </c>
      <c r="I12" s="540">
        <f t="shared" si="0"/>
        <v>0</v>
      </c>
    </row>
    <row r="13" spans="2:18">
      <c r="B13" s="521" t="s">
        <v>739</v>
      </c>
      <c r="C13" s="616">
        <f>+'4.Segto Medición POA 2022 T4'!C68</f>
        <v>3</v>
      </c>
      <c r="D13" s="541">
        <f>COUNTIF('2.Infor Detallado Desempeño POA'!K49:K51,"=100%")</f>
        <v>1</v>
      </c>
      <c r="E13" s="542">
        <f>COUNTIF('2.Infor Detallado Desempeño POA'!K49:K51,"&gt;100%")</f>
        <v>1</v>
      </c>
      <c r="F13" s="614">
        <f>COUNTIF('2.Infor Detallado Desempeño POA'!K49:K51,"&lt;100%")</f>
        <v>0</v>
      </c>
      <c r="G13" s="612">
        <f>COUNTIF('2.Infor Detallado Desempeño POA'!K49:K51,"=No programado")</f>
        <v>1</v>
      </c>
      <c r="H13" s="539">
        <f t="shared" si="1"/>
        <v>3</v>
      </c>
      <c r="I13" s="540">
        <f t="shared" si="0"/>
        <v>0</v>
      </c>
    </row>
    <row r="14" spans="2:18">
      <c r="B14" s="521" t="s">
        <v>729</v>
      </c>
      <c r="C14" s="616">
        <f>+'4.Segto Medición POA 2022 T4'!C69</f>
        <v>20</v>
      </c>
      <c r="D14" s="541">
        <f>COUNTIF('2.Infor Detallado Desempeño POA'!K57:K76,"=100%")</f>
        <v>0</v>
      </c>
      <c r="E14" s="542">
        <f>COUNTIF('2.Infor Detallado Desempeño POA'!K57:K76,"&gt;100%")</f>
        <v>11</v>
      </c>
      <c r="F14" s="614">
        <f>COUNTIF('2.Infor Detallado Desempeño POA'!K57:K76,"&lt;100%")</f>
        <v>5</v>
      </c>
      <c r="G14" s="612">
        <f>COUNTIF('2.Infor Detallado Desempeño POA'!K57:K76,"=No programado")</f>
        <v>4</v>
      </c>
      <c r="H14" s="539">
        <f t="shared" si="1"/>
        <v>20</v>
      </c>
      <c r="I14" s="540">
        <f t="shared" si="0"/>
        <v>0</v>
      </c>
    </row>
    <row r="15" spans="2:18">
      <c r="B15" s="521" t="s">
        <v>864</v>
      </c>
      <c r="C15" s="616">
        <f>+'4.Segto Medición POA 2022 T4'!C70</f>
        <v>7</v>
      </c>
      <c r="D15" s="541">
        <f>COUNTIF('2.Infor Detallado Desempeño POA'!K82:K88,"=100%")</f>
        <v>0</v>
      </c>
      <c r="E15" s="542">
        <f>COUNTIF('2.Infor Detallado Desempeño POA'!K82:K88,"&gt;100%")</f>
        <v>3</v>
      </c>
      <c r="F15" s="614">
        <f>COUNTIF('2.Infor Detallado Desempeño POA'!K82:K88,"&lt;100%")</f>
        <v>2</v>
      </c>
      <c r="G15" s="612">
        <f>COUNTIF('2.Infor Detallado Desempeño POA'!K82:K88,"=No programado")</f>
        <v>2</v>
      </c>
      <c r="H15" s="539">
        <f t="shared" si="1"/>
        <v>7</v>
      </c>
      <c r="I15" s="540">
        <f t="shared" si="0"/>
        <v>0</v>
      </c>
    </row>
    <row r="16" spans="2:18">
      <c r="B16" s="521" t="s">
        <v>732</v>
      </c>
      <c r="C16" s="616">
        <f>+'4.Segto Medición POA 2022 T4'!C71</f>
        <v>8</v>
      </c>
      <c r="D16" s="541">
        <f>COUNTIF('2.Infor Detallado Desempeño POA'!K94:K101,"=100%")</f>
        <v>3</v>
      </c>
      <c r="E16" s="542">
        <f>COUNTIF('2.Infor Detallado Desempeño POA'!K94:K101,"&gt;100%")</f>
        <v>1</v>
      </c>
      <c r="F16" s="614">
        <f>COUNTIF('2.Infor Detallado Desempeño POA'!K94:K101,"&lt;100%")</f>
        <v>2</v>
      </c>
      <c r="G16" s="612">
        <f>COUNTIF('2.Infor Detallado Desempeño POA'!K94:K101,"=No programado")</f>
        <v>2</v>
      </c>
      <c r="H16" s="539">
        <f t="shared" si="1"/>
        <v>8</v>
      </c>
      <c r="I16" s="540">
        <f t="shared" si="0"/>
        <v>0</v>
      </c>
    </row>
    <row r="17" spans="2:9">
      <c r="B17" s="521" t="s">
        <v>733</v>
      </c>
      <c r="C17" s="616">
        <f>+'4.Segto Medición POA 2022 T4'!C72</f>
        <v>8</v>
      </c>
      <c r="D17" s="541">
        <f>COUNTIF('2.Infor Detallado Desempeño POA'!K107:K114,"=100%")</f>
        <v>6</v>
      </c>
      <c r="E17" s="542">
        <f>COUNTIF('2.Infor Detallado Desempeño POA'!K107:K114,"&gt;100%")</f>
        <v>1</v>
      </c>
      <c r="F17" s="614">
        <f>COUNTIF('2.Infor Detallado Desempeño POA'!K107:K114,"&lt;100%")</f>
        <v>1</v>
      </c>
      <c r="G17" s="612">
        <f>COUNTIF('2.Infor Detallado Desempeño POA'!K107:K114,"=No programado")</f>
        <v>0</v>
      </c>
      <c r="H17" s="539">
        <f t="shared" si="1"/>
        <v>8</v>
      </c>
      <c r="I17" s="540">
        <f t="shared" si="0"/>
        <v>0</v>
      </c>
    </row>
    <row r="18" spans="2:9" ht="16.5" customHeight="1">
      <c r="B18" s="521" t="s">
        <v>734</v>
      </c>
      <c r="C18" s="616">
        <f>+'4.Segto Medición POA 2022 T4'!C73</f>
        <v>2</v>
      </c>
      <c r="D18" s="541">
        <f>COUNTIF('2.Infor Detallado Desempeño POA'!K120:K121,"=100%")</f>
        <v>1</v>
      </c>
      <c r="E18" s="542">
        <f>COUNTIF('2.Infor Detallado Desempeño POA'!K120:K121,"&gt;100%")</f>
        <v>1</v>
      </c>
      <c r="F18" s="614">
        <f>COUNTIF('2.Infor Detallado Desempeño POA'!K120:K121,"&lt;100%")</f>
        <v>0</v>
      </c>
      <c r="G18" s="612">
        <f>COUNTIF('2.Infor Detallado Desempeño POA'!K120:K121,"=No programado")</f>
        <v>0</v>
      </c>
      <c r="H18" s="539">
        <f t="shared" si="1"/>
        <v>2</v>
      </c>
      <c r="I18" s="540">
        <f t="shared" si="0"/>
        <v>0</v>
      </c>
    </row>
    <row r="19" spans="2:9">
      <c r="B19" s="521" t="s">
        <v>735</v>
      </c>
      <c r="C19" s="616">
        <f>+'4.Segto Medición POA 2022 T4'!C74</f>
        <v>3</v>
      </c>
      <c r="D19" s="541">
        <f>COUNTIF('2.Infor Detallado Desempeño POA'!K127:K129,"=100%")</f>
        <v>1</v>
      </c>
      <c r="E19" s="542">
        <f>COUNTIF('2.Infor Detallado Desempeño POA'!K127:K129,"&gt;100%")</f>
        <v>1</v>
      </c>
      <c r="F19" s="614">
        <f>COUNTIF('2.Infor Detallado Desempeño POA'!K127:K129,"&lt;100%")</f>
        <v>1</v>
      </c>
      <c r="G19" s="612">
        <f>COUNTIF('2.Infor Detallado Desempeño POA'!K127:K129,"=No programado")</f>
        <v>0</v>
      </c>
      <c r="H19" s="539">
        <f t="shared" si="1"/>
        <v>3</v>
      </c>
      <c r="I19" s="540">
        <f t="shared" si="0"/>
        <v>0</v>
      </c>
    </row>
    <row r="20" spans="2:9">
      <c r="B20" s="521" t="s">
        <v>736</v>
      </c>
      <c r="C20" s="616">
        <f>+'4.Segto Medición POA 2022 T4'!C75</f>
        <v>4</v>
      </c>
      <c r="D20" s="541">
        <f>COUNTIF('2.Infor Detallado Desempeño POA'!K135:K138,"=100%")</f>
        <v>1</v>
      </c>
      <c r="E20" s="542">
        <f>COUNTIF('2.Infor Detallado Desempeño POA'!K135:K138,"&gt;100%")</f>
        <v>2</v>
      </c>
      <c r="F20" s="614">
        <f>COUNTIF('2.Infor Detallado Desempeño POA'!K135:K138,"&lt;100%")</f>
        <v>0</v>
      </c>
      <c r="G20" s="612">
        <f>COUNTIF('2.Infor Detallado Desempeño POA'!K135:K138,"=No programado")</f>
        <v>1</v>
      </c>
      <c r="H20" s="539">
        <f t="shared" si="1"/>
        <v>4</v>
      </c>
      <c r="I20" s="540">
        <f t="shared" si="0"/>
        <v>0</v>
      </c>
    </row>
    <row r="21" spans="2:9">
      <c r="B21" s="521" t="s">
        <v>737</v>
      </c>
      <c r="C21" s="616">
        <f>+'4.Segto Medición POA 2022 T4'!C76</f>
        <v>4</v>
      </c>
      <c r="D21" s="541">
        <f>COUNTIF('2.Infor Detallado Desempeño POA'!K144:K147,"=100%")</f>
        <v>1</v>
      </c>
      <c r="E21" s="542">
        <f>COUNTIF('2.Infor Detallado Desempeño POA'!K144:K147,"&gt;100%")</f>
        <v>3</v>
      </c>
      <c r="F21" s="614">
        <f>COUNTIF('2.Infor Detallado Desempeño POA'!K144:K147,"&lt;100%")</f>
        <v>0</v>
      </c>
      <c r="G21" s="612">
        <f>COUNTIF('2.Infor Detallado Desempeño POA'!K144:K147,"=No programado")</f>
        <v>0</v>
      </c>
      <c r="H21" s="539">
        <f t="shared" si="1"/>
        <v>4</v>
      </c>
      <c r="I21" s="540">
        <f t="shared" si="0"/>
        <v>0</v>
      </c>
    </row>
    <row r="22" spans="2:9">
      <c r="B22" s="521" t="s">
        <v>738</v>
      </c>
      <c r="C22" s="616">
        <f>+'4.Segto Medición POA 2022 T4'!C77</f>
        <v>5</v>
      </c>
      <c r="D22" s="541">
        <f>COUNTIF('2.Infor Detallado Desempeño POA'!K153:K157,"=100%")</f>
        <v>5</v>
      </c>
      <c r="E22" s="542">
        <f>COUNTIF('2.Infor Detallado Desempeño POA'!K153:K157,"&gt;100%")</f>
        <v>0</v>
      </c>
      <c r="F22" s="614">
        <f>COUNTIF('2.Infor Detallado Desempeño POA'!K153:K157,"&lt;100%")</f>
        <v>0</v>
      </c>
      <c r="G22" s="612">
        <f>COUNTIF('2.Infor Detallado Desempeño POA'!K153:K157,"=No programado")</f>
        <v>0</v>
      </c>
      <c r="H22" s="539">
        <f t="shared" si="1"/>
        <v>5</v>
      </c>
      <c r="I22" s="540">
        <f t="shared" si="0"/>
        <v>0</v>
      </c>
    </row>
    <row r="23" spans="2:9">
      <c r="B23" s="521" t="s">
        <v>740</v>
      </c>
      <c r="C23" s="616">
        <f>+'4.Segto Medición POA 2022 T4'!C78</f>
        <v>3</v>
      </c>
      <c r="D23" s="541">
        <f>COUNTIF('2.Infor Detallado Desempeño POA'!K163:K165,"=100%")</f>
        <v>0</v>
      </c>
      <c r="E23" s="542">
        <f>COUNTIF('2.Infor Detallado Desempeño POA'!K163:K165,"&gt;100%")</f>
        <v>2</v>
      </c>
      <c r="F23" s="614">
        <f>COUNTIF('2.Infor Detallado Desempeño POA'!K163:K165,"&lt;100%")</f>
        <v>0</v>
      </c>
      <c r="G23" s="612">
        <f>COUNTIF('2.Infor Detallado Desempeño POA'!K163:K165,"=No programado")</f>
        <v>1</v>
      </c>
      <c r="H23" s="539">
        <f t="shared" si="1"/>
        <v>3</v>
      </c>
      <c r="I23" s="540">
        <f t="shared" si="0"/>
        <v>0</v>
      </c>
    </row>
    <row r="24" spans="2:9">
      <c r="B24" s="521" t="s">
        <v>741</v>
      </c>
      <c r="C24" s="616">
        <f>+'4.Segto Medición POA 2022 T4'!C79</f>
        <v>3</v>
      </c>
      <c r="D24" s="541">
        <f>COUNTIF('2.Infor Detallado Desempeño POA'!K171:K173,"=100%")</f>
        <v>1</v>
      </c>
      <c r="E24" s="542">
        <f>COUNTIF('2.Infor Detallado Desempeño POA'!K171:K173,"&gt;100%")</f>
        <v>0</v>
      </c>
      <c r="F24" s="614">
        <f>COUNTIF('2.Infor Detallado Desempeño POA'!K171:K173,"&lt;100%")</f>
        <v>0</v>
      </c>
      <c r="G24" s="612">
        <f>COUNTIF('2.Infor Detallado Desempeño POA'!K171:K173,"=No programado")</f>
        <v>2</v>
      </c>
      <c r="H24" s="539">
        <f t="shared" si="1"/>
        <v>3</v>
      </c>
      <c r="I24" s="540">
        <f t="shared" si="0"/>
        <v>0</v>
      </c>
    </row>
    <row r="25" spans="2:9" ht="19.5" customHeight="1">
      <c r="B25" s="554" t="s">
        <v>893</v>
      </c>
      <c r="C25" s="555">
        <f>SUM(C9:C24)</f>
        <v>87</v>
      </c>
      <c r="D25" s="556">
        <f t="shared" ref="D25:E25" si="2">SUM(D9:D24)</f>
        <v>33</v>
      </c>
      <c r="E25" s="557">
        <f t="shared" si="2"/>
        <v>27</v>
      </c>
      <c r="F25" s="615">
        <f>SUM(F9:F24)</f>
        <v>11</v>
      </c>
      <c r="G25" s="613">
        <f>SUM(G9:G24)</f>
        <v>16</v>
      </c>
      <c r="H25" s="539">
        <f>SUM(D25:G25)</f>
        <v>87</v>
      </c>
      <c r="I25" s="540">
        <f t="shared" si="0"/>
        <v>0</v>
      </c>
    </row>
    <row r="27" spans="2:9" s="622" customFormat="1" ht="2.4500000000000002" customHeight="1">
      <c r="C27" s="626"/>
      <c r="D27" s="897" t="str">
        <f>+D8</f>
        <v>No de Indicadores con Meta Cumplida según programación</v>
      </c>
      <c r="E27" s="898">
        <f>+D25</f>
        <v>33</v>
      </c>
      <c r="H27" s="623"/>
    </row>
    <row r="28" spans="2:9" s="622" customFormat="1" ht="2.4500000000000002" customHeight="1">
      <c r="C28" s="626"/>
      <c r="D28" s="897" t="str">
        <f>+E8</f>
        <v xml:space="preserve">No de Indicadores con ejecución superior a la programada </v>
      </c>
      <c r="E28" s="898">
        <f>+E25</f>
        <v>27</v>
      </c>
      <c r="H28" s="623"/>
    </row>
    <row r="29" spans="2:9" s="622" customFormat="1" ht="2.4500000000000002" customHeight="1">
      <c r="C29" s="626"/>
      <c r="D29" s="897" t="str">
        <f>+F8</f>
        <v xml:space="preserve">No de Indicadores con ejecución menor a la programada </v>
      </c>
      <c r="E29" s="898">
        <f>+F25</f>
        <v>11</v>
      </c>
      <c r="H29" s="623"/>
    </row>
    <row r="30" spans="2:9" s="622" customFormat="1" ht="2.4500000000000002" customHeight="1">
      <c r="C30" s="626"/>
      <c r="D30" s="897" t="str">
        <f>+G8</f>
        <v>No de indicadores sin programar en el periodo</v>
      </c>
      <c r="E30" s="898">
        <f>+G25</f>
        <v>16</v>
      </c>
      <c r="H30" s="623"/>
    </row>
    <row r="31" spans="2:9" s="622" customFormat="1">
      <c r="C31" s="623"/>
      <c r="D31" s="623"/>
      <c r="E31" s="623"/>
      <c r="H31" s="623"/>
    </row>
    <row r="32" spans="2:9" s="622" customFormat="1">
      <c r="C32" s="623"/>
      <c r="D32" s="623"/>
      <c r="E32" s="623"/>
      <c r="H32" s="623"/>
    </row>
    <row r="33" spans="2:9" s="622" customFormat="1" hidden="1">
      <c r="C33" s="623"/>
      <c r="D33" s="623"/>
      <c r="E33" s="623"/>
      <c r="H33" s="623"/>
    </row>
    <row r="34" spans="2:9" s="625" customFormat="1" ht="10.15" hidden="1" customHeight="1">
      <c r="C34" s="626"/>
      <c r="D34" s="1481" t="str">
        <f>+C7</f>
        <v>CUMPLIMIENTO PROGRAMACIÓN EN EL PERIODO 
Primer Trimestre de 2022</v>
      </c>
      <c r="E34" s="1481"/>
      <c r="H34" s="626"/>
    </row>
    <row r="35" spans="2:9" s="625" customFormat="1" ht="28.15" customHeight="1">
      <c r="B35" s="1431" t="s">
        <v>717</v>
      </c>
      <c r="C35" s="1486" t="s">
        <v>1158</v>
      </c>
      <c r="D35" s="1487"/>
      <c r="E35" s="1487"/>
      <c r="F35" s="1487"/>
      <c r="G35" s="1488"/>
      <c r="H35" s="626"/>
    </row>
    <row r="36" spans="2:9" s="625" customFormat="1" ht="29.45" customHeight="1">
      <c r="B36" s="1431"/>
      <c r="C36" s="1065"/>
      <c r="D36" s="1067" t="s">
        <v>1159</v>
      </c>
      <c r="E36" s="1489">
        <f>C5</f>
        <v>44834</v>
      </c>
      <c r="F36" s="1489"/>
      <c r="G36" s="1066"/>
      <c r="H36" s="626"/>
    </row>
    <row r="37" spans="2:9" s="625" customFormat="1" ht="72.599999999999994" customHeight="1">
      <c r="B37" s="1431"/>
      <c r="C37" s="611" t="s">
        <v>895</v>
      </c>
      <c r="D37" s="611" t="s">
        <v>1160</v>
      </c>
      <c r="E37" s="611" t="s">
        <v>897</v>
      </c>
      <c r="F37" s="611" t="s">
        <v>904</v>
      </c>
      <c r="G37" s="570" t="s">
        <v>923</v>
      </c>
      <c r="H37" s="626"/>
    </row>
    <row r="38" spans="2:9" s="625" customFormat="1" ht="19.899999999999999" customHeight="1">
      <c r="B38" s="521" t="s">
        <v>724</v>
      </c>
      <c r="C38" s="616">
        <f>+C64</f>
        <v>4</v>
      </c>
      <c r="D38" s="541">
        <f>COUNTIF('2.Infor Detallado Desempeño POA'!L12:L15,"&gt;=99%")-COUNTIF('2.Infor Detallado Desempeño POA'!L12:L15,"&gt;100%")</f>
        <v>4</v>
      </c>
      <c r="E38" s="542">
        <f>COUNTIF('2.Infor Detallado Desempeño POA'!L12:L15,"&gt;100%")</f>
        <v>0</v>
      </c>
      <c r="F38" s="614">
        <f>COUNTIF('2.Infor Detallado Desempeño POA'!L12:L15,"&lt;99%")</f>
        <v>0</v>
      </c>
      <c r="G38" s="612">
        <f>COUNTIF('2.Infor Detallado Desempeño POA'!L12:L15,"=No programado")</f>
        <v>0</v>
      </c>
      <c r="H38" s="539">
        <f>SUM(D38:G38)</f>
        <v>4</v>
      </c>
      <c r="I38" s="540">
        <f t="shared" ref="I38:I54" si="3">C38-H38</f>
        <v>0</v>
      </c>
    </row>
    <row r="39" spans="2:9" s="625" customFormat="1" ht="19.899999999999999" customHeight="1">
      <c r="B39" s="521" t="s">
        <v>726</v>
      </c>
      <c r="C39" s="616">
        <f t="shared" ref="C39:C53" si="4">+C65</f>
        <v>4</v>
      </c>
      <c r="D39" s="541">
        <f>COUNTIF('2.Infor Detallado Desempeño POA'!L21:L24,"&gt;=99%")-COUNTIF('2.Infor Detallado Desempeño POA'!L21:L24,"&gt;100%")</f>
        <v>0</v>
      </c>
      <c r="E39" s="542">
        <f>COUNTIF('2.Infor Detallado Desempeño POA'!L21:L24,"&gt;100%")</f>
        <v>1</v>
      </c>
      <c r="F39" s="614">
        <f>COUNTIF('2.Infor Detallado Desempeño POA'!L24:L24,"&lt;99%")</f>
        <v>0</v>
      </c>
      <c r="G39" s="612">
        <f>COUNTIF('2.Infor Detallado Desempeño POA'!L21:L24,"=No programado")</f>
        <v>3</v>
      </c>
      <c r="H39" s="539">
        <f t="shared" ref="H39:H40" si="5">SUM(D39:G39)</f>
        <v>4</v>
      </c>
      <c r="I39" s="540">
        <f t="shared" si="3"/>
        <v>0</v>
      </c>
    </row>
    <row r="40" spans="2:9" s="625" customFormat="1" ht="19.899999999999999" customHeight="1">
      <c r="B40" s="521" t="s">
        <v>727</v>
      </c>
      <c r="C40" s="616">
        <f t="shared" si="4"/>
        <v>7</v>
      </c>
      <c r="D40" s="541">
        <f>COUNTIF('2.Infor Detallado Desempeño POA'!L30:L36,"&gt;=99%")-COUNTIF('2.Infor Detallado Desempeño POA'!L30:L36,"&gt;100%")</f>
        <v>7</v>
      </c>
      <c r="E40" s="542">
        <f>COUNTIF('2.Infor Detallado Desempeño POA'!L30:L36,"&gt;100%")</f>
        <v>0</v>
      </c>
      <c r="F40" s="614">
        <f>COUNTIF('2.Infor Detallado Desempeño POA'!L30:L36,"&lt;99%")</f>
        <v>0</v>
      </c>
      <c r="G40" s="612">
        <f>COUNTIF('2.Infor Detallado Desempeño POA'!L30:L36,"=No programado")</f>
        <v>0</v>
      </c>
      <c r="H40" s="539">
        <f t="shared" si="5"/>
        <v>7</v>
      </c>
      <c r="I40" s="540">
        <f t="shared" si="3"/>
        <v>0</v>
      </c>
    </row>
    <row r="41" spans="2:9" s="625" customFormat="1" ht="19.899999999999999" customHeight="1">
      <c r="B41" s="521" t="s">
        <v>728</v>
      </c>
      <c r="C41" s="616">
        <f t="shared" si="4"/>
        <v>2</v>
      </c>
      <c r="D41" s="541">
        <f>COUNTIF('2.Infor Detallado Desempeño POA'!L42:L43,"&gt;=99%")-COUNTIF('2.Infor Detallado Desempeño POA'!L42:L43,"&gt;100%")</f>
        <v>2</v>
      </c>
      <c r="E41" s="542">
        <f>COUNTIF('2.Infor Detallado Desempeño POA'!L42:L43,"&gt;100%")</f>
        <v>0</v>
      </c>
      <c r="F41" s="614">
        <f>COUNTIF('2.Infor Detallado Desempeño POA'!L42:L43,"&lt;99%")</f>
        <v>0</v>
      </c>
      <c r="G41" s="612">
        <f>COUNTIF('2.Infor Detallado Desempeño POA'!L42:L43,"=No programado")</f>
        <v>0</v>
      </c>
      <c r="H41" s="539">
        <f>SUM(D41:G41)</f>
        <v>2</v>
      </c>
      <c r="I41" s="540">
        <f t="shared" si="3"/>
        <v>0</v>
      </c>
    </row>
    <row r="42" spans="2:9" s="625" customFormat="1" ht="19.899999999999999" customHeight="1">
      <c r="B42" s="521" t="s">
        <v>739</v>
      </c>
      <c r="C42" s="616">
        <f t="shared" si="4"/>
        <v>3</v>
      </c>
      <c r="D42" s="541">
        <f>COUNTIF('2.Infor Detallado Desempeño POA'!L49:L51,"&gt;=99%")-COUNTIF('2.Infor Detallado Desempeño POA'!L49:L51,"&gt;100%")</f>
        <v>1</v>
      </c>
      <c r="E42" s="542">
        <f>COUNTIF('2.Infor Detallado Desempeño POA'!L49:L51,"&gt;100%")</f>
        <v>1</v>
      </c>
      <c r="F42" s="614">
        <f>COUNTIF('2.Infor Detallado Desempeño POA'!L49:L51,"&lt;99%")</f>
        <v>0</v>
      </c>
      <c r="G42" s="612">
        <f>COUNTIF('2.Infor Detallado Desempeño POA'!L49:L51,"=No programado")</f>
        <v>1</v>
      </c>
      <c r="H42" s="539">
        <f t="shared" ref="H42:H53" si="6">SUM(D42:G42)</f>
        <v>3</v>
      </c>
      <c r="I42" s="540">
        <f t="shared" si="3"/>
        <v>0</v>
      </c>
    </row>
    <row r="43" spans="2:9" s="625" customFormat="1" ht="19.899999999999999" customHeight="1">
      <c r="B43" s="521" t="s">
        <v>729</v>
      </c>
      <c r="C43" s="616">
        <f t="shared" si="4"/>
        <v>20</v>
      </c>
      <c r="D43" s="541">
        <f>COUNTIF('2.Infor Detallado Desempeño POA'!L57:L76,"&gt;=99%")-COUNTIF('2.Infor Detallado Desempeño POA'!L57:L76,"&gt;100%")</f>
        <v>0</v>
      </c>
      <c r="E43" s="542">
        <f>COUNTIF('2.Infor Detallado Desempeño POA'!L57:L76,"&gt;100%")</f>
        <v>11</v>
      </c>
      <c r="F43" s="614">
        <f>COUNTIF('2.Infor Detallado Desempeño POA'!L57:L76,"&lt;99%")</f>
        <v>5</v>
      </c>
      <c r="G43" s="612">
        <f>COUNTIF('2.Infor Detallado Desempeño POA'!L57:L76,"=No programado")</f>
        <v>4</v>
      </c>
      <c r="H43" s="539">
        <f t="shared" si="6"/>
        <v>20</v>
      </c>
      <c r="I43" s="540">
        <f t="shared" si="3"/>
        <v>0</v>
      </c>
    </row>
    <row r="44" spans="2:9" s="625" customFormat="1" ht="19.899999999999999" customHeight="1">
      <c r="B44" s="521" t="s">
        <v>864</v>
      </c>
      <c r="C44" s="616">
        <f t="shared" si="4"/>
        <v>7</v>
      </c>
      <c r="D44" s="541">
        <f>COUNTIF('2.Infor Detallado Desempeño POA'!L82:L88,"&gt;=99%")-COUNTIF('2.Infor Detallado Desempeño POA'!L82:L88,"&gt;100%")</f>
        <v>0</v>
      </c>
      <c r="E44" s="542">
        <f>COUNTIF('2.Infor Detallado Desempeño POA'!L82:L88,"&gt;100%")</f>
        <v>3</v>
      </c>
      <c r="F44" s="614">
        <f>COUNTIF('2.Infor Detallado Desempeño POA'!L82:L88,"&lt;99%")</f>
        <v>2</v>
      </c>
      <c r="G44" s="612">
        <f>COUNTIF('2.Infor Detallado Desempeño POA'!L82:L88,"=No programado")</f>
        <v>2</v>
      </c>
      <c r="H44" s="539">
        <f t="shared" si="6"/>
        <v>7</v>
      </c>
      <c r="I44" s="540">
        <f t="shared" si="3"/>
        <v>0</v>
      </c>
    </row>
    <row r="45" spans="2:9" s="625" customFormat="1" ht="19.899999999999999" customHeight="1">
      <c r="B45" s="521" t="s">
        <v>732</v>
      </c>
      <c r="C45" s="616">
        <f t="shared" si="4"/>
        <v>8</v>
      </c>
      <c r="D45" s="541">
        <f>COUNTIF('2.Infor Detallado Desempeño POA'!L94:L101,"&gt;=99%")-COUNTIF('2.Infor Detallado Desempeño POA'!L94:L101,"&gt;100%")</f>
        <v>3</v>
      </c>
      <c r="E45" s="542">
        <f>COUNTIF('2.Infor Detallado Desempeño POA'!L94:L101,"&gt;100%")</f>
        <v>1</v>
      </c>
      <c r="F45" s="614">
        <f>COUNTIF('2.Infor Detallado Desempeño POA'!L94:L101,"&lt;99%")</f>
        <v>2</v>
      </c>
      <c r="G45" s="612">
        <f>COUNTIF('2.Infor Detallado Desempeño POA'!L94:L101,"=No programado")</f>
        <v>2</v>
      </c>
      <c r="H45" s="539">
        <f t="shared" si="6"/>
        <v>8</v>
      </c>
      <c r="I45" s="540">
        <f t="shared" si="3"/>
        <v>0</v>
      </c>
    </row>
    <row r="46" spans="2:9" s="625" customFormat="1" ht="19.899999999999999" customHeight="1">
      <c r="B46" s="521" t="s">
        <v>733</v>
      </c>
      <c r="C46" s="616">
        <f t="shared" si="4"/>
        <v>8</v>
      </c>
      <c r="D46" s="541">
        <f>COUNTIF('2.Infor Detallado Desempeño POA'!L107:L114,"&gt;=99%")-COUNTIF('2.Infor Detallado Desempeño POA'!L107:L114,"&gt;100%")</f>
        <v>6</v>
      </c>
      <c r="E46" s="542">
        <f>COUNTIF('2.Infor Detallado Desempeño POA'!L107:L114,"&gt;100%")</f>
        <v>1</v>
      </c>
      <c r="F46" s="614">
        <f>COUNTIF('2.Infor Detallado Desempeño POA'!L107:L114,"&lt;99%")</f>
        <v>1</v>
      </c>
      <c r="G46" s="612">
        <f>COUNTIF('2.Infor Detallado Desempeño POA'!L107:L114,"=No programado")</f>
        <v>0</v>
      </c>
      <c r="H46" s="539">
        <f t="shared" si="6"/>
        <v>8</v>
      </c>
      <c r="I46" s="540">
        <f t="shared" si="3"/>
        <v>0</v>
      </c>
    </row>
    <row r="47" spans="2:9" s="625" customFormat="1" ht="19.899999999999999" customHeight="1">
      <c r="B47" s="521" t="s">
        <v>734</v>
      </c>
      <c r="C47" s="616">
        <f t="shared" si="4"/>
        <v>2</v>
      </c>
      <c r="D47" s="541">
        <f>COUNTIF('2.Infor Detallado Desempeño POA'!L120:L121,"&gt;=99%")-COUNTIF('2.Infor Detallado Desempeño POA'!L120:L121,"&gt;100%")</f>
        <v>1</v>
      </c>
      <c r="E47" s="542">
        <f>COUNTIF('2.Infor Detallado Desempeño POA'!L120:L121,"&gt;100%")</f>
        <v>1</v>
      </c>
      <c r="F47" s="614">
        <f>COUNTIF('2.Infor Detallado Desempeño POA'!L120:L121,"&lt;99%")</f>
        <v>0</v>
      </c>
      <c r="G47" s="612">
        <f>COUNTIF('2.Infor Detallado Desempeño POA'!L120:L121,"=No programado")</f>
        <v>0</v>
      </c>
      <c r="H47" s="539">
        <f t="shared" si="6"/>
        <v>2</v>
      </c>
      <c r="I47" s="540">
        <f t="shared" si="3"/>
        <v>0</v>
      </c>
    </row>
    <row r="48" spans="2:9" s="625" customFormat="1" ht="19.899999999999999" customHeight="1">
      <c r="B48" s="521" t="s">
        <v>735</v>
      </c>
      <c r="C48" s="616">
        <f t="shared" si="4"/>
        <v>3</v>
      </c>
      <c r="D48" s="541">
        <f>COUNTIF('2.Infor Detallado Desempeño POA'!L127:L129,"&gt;=99%")-COUNTIF('2.Infor Detallado Desempeño POA'!L127:L129,"&gt;100%")</f>
        <v>1</v>
      </c>
      <c r="E48" s="542">
        <f>COUNTIF('2.Infor Detallado Desempeño POA'!L127:L129,"&gt;100%")</f>
        <v>1</v>
      </c>
      <c r="F48" s="614">
        <f>COUNTIF('2.Infor Detallado Desempeño POA'!L127:L129,"&lt;99%")</f>
        <v>1</v>
      </c>
      <c r="G48" s="612">
        <f>COUNTIF('2.Infor Detallado Desempeño POA'!L127:L129,"=No programado")</f>
        <v>0</v>
      </c>
      <c r="H48" s="539">
        <f t="shared" si="6"/>
        <v>3</v>
      </c>
      <c r="I48" s="540">
        <f t="shared" si="3"/>
        <v>0</v>
      </c>
    </row>
    <row r="49" spans="2:17" s="625" customFormat="1" ht="19.899999999999999" customHeight="1">
      <c r="B49" s="521" t="s">
        <v>736</v>
      </c>
      <c r="C49" s="616">
        <f t="shared" si="4"/>
        <v>4</v>
      </c>
      <c r="D49" s="541">
        <f>COUNTIF('2.Infor Detallado Desempeño POA'!L135:L138,"&gt;=99%")-COUNTIF('2.Infor Detallado Desempeño POA'!L135:L138,"&gt;100%")</f>
        <v>1</v>
      </c>
      <c r="E49" s="542">
        <f>COUNTIF('2.Infor Detallado Desempeño POA'!L135:L138,"&gt;100%")</f>
        <v>2</v>
      </c>
      <c r="F49" s="614">
        <f>COUNTIF('2.Infor Detallado Desempeño POA'!L135:L138,"&lt;99%")</f>
        <v>0</v>
      </c>
      <c r="G49" s="612">
        <f>COUNTIF('2.Infor Detallado Desempeño POA'!L135:L138,"=No programado")</f>
        <v>1</v>
      </c>
      <c r="H49" s="539">
        <f t="shared" si="6"/>
        <v>4</v>
      </c>
      <c r="I49" s="540">
        <f t="shared" si="3"/>
        <v>0</v>
      </c>
    </row>
    <row r="50" spans="2:17" s="625" customFormat="1" ht="19.899999999999999" customHeight="1">
      <c r="B50" s="521" t="s">
        <v>737</v>
      </c>
      <c r="C50" s="616">
        <f t="shared" si="4"/>
        <v>4</v>
      </c>
      <c r="D50" s="541">
        <f>COUNTIF('2.Infor Detallado Desempeño POA'!L144:L147,"&gt;=99%")-COUNTIF('2.Infor Detallado Desempeño POA'!L144:L147,"&gt;100%")</f>
        <v>1</v>
      </c>
      <c r="E50" s="542">
        <f>COUNTIF('2.Infor Detallado Desempeño POA'!L144:L147,"&gt;100%")</f>
        <v>3</v>
      </c>
      <c r="F50" s="614">
        <f>COUNTIF('2.Infor Detallado Desempeño POA'!L144:L147,"&lt;99%")</f>
        <v>0</v>
      </c>
      <c r="G50" s="612">
        <f>COUNTIF('2.Infor Detallado Desempeño POA'!L144:L147,"=No programado")</f>
        <v>0</v>
      </c>
      <c r="H50" s="539">
        <f t="shared" si="6"/>
        <v>4</v>
      </c>
      <c r="I50" s="540">
        <f t="shared" si="3"/>
        <v>0</v>
      </c>
    </row>
    <row r="51" spans="2:17" s="625" customFormat="1" ht="19.899999999999999" customHeight="1">
      <c r="B51" s="521" t="s">
        <v>738</v>
      </c>
      <c r="C51" s="616">
        <f t="shared" si="4"/>
        <v>5</v>
      </c>
      <c r="D51" s="541">
        <f>COUNTIF('2.Infor Detallado Desempeño POA'!L153:L157,"&gt;=99%")-COUNTIF('2.Infor Detallado Desempeño POA'!L153:L157,"&gt;100%")</f>
        <v>5</v>
      </c>
      <c r="E51" s="542">
        <f>COUNTIF('2.Infor Detallado Desempeño POA'!L153:L157,"&gt;100%")</f>
        <v>0</v>
      </c>
      <c r="F51" s="614">
        <f>COUNTIF('2.Infor Detallado Desempeño POA'!L153:L157,"&lt;99%")</f>
        <v>0</v>
      </c>
      <c r="G51" s="612">
        <f>COUNTIF('2.Infor Detallado Desempeño POA'!L153:L157,"=No programado")</f>
        <v>0</v>
      </c>
      <c r="H51" s="539">
        <f t="shared" si="6"/>
        <v>5</v>
      </c>
      <c r="I51" s="540">
        <f t="shared" si="3"/>
        <v>0</v>
      </c>
    </row>
    <row r="52" spans="2:17" s="625" customFormat="1" ht="19.899999999999999" customHeight="1">
      <c r="B52" s="521" t="s">
        <v>740</v>
      </c>
      <c r="C52" s="616">
        <f t="shared" si="4"/>
        <v>3</v>
      </c>
      <c r="D52" s="541">
        <f>COUNTIF('2.Infor Detallado Desempeño POA'!L163:L165,"&gt;=99%")-COUNTIF('2.Infor Detallado Desempeño POA'!L163:L165,"&gt;100%")</f>
        <v>0</v>
      </c>
      <c r="E52" s="542">
        <f>COUNTIF('2.Infor Detallado Desempeño POA'!L163:L165,"&gt;100%")</f>
        <v>2</v>
      </c>
      <c r="F52" s="614">
        <f>COUNTIF('2.Infor Detallado Desempeño POA'!L163:L165,"&lt;99%")</f>
        <v>0</v>
      </c>
      <c r="G52" s="612">
        <f>COUNTIF('2.Infor Detallado Desempeño POA'!L163:L165,"=No programado")</f>
        <v>1</v>
      </c>
      <c r="H52" s="539">
        <f t="shared" si="6"/>
        <v>3</v>
      </c>
      <c r="I52" s="540">
        <f t="shared" si="3"/>
        <v>0</v>
      </c>
    </row>
    <row r="53" spans="2:17" s="625" customFormat="1" ht="19.899999999999999" customHeight="1">
      <c r="B53" s="521" t="s">
        <v>741</v>
      </c>
      <c r="C53" s="616">
        <f t="shared" si="4"/>
        <v>3</v>
      </c>
      <c r="D53" s="541">
        <f>COUNTIF('2.Infor Detallado Desempeño POA'!L171:L173,"&gt;=99%")-COUNTIF('2.Infor Detallado Desempeño POA'!L171:L173,"&gt;100%")</f>
        <v>1</v>
      </c>
      <c r="E53" s="542">
        <f>COUNTIF('2.Infor Detallado Desempeño POA'!L171:L173,"&gt;100%")</f>
        <v>0</v>
      </c>
      <c r="F53" s="614">
        <f>COUNTIF('2.Infor Detallado Desempeño POA'!L171:L173,"&lt;99%")</f>
        <v>0</v>
      </c>
      <c r="G53" s="612">
        <f>COUNTIF('2.Infor Detallado Desempeño POA'!L171:L173,"=No programado")</f>
        <v>2</v>
      </c>
      <c r="H53" s="539">
        <f t="shared" si="6"/>
        <v>3</v>
      </c>
      <c r="I53" s="540">
        <f t="shared" si="3"/>
        <v>0</v>
      </c>
    </row>
    <row r="54" spans="2:17" s="625" customFormat="1" ht="19.899999999999999" customHeight="1">
      <c r="B54" s="554" t="s">
        <v>893</v>
      </c>
      <c r="C54" s="555">
        <f>SUM(C38:C53)</f>
        <v>87</v>
      </c>
      <c r="D54" s="556">
        <f t="shared" ref="D54:E54" si="7">SUM(D38:D53)</f>
        <v>33</v>
      </c>
      <c r="E54" s="557">
        <f t="shared" si="7"/>
        <v>27</v>
      </c>
      <c r="F54" s="615">
        <f>SUM(F38:F53)</f>
        <v>11</v>
      </c>
      <c r="G54" s="613">
        <f>SUM(G38:G53)</f>
        <v>16</v>
      </c>
      <c r="H54" s="539">
        <f>SUM(D54:G54)</f>
        <v>87</v>
      </c>
      <c r="I54" s="540">
        <f t="shared" si="3"/>
        <v>0</v>
      </c>
    </row>
    <row r="55" spans="2:17" s="625" customFormat="1" ht="19.899999999999999" customHeight="1">
      <c r="B55" s="894"/>
      <c r="C55" s="896"/>
      <c r="D55" s="896"/>
      <c r="E55" s="896"/>
      <c r="F55" s="896"/>
      <c r="G55" s="896"/>
      <c r="H55" s="895"/>
      <c r="I55" s="540"/>
    </row>
    <row r="56" spans="2:17" s="625" customFormat="1" ht="3" customHeight="1">
      <c r="C56" s="899"/>
      <c r="D56" s="897" t="str">
        <f>+D37</f>
        <v>No de Indicadores con Meta Cumplida según progrLación</v>
      </c>
      <c r="E56" s="898">
        <f>+D54</f>
        <v>33</v>
      </c>
      <c r="F56" s="900"/>
      <c r="G56" s="901"/>
      <c r="H56" s="626"/>
    </row>
    <row r="57" spans="2:17" s="625" customFormat="1" ht="3" customHeight="1">
      <c r="C57" s="899"/>
      <c r="D57" s="897" t="str">
        <f>+E37</f>
        <v xml:space="preserve">No de Indicadores con ejecución superior a la programada </v>
      </c>
      <c r="E57" s="898">
        <f>+E54</f>
        <v>27</v>
      </c>
      <c r="F57" s="900"/>
      <c r="G57" s="901"/>
      <c r="H57" s="626"/>
    </row>
    <row r="58" spans="2:17" s="625" customFormat="1" ht="3" customHeight="1">
      <c r="C58" s="899"/>
      <c r="D58" s="897" t="str">
        <f>+F37</f>
        <v xml:space="preserve">No de Indicadores con ejecución menor a la programada </v>
      </c>
      <c r="E58" s="898">
        <f>+F54</f>
        <v>11</v>
      </c>
      <c r="F58" s="900"/>
      <c r="G58" s="901"/>
      <c r="H58" s="626"/>
    </row>
    <row r="59" spans="2:17" s="625" customFormat="1" ht="3" customHeight="1">
      <c r="C59" s="899"/>
      <c r="D59" s="897" t="str">
        <f>+G37</f>
        <v>No de indicadores sin programar en el periodo</v>
      </c>
      <c r="E59" s="898">
        <f>+G54</f>
        <v>16</v>
      </c>
      <c r="F59" s="900"/>
      <c r="G59" s="901"/>
      <c r="H59" s="626"/>
    </row>
    <row r="60" spans="2:17" s="625" customFormat="1" ht="10.15" customHeight="1">
      <c r="C60" s="626"/>
      <c r="D60" s="626"/>
      <c r="E60" s="627">
        <f>SUM(E27:E30)</f>
        <v>87</v>
      </c>
      <c r="F60" s="624"/>
      <c r="H60" s="626"/>
    </row>
    <row r="61" spans="2:17" ht="15.75" thickBot="1"/>
    <row r="62" spans="2:17" s="528" customFormat="1" ht="15.75">
      <c r="B62" s="1474" t="s">
        <v>750</v>
      </c>
      <c r="C62" s="1476" t="s">
        <v>891</v>
      </c>
      <c r="D62" s="1478" t="s">
        <v>892</v>
      </c>
      <c r="E62" s="1479"/>
      <c r="F62" s="1480"/>
      <c r="P62" s="516"/>
      <c r="Q62" s="516"/>
    </row>
    <row r="63" spans="2:17" ht="33" customHeight="1">
      <c r="B63" s="1475"/>
      <c r="C63" s="1477"/>
      <c r="D63" s="1050" t="s">
        <v>759</v>
      </c>
      <c r="E63" s="1050" t="s">
        <v>763</v>
      </c>
      <c r="F63" s="531" t="s">
        <v>767</v>
      </c>
      <c r="H63" s="516"/>
    </row>
    <row r="64" spans="2:17">
      <c r="B64" s="532" t="s">
        <v>724</v>
      </c>
      <c r="C64" s="533">
        <f>+'3.Resum Desemp Procesos POA T1'!C41</f>
        <v>4</v>
      </c>
      <c r="D64" s="533">
        <f>+'Rango indicadores'!E111</f>
        <v>4</v>
      </c>
      <c r="E64" s="533">
        <f>+'Rango indicadores'!F111</f>
        <v>0</v>
      </c>
      <c r="F64" s="534">
        <f>+'Rango indicadores'!G111</f>
        <v>0</v>
      </c>
      <c r="H64" s="516"/>
    </row>
    <row r="65" spans="2:8">
      <c r="B65" s="532" t="s">
        <v>726</v>
      </c>
      <c r="C65" s="533">
        <f>+'3.Resum Desemp Procesos POA T1'!C42</f>
        <v>4</v>
      </c>
      <c r="D65" s="533">
        <f>+'Rango indicadores'!E112</f>
        <v>4</v>
      </c>
      <c r="E65" s="533">
        <f>+'Rango indicadores'!F112</f>
        <v>0</v>
      </c>
      <c r="F65" s="534">
        <f>+'Rango indicadores'!G112</f>
        <v>0</v>
      </c>
      <c r="H65" s="516"/>
    </row>
    <row r="66" spans="2:8">
      <c r="B66" s="532" t="s">
        <v>727</v>
      </c>
      <c r="C66" s="533">
        <f>+'3.Resum Desemp Procesos POA T1'!C43</f>
        <v>7</v>
      </c>
      <c r="D66" s="533">
        <f>+'Rango indicadores'!E113</f>
        <v>7</v>
      </c>
      <c r="E66" s="533">
        <f>+'Rango indicadores'!F113</f>
        <v>0</v>
      </c>
      <c r="F66" s="534">
        <f>+'Rango indicadores'!G113</f>
        <v>0</v>
      </c>
      <c r="H66" s="516"/>
    </row>
    <row r="67" spans="2:8">
      <c r="B67" s="532" t="s">
        <v>728</v>
      </c>
      <c r="C67" s="533">
        <f>+'3.Resum Desemp Procesos POA T1'!C44</f>
        <v>2</v>
      </c>
      <c r="D67" s="533">
        <f>+'Rango indicadores'!E114</f>
        <v>2</v>
      </c>
      <c r="E67" s="533">
        <f>+'Rango indicadores'!F114</f>
        <v>0</v>
      </c>
      <c r="F67" s="534">
        <f>+'Rango indicadores'!G114</f>
        <v>0</v>
      </c>
      <c r="H67" s="516"/>
    </row>
    <row r="68" spans="2:8">
      <c r="B68" s="532" t="s">
        <v>739</v>
      </c>
      <c r="C68" s="533">
        <f>+'3.Resum Desemp Procesos POA T1'!C45</f>
        <v>3</v>
      </c>
      <c r="D68" s="533">
        <f>+'Rango indicadores'!E115</f>
        <v>21</v>
      </c>
      <c r="E68" s="533">
        <f>+'Rango indicadores'!F115</f>
        <v>0</v>
      </c>
      <c r="F68" s="534">
        <f>+'Rango indicadores'!G115</f>
        <v>0</v>
      </c>
      <c r="H68" s="516"/>
    </row>
    <row r="69" spans="2:8">
      <c r="B69" s="532" t="s">
        <v>729</v>
      </c>
      <c r="C69" s="533">
        <f>+'3.Resum Desemp Procesos POA T1'!C47</f>
        <v>20</v>
      </c>
      <c r="D69" s="533">
        <f>+'Rango indicadores'!E116</f>
        <v>7</v>
      </c>
      <c r="E69" s="533">
        <f>+'Rango indicadores'!F116</f>
        <v>0</v>
      </c>
      <c r="F69" s="534">
        <f>+'Rango indicadores'!G116</f>
        <v>0</v>
      </c>
      <c r="H69" s="516"/>
    </row>
    <row r="70" spans="2:8">
      <c r="B70" s="532" t="s">
        <v>864</v>
      </c>
      <c r="C70" s="533">
        <f>+'3.Resum Desemp Procesos POA T1'!C48</f>
        <v>7</v>
      </c>
      <c r="D70" s="533">
        <f>+'Rango indicadores'!E117</f>
        <v>8</v>
      </c>
      <c r="E70" s="533">
        <f>+'Rango indicadores'!F117</f>
        <v>0</v>
      </c>
      <c r="F70" s="534">
        <f>+'Rango indicadores'!G117</f>
        <v>0</v>
      </c>
      <c r="H70" s="516"/>
    </row>
    <row r="71" spans="2:8">
      <c r="B71" s="532" t="s">
        <v>732</v>
      </c>
      <c r="C71" s="533">
        <f>+'3.Resum Desemp Procesos POA T1'!C49</f>
        <v>8</v>
      </c>
      <c r="D71" s="533">
        <f>+'Rango indicadores'!E118</f>
        <v>7</v>
      </c>
      <c r="E71" s="533">
        <f>+'Rango indicadores'!F118</f>
        <v>0</v>
      </c>
      <c r="F71" s="534">
        <f>+'Rango indicadores'!G118</f>
        <v>1</v>
      </c>
      <c r="H71" s="516"/>
    </row>
    <row r="72" spans="2:8">
      <c r="B72" s="532" t="s">
        <v>733</v>
      </c>
      <c r="C72" s="533">
        <f>+'3.Resum Desemp Procesos POA T1'!C51</f>
        <v>8</v>
      </c>
      <c r="D72" s="533">
        <f>+'Rango indicadores'!E119</f>
        <v>2</v>
      </c>
      <c r="E72" s="533">
        <f>+'Rango indicadores'!F119</f>
        <v>0</v>
      </c>
      <c r="F72" s="534">
        <f>+'Rango indicadores'!G119</f>
        <v>0</v>
      </c>
      <c r="H72" s="516"/>
    </row>
    <row r="73" spans="2:8">
      <c r="B73" s="532" t="s">
        <v>734</v>
      </c>
      <c r="C73" s="533">
        <f>+'3.Resum Desemp Procesos POA T1'!C52</f>
        <v>2</v>
      </c>
      <c r="D73" s="533">
        <f>+'Rango indicadores'!E120</f>
        <v>3</v>
      </c>
      <c r="E73" s="533">
        <f>+'Rango indicadores'!F120</f>
        <v>0</v>
      </c>
      <c r="F73" s="534">
        <f>+'Rango indicadores'!G120</f>
        <v>0</v>
      </c>
      <c r="H73" s="516"/>
    </row>
    <row r="74" spans="2:8">
      <c r="B74" s="532" t="s">
        <v>735</v>
      </c>
      <c r="C74" s="533">
        <f>+'3.Resum Desemp Procesos POA T1'!C53</f>
        <v>3</v>
      </c>
      <c r="D74" s="533">
        <f>+'Rango indicadores'!E121</f>
        <v>1</v>
      </c>
      <c r="E74" s="533">
        <f>+'Rango indicadores'!F121</f>
        <v>3</v>
      </c>
      <c r="F74" s="534">
        <f>+'Rango indicadores'!G121</f>
        <v>0</v>
      </c>
      <c r="H74" s="516"/>
    </row>
    <row r="75" spans="2:8">
      <c r="B75" s="532" t="s">
        <v>736</v>
      </c>
      <c r="C75" s="533">
        <f>+'3.Resum Desemp Procesos POA T1'!C54</f>
        <v>4</v>
      </c>
      <c r="D75" s="533">
        <f>+'Rango indicadores'!E122</f>
        <v>3</v>
      </c>
      <c r="E75" s="533">
        <f>+'Rango indicadores'!F122</f>
        <v>1</v>
      </c>
      <c r="F75" s="534">
        <f>+'Rango indicadores'!G122</f>
        <v>0</v>
      </c>
      <c r="H75" s="516"/>
    </row>
    <row r="76" spans="2:8">
      <c r="B76" s="532" t="s">
        <v>737</v>
      </c>
      <c r="C76" s="533">
        <f>+'3.Resum Desemp Procesos POA T1'!C55</f>
        <v>4</v>
      </c>
      <c r="D76" s="533">
        <f>+'Rango indicadores'!E123</f>
        <v>5</v>
      </c>
      <c r="E76" s="533">
        <f>+'Rango indicadores'!F123</f>
        <v>0</v>
      </c>
      <c r="F76" s="534">
        <f>+'Rango indicadores'!G123</f>
        <v>0</v>
      </c>
      <c r="H76" s="516"/>
    </row>
    <row r="77" spans="2:8">
      <c r="B77" s="532" t="s">
        <v>738</v>
      </c>
      <c r="C77" s="533">
        <f>+'3.Resum Desemp Procesos POA T1'!C56</f>
        <v>5</v>
      </c>
      <c r="D77" s="533">
        <f>+'Rango indicadores'!E124</f>
        <v>3</v>
      </c>
      <c r="E77" s="533">
        <f>+'Rango indicadores'!F124</f>
        <v>0</v>
      </c>
      <c r="F77" s="534">
        <f>+'Rango indicadores'!G124</f>
        <v>0</v>
      </c>
      <c r="H77" s="516"/>
    </row>
    <row r="78" spans="2:8">
      <c r="B78" s="532" t="s">
        <v>740</v>
      </c>
      <c r="C78" s="533">
        <f>+'3.Resum Desemp Procesos POA T1'!C58</f>
        <v>3</v>
      </c>
      <c r="D78" s="533">
        <f>+'Rango indicadores'!E125</f>
        <v>3</v>
      </c>
      <c r="E78" s="533">
        <f>+'Rango indicadores'!F125</f>
        <v>0</v>
      </c>
      <c r="F78" s="534">
        <f>+'Rango indicadores'!G125</f>
        <v>0</v>
      </c>
      <c r="H78" s="516"/>
    </row>
    <row r="79" spans="2:8">
      <c r="B79" s="532" t="s">
        <v>741</v>
      </c>
      <c r="C79" s="533">
        <f>+'3.Resum Desemp Procesos POA T1'!C59</f>
        <v>3</v>
      </c>
      <c r="D79" s="533">
        <f>+'Rango indicadores'!E126</f>
        <v>3</v>
      </c>
      <c r="E79" s="533">
        <f>+'Rango indicadores'!F126</f>
        <v>0</v>
      </c>
      <c r="F79" s="534">
        <f>+'Rango indicadores'!G126</f>
        <v>0</v>
      </c>
      <c r="H79" s="516"/>
    </row>
    <row r="80" spans="2:8" ht="16.5" thickBot="1">
      <c r="B80" s="535" t="s">
        <v>893</v>
      </c>
      <c r="C80" s="536">
        <f>SUM(C64:C79)</f>
        <v>87</v>
      </c>
      <c r="D80" s="536">
        <f>SUM(D64:D79)</f>
        <v>83</v>
      </c>
      <c r="E80" s="536">
        <f>SUM(E64:E79)</f>
        <v>4</v>
      </c>
      <c r="F80" s="537">
        <f>SUM(F64:F79)</f>
        <v>1</v>
      </c>
      <c r="H80" s="516"/>
    </row>
    <row r="81" spans="8:8">
      <c r="H81" s="516"/>
    </row>
    <row r="82" spans="8:8">
      <c r="H82" s="516"/>
    </row>
    <row r="84" spans="8:8" ht="15" customHeight="1"/>
  </sheetData>
  <mergeCells count="13">
    <mergeCell ref="D62:F62"/>
    <mergeCell ref="D34:E34"/>
    <mergeCell ref="C35:G35"/>
    <mergeCell ref="B35:B37"/>
    <mergeCell ref="E36:F36"/>
    <mergeCell ref="B62:B63"/>
    <mergeCell ref="C62:C63"/>
    <mergeCell ref="B2:B3"/>
    <mergeCell ref="C2:G2"/>
    <mergeCell ref="C3:G3"/>
    <mergeCell ref="B4:F4"/>
    <mergeCell ref="B7:B8"/>
    <mergeCell ref="C7:G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rgb="FF0070C0"/>
  </sheetPr>
  <dimension ref="B1:V116"/>
  <sheetViews>
    <sheetView showGridLines="0" topLeftCell="A28" zoomScale="70" zoomScaleNormal="70" workbookViewId="0">
      <selection activeCell="G48" sqref="G48"/>
    </sheetView>
  </sheetViews>
  <sheetFormatPr baseColWidth="10" defaultColWidth="11.42578125" defaultRowHeight="15" customHeight="1" zeroHeight="1"/>
  <cols>
    <col min="1" max="1" width="3.7109375" style="516" customWidth="1"/>
    <col min="2" max="2" width="47.28515625" style="516" customWidth="1"/>
    <col min="3" max="3" width="20.28515625" style="518" customWidth="1"/>
    <col min="4" max="4" width="18.85546875" style="518" customWidth="1"/>
    <col min="5" max="5" width="18.85546875" style="518" hidden="1" customWidth="1"/>
    <col min="6" max="6" width="19.42578125" style="516" customWidth="1"/>
    <col min="7" max="7" width="47" style="516" customWidth="1"/>
    <col min="8" max="15" width="11.42578125" style="516"/>
    <col min="16" max="16" width="62.42578125" style="516" bestFit="1" customWidth="1"/>
    <col min="17" max="17" width="40" style="516" customWidth="1"/>
    <col min="18" max="16355" width="11.42578125" style="516"/>
    <col min="16356" max="16356" width="1.42578125" style="516" customWidth="1"/>
    <col min="16357" max="16384" width="2.85546875" style="516" customWidth="1"/>
  </cols>
  <sheetData>
    <row r="1" spans="2:22" s="455" customFormat="1">
      <c r="D1" s="458"/>
      <c r="E1" s="456"/>
      <c r="F1" s="457"/>
      <c r="G1" s="457"/>
      <c r="H1" s="457"/>
      <c r="I1" s="457"/>
      <c r="J1" s="457"/>
      <c r="K1" s="457"/>
      <c r="L1" s="457"/>
      <c r="V1" s="458"/>
    </row>
    <row r="2" spans="2:22" s="455" customFormat="1" ht="28.9" customHeight="1">
      <c r="B2" s="1467" t="s">
        <v>889</v>
      </c>
      <c r="C2" s="1498" t="s">
        <v>898</v>
      </c>
      <c r="D2" s="1498"/>
      <c r="E2" s="1498"/>
      <c r="F2" s="1498"/>
      <c r="G2" s="1498"/>
      <c r="H2" s="1498"/>
      <c r="I2" s="510"/>
      <c r="J2" s="510"/>
      <c r="K2" s="510"/>
      <c r="L2" s="510"/>
      <c r="M2" s="510"/>
      <c r="N2" s="563"/>
      <c r="O2" s="563"/>
      <c r="P2" s="563"/>
      <c r="Q2" s="563"/>
      <c r="R2" s="563"/>
      <c r="S2" s="563"/>
      <c r="T2" s="563"/>
      <c r="U2" s="563"/>
      <c r="V2" s="458"/>
    </row>
    <row r="3" spans="2:22" s="455" customFormat="1" ht="17.45" customHeight="1">
      <c r="B3" s="1467"/>
      <c r="C3" s="1499" t="s">
        <v>1154</v>
      </c>
      <c r="D3" s="1499"/>
      <c r="E3" s="1499"/>
      <c r="F3" s="1499"/>
      <c r="G3" s="1499"/>
      <c r="H3" s="1499"/>
      <c r="I3" s="509"/>
      <c r="J3" s="509"/>
      <c r="K3" s="509"/>
      <c r="L3" s="509"/>
      <c r="M3" s="509"/>
      <c r="N3" s="562"/>
      <c r="O3" s="562"/>
      <c r="P3" s="562"/>
      <c r="Q3" s="562"/>
      <c r="R3" s="562"/>
      <c r="S3" s="562"/>
      <c r="T3" s="562"/>
      <c r="U3" s="562"/>
      <c r="V3" s="459"/>
    </row>
    <row r="4" spans="2:22" s="455" customFormat="1" ht="6" customHeight="1">
      <c r="B4" s="543"/>
      <c r="D4" s="1500"/>
      <c r="E4" s="1500"/>
      <c r="F4" s="1500"/>
      <c r="G4" s="1500"/>
      <c r="H4" s="1500"/>
      <c r="I4" s="501"/>
      <c r="J4" s="501"/>
      <c r="K4" s="501"/>
      <c r="L4" s="501"/>
      <c r="M4" s="501"/>
      <c r="N4" s="564"/>
      <c r="O4" s="564"/>
      <c r="P4" s="564"/>
      <c r="Q4" s="564"/>
      <c r="R4" s="564"/>
      <c r="S4" s="564"/>
      <c r="T4" s="564"/>
      <c r="U4" s="564"/>
      <c r="V4" s="460"/>
    </row>
    <row r="5" spans="2:22" s="455" customFormat="1" ht="19.5" customHeight="1">
      <c r="B5" s="1023" t="str">
        <f>+'2.Infor Detallado Desempeño POA'!C7</f>
        <v xml:space="preserve">Fecha de corte: </v>
      </c>
      <c r="C5" s="1070">
        <f>'2.Infor Detallado Desempeño POA'!D7</f>
        <v>44834</v>
      </c>
      <c r="D5" s="502"/>
      <c r="E5" s="462"/>
      <c r="V5" s="458"/>
    </row>
    <row r="6" spans="2:22" ht="1.9" customHeight="1">
      <c r="B6" s="519"/>
    </row>
    <row r="7" spans="2:22" ht="8.4499999999999993" customHeight="1">
      <c r="B7" s="519"/>
    </row>
    <row r="8" spans="2:22" ht="54" customHeight="1">
      <c r="B8" s="571" t="s">
        <v>750</v>
      </c>
      <c r="C8" s="572" t="s">
        <v>1155</v>
      </c>
      <c r="D8" s="520"/>
      <c r="E8" s="516"/>
    </row>
    <row r="9" spans="2:22">
      <c r="B9" s="521" t="s">
        <v>724</v>
      </c>
      <c r="C9" s="522">
        <f>+F41</f>
        <v>0.30107142857142855</v>
      </c>
      <c r="D9" s="523"/>
      <c r="E9" s="516"/>
    </row>
    <row r="10" spans="2:22">
      <c r="B10" s="521" t="s">
        <v>726</v>
      </c>
      <c r="C10" s="522">
        <f>+F42</f>
        <v>5.921052631578947E-2</v>
      </c>
      <c r="D10" s="523"/>
      <c r="E10" s="516"/>
      <c r="H10" s="587"/>
      <c r="I10" s="588" t="s">
        <v>1156</v>
      </c>
    </row>
    <row r="11" spans="2:22">
      <c r="B11" s="521" t="s">
        <v>727</v>
      </c>
      <c r="C11" s="522">
        <f>+F43</f>
        <v>0.17500000000000002</v>
      </c>
      <c r="D11" s="523"/>
      <c r="E11" s="516"/>
      <c r="H11" s="893"/>
      <c r="I11" s="588" t="s">
        <v>905</v>
      </c>
    </row>
    <row r="12" spans="2:22">
      <c r="B12" s="521" t="s">
        <v>728</v>
      </c>
      <c r="C12" s="522">
        <f>+F44</f>
        <v>0.25</v>
      </c>
      <c r="D12" s="523"/>
      <c r="E12" s="516"/>
      <c r="H12" s="589"/>
      <c r="I12" s="588" t="s">
        <v>906</v>
      </c>
    </row>
    <row r="13" spans="2:22">
      <c r="B13" s="521" t="s">
        <v>739</v>
      </c>
      <c r="C13" s="522">
        <f>+F45</f>
        <v>0.19990740740740742</v>
      </c>
      <c r="D13" s="524"/>
      <c r="E13" s="516"/>
      <c r="H13" s="590"/>
      <c r="I13" s="588" t="s">
        <v>907</v>
      </c>
    </row>
    <row r="14" spans="2:22">
      <c r="B14" s="521" t="s">
        <v>729</v>
      </c>
      <c r="C14" s="522">
        <f>+F47</f>
        <v>0.22556159419572125</v>
      </c>
      <c r="D14" s="523"/>
      <c r="E14" s="516"/>
    </row>
    <row r="15" spans="2:22">
      <c r="B15" s="521" t="s">
        <v>864</v>
      </c>
      <c r="C15" s="522">
        <f>+F48</f>
        <v>0.11701830507800658</v>
      </c>
      <c r="D15" s="523"/>
      <c r="E15" s="516"/>
    </row>
    <row r="16" spans="2:22">
      <c r="B16" s="521" t="s">
        <v>732</v>
      </c>
      <c r="C16" s="522">
        <f>+F49</f>
        <v>0.14054166666666668</v>
      </c>
      <c r="D16" s="523"/>
      <c r="E16" s="516"/>
    </row>
    <row r="17" spans="2:17">
      <c r="B17" s="521" t="s">
        <v>733</v>
      </c>
      <c r="C17" s="1081">
        <f t="shared" ref="C17:C22" si="0">+F51</f>
        <v>0.30672285820578232</v>
      </c>
      <c r="D17" s="523"/>
      <c r="E17" s="516"/>
    </row>
    <row r="18" spans="2:17">
      <c r="B18" s="521" t="s">
        <v>734</v>
      </c>
      <c r="C18" s="522">
        <f t="shared" si="0"/>
        <v>0.26576460481099656</v>
      </c>
      <c r="D18" s="523"/>
      <c r="E18" s="516"/>
    </row>
    <row r="19" spans="2:17">
      <c r="B19" s="521" t="s">
        <v>735</v>
      </c>
      <c r="C19" s="522">
        <f t="shared" si="0"/>
        <v>0.22459649122807021</v>
      </c>
      <c r="D19" s="523"/>
      <c r="E19" s="516"/>
    </row>
    <row r="20" spans="2:17">
      <c r="B20" s="521" t="s">
        <v>736</v>
      </c>
      <c r="C20" s="1081">
        <f t="shared" si="0"/>
        <v>0.31874999999999998</v>
      </c>
      <c r="D20" s="523"/>
      <c r="E20" s="516"/>
    </row>
    <row r="21" spans="2:17">
      <c r="B21" s="521" t="s">
        <v>737</v>
      </c>
      <c r="C21" s="522">
        <f t="shared" si="0"/>
        <v>0.24320339912280703</v>
      </c>
      <c r="D21" s="523"/>
      <c r="E21" s="516"/>
    </row>
    <row r="22" spans="2:17">
      <c r="B22" s="521" t="s">
        <v>738</v>
      </c>
      <c r="C22" s="522">
        <f t="shared" si="0"/>
        <v>0.25</v>
      </c>
      <c r="D22" s="523"/>
      <c r="E22" s="516"/>
    </row>
    <row r="23" spans="2:17">
      <c r="B23" s="521" t="s">
        <v>740</v>
      </c>
      <c r="C23" s="1081">
        <f>+F58</f>
        <v>0.32222222222222219</v>
      </c>
      <c r="D23" s="523"/>
      <c r="E23" s="516"/>
    </row>
    <row r="24" spans="2:17" ht="15.75" thickBot="1">
      <c r="B24" s="525" t="s">
        <v>741</v>
      </c>
      <c r="C24" s="522">
        <f>+F59</f>
        <v>0.11666666666666665</v>
      </c>
      <c r="D24" s="523"/>
      <c r="E24" s="516"/>
    </row>
    <row r="25" spans="2:17" ht="16.5" thickBot="1">
      <c r="B25" s="526" t="s">
        <v>890</v>
      </c>
      <c r="C25" s="946">
        <f>+F62</f>
        <v>0.21142393277786095</v>
      </c>
      <c r="D25" s="527"/>
      <c r="E25" s="516"/>
    </row>
    <row r="26" spans="2:17" s="528" customFormat="1">
      <c r="C26" s="529"/>
      <c r="D26" s="529"/>
      <c r="E26" s="529"/>
      <c r="P26" s="516"/>
      <c r="Q26" s="516"/>
    </row>
    <row r="27" spans="2:17" s="528" customFormat="1" ht="56.25" customHeight="1" thickBot="1">
      <c r="B27" s="528" t="s">
        <v>680</v>
      </c>
      <c r="C27" s="529"/>
      <c r="P27" s="516"/>
      <c r="Q27" s="516"/>
    </row>
    <row r="28" spans="2:17" ht="57" customHeight="1">
      <c r="B28" s="1501" t="s">
        <v>930</v>
      </c>
      <c r="C28" s="1503" t="s">
        <v>862</v>
      </c>
      <c r="D28" s="1505" t="s">
        <v>931</v>
      </c>
      <c r="E28" s="1506"/>
      <c r="F28" s="1507"/>
      <c r="H28" s="518"/>
    </row>
    <row r="29" spans="2:17" ht="54.6" customHeight="1" thickBot="1">
      <c r="B29" s="1502"/>
      <c r="C29" s="1504"/>
      <c r="D29" s="659" t="str">
        <f>D39</f>
        <v>Tercer Trimestre</v>
      </c>
      <c r="E29" s="663" t="s">
        <v>932</v>
      </c>
      <c r="F29" s="665" t="s">
        <v>924</v>
      </c>
      <c r="H29" s="518"/>
    </row>
    <row r="30" spans="2:17" ht="29.45" customHeight="1">
      <c r="B30" s="646" t="s">
        <v>925</v>
      </c>
      <c r="C30" s="629">
        <f>+C46</f>
        <v>20</v>
      </c>
      <c r="D30" s="660">
        <f>IFERROR(AVERAGE(D41:D45),0)</f>
        <v>1.1065555555555555</v>
      </c>
      <c r="E30" s="666">
        <f>IFERROR(AVERAGE(E41:E45),0)</f>
        <v>1.1065555555555555</v>
      </c>
      <c r="F30" s="891">
        <f>IFERROR(AVERAGE(F41:F45),0)</f>
        <v>0.1970378724589251</v>
      </c>
      <c r="H30" s="518"/>
    </row>
    <row r="31" spans="2:17" ht="36.6" customHeight="1">
      <c r="B31" s="631" t="s">
        <v>926</v>
      </c>
      <c r="C31" s="630">
        <f>+C50</f>
        <v>35</v>
      </c>
      <c r="D31" s="661">
        <f>IFERROR(AVERAGE(D47:D49),0)</f>
        <v>1.1236796504598734</v>
      </c>
      <c r="E31" s="666">
        <f>IFERROR(AVERAGE(E47:E49),0)</f>
        <v>1.1236796504598734</v>
      </c>
      <c r="F31" s="891">
        <f>IFERROR(AVERAGE(F47:F49),0)</f>
        <v>0.1610405219801315</v>
      </c>
      <c r="H31" s="518"/>
    </row>
    <row r="32" spans="2:17" ht="41.45" customHeight="1">
      <c r="B32" s="631" t="s">
        <v>927</v>
      </c>
      <c r="C32" s="630">
        <f>+C57</f>
        <v>26</v>
      </c>
      <c r="D32" s="661">
        <f>IFERROR(AVERAGE(D51:D56),0)</f>
        <v>1.0503230046138203</v>
      </c>
      <c r="E32" s="666">
        <f>IFERROR(AVERAGE(E51:E56),0)</f>
        <v>1.0503230046138203</v>
      </c>
      <c r="F32" s="891">
        <f>IFERROR(AVERAGE(F51:F56),0)</f>
        <v>0.26817289222794272</v>
      </c>
      <c r="H32" s="518"/>
    </row>
    <row r="33" spans="2:22" ht="40.5">
      <c r="B33" s="631" t="s">
        <v>928</v>
      </c>
      <c r="C33" s="630">
        <f>+C60</f>
        <v>6</v>
      </c>
      <c r="D33" s="662">
        <f>IFERROR(AVERAGE(D58:D59),0)</f>
        <v>1.9094202898550723</v>
      </c>
      <c r="E33" s="667">
        <f>IFERROR(AVERAGE(E58:E59),0)</f>
        <v>1.9094202898550723</v>
      </c>
      <c r="F33" s="892">
        <f>IFERROR(AVERAGE(F58:F59),0)</f>
        <v>0.21944444444444441</v>
      </c>
      <c r="H33" s="518"/>
    </row>
    <row r="34" spans="2:22" ht="23.25">
      <c r="B34" s="633" t="s">
        <v>929</v>
      </c>
      <c r="C34" s="639">
        <f>SUM(C30:C33)</f>
        <v>87</v>
      </c>
      <c r="D34" s="632">
        <f>AVERAGE(D30:D33)</f>
        <v>1.2974946251210804</v>
      </c>
      <c r="E34" s="664">
        <f>AVERAGE(E30:E33)</f>
        <v>1.2974946251210804</v>
      </c>
      <c r="F34" s="664">
        <f>AVERAGE(F30:F33)</f>
        <v>0.21142393277786095</v>
      </c>
      <c r="H34" s="518"/>
    </row>
    <row r="35" spans="2:22" s="637" customFormat="1" ht="23.25">
      <c r="B35" s="634"/>
      <c r="C35" s="635"/>
      <c r="D35" s="636"/>
      <c r="E35" s="636"/>
      <c r="H35" s="638"/>
    </row>
    <row r="36" spans="2:22" s="528" customFormat="1">
      <c r="C36" s="529"/>
      <c r="P36" s="516"/>
      <c r="Q36" s="516"/>
    </row>
    <row r="37" spans="2:22" s="455" customFormat="1" ht="19.5" customHeight="1" thickBot="1">
      <c r="B37" s="1023" t="str">
        <f>+B5</f>
        <v xml:space="preserve">Fecha de corte: </v>
      </c>
      <c r="C37" s="1070">
        <f>+C5</f>
        <v>44834</v>
      </c>
      <c r="D37" s="462"/>
      <c r="E37" s="462"/>
      <c r="V37" s="458"/>
    </row>
    <row r="38" spans="2:22" s="455" customFormat="1" ht="40.9" customHeight="1">
      <c r="B38" s="1490" t="s">
        <v>750</v>
      </c>
      <c r="C38" s="1492" t="s">
        <v>862</v>
      </c>
      <c r="D38" s="1492" t="s">
        <v>900</v>
      </c>
      <c r="E38" s="1492"/>
      <c r="F38" s="1494"/>
      <c r="G38" s="456"/>
      <c r="H38" s="456"/>
      <c r="I38" s="456"/>
      <c r="U38" s="458"/>
    </row>
    <row r="39" spans="2:22" s="455" customFormat="1" ht="49.5" customHeight="1" thickBot="1">
      <c r="B39" s="1491"/>
      <c r="C39" s="1493"/>
      <c r="D39" s="647" t="str">
        <f>+'2.Infor Detallado Desempeño POA'!K11</f>
        <v>Tercer Trimestre</v>
      </c>
      <c r="E39" s="647" t="str">
        <f>+'2.Infor Detallado Desempeño POA'!L11</f>
        <v>Acumulado
Corte 
31/03/2022</v>
      </c>
      <c r="F39" s="648" t="str">
        <f>+'2.Infor Detallado Desempeño POA'!M11</f>
        <v>Anual</v>
      </c>
      <c r="G39" s="544"/>
      <c r="H39" s="456"/>
      <c r="I39" s="456"/>
      <c r="J39" s="456"/>
      <c r="V39" s="458"/>
    </row>
    <row r="40" spans="2:22" s="642" customFormat="1" ht="6" customHeight="1" thickBot="1">
      <c r="B40" s="1495"/>
      <c r="C40" s="1496"/>
      <c r="D40" s="1496"/>
      <c r="E40" s="1496"/>
      <c r="F40" s="1497"/>
      <c r="G40" s="640"/>
      <c r="H40" s="641"/>
      <c r="I40" s="641"/>
      <c r="J40" s="641"/>
      <c r="V40" s="643"/>
    </row>
    <row r="41" spans="2:22" s="455" customFormat="1">
      <c r="B41" s="463" t="s">
        <v>724</v>
      </c>
      <c r="C41" s="464">
        <f>+'Rango indicadores'!D111</f>
        <v>4</v>
      </c>
      <c r="D41" s="465">
        <f>IF(AND('2.Infor Detallado Desempeño POA'!K16&gt;0),'2.Infor Detallado Desempeño POA'!K16,"No Programado")</f>
        <v>1</v>
      </c>
      <c r="E41" s="465">
        <f>IF(AND('2.Infor Detallado Desempeño POA'!L16&gt;0),'2.Infor Detallado Desempeño POA'!L16,"No Programado")</f>
        <v>1</v>
      </c>
      <c r="F41" s="465">
        <f>IF(AND('2.Infor Detallado Desempeño POA'!M16&gt;0),'2.Infor Detallado Desempeño POA'!M16,"No Programado")</f>
        <v>0.30107142857142855</v>
      </c>
      <c r="G41" s="466"/>
      <c r="H41" s="466"/>
      <c r="I41" s="466"/>
      <c r="J41" s="466"/>
      <c r="V41" s="458"/>
    </row>
    <row r="42" spans="2:22" s="455" customFormat="1">
      <c r="B42" s="467" t="s">
        <v>726</v>
      </c>
      <c r="C42" s="464">
        <f>+'Rango indicadores'!D112</f>
        <v>4</v>
      </c>
      <c r="D42" s="465">
        <f>IF(AND('2.Infor Detallado Desempeño POA'!K25&gt;0),'2.Infor Detallado Desempeño POA'!K25,"No Programado")</f>
        <v>1.5</v>
      </c>
      <c r="E42" s="465">
        <f>IF(AND('2.Infor Detallado Desempeño POA'!L25&gt;0),'2.Infor Detallado Desempeño POA'!L25,"No Programado")</f>
        <v>1.5</v>
      </c>
      <c r="F42" s="465">
        <f>IF(AND('2.Infor Detallado Desempeño POA'!M25&gt;0),'2.Infor Detallado Desempeño POA'!M25,"No Programado")</f>
        <v>5.921052631578947E-2</v>
      </c>
      <c r="G42" s="466"/>
      <c r="H42" s="466"/>
      <c r="I42" s="466"/>
      <c r="J42" s="466"/>
      <c r="V42" s="458"/>
    </row>
    <row r="43" spans="2:22" s="455" customFormat="1">
      <c r="B43" s="467" t="s">
        <v>727</v>
      </c>
      <c r="C43" s="464">
        <f>+'Rango indicadores'!D113</f>
        <v>7</v>
      </c>
      <c r="D43" s="465">
        <f>IF(AND('2.Infor Detallado Desempeño POA'!K37&gt;0),'2.Infor Detallado Desempeño POA'!K37,"No Programado")</f>
        <v>1</v>
      </c>
      <c r="E43" s="465">
        <f>IF(AND('2.Infor Detallado Desempeño POA'!L37&gt;0),'2.Infor Detallado Desempeño POA'!L37,"No Programado")</f>
        <v>1</v>
      </c>
      <c r="F43" s="465">
        <f>IF(AND('2.Infor Detallado Desempeño POA'!M37&gt;0),'2.Infor Detallado Desempeño POA'!M37,"No Programado")</f>
        <v>0.17500000000000002</v>
      </c>
      <c r="G43" s="466"/>
      <c r="H43" s="466"/>
      <c r="I43" s="466"/>
      <c r="J43" s="466"/>
      <c r="V43" s="458"/>
    </row>
    <row r="44" spans="2:22" s="455" customFormat="1">
      <c r="B44" s="467" t="s">
        <v>728</v>
      </c>
      <c r="C44" s="464">
        <f>+'Rango indicadores'!D114</f>
        <v>2</v>
      </c>
      <c r="D44" s="465">
        <f>IF(AND('2.Infor Detallado Desempeño POA'!K44&gt;0),'2.Infor Detallado Desempeño POA'!K44,"No Programado")</f>
        <v>1</v>
      </c>
      <c r="E44" s="465">
        <f>IF(AND('2.Infor Detallado Desempeño POA'!L44&gt;0),'2.Infor Detallado Desempeño POA'!L44,"No Programado")</f>
        <v>1</v>
      </c>
      <c r="F44" s="465">
        <f>IF(AND('2.Infor Detallado Desempeño POA'!M44&gt;0),'2.Infor Detallado Desempeño POA'!M44,"No Programado")</f>
        <v>0.25</v>
      </c>
      <c r="G44" s="466"/>
      <c r="H44" s="466"/>
      <c r="I44" s="466"/>
      <c r="J44" s="466"/>
      <c r="V44" s="458"/>
    </row>
    <row r="45" spans="2:22" s="455" customFormat="1" ht="15.75" thickBot="1">
      <c r="B45" s="468" t="s">
        <v>739</v>
      </c>
      <c r="C45" s="464">
        <f>+'Rango indicadores'!D124</f>
        <v>3</v>
      </c>
      <c r="D45" s="465">
        <f>IF(AND('2.Infor Detallado Desempeño POA'!K52&gt;0),'2.Infor Detallado Desempeño POA'!K52,"No Programado")</f>
        <v>1.0327777777777778</v>
      </c>
      <c r="E45" s="465">
        <f>IF(AND('2.Infor Detallado Desempeño POA'!L52&gt;0),'2.Infor Detallado Desempeño POA'!L52,"No Programado")</f>
        <v>1.0327777777777778</v>
      </c>
      <c r="F45" s="465">
        <f>IF(AND('2.Infor Detallado Desempeño POA'!M52&gt;0),'2.Infor Detallado Desempeño POA'!M52,"No Programado")</f>
        <v>0.19990740740740742</v>
      </c>
      <c r="G45" s="466"/>
      <c r="H45" s="466"/>
      <c r="I45" s="466"/>
      <c r="J45" s="466"/>
      <c r="V45" s="458"/>
    </row>
    <row r="46" spans="2:22" s="455" customFormat="1" ht="34.9" customHeight="1" thickBot="1">
      <c r="B46" s="649" t="s">
        <v>901</v>
      </c>
      <c r="C46" s="650">
        <f>SUM(C41:C45)</f>
        <v>20</v>
      </c>
      <c r="D46" s="651">
        <f>IFERROR(AVERAGE(D41:D45),0)</f>
        <v>1.1065555555555555</v>
      </c>
      <c r="E46" s="651">
        <f>IFERROR(AVERAGE(E41:E45),0)</f>
        <v>1.1065555555555555</v>
      </c>
      <c r="F46" s="651">
        <f>IFERROR(AVERAGE(F41:F45),0)</f>
        <v>0.1970378724589251</v>
      </c>
      <c r="G46" s="469"/>
      <c r="H46" s="466"/>
      <c r="I46" s="466"/>
      <c r="J46" s="466"/>
      <c r="V46" s="458"/>
    </row>
    <row r="47" spans="2:22" s="455" customFormat="1">
      <c r="B47" s="463" t="s">
        <v>729</v>
      </c>
      <c r="C47" s="464">
        <f>+'Rango indicadores'!D115</f>
        <v>20</v>
      </c>
      <c r="D47" s="465">
        <f>IF(AND('2.Infor Detallado Desempeño POA'!K77&gt;0),'2.Infor Detallado Desempeño POA'!K77,"No Programado")</f>
        <v>1.3512123931140376</v>
      </c>
      <c r="E47" s="465">
        <f>IF(AND('2.Infor Detallado Desempeño POA'!L77&gt;0),'2.Infor Detallado Desempeño POA'!L77,"No Programado")</f>
        <v>1.3512123931140376</v>
      </c>
      <c r="F47" s="465">
        <f>IF(AND('2.Infor Detallado Desempeño POA'!M77&gt;0),'2.Infor Detallado Desempeño POA'!M77,"No Programado")</f>
        <v>0.22556159419572125</v>
      </c>
      <c r="G47" s="466"/>
      <c r="H47" s="466"/>
      <c r="I47" s="466"/>
      <c r="J47" s="466"/>
      <c r="V47" s="458"/>
    </row>
    <row r="48" spans="2:22" s="455" customFormat="1">
      <c r="B48" s="467" t="s">
        <v>864</v>
      </c>
      <c r="C48" s="464">
        <f>+'Rango indicadores'!D116</f>
        <v>7</v>
      </c>
      <c r="D48" s="465">
        <f>IF(AND('2.Infor Detallado Desempeño POA'!K89&gt;0),'2.Infor Detallado Desempeño POA'!K89,"No Programado")</f>
        <v>1.2113821138211383</v>
      </c>
      <c r="E48" s="465">
        <f>IF(AND('2.Infor Detallado Desempeño POA'!L89&gt;0),'2.Infor Detallado Desempeño POA'!L89,"No Programado")</f>
        <v>1.2113821138211383</v>
      </c>
      <c r="F48" s="465">
        <f>IF(AND('2.Infor Detallado Desempeño POA'!M89&gt;0),'2.Infor Detallado Desempeño POA'!M89,"No Programado")</f>
        <v>0.11701830507800658</v>
      </c>
      <c r="G48" s="466"/>
      <c r="H48" s="466"/>
      <c r="I48" s="466"/>
      <c r="J48" s="466"/>
      <c r="V48" s="458"/>
    </row>
    <row r="49" spans="2:22" s="455" customFormat="1" ht="15.75" thickBot="1">
      <c r="B49" s="468" t="s">
        <v>732</v>
      </c>
      <c r="C49" s="464">
        <f>+'Rango indicadores'!D117</f>
        <v>8</v>
      </c>
      <c r="D49" s="465">
        <f>IF(AND('2.Infor Detallado Desempeño POA'!K102&gt;0),'2.Infor Detallado Desempeño POA'!K102,"No Programado")</f>
        <v>0.80844444444444452</v>
      </c>
      <c r="E49" s="465">
        <f>IF(AND('2.Infor Detallado Desempeño POA'!L102&gt;0),'2.Infor Detallado Desempeño POA'!L102,"No Programado")</f>
        <v>0.80844444444444452</v>
      </c>
      <c r="F49" s="465">
        <f>IF(AND('2.Infor Detallado Desempeño POA'!M102&gt;0),'2.Infor Detallado Desempeño POA'!M102,"No Programado")</f>
        <v>0.14054166666666668</v>
      </c>
      <c r="G49" s="466"/>
      <c r="H49" s="466"/>
      <c r="I49" s="466"/>
      <c r="J49" s="466"/>
      <c r="V49" s="458"/>
    </row>
    <row r="50" spans="2:22" s="455" customFormat="1" ht="34.9" customHeight="1" thickBot="1">
      <c r="B50" s="649" t="s">
        <v>902</v>
      </c>
      <c r="C50" s="650">
        <f>SUM(C47:C49)</f>
        <v>35</v>
      </c>
      <c r="D50" s="651">
        <f>IFERROR(AVERAGE(D47:D49),0)</f>
        <v>1.1236796504598734</v>
      </c>
      <c r="E50" s="651">
        <f>IFERROR(AVERAGE(E47:E49),0)</f>
        <v>1.1236796504598734</v>
      </c>
      <c r="F50" s="651">
        <f>IFERROR(AVERAGE(F47:F49),0)</f>
        <v>0.1610405219801315</v>
      </c>
      <c r="G50" s="469"/>
      <c r="H50" s="466"/>
      <c r="I50" s="466"/>
      <c r="J50" s="466"/>
      <c r="V50" s="458"/>
    </row>
    <row r="51" spans="2:22" s="455" customFormat="1">
      <c r="B51" s="463" t="s">
        <v>733</v>
      </c>
      <c r="C51" s="464">
        <f>+'Rango indicadores'!D118</f>
        <v>8</v>
      </c>
      <c r="D51" s="465">
        <f>IF(AND('2.Infor Detallado Desempeño POA'!K115&gt;0),'2.Infor Detallado Desempeño POA'!K115,"No Programado")</f>
        <v>0.9969414328231293</v>
      </c>
      <c r="E51" s="465">
        <f>IF(AND('2.Infor Detallado Desempeño POA'!L115&gt;0),'2.Infor Detallado Desempeño POA'!L115,"No Programado")</f>
        <v>0.9969414328231293</v>
      </c>
      <c r="F51" s="465">
        <f>IF(AND('2.Infor Detallado Desempeño POA'!M115&gt;0),'2.Infor Detallado Desempeño POA'!M115,"No Programado")</f>
        <v>0.30672285820578232</v>
      </c>
      <c r="G51" s="466"/>
      <c r="H51" s="466"/>
      <c r="I51" s="466"/>
      <c r="J51" s="466"/>
      <c r="V51" s="458"/>
    </row>
    <row r="52" spans="2:22" s="455" customFormat="1">
      <c r="B52" s="467" t="s">
        <v>734</v>
      </c>
      <c r="C52" s="464">
        <f>+'Rango indicadores'!D119</f>
        <v>2</v>
      </c>
      <c r="D52" s="465">
        <f>IF(AND('2.Infor Detallado Desempeño POA'!K122),'2.Infor Detallado Desempeño POA'!K122,"No Programado")</f>
        <v>1.0630584192439863</v>
      </c>
      <c r="E52" s="465">
        <f>IF(AND('2.Infor Detallado Desempeño POA'!L122),'2.Infor Detallado Desempeño POA'!L122,"No Programado")</f>
        <v>1.0630584192439863</v>
      </c>
      <c r="F52" s="465">
        <f>IF(AND('2.Infor Detallado Desempeño POA'!M122),'2.Infor Detallado Desempeño POA'!M122,"No Programado")</f>
        <v>0.26576460481099656</v>
      </c>
      <c r="G52" s="466"/>
      <c r="H52" s="466"/>
      <c r="I52" s="466"/>
      <c r="J52" s="466"/>
      <c r="V52" s="458"/>
    </row>
    <row r="53" spans="2:22" s="455" customFormat="1">
      <c r="B53" s="467" t="s">
        <v>735</v>
      </c>
      <c r="C53" s="464">
        <f>+'Rango indicadores'!D120</f>
        <v>3</v>
      </c>
      <c r="D53" s="465">
        <f>IF(AND('2.Infor Detallado Desempeño POA'!K130&gt;0),'2.Infor Detallado Desempeño POA'!K130,"No Programado")</f>
        <v>1.0572727272727271</v>
      </c>
      <c r="E53" s="465">
        <f>IF(AND('2.Infor Detallado Desempeño POA'!L130&gt;0),'2.Infor Detallado Desempeño POA'!L130,"No Programado")</f>
        <v>1.0572727272727271</v>
      </c>
      <c r="F53" s="465">
        <f>IF(AND('2.Infor Detallado Desempeño POA'!M130&gt;0),'2.Infor Detallado Desempeño POA'!M130,"No Programado")</f>
        <v>0.22459649122807021</v>
      </c>
      <c r="G53" s="466"/>
      <c r="H53" s="466"/>
      <c r="I53" s="466"/>
      <c r="J53" s="466"/>
      <c r="V53" s="458"/>
    </row>
    <row r="54" spans="2:22" s="455" customFormat="1">
      <c r="B54" s="467" t="s">
        <v>736</v>
      </c>
      <c r="C54" s="464">
        <f>+'Rango indicadores'!D121</f>
        <v>4</v>
      </c>
      <c r="D54" s="465">
        <f>IF(AND('2.Infor Detallado Desempeño POA'!K139&gt;0),'2.Infor Detallado Desempeño POA'!K139,"No Programado")</f>
        <v>1.1018518518518519</v>
      </c>
      <c r="E54" s="465">
        <f>IF(AND('2.Infor Detallado Desempeño POA'!L139&gt;0),'2.Infor Detallado Desempeño POA'!L139,"No Programado")</f>
        <v>1.1018518518518519</v>
      </c>
      <c r="F54" s="465">
        <f>IF(AND('2.Infor Detallado Desempeño POA'!M139&gt;0),'2.Infor Detallado Desempeño POA'!M139,"No Programado")</f>
        <v>0.31874999999999998</v>
      </c>
      <c r="G54" s="466"/>
      <c r="H54" s="466"/>
      <c r="I54" s="466"/>
      <c r="J54" s="466"/>
      <c r="V54" s="458"/>
    </row>
    <row r="55" spans="2:22" s="455" customFormat="1">
      <c r="B55" s="467" t="s">
        <v>737</v>
      </c>
      <c r="C55" s="464">
        <f>+'Rango indicadores'!D122</f>
        <v>4</v>
      </c>
      <c r="D55" s="465">
        <f>IF(AND('2.Infor Detallado Desempeño POA'!K148&gt;0),'2.Infor Detallado Desempeño POA'!K148,"No Programado")</f>
        <v>1.0828135964912282</v>
      </c>
      <c r="E55" s="465">
        <f>IF(AND('2.Infor Detallado Desempeño POA'!L148&gt;0),'2.Infor Detallado Desempeño POA'!L148,"No Programado")</f>
        <v>1.0828135964912282</v>
      </c>
      <c r="F55" s="465">
        <f>IF(AND('2.Infor Detallado Desempeño POA'!M148&gt;0),'2.Infor Detallado Desempeño POA'!M148,"No Programado")</f>
        <v>0.24320339912280703</v>
      </c>
      <c r="G55" s="466"/>
      <c r="H55" s="466"/>
      <c r="I55" s="466"/>
      <c r="J55" s="466"/>
      <c r="V55" s="458"/>
    </row>
    <row r="56" spans="2:22" s="455" customFormat="1" ht="15.75" thickBot="1">
      <c r="B56" s="468" t="s">
        <v>738</v>
      </c>
      <c r="C56" s="464">
        <f>+'Rango indicadores'!D123</f>
        <v>5</v>
      </c>
      <c r="D56" s="465">
        <f>IF(AND('2.Infor Detallado Desempeño POA'!K158&gt;0),'2.Infor Detallado Desempeño POA'!K158,"No Programado")</f>
        <v>1</v>
      </c>
      <c r="E56" s="465">
        <f>IF(AND('2.Infor Detallado Desempeño POA'!L158&gt;0),'2.Infor Detallado Desempeño POA'!L158,"No Programado")</f>
        <v>1</v>
      </c>
      <c r="F56" s="465">
        <f>IF(AND('2.Infor Detallado Desempeño POA'!M158&gt;0),'2.Infor Detallado Desempeño POA'!M158,"No Programado")</f>
        <v>0.25</v>
      </c>
      <c r="G56" s="466"/>
      <c r="H56" s="466"/>
      <c r="I56" s="466"/>
      <c r="J56" s="466"/>
      <c r="V56" s="458"/>
    </row>
    <row r="57" spans="2:22" s="455" customFormat="1" ht="34.9" customHeight="1" thickBot="1">
      <c r="B57" s="649" t="s">
        <v>903</v>
      </c>
      <c r="C57" s="650">
        <f>SUM(C51:C56)</f>
        <v>26</v>
      </c>
      <c r="D57" s="651">
        <f>IFERROR(AVERAGE(D51:D56),0)</f>
        <v>1.0503230046138203</v>
      </c>
      <c r="E57" s="651">
        <f>IFERROR(AVERAGE(E51:E56),0)</f>
        <v>1.0503230046138203</v>
      </c>
      <c r="F57" s="651">
        <f>IFERROR(AVERAGE(F51:F56),0)</f>
        <v>0.26817289222794272</v>
      </c>
      <c r="G57" s="469"/>
      <c r="H57" s="466"/>
      <c r="I57" s="466"/>
      <c r="J57" s="466"/>
      <c r="V57" s="458"/>
    </row>
    <row r="58" spans="2:22" s="455" customFormat="1">
      <c r="B58" s="467" t="s">
        <v>740</v>
      </c>
      <c r="C58" s="464">
        <f>+'Rango indicadores'!D125</f>
        <v>3</v>
      </c>
      <c r="D58" s="465">
        <f>IF(AND('2.Infor Detallado Desempeño POA'!K166&gt;0),'2.Infor Detallado Desempeño POA'!K166,"No Programado")</f>
        <v>2.8188405797101446</v>
      </c>
      <c r="E58" s="465">
        <f>IF(AND('2.Infor Detallado Desempeño POA'!L166&gt;0),'2.Infor Detallado Desempeño POA'!L166,"No Programado")</f>
        <v>2.8188405797101446</v>
      </c>
      <c r="F58" s="465">
        <f>IF(AND('2.Infor Detallado Desempeño POA'!M166&gt;0),'2.Infor Detallado Desempeño POA'!M166,"No Programado")</f>
        <v>0.32222222222222219</v>
      </c>
      <c r="G58" s="466"/>
      <c r="H58" s="466"/>
      <c r="I58" s="466"/>
      <c r="J58" s="466"/>
      <c r="V58" s="458"/>
    </row>
    <row r="59" spans="2:22" s="455" customFormat="1" ht="15.75" thickBot="1">
      <c r="B59" s="552" t="s">
        <v>741</v>
      </c>
      <c r="C59" s="553">
        <f>+'Rango indicadores'!D126</f>
        <v>3</v>
      </c>
      <c r="D59" s="465">
        <f>IF(AND('2.Infor Detallado Desempeño POA'!K174&gt;0),'2.Infor Detallado Desempeño POA'!K174,"No Programado")</f>
        <v>1</v>
      </c>
      <c r="E59" s="465">
        <f>IF(AND('2.Infor Detallado Desempeño POA'!L174&gt;0),'2.Infor Detallado Desempeño POA'!L174,"No Programado")</f>
        <v>1</v>
      </c>
      <c r="F59" s="465">
        <f>IF(AND('2.Infor Detallado Desempeño POA'!M174&gt;0),'2.Infor Detallado Desempeño POA'!M174,"No Programado")</f>
        <v>0.11666666666666665</v>
      </c>
      <c r="G59" s="466"/>
      <c r="H59" s="466"/>
      <c r="I59" s="466"/>
      <c r="J59" s="466"/>
      <c r="V59" s="458"/>
    </row>
    <row r="60" spans="2:22" s="455" customFormat="1" ht="46.9" customHeight="1" thickBot="1">
      <c r="B60" s="652" t="s">
        <v>865</v>
      </c>
      <c r="C60" s="650">
        <f>SUM(C58:C59)</f>
        <v>6</v>
      </c>
      <c r="D60" s="651">
        <f>IFERROR(AVERAGE(D58:D59),0)</f>
        <v>1.9094202898550723</v>
      </c>
      <c r="E60" s="651">
        <f>IFERROR(AVERAGE(E58:E59),0)</f>
        <v>1.9094202898550723</v>
      </c>
      <c r="F60" s="651">
        <f>IFERROR(AVERAGE(F58:F59),0)</f>
        <v>0.21944444444444441</v>
      </c>
      <c r="G60" s="469"/>
      <c r="H60" s="466"/>
      <c r="I60" s="466"/>
      <c r="J60" s="466"/>
      <c r="V60" s="458"/>
    </row>
    <row r="61" spans="2:22" s="642" customFormat="1" ht="6" customHeight="1">
      <c r="B61" s="644"/>
      <c r="C61" s="645"/>
      <c r="D61" s="640"/>
      <c r="E61" s="640"/>
      <c r="F61" s="640"/>
      <c r="G61" s="640"/>
      <c r="H61" s="641"/>
      <c r="I61" s="641"/>
      <c r="J61" s="641"/>
      <c r="V61" s="643"/>
    </row>
    <row r="62" spans="2:22" ht="15" customHeight="1">
      <c r="B62" s="628" t="s">
        <v>929</v>
      </c>
      <c r="C62" s="639">
        <f>+C60+C57+C50+C46</f>
        <v>87</v>
      </c>
      <c r="D62" s="632">
        <f>AVERAGE(D46,D50,D57,D60)</f>
        <v>1.2974946251210804</v>
      </c>
      <c r="E62" s="632">
        <f>AVERAGE(E46,E50,E57,E60)</f>
        <v>1.2974946251210804</v>
      </c>
      <c r="F62" s="632">
        <f>AVERAGE(F46,F50,F57,F60)</f>
        <v>0.21142393277786095</v>
      </c>
      <c r="G62" s="672"/>
    </row>
    <row r="63" spans="2:22" ht="15" customHeight="1"/>
    <row r="64" spans="2:22" ht="15" customHeight="1">
      <c r="D64" s="658"/>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40:F40"/>
    <mergeCell ref="D28:F28"/>
    <mergeCell ref="D4:H4"/>
    <mergeCell ref="C2:H2"/>
    <mergeCell ref="C3:H3"/>
    <mergeCell ref="B2:B3"/>
    <mergeCell ref="C38:C39"/>
    <mergeCell ref="B38:B39"/>
    <mergeCell ref="D38:F38"/>
    <mergeCell ref="B28:B29"/>
    <mergeCell ref="C28:C29"/>
  </mergeCells>
  <conditionalFormatting sqref="D41:F45 D47:F49 D51:F56 D58:F59">
    <cfRule type="cellIs" dxfId="75" priority="1" operator="equal">
      <formula>"No Programado"</formula>
    </cfRule>
    <cfRule type="cellIs" dxfId="74" priority="2" operator="lessThanOrEqual">
      <formula>0.6</formula>
    </cfRule>
    <cfRule type="cellIs" dxfId="73" priority="3" operator="between">
      <formula>0.6</formula>
      <formula>0.899999999999999</formula>
    </cfRule>
    <cfRule type="cellIs" dxfId="72" priority="4" operator="greaterThan">
      <formula>1</formula>
    </cfRule>
    <cfRule type="cellIs" dxfId="71" priority="5" operator="between">
      <formula>0.9</formula>
      <formula>1</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I21"/>
  <sheetViews>
    <sheetView zoomScale="85" zoomScaleNormal="85" workbookViewId="0">
      <selection sqref="A1:XFD1048576"/>
    </sheetView>
  </sheetViews>
  <sheetFormatPr baseColWidth="10" defaultRowHeight="12.75"/>
  <cols>
    <col min="3" max="3" width="84.7109375" customWidth="1"/>
    <col min="9" max="9" width="15.28515625" bestFit="1" customWidth="1"/>
  </cols>
  <sheetData>
    <row r="4" spans="3:9">
      <c r="C4" s="14" t="s">
        <v>78</v>
      </c>
      <c r="E4" s="15" t="s">
        <v>59</v>
      </c>
      <c r="I4" t="s">
        <v>1129</v>
      </c>
    </row>
    <row r="5" spans="3:9" ht="23.25">
      <c r="C5" s="18" t="s">
        <v>99</v>
      </c>
      <c r="E5" s="18" t="s">
        <v>99</v>
      </c>
      <c r="I5" s="1011" t="s">
        <v>1134</v>
      </c>
    </row>
    <row r="6" spans="3:9" ht="23.25">
      <c r="C6" s="18" t="s">
        <v>79</v>
      </c>
      <c r="E6" s="18">
        <v>2021</v>
      </c>
      <c r="I6" s="1011" t="s">
        <v>1130</v>
      </c>
    </row>
    <row r="7" spans="3:9" ht="23.25">
      <c r="C7" s="18" t="s">
        <v>80</v>
      </c>
      <c r="E7" s="18">
        <v>2022</v>
      </c>
      <c r="I7" s="1011" t="s">
        <v>1131</v>
      </c>
    </row>
    <row r="8" spans="3:9" ht="23.25">
      <c r="C8" s="18" t="s">
        <v>81</v>
      </c>
      <c r="E8" s="18">
        <v>2023</v>
      </c>
      <c r="I8" s="1011" t="s">
        <v>1132</v>
      </c>
    </row>
    <row r="9" spans="3:9" ht="23.25">
      <c r="C9" s="18" t="s">
        <v>86</v>
      </c>
      <c r="E9" s="18">
        <v>2024</v>
      </c>
      <c r="I9" s="1011" t="s">
        <v>1133</v>
      </c>
    </row>
    <row r="10" spans="3:9" ht="23.25">
      <c r="C10" s="18" t="s">
        <v>87</v>
      </c>
    </row>
    <row r="11" spans="3:9" ht="23.25">
      <c r="C11" s="18" t="s">
        <v>88</v>
      </c>
      <c r="I11" s="1011" t="s">
        <v>1139</v>
      </c>
    </row>
    <row r="12" spans="3:9" ht="23.25">
      <c r="C12" s="18" t="s">
        <v>89</v>
      </c>
      <c r="I12" s="1011" t="s">
        <v>1136</v>
      </c>
    </row>
    <row r="13" spans="3:9" ht="23.25">
      <c r="C13" s="18" t="s">
        <v>90</v>
      </c>
      <c r="I13" s="1011" t="s">
        <v>1137</v>
      </c>
    </row>
    <row r="14" spans="3:9" ht="23.25">
      <c r="C14" s="18" t="s">
        <v>91</v>
      </c>
      <c r="I14" s="1011" t="s">
        <v>1138</v>
      </c>
    </row>
    <row r="15" spans="3:9" ht="23.25">
      <c r="C15" s="18" t="s">
        <v>92</v>
      </c>
      <c r="I15" s="1011" t="s">
        <v>1052</v>
      </c>
    </row>
    <row r="16" spans="3:9" ht="23.25">
      <c r="C16" s="18" t="s">
        <v>93</v>
      </c>
    </row>
    <row r="17" spans="3:9" ht="23.25">
      <c r="C17" s="18" t="s">
        <v>94</v>
      </c>
      <c r="I17" s="1011" t="s">
        <v>99</v>
      </c>
    </row>
    <row r="18" spans="3:9" ht="23.25">
      <c r="C18" s="18" t="s">
        <v>95</v>
      </c>
      <c r="I18" s="1020">
        <v>44926</v>
      </c>
    </row>
    <row r="19" spans="3:9" ht="23.25">
      <c r="C19" s="18" t="s">
        <v>96</v>
      </c>
      <c r="I19" s="1020">
        <v>44834</v>
      </c>
    </row>
    <row r="20" spans="3:9" ht="23.25">
      <c r="C20" s="18" t="s">
        <v>97</v>
      </c>
      <c r="I20" s="1020">
        <v>44742</v>
      </c>
    </row>
    <row r="21" spans="3:9" ht="23.25">
      <c r="C21" s="18" t="s">
        <v>98</v>
      </c>
      <c r="I21" s="1020">
        <v>44651</v>
      </c>
    </row>
  </sheetData>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66FF33"/>
  </sheetPr>
  <dimension ref="B1:BH31"/>
  <sheetViews>
    <sheetView showGridLines="0" zoomScale="55" zoomScaleNormal="55" workbookViewId="0">
      <selection activeCell="BB17" sqref="BB17"/>
    </sheetView>
  </sheetViews>
  <sheetFormatPr baseColWidth="10" defaultColWidth="17.28515625" defaultRowHeight="15" customHeight="1"/>
  <cols>
    <col min="1" max="1" width="4.28515625" style="135" customWidth="1"/>
    <col min="2" max="2" width="58.7109375" style="133" customWidth="1"/>
    <col min="3" max="3" width="56.140625" style="133" customWidth="1"/>
    <col min="4" max="4" width="49.7109375" style="133" customWidth="1"/>
    <col min="5" max="5" width="27.5703125" style="133" customWidth="1"/>
    <col min="6" max="7" width="29.28515625" style="134" customWidth="1"/>
    <col min="8" max="8" width="36.28515625" style="133" customWidth="1"/>
    <col min="9" max="9" width="39.7109375" style="133" customWidth="1"/>
    <col min="10" max="10" width="58.42578125" style="133" customWidth="1"/>
    <col min="11" max="11" width="48.42578125" style="133" customWidth="1"/>
    <col min="12" max="13" width="28.5703125" style="133" customWidth="1"/>
    <col min="14" max="14" width="37.42578125" style="133" customWidth="1"/>
    <col min="15" max="15" width="39.28515625" style="135" customWidth="1"/>
    <col min="16" max="46" width="15.85546875" style="135" customWidth="1"/>
    <col min="47"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0" ht="15" customHeight="1" thickBot="1"/>
    <row r="2" spans="2:60" ht="16.5" customHeight="1">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07" t="s">
        <v>31</v>
      </c>
      <c r="BH2" s="208"/>
    </row>
    <row r="3" spans="2:60" ht="16.5" customHeight="1">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0" ht="16.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6.5" customHeight="1">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6.5"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ht="19.5" customHeight="1">
      <c r="B7" s="136"/>
      <c r="C7" s="136"/>
      <c r="D7" s="136"/>
      <c r="E7" s="136"/>
      <c r="F7" s="137"/>
      <c r="G7" s="137"/>
      <c r="H7" s="136"/>
      <c r="I7" s="136"/>
      <c r="J7" s="136"/>
      <c r="K7" s="136"/>
      <c r="L7" s="136"/>
      <c r="M7" s="136"/>
      <c r="N7" s="136"/>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52"/>
      <c r="AY7" s="1652"/>
      <c r="AZ7" s="1652"/>
      <c r="BA7" s="1653"/>
      <c r="BB7" s="576"/>
      <c r="BC7" s="576"/>
      <c r="BD7" s="576"/>
      <c r="BE7" s="138"/>
      <c r="BF7" s="138"/>
    </row>
    <row r="8" spans="2:60" ht="28.5" customHeight="1">
      <c r="B8" s="213" t="s">
        <v>45</v>
      </c>
      <c r="C8" s="1671" t="s">
        <v>79</v>
      </c>
      <c r="D8" s="1671"/>
      <c r="E8" s="214"/>
      <c r="F8" s="214"/>
      <c r="G8" s="214"/>
      <c r="H8" s="214"/>
      <c r="I8" s="214"/>
      <c r="J8" s="214"/>
      <c r="K8" s="214"/>
      <c r="L8" s="214"/>
      <c r="M8" s="214"/>
      <c r="N8" s="214"/>
      <c r="AW8" s="576"/>
      <c r="AX8" s="576"/>
      <c r="AY8" s="576"/>
      <c r="AZ8" s="576"/>
      <c r="BA8" s="576"/>
      <c r="BB8" s="576"/>
      <c r="BC8" s="576"/>
      <c r="BD8" s="576"/>
    </row>
    <row r="9" spans="2:60" ht="98.25" customHeight="1">
      <c r="B9" s="213" t="s">
        <v>34</v>
      </c>
      <c r="C9" s="1672" t="s">
        <v>367</v>
      </c>
      <c r="D9" s="1673"/>
      <c r="E9" s="214"/>
      <c r="F9" s="214"/>
      <c r="G9" s="214"/>
      <c r="H9" s="214"/>
      <c r="I9" s="214"/>
      <c r="J9" s="214"/>
      <c r="K9" s="214"/>
      <c r="L9" s="214"/>
      <c r="M9" s="214"/>
      <c r="N9" s="214"/>
      <c r="AW9" s="576"/>
      <c r="AX9" s="576"/>
      <c r="AY9" s="576"/>
      <c r="AZ9" s="576"/>
      <c r="BA9" s="576"/>
      <c r="BB9" s="576"/>
      <c r="BC9" s="576"/>
      <c r="BD9" s="576"/>
    </row>
    <row r="10" spans="2:60" ht="30" customHeight="1">
      <c r="B10" s="213" t="s">
        <v>101</v>
      </c>
      <c r="C10" s="1674">
        <v>2022</v>
      </c>
      <c r="D10" s="1675"/>
      <c r="E10" s="214"/>
      <c r="F10" s="214"/>
      <c r="G10" s="214"/>
      <c r="H10" s="214"/>
      <c r="I10" s="214"/>
      <c r="J10" s="214"/>
      <c r="K10" s="214"/>
      <c r="L10" s="214"/>
      <c r="M10" s="214"/>
      <c r="N10" s="214"/>
      <c r="AW10" s="576"/>
      <c r="AX10" s="576"/>
      <c r="AY10" s="576"/>
      <c r="AZ10" s="576"/>
      <c r="BA10" s="576"/>
      <c r="BB10" s="576"/>
      <c r="BC10" s="576"/>
      <c r="BD10" s="576"/>
    </row>
    <row r="11" spans="2:60" ht="14.25" customHeight="1">
      <c r="B11" s="136"/>
      <c r="C11" s="136"/>
      <c r="D11" s="136"/>
      <c r="E11" s="136"/>
      <c r="F11" s="137"/>
      <c r="G11" s="137"/>
      <c r="H11" s="136"/>
      <c r="I11" s="136"/>
      <c r="J11" s="136"/>
      <c r="K11" s="136"/>
      <c r="L11" s="136"/>
      <c r="M11" s="136"/>
      <c r="N11" s="136"/>
      <c r="AV11" s="336"/>
      <c r="AW11" s="576"/>
      <c r="AX11" s="576"/>
      <c r="AY11" s="576"/>
      <c r="AZ11" s="576"/>
      <c r="BA11" s="576"/>
      <c r="BB11" s="576"/>
      <c r="BC11" s="576"/>
      <c r="BD11" s="576"/>
    </row>
    <row r="12" spans="2:60" ht="33"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0" ht="21.75" customHeight="1">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2:60" ht="21.75" customHeight="1">
      <c r="B14" s="1558"/>
      <c r="C14" s="1558"/>
      <c r="D14" s="1366"/>
      <c r="E14" s="1558"/>
      <c r="F14" s="1366"/>
      <c r="G14" s="1558"/>
      <c r="H14" s="1558"/>
      <c r="I14" s="1558"/>
      <c r="J14" s="1558"/>
      <c r="K14" s="1558"/>
      <c r="L14" s="1558"/>
      <c r="M14" s="1558"/>
      <c r="N14" s="1558"/>
      <c r="O14" s="1558"/>
      <c r="P14" s="1641" t="s">
        <v>5</v>
      </c>
      <c r="Q14" s="1641"/>
      <c r="R14" s="1641" t="s">
        <v>6</v>
      </c>
      <c r="S14" s="1641"/>
      <c r="T14" s="1641" t="s">
        <v>7</v>
      </c>
      <c r="U14" s="1641"/>
      <c r="V14" s="1563" t="s">
        <v>8</v>
      </c>
      <c r="W14" s="1563"/>
      <c r="X14" s="1641" t="s">
        <v>27</v>
      </c>
      <c r="Y14" s="1641"/>
      <c r="Z14" s="1641" t="s">
        <v>9</v>
      </c>
      <c r="AA14" s="1641"/>
      <c r="AB14" s="1641" t="s">
        <v>10</v>
      </c>
      <c r="AC14" s="1641"/>
      <c r="AD14" s="1563" t="s">
        <v>8</v>
      </c>
      <c r="AE14" s="1563"/>
      <c r="AF14" s="1641" t="s">
        <v>11</v>
      </c>
      <c r="AG14" s="1641"/>
      <c r="AH14" s="1641" t="s">
        <v>12</v>
      </c>
      <c r="AI14" s="1641"/>
      <c r="AJ14" s="1641" t="s">
        <v>13</v>
      </c>
      <c r="AK14" s="1641"/>
      <c r="AL14" s="1563" t="s">
        <v>8</v>
      </c>
      <c r="AM14" s="1563"/>
      <c r="AN14" s="1641" t="s">
        <v>14</v>
      </c>
      <c r="AO14" s="1641"/>
      <c r="AP14" s="1641" t="s">
        <v>15</v>
      </c>
      <c r="AQ14" s="1641"/>
      <c r="AR14" s="1641" t="s">
        <v>16</v>
      </c>
      <c r="AS14" s="1641"/>
      <c r="AT14" s="1563" t="s">
        <v>8</v>
      </c>
      <c r="AU14" s="1563"/>
      <c r="AV14" s="1654"/>
      <c r="AW14" s="1660"/>
      <c r="AX14" s="1660"/>
      <c r="AY14" s="1660"/>
      <c r="AZ14" s="1660"/>
      <c r="BA14" s="1649"/>
      <c r="BB14" s="1649"/>
      <c r="BC14" s="1649"/>
      <c r="BD14" s="1649"/>
      <c r="BE14" s="1643"/>
      <c r="BF14" s="1643"/>
      <c r="BG14" s="1643"/>
      <c r="BH14" s="1643"/>
    </row>
    <row r="15" spans="2:60" ht="21.75" customHeight="1">
      <c r="B15" s="1558"/>
      <c r="C15" s="1558"/>
      <c r="D15" s="1366"/>
      <c r="E15" s="1558"/>
      <c r="F15" s="1366"/>
      <c r="G15" s="1558"/>
      <c r="H15" s="1558"/>
      <c r="I15" s="1558"/>
      <c r="J15" s="1558"/>
      <c r="K15" s="1558"/>
      <c r="L15" s="1558"/>
      <c r="M15" s="1558"/>
      <c r="N15" s="1558"/>
      <c r="O15" s="1558"/>
      <c r="P15" s="73" t="s">
        <v>17</v>
      </c>
      <c r="Q15" s="74" t="s">
        <v>18</v>
      </c>
      <c r="R15" s="73" t="s">
        <v>17</v>
      </c>
      <c r="S15" s="74" t="s">
        <v>18</v>
      </c>
      <c r="T15" s="73" t="s">
        <v>17</v>
      </c>
      <c r="U15" s="74" t="s">
        <v>18</v>
      </c>
      <c r="V15" s="75" t="s">
        <v>17</v>
      </c>
      <c r="W15" s="76" t="s">
        <v>18</v>
      </c>
      <c r="X15" s="73" t="s">
        <v>17</v>
      </c>
      <c r="Y15" s="74" t="s">
        <v>18</v>
      </c>
      <c r="Z15" s="73" t="s">
        <v>17</v>
      </c>
      <c r="AA15" s="74" t="s">
        <v>18</v>
      </c>
      <c r="AB15" s="73" t="s">
        <v>17</v>
      </c>
      <c r="AC15" s="74" t="s">
        <v>18</v>
      </c>
      <c r="AD15" s="75" t="s">
        <v>17</v>
      </c>
      <c r="AE15" s="76" t="s">
        <v>18</v>
      </c>
      <c r="AF15" s="73" t="s">
        <v>17</v>
      </c>
      <c r="AG15" s="74" t="s">
        <v>18</v>
      </c>
      <c r="AH15" s="73" t="s">
        <v>17</v>
      </c>
      <c r="AI15" s="74" t="s">
        <v>18</v>
      </c>
      <c r="AJ15" s="73" t="s">
        <v>17</v>
      </c>
      <c r="AK15" s="74" t="s">
        <v>18</v>
      </c>
      <c r="AL15" s="75" t="s">
        <v>17</v>
      </c>
      <c r="AM15" s="76" t="s">
        <v>18</v>
      </c>
      <c r="AN15" s="73" t="s">
        <v>17</v>
      </c>
      <c r="AO15" s="74" t="s">
        <v>18</v>
      </c>
      <c r="AP15" s="73" t="s">
        <v>17</v>
      </c>
      <c r="AQ15" s="74" t="s">
        <v>18</v>
      </c>
      <c r="AR15" s="73" t="s">
        <v>17</v>
      </c>
      <c r="AS15" s="74" t="s">
        <v>18</v>
      </c>
      <c r="AT15" s="75" t="s">
        <v>17</v>
      </c>
      <c r="AU15" s="76" t="s">
        <v>18</v>
      </c>
      <c r="AV15" s="1654"/>
      <c r="AW15" s="1661"/>
      <c r="AX15" s="1661"/>
      <c r="AY15" s="1661"/>
      <c r="AZ15" s="1661"/>
      <c r="BA15" s="1650"/>
      <c r="BB15" s="1650"/>
      <c r="BC15" s="1650"/>
      <c r="BD15" s="1650"/>
      <c r="BE15" s="1644"/>
      <c r="BF15" s="1644"/>
      <c r="BG15" s="1644"/>
      <c r="BH15" s="1644"/>
    </row>
    <row r="16" spans="2:60" ht="187.9" customHeight="1">
      <c r="B16" s="167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78" t="str">
        <f>+'01-FR-03 POA INSTITUCIONAL'!C55</f>
        <v>4.2. Consolidar el 90% del Modelo Integrado de Planeación y Gestión –MIPG- y sus sistemas de gestión articulados, como compromiso con la Calidad, la Excelencia, la Responsabilidad Ambiental y la Mejora en la prestación del Servicio.</v>
      </c>
      <c r="D16" s="31" t="str">
        <f>+'01-FR-03 POA INSTITUCIONAL'!D55</f>
        <v>4.2.1 Formular e implementar el 100% de las acciones para la Sostenibilidad y mejora del Sistema de Gestión de la Calidad 
-SGC- (Meta Transversal)</v>
      </c>
      <c r="E16" s="32">
        <f>+'01-FR-03 POA INSTITUCIONAL'!E55</f>
        <v>0.2</v>
      </c>
      <c r="F16" s="313">
        <f>+'01-FR-03 POA INSTITUCIONAL'!F55</f>
        <v>1</v>
      </c>
      <c r="G16" s="160">
        <f>+'01-FR-03 POA INSTITUCIONAL'!L55</f>
        <v>1</v>
      </c>
      <c r="H16" s="33">
        <f>+'01-FR-03 POA INSTITUCIONAL'!G55</f>
        <v>1</v>
      </c>
      <c r="I16" s="33" t="str">
        <f>+'01-FR-03 POA INSTITUCIONAL'!H55</f>
        <v xml:space="preserve">Porcentaje de acciones implementadas para la sostenibilidad y mejora del SGC </v>
      </c>
      <c r="J16" s="215" t="s">
        <v>673</v>
      </c>
      <c r="K16" s="220" t="s">
        <v>1101</v>
      </c>
      <c r="L16" s="216" t="s">
        <v>167</v>
      </c>
      <c r="M16" s="217" t="s">
        <v>362</v>
      </c>
      <c r="N16" s="216" t="s">
        <v>364</v>
      </c>
      <c r="O16" s="34" t="str">
        <f>+'01-FR-03 POA INSTITUCIONAL'!J55</f>
        <v>Dirección de Planeación
Aportan: Dependencias lideradas por  Responsables de procesos y operativos de todos los procesos institucionales</v>
      </c>
      <c r="P16" s="964">
        <v>0</v>
      </c>
      <c r="Q16" s="218">
        <v>0</v>
      </c>
      <c r="R16" s="964">
        <v>0.2</v>
      </c>
      <c r="S16" s="218">
        <v>0.2</v>
      </c>
      <c r="T16" s="964">
        <v>0.04</v>
      </c>
      <c r="U16" s="218">
        <v>0.04</v>
      </c>
      <c r="V16" s="65">
        <f>P16+R16+T16</f>
        <v>0.24000000000000002</v>
      </c>
      <c r="W16" s="65">
        <f>Q16+S16+U16</f>
        <v>0.24000000000000002</v>
      </c>
      <c r="X16" s="964">
        <v>0.11</v>
      </c>
      <c r="Y16" s="617">
        <v>5.8999999999999997E-2</v>
      </c>
      <c r="Z16" s="964">
        <v>0.08</v>
      </c>
      <c r="AA16" s="617">
        <v>0.14099999999999999</v>
      </c>
      <c r="AB16" s="964">
        <v>0.08</v>
      </c>
      <c r="AC16" s="617">
        <v>7.8E-2</v>
      </c>
      <c r="AD16" s="306">
        <f>X16+Z16+AB16</f>
        <v>0.27</v>
      </c>
      <c r="AE16" s="325">
        <f>Y16+AA16+AC16</f>
        <v>0.27799999999999997</v>
      </c>
      <c r="AF16" s="964">
        <v>0.11</v>
      </c>
      <c r="AG16" s="883">
        <v>0.12</v>
      </c>
      <c r="AH16" s="964">
        <v>0.08</v>
      </c>
      <c r="AI16" s="883">
        <v>6.9000000000000006E-2</v>
      </c>
      <c r="AJ16" s="968">
        <v>0.08</v>
      </c>
      <c r="AK16" s="884">
        <v>8.8999999999999996E-2</v>
      </c>
      <c r="AL16" s="306">
        <f>AF16+AH16+AJ16</f>
        <v>0.27</v>
      </c>
      <c r="AM16" s="306">
        <f>AG16+AI16+AK16</f>
        <v>0.27800000000000002</v>
      </c>
      <c r="AN16" s="964">
        <v>0.11</v>
      </c>
      <c r="AO16" s="964"/>
      <c r="AP16" s="964">
        <v>0.08</v>
      </c>
      <c r="AQ16" s="964"/>
      <c r="AR16" s="964">
        <v>0.03</v>
      </c>
      <c r="AS16" s="964"/>
      <c r="AT16" s="920">
        <f>AN16+AP16+AR16</f>
        <v>0.22</v>
      </c>
      <c r="AU16" s="306">
        <f>AO16+AQ16+AS16</f>
        <v>0</v>
      </c>
      <c r="AV16" s="325">
        <f>V16+AD16+AL16+AT16</f>
        <v>1</v>
      </c>
      <c r="AW16" s="306">
        <f>+W16</f>
        <v>0.24000000000000002</v>
      </c>
      <c r="AX16" s="325">
        <f>+W16+AE16</f>
        <v>0.51800000000000002</v>
      </c>
      <c r="AY16" s="306">
        <f>+W16+AE16+AM16</f>
        <v>0.79600000000000004</v>
      </c>
      <c r="AZ16" s="1033">
        <f>+W16+AE16+AM16+AU16</f>
        <v>0.79600000000000004</v>
      </c>
      <c r="BA16" s="342">
        <f>IF(AND(AW16&gt;0,$AV16&gt;0),AW16/$AV16,0)</f>
        <v>0.24000000000000002</v>
      </c>
      <c r="BB16" s="618">
        <f t="shared" ref="BB16:BD16" si="0">IF(AND(AX16&gt;0,$AV16&gt;0),AX16/$AV16,0)</f>
        <v>0.51800000000000002</v>
      </c>
      <c r="BC16" s="342">
        <f t="shared" si="0"/>
        <v>0.79600000000000004</v>
      </c>
      <c r="BD16" s="342">
        <f t="shared" si="0"/>
        <v>0.79600000000000004</v>
      </c>
      <c r="BE16" s="311">
        <f>(((IF(AND(AW16&gt;0,$F16&gt;0),AW16/$F16,0)))/4)</f>
        <v>6.0000000000000005E-2</v>
      </c>
      <c r="BF16" s="311">
        <f t="shared" ref="BF16:BH16" si="1">(((IF(AND(AX16&gt;0,$F16&gt;0),AX16/$F16,0)))/4)</f>
        <v>0.1295</v>
      </c>
      <c r="BG16" s="311">
        <f t="shared" si="1"/>
        <v>0.19900000000000001</v>
      </c>
      <c r="BH16" s="1048">
        <f t="shared" si="1"/>
        <v>0.19900000000000001</v>
      </c>
    </row>
    <row r="17" spans="2:60" ht="275.25" customHeight="1">
      <c r="B17" s="1679"/>
      <c r="C17" s="1679"/>
      <c r="D17" s="31" t="str">
        <f>+'01-FR-03 POA INSTITUCIONAL'!D56</f>
        <v>4.2.2 Implementar el 40% de las actividades requeridas para la sostenibilidad y mejora del MIPG, de acuerdo con la metodología establecida por la Función Pública. (Meta Transversal)</v>
      </c>
      <c r="E17" s="32">
        <f>+'01-FR-03 POA INSTITUCIONAL'!E56</f>
        <v>0.2</v>
      </c>
      <c r="F17" s="313">
        <f>+'01-FR-03 POA INSTITUCIONAL'!F56</f>
        <v>0.4</v>
      </c>
      <c r="G17" s="160">
        <f>+'01-FR-03 POA INSTITUCIONAL'!L56</f>
        <v>0.14000000000000001</v>
      </c>
      <c r="H17" s="33">
        <f>+'01-FR-03 POA INSTITUCIONAL'!G56</f>
        <v>0.6</v>
      </c>
      <c r="I17" s="33" t="str">
        <f>+'01-FR-03 POA INSTITUCIONAL'!H56</f>
        <v>Porcentaje de actividades implementadas para la sostenibilidad  y mejora del MIPG</v>
      </c>
      <c r="J17" s="215" t="s">
        <v>674</v>
      </c>
      <c r="K17" s="220" t="s">
        <v>661</v>
      </c>
      <c r="L17" s="216" t="s">
        <v>361</v>
      </c>
      <c r="M17" s="217" t="s">
        <v>362</v>
      </c>
      <c r="N17" s="216" t="s">
        <v>363</v>
      </c>
      <c r="O17" s="34" t="str">
        <f>+'01-FR-03 POA INSTITUCIONAL'!J56</f>
        <v>Dirección de Planeación
Aportan: Dependencias lideradas por  Responsables de procesos y operativos de todos los procesos institucionales</v>
      </c>
      <c r="P17" s="965">
        <v>0</v>
      </c>
      <c r="Q17" s="221">
        <v>0</v>
      </c>
      <c r="R17" s="965">
        <v>0.04</v>
      </c>
      <c r="S17" s="221">
        <v>0.04</v>
      </c>
      <c r="T17" s="965">
        <v>1.0999999999999999E-2</v>
      </c>
      <c r="U17" s="1024">
        <v>1.0999999999999999E-2</v>
      </c>
      <c r="V17" s="83">
        <f>P17+R17+T17</f>
        <v>5.1000000000000004E-2</v>
      </c>
      <c r="W17" s="83">
        <f>Q17+S17+U17</f>
        <v>5.1000000000000004E-2</v>
      </c>
      <c r="X17" s="965">
        <v>1.32E-2</v>
      </c>
      <c r="Y17" s="1024">
        <v>1.32E-2</v>
      </c>
      <c r="Z17" s="965">
        <v>1.32E-2</v>
      </c>
      <c r="AA17" s="965">
        <v>1.32E-2</v>
      </c>
      <c r="AB17" s="965">
        <v>9.5999999999999992E-3</v>
      </c>
      <c r="AC17" s="1024">
        <v>8.9999999999999993E-3</v>
      </c>
      <c r="AD17" s="83">
        <f>X17+Z17+AB17</f>
        <v>3.5999999999999997E-2</v>
      </c>
      <c r="AE17" s="83">
        <f>Y17+AA17+AC17</f>
        <v>3.5400000000000001E-2</v>
      </c>
      <c r="AF17" s="965">
        <v>8.0000000000000002E-3</v>
      </c>
      <c r="AG17" s="965">
        <v>8.0000000000000002E-3</v>
      </c>
      <c r="AH17" s="965">
        <v>8.0000000000000002E-3</v>
      </c>
      <c r="AI17" s="1024">
        <v>8.0000000000000002E-3</v>
      </c>
      <c r="AJ17" s="969">
        <v>1.0999999999999999E-2</v>
      </c>
      <c r="AK17" s="1151">
        <v>1.0999999999999999E-2</v>
      </c>
      <c r="AL17" s="83">
        <f>AF17+AH17+AJ17</f>
        <v>2.7E-2</v>
      </c>
      <c r="AM17" s="83">
        <f>AG17+AI17+AK17</f>
        <v>2.7E-2</v>
      </c>
      <c r="AN17" s="965">
        <v>8.0000000000000002E-3</v>
      </c>
      <c r="AO17" s="965"/>
      <c r="AP17" s="965">
        <v>8.0000000000000002E-3</v>
      </c>
      <c r="AQ17" s="965"/>
      <c r="AR17" s="965">
        <v>0.01</v>
      </c>
      <c r="AS17" s="965"/>
      <c r="AT17" s="83">
        <f>AN17+AP17+AR17</f>
        <v>2.6000000000000002E-2</v>
      </c>
      <c r="AU17" s="83">
        <f>AO17+AQ17+AS17</f>
        <v>0</v>
      </c>
      <c r="AV17" s="65">
        <f t="shared" ref="AV17:AV19" si="2">V17+AD17+AL17+AT17</f>
        <v>0.13999999999999999</v>
      </c>
      <c r="AW17" s="306">
        <f>+W17</f>
        <v>5.1000000000000004E-2</v>
      </c>
      <c r="AX17" s="306">
        <f>+W17+AE17</f>
        <v>8.6400000000000005E-2</v>
      </c>
      <c r="AY17" s="306">
        <f>+W17+AE17+AM17</f>
        <v>0.1134</v>
      </c>
      <c r="AZ17" s="1033">
        <f>+W17+AE17+AM17+AU17</f>
        <v>0.1134</v>
      </c>
      <c r="BA17" s="342">
        <f t="shared" ref="BA17:BA19" si="3">IF(AND(AW17&gt;0,$AV17&gt;0),AW17/$AV17,0)</f>
        <v>0.36428571428571432</v>
      </c>
      <c r="BB17" s="342">
        <f t="shared" ref="BB17:BB19" si="4">IF(AND(AX17&gt;0,$AV17&gt;0),AX17/$AV17,0)</f>
        <v>0.61714285714285722</v>
      </c>
      <c r="BC17" s="342">
        <f t="shared" ref="BC17:BC19" si="5">IF(AND(AY17&gt;0,$AV17&gt;0),AY17/$AV17,0)</f>
        <v>0.81</v>
      </c>
      <c r="BD17" s="342">
        <f t="shared" ref="BD17:BD19" si="6">IF(AND(AZ17&gt;0,$AV17&gt;0),AZ17/$AV17,0)</f>
        <v>0.81</v>
      </c>
      <c r="BE17" s="311">
        <f>((IF(AND(AW17&gt;0,$F17&gt;0),AW17/$F17,0)))</f>
        <v>0.1275</v>
      </c>
      <c r="BF17" s="311">
        <f t="shared" ref="BF17:BH19" si="7">((IF(AND(AX17&gt;0,$F17&gt;0),AX17/$F17,0)))</f>
        <v>0.216</v>
      </c>
      <c r="BG17" s="311">
        <f t="shared" si="7"/>
        <v>0.28349999999999997</v>
      </c>
      <c r="BH17" s="1048">
        <f t="shared" si="7"/>
        <v>0.28349999999999997</v>
      </c>
    </row>
    <row r="18" spans="2:60" ht="75.75" customHeight="1">
      <c r="B18" s="1679"/>
      <c r="C18" s="1679"/>
      <c r="D18" s="31" t="str">
        <f>+'01-FR-03 POA INSTITUCIONAL'!D57</f>
        <v>4.2.3 Implementar el 100% de los requisitos del Sistema de Gestión Ambiental –SGA-, bajo los estándares de la norma ISO 14001</v>
      </c>
      <c r="E18" s="32">
        <f>+'01-FR-03 POA INSTITUCIONAL'!E57</f>
        <v>0.15</v>
      </c>
      <c r="F18" s="313">
        <f>+'01-FR-03 POA INSTITUCIONAL'!F57</f>
        <v>1</v>
      </c>
      <c r="G18" s="160">
        <f>+'01-FR-03 POA INSTITUCIONAL'!L57</f>
        <v>0.33</v>
      </c>
      <c r="H18" s="33" t="str">
        <f>+'01-FR-03 POA INSTITUCIONAL'!G57</f>
        <v>S.I.</v>
      </c>
      <c r="I18" s="33" t="str">
        <f>+'01-FR-03 POA INSTITUCIONAL'!H57</f>
        <v xml:space="preserve">Porcentaje de requisitos del  SGA implementados bajo los estándares de la norma ISO 14001 </v>
      </c>
      <c r="J18" s="215" t="s">
        <v>165</v>
      </c>
      <c r="K18" s="220" t="s">
        <v>1102</v>
      </c>
      <c r="L18" s="216" t="s">
        <v>1103</v>
      </c>
      <c r="M18" s="216" t="s">
        <v>362</v>
      </c>
      <c r="N18" s="216" t="s">
        <v>363</v>
      </c>
      <c r="O18" s="34" t="str">
        <f>+'01-FR-03 POA INSTITUCIONAL'!J57</f>
        <v>Dirección de Planeación</v>
      </c>
      <c r="P18" s="966">
        <v>2.9000000000000001E-2</v>
      </c>
      <c r="Q18" s="218">
        <v>2.9000000000000001E-2</v>
      </c>
      <c r="R18" s="966">
        <v>2.9000000000000001E-2</v>
      </c>
      <c r="S18" s="218">
        <v>2.9000000000000001E-2</v>
      </c>
      <c r="T18" s="966">
        <v>0.03</v>
      </c>
      <c r="U18" s="218">
        <v>0.03</v>
      </c>
      <c r="V18" s="65">
        <f t="shared" ref="V18" si="8">P18+R18+T18</f>
        <v>8.7999999999999995E-2</v>
      </c>
      <c r="W18" s="65">
        <f t="shared" ref="W18" si="9">Q18+S18+U18</f>
        <v>8.7999999999999995E-2</v>
      </c>
      <c r="X18" s="966">
        <v>2.9000000000000001E-2</v>
      </c>
      <c r="Y18" s="218">
        <v>2.9000000000000001E-2</v>
      </c>
      <c r="Z18" s="966">
        <v>2.9000000000000001E-2</v>
      </c>
      <c r="AA18" s="966">
        <v>2.9000000000000001E-2</v>
      </c>
      <c r="AB18" s="966">
        <v>0.03</v>
      </c>
      <c r="AC18" s="218">
        <v>0.03</v>
      </c>
      <c r="AD18" s="65">
        <f t="shared" ref="AD18" si="10">X18+Z18+AB18</f>
        <v>8.7999999999999995E-2</v>
      </c>
      <c r="AE18" s="65">
        <f t="shared" ref="AE18" si="11">Y18+AA18+AC18</f>
        <v>8.7999999999999995E-2</v>
      </c>
      <c r="AF18" s="966">
        <v>2.9000000000000001E-2</v>
      </c>
      <c r="AG18" s="966">
        <v>2.9000000000000001E-2</v>
      </c>
      <c r="AH18" s="966">
        <v>2.9000000000000001E-2</v>
      </c>
      <c r="AI18" s="966">
        <v>2.9000000000000001E-2</v>
      </c>
      <c r="AJ18" s="966">
        <v>0.03</v>
      </c>
      <c r="AK18" s="219">
        <v>0.03</v>
      </c>
      <c r="AL18" s="65">
        <f t="shared" ref="AL18" si="12">AF18+AH18+AJ18</f>
        <v>8.7999999999999995E-2</v>
      </c>
      <c r="AM18" s="65">
        <f t="shared" ref="AM18" si="13">AG18+AI18+AK18</f>
        <v>8.7999999999999995E-2</v>
      </c>
      <c r="AN18" s="966">
        <v>2.1999999999999999E-2</v>
      </c>
      <c r="AO18" s="966"/>
      <c r="AP18" s="966">
        <v>2.1999999999999999E-2</v>
      </c>
      <c r="AQ18" s="966"/>
      <c r="AR18" s="966">
        <v>2.1999999999999999E-2</v>
      </c>
      <c r="AS18" s="966"/>
      <c r="AT18" s="65">
        <f t="shared" ref="AT18" si="14">AN18+AP18+AR18</f>
        <v>6.6000000000000003E-2</v>
      </c>
      <c r="AU18" s="65">
        <f t="shared" ref="AU18" si="15">AO18+AQ18+AS18</f>
        <v>0</v>
      </c>
      <c r="AV18" s="65">
        <f t="shared" si="2"/>
        <v>0.33</v>
      </c>
      <c r="AW18" s="306">
        <f>+W18</f>
        <v>8.7999999999999995E-2</v>
      </c>
      <c r="AX18" s="306">
        <f>+W18+AE18</f>
        <v>0.17599999999999999</v>
      </c>
      <c r="AY18" s="306">
        <f>+W18+AE18+AM18</f>
        <v>0.26400000000000001</v>
      </c>
      <c r="AZ18" s="1033">
        <f>+W18+AE18+AM18+AU18</f>
        <v>0.26400000000000001</v>
      </c>
      <c r="BA18" s="342">
        <f t="shared" si="3"/>
        <v>0.26666666666666666</v>
      </c>
      <c r="BB18" s="343">
        <f t="shared" si="4"/>
        <v>0.53333333333333333</v>
      </c>
      <c r="BC18" s="344">
        <f t="shared" si="5"/>
        <v>0.8</v>
      </c>
      <c r="BD18" s="344">
        <f t="shared" si="6"/>
        <v>0.8</v>
      </c>
      <c r="BE18" s="311">
        <f>((IF(AND(AW18&gt;0,$F18&gt;0),AW18/$F18,0)))</f>
        <v>8.7999999999999995E-2</v>
      </c>
      <c r="BF18" s="311">
        <f t="shared" si="7"/>
        <v>0.17599999999999999</v>
      </c>
      <c r="BG18" s="311">
        <f t="shared" si="7"/>
        <v>0.26400000000000001</v>
      </c>
      <c r="BH18" s="1048">
        <f t="shared" si="7"/>
        <v>0.26400000000000001</v>
      </c>
    </row>
    <row r="19" spans="2:60" ht="75.75" customHeight="1">
      <c r="B19" s="1679"/>
      <c r="C19" s="1679"/>
      <c r="D19" s="31" t="str">
        <f>+'01-FR-03 POA INSTITUCIONAL'!D58</f>
        <v>4.2.4 Realizar 12 acciones de monitoreo y revisión  al Plan Anticorrupción y de Atención al Ciudadano -PAAC- de la vigencia.</v>
      </c>
      <c r="E19" s="32">
        <f>+'01-FR-03 POA INSTITUCIONAL'!E58</f>
        <v>0.1</v>
      </c>
      <c r="F19" s="20">
        <f>+'01-FR-03 POA INSTITUCIONAL'!F58</f>
        <v>12</v>
      </c>
      <c r="G19" s="172">
        <f>+'01-FR-03 POA INSTITUCIONAL'!L58</f>
        <v>3</v>
      </c>
      <c r="H19" s="33" t="str">
        <f>+'01-FR-03 POA INSTITUCIONAL'!G58</f>
        <v>3 
(En el último año)</v>
      </c>
      <c r="I19" s="33" t="str">
        <f>+'01-FR-03 POA INSTITUCIONAL'!H58</f>
        <v>Acciones de monitoreo y revisión realizadas al PAAC</v>
      </c>
      <c r="J19" s="215" t="s">
        <v>675</v>
      </c>
      <c r="K19" s="220" t="s">
        <v>365</v>
      </c>
      <c r="L19" s="216" t="s">
        <v>366</v>
      </c>
      <c r="M19" s="216" t="s">
        <v>362</v>
      </c>
      <c r="N19" s="216" t="s">
        <v>363</v>
      </c>
      <c r="O19" s="34" t="str">
        <f>+'01-FR-03 POA INSTITUCIONAL'!J58</f>
        <v>Dirección de Planeación</v>
      </c>
      <c r="P19" s="967">
        <v>1</v>
      </c>
      <c r="Q19" s="222">
        <v>1</v>
      </c>
      <c r="R19" s="967">
        <v>0</v>
      </c>
      <c r="S19" s="222">
        <v>0</v>
      </c>
      <c r="T19" s="967">
        <v>0</v>
      </c>
      <c r="U19" s="222">
        <v>0</v>
      </c>
      <c r="V19" s="20">
        <f>+P19+R19+T19</f>
        <v>1</v>
      </c>
      <c r="W19" s="20">
        <f>+Q19+S19+U19</f>
        <v>1</v>
      </c>
      <c r="X19" s="967">
        <v>0</v>
      </c>
      <c r="Y19" s="222">
        <v>0</v>
      </c>
      <c r="Z19" s="967">
        <v>1</v>
      </c>
      <c r="AA19" s="222">
        <v>1</v>
      </c>
      <c r="AB19" s="967">
        <v>0</v>
      </c>
      <c r="AC19" s="222">
        <v>0</v>
      </c>
      <c r="AD19" s="20">
        <f>+X19+Z19+AB19</f>
        <v>1</v>
      </c>
      <c r="AE19" s="20">
        <f>+Y19+AA19+AC19</f>
        <v>1</v>
      </c>
      <c r="AF19" s="967">
        <v>0</v>
      </c>
      <c r="AG19" s="222">
        <v>0</v>
      </c>
      <c r="AH19" s="967">
        <v>0</v>
      </c>
      <c r="AI19" s="222">
        <v>0</v>
      </c>
      <c r="AJ19" s="970">
        <v>1</v>
      </c>
      <c r="AK19" s="223">
        <v>1</v>
      </c>
      <c r="AL19" s="20">
        <f>+AF19+AH19+AJ19</f>
        <v>1</v>
      </c>
      <c r="AM19" s="20">
        <f>+AG19+AI19+AK19</f>
        <v>1</v>
      </c>
      <c r="AN19" s="967">
        <v>0</v>
      </c>
      <c r="AO19" s="967"/>
      <c r="AP19" s="967">
        <v>0</v>
      </c>
      <c r="AQ19" s="967"/>
      <c r="AR19" s="967">
        <v>0</v>
      </c>
      <c r="AS19" s="967"/>
      <c r="AT19" s="20">
        <f>+AN19+AP19+AR19</f>
        <v>0</v>
      </c>
      <c r="AU19" s="20">
        <f>+AO19+AQ19+AS19</f>
        <v>0</v>
      </c>
      <c r="AV19" s="20">
        <f t="shared" si="2"/>
        <v>3</v>
      </c>
      <c r="AW19" s="26">
        <f>+W19</f>
        <v>1</v>
      </c>
      <c r="AX19" s="26">
        <f>+W19+AE19</f>
        <v>2</v>
      </c>
      <c r="AY19" s="26">
        <f>+W19+AE19+AM19</f>
        <v>3</v>
      </c>
      <c r="AZ19" s="1049">
        <f>+W19+AE19+AM19+AU19</f>
        <v>3</v>
      </c>
      <c r="BA19" s="344">
        <f t="shared" si="3"/>
        <v>0.33333333333333331</v>
      </c>
      <c r="BB19" s="344">
        <f t="shared" si="4"/>
        <v>0.66666666666666663</v>
      </c>
      <c r="BC19" s="344">
        <f t="shared" si="5"/>
        <v>1</v>
      </c>
      <c r="BD19" s="344">
        <f t="shared" si="6"/>
        <v>1</v>
      </c>
      <c r="BE19" s="311">
        <f>((IF(AND(AW19&gt;0,$F19&gt;0),AW19/$F19,0)))</f>
        <v>8.3333333333333329E-2</v>
      </c>
      <c r="BF19" s="311">
        <f t="shared" si="7"/>
        <v>0.16666666666666666</v>
      </c>
      <c r="BG19" s="311">
        <f t="shared" si="7"/>
        <v>0.25</v>
      </c>
      <c r="BH19" s="1048">
        <f t="shared" si="7"/>
        <v>0.25</v>
      </c>
    </row>
    <row r="20" spans="2:60" ht="23.25">
      <c r="B20" s="333"/>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5"/>
      <c r="AX20" s="1676" t="s">
        <v>19</v>
      </c>
      <c r="AY20" s="1677"/>
      <c r="AZ20" s="1677"/>
      <c r="BA20" s="577">
        <f t="shared" ref="BA20:BD20" si="16">AVERAGE(BA16:BA19)</f>
        <v>0.30107142857142855</v>
      </c>
      <c r="BB20" s="577">
        <f t="shared" si="16"/>
        <v>0.58378571428571424</v>
      </c>
      <c r="BC20" s="577">
        <f t="shared" si="16"/>
        <v>0.85150000000000003</v>
      </c>
      <c r="BD20" s="577">
        <f t="shared" si="16"/>
        <v>0.85150000000000003</v>
      </c>
      <c r="BE20" s="1689"/>
      <c r="BF20" s="1690"/>
      <c r="BG20" s="1690"/>
      <c r="BH20" s="1691"/>
    </row>
    <row r="21" spans="2:60" ht="17.25">
      <c r="B21" s="1516"/>
      <c r="C21" s="1516"/>
      <c r="D21" s="1516"/>
      <c r="E21" s="1516"/>
      <c r="F21" s="1516"/>
      <c r="G21" s="204"/>
      <c r="H21" s="205"/>
      <c r="I21" s="205"/>
      <c r="J21" s="205"/>
      <c r="K21" s="205"/>
      <c r="L21" s="205"/>
      <c r="M21" s="205"/>
      <c r="N21" s="205"/>
    </row>
    <row r="22" spans="2:60" ht="17.25">
      <c r="B22" s="205"/>
      <c r="C22" s="205"/>
      <c r="D22" s="1686"/>
      <c r="E22" s="1686"/>
      <c r="F22" s="1686"/>
      <c r="G22" s="1686"/>
      <c r="H22" s="1686"/>
      <c r="I22" s="1686"/>
      <c r="J22" s="1686"/>
      <c r="K22" s="1686"/>
      <c r="L22" s="1686"/>
      <c r="M22" s="1686"/>
      <c r="N22" s="1686"/>
    </row>
    <row r="23" spans="2:60" ht="30" customHeight="1">
      <c r="B23" s="77" t="s">
        <v>26</v>
      </c>
      <c r="C23" s="80">
        <v>44224</v>
      </c>
      <c r="D23" s="225"/>
      <c r="E23" s="1687" t="s">
        <v>50</v>
      </c>
      <c r="F23" s="1688" t="s">
        <v>702</v>
      </c>
      <c r="G23" s="1688"/>
      <c r="H23" s="1688"/>
      <c r="I23" s="1688"/>
      <c r="J23" s="226"/>
      <c r="K23" s="1684"/>
      <c r="L23" s="1684"/>
      <c r="M23" s="1684"/>
      <c r="N23" s="1685"/>
    </row>
    <row r="24" spans="2:60" ht="13.5" customHeight="1">
      <c r="B24" s="205"/>
      <c r="C24" s="205"/>
      <c r="D24" s="226"/>
      <c r="E24" s="1687"/>
      <c r="F24" s="1688"/>
      <c r="G24" s="1688"/>
      <c r="H24" s="1688"/>
      <c r="I24" s="1688"/>
      <c r="J24" s="227"/>
      <c r="K24" s="227"/>
      <c r="L24" s="227"/>
      <c r="M24" s="227"/>
      <c r="N24" s="227"/>
    </row>
    <row r="25" spans="2:60" ht="31.5" customHeight="1">
      <c r="B25" s="77" t="s">
        <v>49</v>
      </c>
      <c r="C25" s="80">
        <v>44581</v>
      </c>
      <c r="D25" s="205"/>
      <c r="E25" s="205"/>
      <c r="J25" s="227"/>
      <c r="K25" s="227"/>
      <c r="L25" s="227"/>
      <c r="M25" s="227"/>
      <c r="N25" s="227"/>
    </row>
    <row r="26" spans="2:60" ht="17.25">
      <c r="B26" s="205"/>
      <c r="C26" s="205"/>
      <c r="D26" s="205"/>
      <c r="E26" s="205"/>
      <c r="J26" s="227"/>
      <c r="K26" s="227"/>
      <c r="L26" s="227"/>
      <c r="M26" s="227"/>
      <c r="N26" s="227"/>
    </row>
    <row r="27" spans="2:60" ht="15" customHeight="1">
      <c r="B27" s="605" t="s">
        <v>922</v>
      </c>
      <c r="C27" s="205"/>
      <c r="D27" s="205"/>
      <c r="E27" s="205"/>
      <c r="F27" s="204"/>
      <c r="G27" s="204"/>
      <c r="H27" s="1683"/>
      <c r="I27" s="1683"/>
      <c r="J27" s="1683"/>
      <c r="K27" s="1683"/>
      <c r="L27" s="575"/>
      <c r="M27" s="575"/>
      <c r="N27" s="575"/>
    </row>
    <row r="28" spans="2:60" ht="15" customHeight="1">
      <c r="B28" s="205"/>
      <c r="C28" s="205"/>
      <c r="D28" s="205"/>
      <c r="E28" s="205"/>
      <c r="F28" s="204"/>
      <c r="G28" s="204"/>
      <c r="H28" s="205"/>
      <c r="I28" s="205"/>
      <c r="J28" s="228"/>
      <c r="K28" s="205"/>
      <c r="L28" s="205"/>
      <c r="M28" s="205"/>
      <c r="N28" s="205"/>
    </row>
    <row r="29" spans="2:60" ht="15" customHeight="1">
      <c r="B29" s="205"/>
      <c r="C29" s="205"/>
      <c r="D29" s="205"/>
      <c r="E29" s="205"/>
      <c r="F29" s="204"/>
      <c r="G29" s="204"/>
      <c r="H29" s="1683"/>
      <c r="I29" s="1683"/>
      <c r="J29" s="1683"/>
      <c r="K29" s="1683"/>
      <c r="L29" s="575"/>
      <c r="M29" s="575"/>
      <c r="N29" s="575"/>
    </row>
    <row r="30" spans="2:60" ht="15" customHeight="1">
      <c r="B30" s="205"/>
      <c r="C30" s="205"/>
      <c r="D30" s="205"/>
      <c r="E30" s="205"/>
      <c r="F30" s="204"/>
      <c r="G30" s="204"/>
      <c r="H30" s="205"/>
      <c r="I30" s="205"/>
      <c r="J30" s="228"/>
      <c r="K30" s="205"/>
      <c r="L30" s="205"/>
      <c r="M30" s="205"/>
      <c r="N30" s="205"/>
    </row>
    <row r="31" spans="2:60" ht="15" customHeight="1">
      <c r="B31" s="205"/>
      <c r="C31" s="205"/>
      <c r="D31" s="205"/>
      <c r="E31" s="205"/>
      <c r="F31" s="204"/>
      <c r="G31" s="204"/>
      <c r="H31" s="1683"/>
      <c r="I31" s="1683"/>
      <c r="J31" s="1683"/>
      <c r="K31" s="1683"/>
      <c r="L31" s="575"/>
      <c r="M31" s="575"/>
      <c r="N31" s="575"/>
    </row>
  </sheetData>
  <sheetProtection algorithmName="SHA-512" hashValue="6Ay8WacCKul4TxhB2R3PbLffOd4AmbyYZpRBeHJUqs3duqkz0mXbua6C/SNDNP46Sc/fbl51GU78hsal0cXFvw==" saltValue="mM1pl1F2aVRVgjsciGck4Q==" spinCount="100000" sheet="1" objects="1" scenarios="1"/>
  <mergeCells count="70">
    <mergeCell ref="BG6:BH6"/>
    <mergeCell ref="E23:E24"/>
    <mergeCell ref="F23:I24"/>
    <mergeCell ref="E12:E15"/>
    <mergeCell ref="V14:W14"/>
    <mergeCell ref="X14:Y14"/>
    <mergeCell ref="X13:AE13"/>
    <mergeCell ref="P14:Q14"/>
    <mergeCell ref="R14:S14"/>
    <mergeCell ref="AD14:AE14"/>
    <mergeCell ref="P12:AU12"/>
    <mergeCell ref="G12:G15"/>
    <mergeCell ref="I12:I15"/>
    <mergeCell ref="J12:J15"/>
    <mergeCell ref="H12:H15"/>
    <mergeCell ref="BE20:BH20"/>
    <mergeCell ref="H27:K27"/>
    <mergeCell ref="H29:K29"/>
    <mergeCell ref="H31:K31"/>
    <mergeCell ref="K23:N23"/>
    <mergeCell ref="M12:M15"/>
    <mergeCell ref="D22:N22"/>
    <mergeCell ref="F12:F15"/>
    <mergeCell ref="T14:U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AW7:BA7"/>
    <mergeCell ref="AV12:AV15"/>
    <mergeCell ref="P13:W13"/>
    <mergeCell ref="AT14:AU14"/>
    <mergeCell ref="K12:K15"/>
    <mergeCell ref="L12:L15"/>
    <mergeCell ref="O12:O15"/>
    <mergeCell ref="AB14:AC14"/>
    <mergeCell ref="AF13:AM13"/>
    <mergeCell ref="AN13:AU13"/>
    <mergeCell ref="AR14:AS14"/>
    <mergeCell ref="AW12:AZ12"/>
    <mergeCell ref="AW13:AW15"/>
    <mergeCell ref="AX13:AX15"/>
    <mergeCell ref="AY13:AY15"/>
    <mergeCell ref="AZ13:AZ15"/>
    <mergeCell ref="BA12:BD12"/>
    <mergeCell ref="BA13:BA15"/>
    <mergeCell ref="BB13:BB15"/>
    <mergeCell ref="BC13:BC15"/>
    <mergeCell ref="BD13:BD15"/>
    <mergeCell ref="Z14:AA14"/>
    <mergeCell ref="BE13:BE15"/>
    <mergeCell ref="BF13:BF15"/>
    <mergeCell ref="BG13:BG15"/>
    <mergeCell ref="BH13:BH15"/>
    <mergeCell ref="AP14:AQ14"/>
    <mergeCell ref="AH14:AI14"/>
    <mergeCell ref="AJ14:AK14"/>
    <mergeCell ref="AL14:AM14"/>
    <mergeCell ref="AN14:AO14"/>
  </mergeCells>
  <conditionalFormatting sqref="BA16:BD19">
    <cfRule type="cellIs" dxfId="70" priority="1" operator="greaterThan">
      <formula>1</formula>
    </cfRule>
    <cfRule type="cellIs" dxfId="69" priority="14" operator="between">
      <formula>0.8</formula>
      <formula>1</formula>
    </cfRule>
    <cfRule type="cellIs" dxfId="68" priority="15" operator="between">
      <formula>0.61</formula>
      <formula>0.79</formula>
    </cfRule>
    <cfRule type="cellIs" dxfId="67" priority="16" operator="lessThanOrEqual">
      <formula>0.6</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66FF33"/>
  </sheetPr>
  <dimension ref="B1:BH31"/>
  <sheetViews>
    <sheetView showGridLines="0" zoomScale="50" zoomScaleNormal="50" workbookViewId="0">
      <selection activeCell="I19" sqref="I19"/>
    </sheetView>
  </sheetViews>
  <sheetFormatPr baseColWidth="10" defaultColWidth="17.28515625" defaultRowHeight="15" customHeight="1"/>
  <cols>
    <col min="1" max="1" width="4.28515625" style="135" customWidth="1"/>
    <col min="2" max="2" width="50.42578125" style="133" customWidth="1"/>
    <col min="3" max="3" width="47.42578125" style="133" customWidth="1"/>
    <col min="4" max="4" width="49.7109375" style="133" customWidth="1"/>
    <col min="5" max="6" width="27.5703125" style="133" customWidth="1"/>
    <col min="7" max="8" width="29.28515625" style="134" customWidth="1"/>
    <col min="9" max="9" width="30.7109375" style="133" customWidth="1"/>
    <col min="10" max="10" width="31.85546875" style="133" customWidth="1"/>
    <col min="11" max="11" width="55.85546875" style="133" customWidth="1"/>
    <col min="12" max="12" width="48.42578125" style="133" customWidth="1"/>
    <col min="13" max="14" width="28.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0" ht="18" thickBot="1"/>
    <row r="2" spans="2:60" ht="15.6" customHeight="1">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0" ht="15.6" customHeight="1">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0"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5.6" customHeight="1">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0" ht="20.25">
      <c r="B8" s="213" t="s">
        <v>45</v>
      </c>
      <c r="C8" s="1712" t="s">
        <v>80</v>
      </c>
      <c r="D8" s="1712"/>
      <c r="E8" s="214"/>
      <c r="F8" s="214"/>
      <c r="G8" s="214"/>
      <c r="H8" s="214"/>
      <c r="I8" s="214"/>
      <c r="J8" s="214"/>
      <c r="K8" s="214"/>
      <c r="L8" s="214"/>
      <c r="M8" s="214"/>
      <c r="N8" s="214"/>
      <c r="O8" s="214"/>
      <c r="AW8" s="231"/>
      <c r="AX8" s="231"/>
      <c r="AY8" s="231"/>
      <c r="AZ8" s="231"/>
      <c r="BA8" s="231"/>
      <c r="BB8" s="231"/>
      <c r="BC8" s="231"/>
      <c r="BD8" s="231"/>
    </row>
    <row r="9" spans="2:60" ht="56.25" customHeight="1">
      <c r="B9" s="213" t="s">
        <v>34</v>
      </c>
      <c r="C9" s="1707" t="s">
        <v>600</v>
      </c>
      <c r="D9" s="1708"/>
      <c r="E9" s="214"/>
      <c r="F9" s="214"/>
      <c r="G9" s="214"/>
      <c r="H9" s="214"/>
      <c r="I9" s="214"/>
      <c r="J9" s="214"/>
      <c r="K9" s="214"/>
      <c r="L9" s="214"/>
      <c r="M9" s="214"/>
      <c r="N9" s="214"/>
      <c r="O9" s="214"/>
      <c r="AW9" s="231"/>
      <c r="AX9" s="231"/>
      <c r="AY9" s="231"/>
      <c r="AZ9" s="231"/>
      <c r="BA9" s="231"/>
      <c r="BB9" s="231"/>
      <c r="BC9" s="231"/>
      <c r="BD9" s="231"/>
    </row>
    <row r="10" spans="2:60" ht="25.5">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2:60"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0" ht="22.15"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0"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2:60"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0" ht="13.1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0" ht="106.5" customHeight="1">
      <c r="B16" s="1678" t="str">
        <f>+'01-FR-03 POA INSTITUCIONAL'!B96</f>
        <v xml:space="preserve">5. Incorporar una cultura del conocimiento y la innovación a través de actividades que permitan el desarrollo de ideas, lecciones aprendidas e investigaciones para mejorar los resultados de la gestión institucional. </v>
      </c>
      <c r="C16" s="1692" t="str">
        <f>+'01-FR-03 POA INSTITUCIONAL'!C96</f>
        <v>5.1 Generar el 100% de productos de nuevo conocimiento o transformar los existentes, alineados con proyectos resultados de la investigación, desarrollo e innovación (I+D+I) en la Entidad.</v>
      </c>
      <c r="D16" s="31" t="str">
        <f>+'01-FR-03 POA INSTITUCIONAL'!D96</f>
        <v xml:space="preserve">5.1.1 Elaborar cuatro (4) proyectos de investigación, desarrollo e innovación I+D+I para la Entidad </v>
      </c>
      <c r="E16" s="52">
        <f>+'01-FR-03 POA INSTITUCIONAL'!E96</f>
        <v>0.5</v>
      </c>
      <c r="F16" s="236">
        <f>+'01-FR-03 POA INSTITUCIONAL'!F96</f>
        <v>4</v>
      </c>
      <c r="G16" s="68">
        <f>+'01-FR-03 POA INSTITUCIONAL'!L96</f>
        <v>1</v>
      </c>
      <c r="H16" s="140">
        <f>+'01-FR-03 POA INSTITUCIONAL'!G96</f>
        <v>2</v>
      </c>
      <c r="I16" s="140" t="str">
        <f>+'01-FR-03 POA INSTITUCIONAL'!H96</f>
        <v>Proyectos de Investigación, Desarrollo e Innovación (I+D+I) elaborados</v>
      </c>
      <c r="J16" s="215" t="s">
        <v>670</v>
      </c>
      <c r="K16" s="234" t="s">
        <v>601</v>
      </c>
      <c r="L16" s="217" t="s">
        <v>602</v>
      </c>
      <c r="M16" s="235" t="s">
        <v>603</v>
      </c>
      <c r="N16" s="235" t="s">
        <v>604</v>
      </c>
      <c r="O16" s="79" t="str">
        <f>+'01-FR-03 POA INSTITUCIONAL'!J96</f>
        <v xml:space="preserve">Dirección de Gestión del Conocimiento e Innovación </v>
      </c>
      <c r="P16" s="971">
        <v>0</v>
      </c>
      <c r="Q16" s="971">
        <v>0</v>
      </c>
      <c r="R16" s="971">
        <v>0</v>
      </c>
      <c r="S16" s="971">
        <v>0</v>
      </c>
      <c r="T16" s="971">
        <v>0</v>
      </c>
      <c r="U16" s="971">
        <v>0</v>
      </c>
      <c r="V16" s="91">
        <f>P16+R16+T16</f>
        <v>0</v>
      </c>
      <c r="W16" s="91">
        <f>Q16+S16+U16</f>
        <v>0</v>
      </c>
      <c r="X16" s="972">
        <v>0</v>
      </c>
      <c r="Y16" s="972">
        <v>0</v>
      </c>
      <c r="Z16" s="972">
        <v>0</v>
      </c>
      <c r="AA16" s="972">
        <v>0</v>
      </c>
      <c r="AB16" s="972">
        <v>0</v>
      </c>
      <c r="AC16" s="971">
        <v>0</v>
      </c>
      <c r="AD16" s="91">
        <f>X16+Z16+AB16</f>
        <v>0</v>
      </c>
      <c r="AE16" s="91">
        <f>Y16+AA16+AC16</f>
        <v>0</v>
      </c>
      <c r="AF16" s="972">
        <v>0</v>
      </c>
      <c r="AG16" s="972">
        <v>0</v>
      </c>
      <c r="AH16" s="972">
        <v>0</v>
      </c>
      <c r="AI16" s="972">
        <v>0</v>
      </c>
      <c r="AJ16" s="973">
        <v>0</v>
      </c>
      <c r="AK16" s="974">
        <v>0</v>
      </c>
      <c r="AL16" s="91">
        <f>AF16+AH16+AJ16</f>
        <v>0</v>
      </c>
      <c r="AM16" s="91">
        <f>AG16+AI16+AK16</f>
        <v>0</v>
      </c>
      <c r="AN16" s="972">
        <v>0</v>
      </c>
      <c r="AO16" s="972"/>
      <c r="AP16" s="972">
        <v>1</v>
      </c>
      <c r="AQ16" s="972"/>
      <c r="AR16" s="972">
        <v>0</v>
      </c>
      <c r="AS16" s="971"/>
      <c r="AT16" s="91">
        <f>AN16+AP16+AR16</f>
        <v>1</v>
      </c>
      <c r="AU16" s="91">
        <f>AO16+AQ16+AS16</f>
        <v>0</v>
      </c>
      <c r="AV16" s="236">
        <f>V16+AD16+AL16+AT16</f>
        <v>1</v>
      </c>
      <c r="AW16" s="81">
        <f>+W16</f>
        <v>0</v>
      </c>
      <c r="AX16" s="81">
        <f>+W16+AE16</f>
        <v>0</v>
      </c>
      <c r="AY16" s="81">
        <f>+W16+AE16+AM16</f>
        <v>0</v>
      </c>
      <c r="AZ16" s="1029">
        <f>+W16+AE16+AM16+AU16</f>
        <v>0</v>
      </c>
      <c r="BA16" s="42">
        <f>IF(AND(AW16&gt;0,$AV16&gt;0),AW16/$AV16,0)</f>
        <v>0</v>
      </c>
      <c r="BB16" s="42">
        <f t="shared" ref="BB16:BD19" si="0">IF(AND(AX16&gt;0,$AV16&gt;0),AX16/$AV16,0)</f>
        <v>0</v>
      </c>
      <c r="BC16" s="42">
        <f t="shared" si="0"/>
        <v>0</v>
      </c>
      <c r="BD16" s="42">
        <f t="shared" si="0"/>
        <v>0</v>
      </c>
      <c r="BE16" s="311">
        <f>(IF(AND(AW16&gt;0,$F16&gt;0),AW16/$F16,0))</f>
        <v>0</v>
      </c>
      <c r="BF16" s="311">
        <f t="shared" ref="BF16:BH19" si="1">(IF(AND(AX16&gt;0,$F16&gt;0),AX16/$F16,0))</f>
        <v>0</v>
      </c>
      <c r="BG16" s="311">
        <f t="shared" si="1"/>
        <v>0</v>
      </c>
      <c r="BH16" s="1048">
        <f t="shared" si="1"/>
        <v>0</v>
      </c>
    </row>
    <row r="17" spans="2:60" ht="106.5" customHeight="1">
      <c r="B17" s="1679"/>
      <c r="C17" s="1693"/>
      <c r="D17" s="31" t="str">
        <f>+'01-FR-03 POA INSTITUCIONAL'!D97</f>
        <v>5.1.2. Entregar dos (2) productos resultado de los proyectos de investigación, desarrollo e innovación (I+D+I) realizados en la Entidad para la comunidad</v>
      </c>
      <c r="E17" s="52">
        <f>+'01-FR-03 POA INSTITUCIONAL'!E97</f>
        <v>0.5</v>
      </c>
      <c r="F17" s="236">
        <f>+'01-FR-03 POA INSTITUCIONAL'!F97</f>
        <v>2</v>
      </c>
      <c r="G17" s="68">
        <f>+'01-FR-03 POA INSTITUCIONAL'!L97</f>
        <v>1</v>
      </c>
      <c r="H17" s="949" t="str">
        <f>+'01-FR-03 POA INSTITUCIONAL'!G97</f>
        <v>S.I.</v>
      </c>
      <c r="I17" s="949" t="str">
        <f>+'01-FR-03 POA INSTITUCIONAL'!H97</f>
        <v>Productos resultado de investigaciones, entregadas para la comunidad</v>
      </c>
      <c r="J17" s="215" t="s">
        <v>670</v>
      </c>
      <c r="K17" s="442" t="s">
        <v>606</v>
      </c>
      <c r="L17" s="217" t="s">
        <v>607</v>
      </c>
      <c r="M17" s="235" t="s">
        <v>603</v>
      </c>
      <c r="N17" s="235" t="s">
        <v>604</v>
      </c>
      <c r="O17" s="79" t="str">
        <f>+'[4]01-FR-03 POA INSTITUCIONAL'!J97</f>
        <v xml:space="preserve">Dirección de Gestión del Conocimiento e Innovación </v>
      </c>
      <c r="P17" s="971">
        <v>0</v>
      </c>
      <c r="Q17" s="971">
        <v>0</v>
      </c>
      <c r="R17" s="971">
        <v>0</v>
      </c>
      <c r="S17" s="971">
        <v>0</v>
      </c>
      <c r="T17" s="971">
        <v>0</v>
      </c>
      <c r="U17" s="971">
        <v>0</v>
      </c>
      <c r="V17" s="91">
        <f>P17+R17+T17</f>
        <v>0</v>
      </c>
      <c r="W17" s="91">
        <f>Q17+S17+U17</f>
        <v>0</v>
      </c>
      <c r="X17" s="972">
        <v>0</v>
      </c>
      <c r="Y17" s="972">
        <v>0</v>
      </c>
      <c r="Z17" s="972">
        <v>0</v>
      </c>
      <c r="AA17" s="972">
        <v>0</v>
      </c>
      <c r="AB17" s="972">
        <v>0</v>
      </c>
      <c r="AC17" s="971">
        <v>0</v>
      </c>
      <c r="AD17" s="91">
        <f>X17+Z17+AB17</f>
        <v>0</v>
      </c>
      <c r="AE17" s="91">
        <f>Y17+AA17+AC17</f>
        <v>0</v>
      </c>
      <c r="AF17" s="972">
        <v>0</v>
      </c>
      <c r="AG17" s="972">
        <v>0</v>
      </c>
      <c r="AH17" s="972">
        <v>0</v>
      </c>
      <c r="AI17" s="972">
        <v>0</v>
      </c>
      <c r="AJ17" s="973">
        <v>0</v>
      </c>
      <c r="AK17" s="974">
        <v>0</v>
      </c>
      <c r="AL17" s="91">
        <f>AF17+AH17+AJ17</f>
        <v>0</v>
      </c>
      <c r="AM17" s="91">
        <f>AG17+AI17+AK17</f>
        <v>0</v>
      </c>
      <c r="AN17" s="972">
        <v>0</v>
      </c>
      <c r="AO17" s="972"/>
      <c r="AP17" s="972">
        <v>1</v>
      </c>
      <c r="AQ17" s="972"/>
      <c r="AR17" s="972">
        <v>0</v>
      </c>
      <c r="AS17" s="971"/>
      <c r="AT17" s="91">
        <f>AN17+AP17+AR17</f>
        <v>1</v>
      </c>
      <c r="AU17" s="91">
        <f>AO17+AQ17+AS17</f>
        <v>0</v>
      </c>
      <c r="AV17" s="236">
        <f>V17+AD17+AL17+AT17</f>
        <v>1</v>
      </c>
      <c r="AW17" s="81">
        <f>+W17</f>
        <v>0</v>
      </c>
      <c r="AX17" s="81">
        <f>+W17+AE17</f>
        <v>0</v>
      </c>
      <c r="AY17" s="81">
        <f>+W17+AE17+AM17</f>
        <v>0</v>
      </c>
      <c r="AZ17" s="1029">
        <f>+W17+AE17+AM17+AU17</f>
        <v>0</v>
      </c>
      <c r="BA17" s="42">
        <f>IF(AND(AW17&gt;0,$AV17&gt;0),AW17/$AV17,0)</f>
        <v>0</v>
      </c>
      <c r="BB17" s="42">
        <f t="shared" ref="BB17" si="2">IF(AND(AX17&gt;0,$AV17&gt;0),AX17/$AV17,0)</f>
        <v>0</v>
      </c>
      <c r="BC17" s="42">
        <f t="shared" ref="BC17" si="3">IF(AND(AY17&gt;0,$AV17&gt;0),AY17/$AV17,0)</f>
        <v>0</v>
      </c>
      <c r="BD17" s="42">
        <f t="shared" ref="BD17" si="4">IF(AND(AZ17&gt;0,$AV17&gt;0),AZ17/$AV17,0)</f>
        <v>0</v>
      </c>
      <c r="BE17" s="311">
        <f>(IF(AND(AW17&gt;0,$F17&gt;0),AW17/$F17,0))</f>
        <v>0</v>
      </c>
      <c r="BF17" s="311">
        <f t="shared" ref="BF17" si="5">(IF(AND(AX17&gt;0,$F17&gt;0),AX17/$F17,0))</f>
        <v>0</v>
      </c>
      <c r="BG17" s="311">
        <f t="shared" ref="BG17" si="6">(IF(AND(AY17&gt;0,$F17&gt;0),AY17/$F17,0))</f>
        <v>0</v>
      </c>
      <c r="BH17" s="1048">
        <f t="shared" ref="BH17" si="7">(IF(AND(AZ17&gt;0,$F17&gt;0),AZ17/$F17,0))</f>
        <v>0</v>
      </c>
    </row>
    <row r="18" spans="2:60" ht="90">
      <c r="B18" s="1679"/>
      <c r="C18" s="31" t="str">
        <f>+'01-FR-03 POA INSTITUCIONAL'!C98</f>
        <v>5.2 Formular el 100% de herramientas y acciones que permitan categorizar, preservar y utilizar el conocimiento para la toma de decisiones y compartir fácilmente los datos y la información de la Entidad.</v>
      </c>
      <c r="D18" s="31" t="str">
        <f>+'01-FR-03 POA INSTITUCIONAL'!D98</f>
        <v xml:space="preserve">5.2.1 Construir ocho (8) informes de investigación e innovación que reflejen la analítica institucional </v>
      </c>
      <c r="E18" s="52">
        <f>+'01-FR-03 POA INSTITUCIONAL'!E98</f>
        <v>1</v>
      </c>
      <c r="F18" s="236">
        <f>+'01-FR-03 POA INSTITUCIONAL'!F98</f>
        <v>8</v>
      </c>
      <c r="G18" s="68">
        <f>+'01-FR-03 POA INSTITUCIONAL'!L98</f>
        <v>2</v>
      </c>
      <c r="H18" s="140" t="str">
        <f>+'01-FR-03 POA INSTITUCIONAL'!G98</f>
        <v>S.I.</v>
      </c>
      <c r="I18" s="140" t="str">
        <f>+'01-FR-03 POA INSTITUCIONAL'!H98</f>
        <v>Informes de investigación e innovación construidos</v>
      </c>
      <c r="J18" s="237" t="s">
        <v>605</v>
      </c>
      <c r="K18" s="234" t="s">
        <v>606</v>
      </c>
      <c r="L18" s="217" t="s">
        <v>607</v>
      </c>
      <c r="M18" s="235" t="s">
        <v>603</v>
      </c>
      <c r="N18" s="235" t="s">
        <v>604</v>
      </c>
      <c r="O18" s="79" t="str">
        <f>+'01-FR-03 POA INSTITUCIONAL'!J98</f>
        <v xml:space="preserve">Dirección de Gestión del Conocimiento e Innovación </v>
      </c>
      <c r="P18" s="971">
        <v>0</v>
      </c>
      <c r="Q18" s="971">
        <v>0</v>
      </c>
      <c r="R18" s="971">
        <v>0</v>
      </c>
      <c r="S18" s="971">
        <v>0</v>
      </c>
      <c r="T18" s="971">
        <v>0</v>
      </c>
      <c r="U18" s="971">
        <v>0</v>
      </c>
      <c r="V18" s="91">
        <f t="shared" ref="V18:W19" si="8">P18+R18+T18</f>
        <v>0</v>
      </c>
      <c r="W18" s="91">
        <f t="shared" si="8"/>
        <v>0</v>
      </c>
      <c r="X18" s="972">
        <v>0</v>
      </c>
      <c r="Y18" s="972">
        <v>0</v>
      </c>
      <c r="Z18" s="972">
        <v>0</v>
      </c>
      <c r="AA18" s="972">
        <v>0</v>
      </c>
      <c r="AB18" s="972">
        <v>1</v>
      </c>
      <c r="AC18" s="971">
        <v>1</v>
      </c>
      <c r="AD18" s="91">
        <f t="shared" ref="AD18:AE19" si="9">X18+Z18+AB18</f>
        <v>1</v>
      </c>
      <c r="AE18" s="91">
        <f t="shared" si="9"/>
        <v>1</v>
      </c>
      <c r="AF18" s="972">
        <v>0</v>
      </c>
      <c r="AG18" s="972">
        <v>0</v>
      </c>
      <c r="AH18" s="972">
        <v>0</v>
      </c>
      <c r="AI18" s="972">
        <v>0</v>
      </c>
      <c r="AJ18" s="973">
        <v>0</v>
      </c>
      <c r="AK18" s="974">
        <v>0</v>
      </c>
      <c r="AL18" s="91">
        <f t="shared" ref="AL18:AM19" si="10">AF18+AH18+AJ18</f>
        <v>0</v>
      </c>
      <c r="AM18" s="91">
        <f t="shared" si="10"/>
        <v>0</v>
      </c>
      <c r="AN18" s="972">
        <v>0</v>
      </c>
      <c r="AO18" s="972"/>
      <c r="AP18" s="972">
        <v>1</v>
      </c>
      <c r="AQ18" s="972"/>
      <c r="AR18" s="972">
        <v>0</v>
      </c>
      <c r="AS18" s="971"/>
      <c r="AT18" s="91">
        <f t="shared" ref="AT18:AU19" si="11">AN18+AP18+AR18</f>
        <v>1</v>
      </c>
      <c r="AU18" s="91">
        <f t="shared" si="11"/>
        <v>0</v>
      </c>
      <c r="AV18" s="236">
        <f t="shared" ref="AV18:AV19" si="12">V18+AD18+AL18+AT18</f>
        <v>2</v>
      </c>
      <c r="AW18" s="81">
        <f>+W18</f>
        <v>0</v>
      </c>
      <c r="AX18" s="81">
        <f>+W18+AE18</f>
        <v>1</v>
      </c>
      <c r="AY18" s="81">
        <f>+W18+AE18+AM18</f>
        <v>1</v>
      </c>
      <c r="AZ18" s="1029">
        <f>+W18+AE18+AM18+AU18</f>
        <v>1</v>
      </c>
      <c r="BA18" s="42">
        <f>IF(AND(AW18&gt;0,AV18&gt;0),AW18/AV18,0)</f>
        <v>0</v>
      </c>
      <c r="BB18" s="42">
        <f t="shared" si="0"/>
        <v>0.5</v>
      </c>
      <c r="BC18" s="42">
        <f t="shared" si="0"/>
        <v>0.5</v>
      </c>
      <c r="BD18" s="42">
        <f t="shared" si="0"/>
        <v>0.5</v>
      </c>
      <c r="BE18" s="311">
        <f>(IF(AND(AW18&gt;0,$F18&gt;0),AW18/$F18,0))</f>
        <v>0</v>
      </c>
      <c r="BF18" s="311">
        <f t="shared" si="1"/>
        <v>0.125</v>
      </c>
      <c r="BG18" s="311">
        <f t="shared" si="1"/>
        <v>0.125</v>
      </c>
      <c r="BH18" s="1048">
        <f t="shared" si="1"/>
        <v>0.125</v>
      </c>
    </row>
    <row r="19" spans="2:60" ht="105" customHeight="1">
      <c r="B19" s="1705"/>
      <c r="C19" s="31"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31" t="str">
        <f>+'01-FR-03 POA INSTITUCIONAL'!D99</f>
        <v>5.3.1 Desarrollar ochenta (80) actividades de apropiación social del conocimiento para la creación de la cultura de la investigación e innovación.</v>
      </c>
      <c r="E19" s="52">
        <f>+'01-FR-03 POA INSTITUCIONAL'!E99</f>
        <v>1</v>
      </c>
      <c r="F19" s="236">
        <f>+'01-FR-03 POA INSTITUCIONAL'!F99</f>
        <v>80</v>
      </c>
      <c r="G19" s="68">
        <f>+'01-FR-03 POA INSTITUCIONAL'!L99</f>
        <v>38</v>
      </c>
      <c r="H19" s="140">
        <f>+'01-FR-03 POA INSTITUCIONAL'!G99</f>
        <v>3</v>
      </c>
      <c r="I19" s="140" t="str">
        <f>+'01-FR-03 POA INSTITUCIONAL'!H99</f>
        <v>Actividades de apropiación social del conocimiento desarrolladas</v>
      </c>
      <c r="J19" s="215" t="s">
        <v>608</v>
      </c>
      <c r="K19" s="234" t="s">
        <v>609</v>
      </c>
      <c r="L19" s="217" t="s">
        <v>610</v>
      </c>
      <c r="M19" s="235" t="s">
        <v>603</v>
      </c>
      <c r="N19" s="235" t="s">
        <v>604</v>
      </c>
      <c r="O19" s="79" t="str">
        <f>+'01-FR-03 POA INSTITUCIONAL'!J99</f>
        <v xml:space="preserve">Dirección de Gestión del Conocimiento e Innovación </v>
      </c>
      <c r="P19" s="971">
        <v>0</v>
      </c>
      <c r="Q19" s="971">
        <v>0</v>
      </c>
      <c r="R19" s="971">
        <v>3</v>
      </c>
      <c r="S19" s="971">
        <v>3</v>
      </c>
      <c r="T19" s="971">
        <v>3</v>
      </c>
      <c r="U19" s="971">
        <v>6</v>
      </c>
      <c r="V19" s="91">
        <f t="shared" si="8"/>
        <v>6</v>
      </c>
      <c r="W19" s="91">
        <f t="shared" si="8"/>
        <v>9</v>
      </c>
      <c r="X19" s="972">
        <v>4</v>
      </c>
      <c r="Y19" s="972">
        <v>4</v>
      </c>
      <c r="Z19" s="972">
        <v>4</v>
      </c>
      <c r="AA19" s="972">
        <v>4</v>
      </c>
      <c r="AB19" s="972">
        <v>4</v>
      </c>
      <c r="AC19" s="971">
        <v>4</v>
      </c>
      <c r="AD19" s="91">
        <f t="shared" si="9"/>
        <v>12</v>
      </c>
      <c r="AE19" s="91">
        <f t="shared" si="9"/>
        <v>12</v>
      </c>
      <c r="AF19" s="972">
        <v>4</v>
      </c>
      <c r="AG19" s="972">
        <v>4</v>
      </c>
      <c r="AH19" s="972">
        <v>4</v>
      </c>
      <c r="AI19" s="972">
        <v>4</v>
      </c>
      <c r="AJ19" s="973">
        <v>4</v>
      </c>
      <c r="AK19" s="974">
        <v>2</v>
      </c>
      <c r="AL19" s="91">
        <f t="shared" si="10"/>
        <v>12</v>
      </c>
      <c r="AM19" s="91">
        <f t="shared" si="10"/>
        <v>10</v>
      </c>
      <c r="AN19" s="972">
        <v>4</v>
      </c>
      <c r="AO19" s="972"/>
      <c r="AP19" s="972">
        <v>4</v>
      </c>
      <c r="AQ19" s="972"/>
      <c r="AR19" s="972">
        <v>0</v>
      </c>
      <c r="AS19" s="971"/>
      <c r="AT19" s="91">
        <f t="shared" si="11"/>
        <v>8</v>
      </c>
      <c r="AU19" s="91">
        <f t="shared" si="11"/>
        <v>0</v>
      </c>
      <c r="AV19" s="236">
        <f t="shared" si="12"/>
        <v>38</v>
      </c>
      <c r="AW19" s="81">
        <f>+W19</f>
        <v>9</v>
      </c>
      <c r="AX19" s="81">
        <f>+W19+AE19</f>
        <v>21</v>
      </c>
      <c r="AY19" s="81">
        <f>+W19+AE19+AM19</f>
        <v>31</v>
      </c>
      <c r="AZ19" s="1029">
        <f>+W19+AE19+AM19+AU19</f>
        <v>31</v>
      </c>
      <c r="BA19" s="42">
        <f>IF(AND(AW19&gt;0,AV19&gt;0),AW19/AV19,0)</f>
        <v>0.23684210526315788</v>
      </c>
      <c r="BB19" s="42">
        <f t="shared" si="0"/>
        <v>0.55263157894736847</v>
      </c>
      <c r="BC19" s="318">
        <f t="shared" si="0"/>
        <v>0.81578947368421051</v>
      </c>
      <c r="BD19" s="318">
        <f t="shared" si="0"/>
        <v>0.81578947368421051</v>
      </c>
      <c r="BE19" s="311">
        <f>(IF(AND(AW19&gt;0,$F19&gt;0),AW19/$F19,0))</f>
        <v>0.1125</v>
      </c>
      <c r="BF19" s="311">
        <f t="shared" si="1"/>
        <v>0.26250000000000001</v>
      </c>
      <c r="BG19" s="311">
        <f t="shared" si="1"/>
        <v>0.38750000000000001</v>
      </c>
      <c r="BH19" s="1048">
        <f t="shared" si="1"/>
        <v>0.38750000000000001</v>
      </c>
    </row>
    <row r="20" spans="2:60" ht="23.25">
      <c r="B20" s="1537"/>
      <c r="C20" s="1538"/>
      <c r="D20" s="1538"/>
      <c r="E20" s="1538"/>
      <c r="F20" s="1538"/>
      <c r="G20" s="1538"/>
      <c r="H20" s="1538"/>
      <c r="I20" s="1538"/>
      <c r="J20" s="1538"/>
      <c r="K20" s="1538"/>
      <c r="L20" s="1538"/>
      <c r="M20" s="1538"/>
      <c r="N20" s="1538"/>
      <c r="O20" s="1538"/>
      <c r="P20" s="1538"/>
      <c r="Q20" s="1538"/>
      <c r="R20" s="1538"/>
      <c r="S20" s="1538"/>
      <c r="T20" s="1538"/>
      <c r="U20" s="1538"/>
      <c r="V20" s="1538"/>
      <c r="W20" s="1538"/>
      <c r="X20" s="1538"/>
      <c r="Y20" s="1538"/>
      <c r="Z20" s="1538"/>
      <c r="AA20" s="1538"/>
      <c r="AB20" s="1538"/>
      <c r="AC20" s="1538"/>
      <c r="AD20" s="1538"/>
      <c r="AE20" s="1538"/>
      <c r="AF20" s="1538"/>
      <c r="AG20" s="1538"/>
      <c r="AH20" s="1538"/>
      <c r="AI20" s="1538"/>
      <c r="AJ20" s="1538"/>
      <c r="AK20" s="1538"/>
      <c r="AL20" s="1538"/>
      <c r="AM20" s="1538"/>
      <c r="AN20" s="1538"/>
      <c r="AO20" s="1538"/>
      <c r="AP20" s="1538"/>
      <c r="AQ20" s="1538"/>
      <c r="AR20" s="1538"/>
      <c r="AS20" s="1538"/>
      <c r="AT20" s="1538"/>
      <c r="AU20" s="1538"/>
      <c r="AV20" s="1538"/>
      <c r="AW20" s="1706"/>
      <c r="AX20" s="1676" t="s">
        <v>19</v>
      </c>
      <c r="AY20" s="1704"/>
      <c r="AZ20" s="1704"/>
      <c r="BA20" s="70">
        <f t="shared" ref="BA20:BD20" si="13">AVERAGE(BA16:BA19)</f>
        <v>5.921052631578947E-2</v>
      </c>
      <c r="BB20" s="70">
        <f t="shared" si="13"/>
        <v>0.26315789473684215</v>
      </c>
      <c r="BC20" s="70">
        <f t="shared" si="13"/>
        <v>0.32894736842105265</v>
      </c>
      <c r="BD20" s="308">
        <f t="shared" si="13"/>
        <v>0.32894736842105265</v>
      </c>
      <c r="BE20" s="1709"/>
      <c r="BF20" s="1710"/>
      <c r="BG20" s="1710"/>
      <c r="BH20" s="1711"/>
    </row>
    <row r="21" spans="2:60" ht="17.25">
      <c r="B21" s="1516"/>
      <c r="C21" s="1516"/>
      <c r="D21" s="1516"/>
      <c r="E21" s="1516"/>
      <c r="F21" s="1516"/>
      <c r="G21" s="1516"/>
      <c r="H21" s="238"/>
      <c r="I21" s="239"/>
      <c r="J21" s="239"/>
      <c r="K21" s="239"/>
      <c r="L21" s="239"/>
      <c r="M21" s="239"/>
      <c r="N21" s="239"/>
      <c r="O21" s="239"/>
    </row>
    <row r="22" spans="2:60" ht="17.25">
      <c r="B22" s="239"/>
      <c r="C22" s="239"/>
      <c r="D22" s="1686"/>
      <c r="E22" s="1686"/>
      <c r="F22" s="1686"/>
      <c r="G22" s="1686"/>
      <c r="H22" s="1686"/>
      <c r="I22" s="1686"/>
      <c r="J22" s="1686"/>
      <c r="K22" s="1686"/>
      <c r="L22" s="1686"/>
      <c r="M22" s="1686"/>
      <c r="N22" s="1686"/>
      <c r="O22" s="1686"/>
    </row>
    <row r="23" spans="2:60" ht="15.6" customHeight="1">
      <c r="B23" s="77" t="s">
        <v>26</v>
      </c>
      <c r="C23" s="240">
        <v>44224</v>
      </c>
      <c r="D23" s="241"/>
      <c r="E23" s="1687" t="s">
        <v>50</v>
      </c>
      <c r="F23" s="1697" t="s">
        <v>611</v>
      </c>
      <c r="G23" s="1698"/>
      <c r="H23" s="1698"/>
      <c r="I23" s="1698"/>
      <c r="J23" s="1699"/>
      <c r="K23" s="242"/>
      <c r="L23" s="1695"/>
      <c r="M23" s="1695"/>
      <c r="N23" s="1695"/>
      <c r="O23" s="1696"/>
    </row>
    <row r="24" spans="2:60" ht="17.25">
      <c r="B24" s="239"/>
      <c r="C24" s="239"/>
      <c r="D24" s="242"/>
      <c r="E24" s="1687"/>
      <c r="F24" s="1700"/>
      <c r="G24" s="1701"/>
      <c r="H24" s="1701"/>
      <c r="I24" s="1701"/>
      <c r="J24" s="1702"/>
      <c r="K24" s="239"/>
      <c r="L24" s="239"/>
      <c r="M24" s="239"/>
      <c r="N24" s="239"/>
      <c r="O24" s="239"/>
    </row>
    <row r="25" spans="2:60" ht="17.25">
      <c r="B25" s="77" t="s">
        <v>49</v>
      </c>
      <c r="C25" s="80">
        <v>44581</v>
      </c>
      <c r="D25" s="239"/>
      <c r="E25" s="239"/>
      <c r="F25" s="239"/>
      <c r="K25" s="239"/>
      <c r="L25" s="239"/>
      <c r="M25" s="239"/>
      <c r="N25" s="239"/>
      <c r="O25" s="239"/>
    </row>
    <row r="26" spans="2:60" ht="17.25">
      <c r="B26" s="239"/>
      <c r="C26" s="239"/>
      <c r="D26" s="239"/>
      <c r="E26" s="239"/>
      <c r="F26" s="239"/>
      <c r="K26" s="239"/>
      <c r="L26" s="239"/>
      <c r="M26" s="239"/>
      <c r="N26" s="239"/>
      <c r="O26" s="239"/>
    </row>
    <row r="27" spans="2:60" ht="17.25">
      <c r="B27" s="605" t="s">
        <v>922</v>
      </c>
      <c r="C27" s="239"/>
      <c r="D27" s="239"/>
      <c r="E27" s="239"/>
      <c r="F27" s="239"/>
      <c r="G27" s="238"/>
      <c r="H27" s="238"/>
      <c r="I27" s="1694"/>
      <c r="J27" s="1694"/>
      <c r="K27" s="1694"/>
      <c r="L27" s="1694"/>
      <c r="M27" s="243"/>
      <c r="N27" s="243"/>
      <c r="O27" s="243"/>
    </row>
    <row r="28" spans="2:60" ht="17.25">
      <c r="B28" s="239"/>
      <c r="C28" s="239"/>
      <c r="D28" s="239"/>
      <c r="E28" s="239"/>
      <c r="F28" s="239"/>
      <c r="G28" s="238"/>
      <c r="H28" s="238"/>
      <c r="I28" s="239"/>
      <c r="J28" s="239"/>
      <c r="K28" s="244"/>
      <c r="L28" s="239"/>
      <c r="M28" s="239"/>
      <c r="N28" s="239"/>
      <c r="O28" s="239"/>
    </row>
    <row r="29" spans="2:60" ht="17.25">
      <c r="B29" s="239"/>
      <c r="C29" s="239"/>
      <c r="D29" s="239"/>
      <c r="E29" s="239"/>
      <c r="F29" s="239"/>
      <c r="G29" s="238"/>
      <c r="H29" s="238"/>
      <c r="I29" s="1694"/>
      <c r="J29" s="1694"/>
      <c r="K29" s="1694"/>
      <c r="L29" s="1694"/>
      <c r="M29" s="243"/>
      <c r="N29" s="243"/>
      <c r="O29" s="243"/>
    </row>
    <row r="30" spans="2:60" ht="17.25">
      <c r="B30" s="239"/>
      <c r="C30" s="239"/>
      <c r="D30" s="239"/>
      <c r="E30" s="239"/>
      <c r="F30" s="239"/>
      <c r="G30" s="238"/>
      <c r="H30" s="238"/>
      <c r="I30" s="239"/>
      <c r="J30" s="239"/>
      <c r="K30" s="244"/>
      <c r="L30" s="239"/>
      <c r="M30" s="239"/>
      <c r="N30" s="239"/>
      <c r="O30" s="239"/>
    </row>
    <row r="31" spans="2:60" ht="17.25">
      <c r="B31" s="239"/>
      <c r="C31" s="239"/>
      <c r="D31" s="239"/>
      <c r="E31" s="239"/>
      <c r="F31" s="239"/>
      <c r="G31" s="238"/>
      <c r="H31" s="238"/>
      <c r="I31" s="1694"/>
      <c r="J31" s="1694"/>
      <c r="K31" s="1694"/>
      <c r="L31" s="1694"/>
      <c r="M31" s="243"/>
      <c r="N31" s="243"/>
      <c r="O31" s="243"/>
    </row>
  </sheetData>
  <sheetProtection algorithmName="SHA-512" hashValue="JaiPEvJsJFSdu7YuuDCaZ1naHxBFXIAFcg0x/eyli/CTqFFJmlGFUnfG0DS7t67GDc/DjpDZISbVODLHHLAS7w==" saltValue="hL1nNXZcxxSGQakLkSw/aA==" spinCount="100000" sheet="1" objects="1" scenarios="1"/>
  <mergeCells count="71">
    <mergeCell ref="BE20:BH20"/>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AW12:AZ12"/>
    <mergeCell ref="BA12:BD12"/>
    <mergeCell ref="B12:B15"/>
    <mergeCell ref="C12:C15"/>
    <mergeCell ref="AX20:AZ20"/>
    <mergeCell ref="AD14:AE14"/>
    <mergeCell ref="AF14:AG14"/>
    <mergeCell ref="AH14:AI14"/>
    <mergeCell ref="AJ14:AK14"/>
    <mergeCell ref="AL14:AM14"/>
    <mergeCell ref="AN14:AO14"/>
    <mergeCell ref="AP14:AQ14"/>
    <mergeCell ref="AR14:AS14"/>
    <mergeCell ref="AT14:AU14"/>
    <mergeCell ref="B16:B19"/>
    <mergeCell ref="B20:AW20"/>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C16:C17"/>
    <mergeCell ref="I31:L31"/>
    <mergeCell ref="B21:G21"/>
    <mergeCell ref="D22:O22"/>
    <mergeCell ref="E23:E24"/>
    <mergeCell ref="L23:O23"/>
    <mergeCell ref="I27:L27"/>
    <mergeCell ref="I29:L29"/>
    <mergeCell ref="F23:J24"/>
  </mergeCells>
  <conditionalFormatting sqref="BA16:BD16 BA18:BD19">
    <cfRule type="cellIs" dxfId="66" priority="5" operator="greaterThan">
      <formula>1</formula>
    </cfRule>
    <cfRule type="cellIs" dxfId="65" priority="6" operator="between">
      <formula>0.8</formula>
      <formula>1</formula>
    </cfRule>
    <cfRule type="cellIs" dxfId="64" priority="7" operator="between">
      <formula>0.61</formula>
      <formula>0.79</formula>
    </cfRule>
    <cfRule type="cellIs" dxfId="63" priority="8" operator="between">
      <formula>0</formula>
      <formula>0.6</formula>
    </cfRule>
  </conditionalFormatting>
  <conditionalFormatting sqref="BA17:BD17">
    <cfRule type="cellIs" dxfId="62" priority="1" operator="greaterThan">
      <formula>1</formula>
    </cfRule>
    <cfRule type="cellIs" dxfId="61" priority="2" operator="between">
      <formula>0.8</formula>
      <formula>1</formula>
    </cfRule>
    <cfRule type="cellIs" dxfId="60" priority="3" operator="between">
      <formula>0.61</formula>
      <formula>0.79</formula>
    </cfRule>
    <cfRule type="cellIs" dxfId="5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66FF33"/>
  </sheetPr>
  <dimension ref="B1:BI34"/>
  <sheetViews>
    <sheetView showGridLines="0" topLeftCell="W11" zoomScale="55" zoomScaleNormal="55" workbookViewId="0">
      <selection activeCell="AK22" sqref="AK22"/>
    </sheetView>
  </sheetViews>
  <sheetFormatPr baseColWidth="10" defaultColWidth="17.28515625" defaultRowHeight="15" customHeight="1"/>
  <cols>
    <col min="1" max="1" width="4.28515625" style="135" customWidth="1"/>
    <col min="2" max="2" width="50.42578125" style="133" customWidth="1"/>
    <col min="3" max="3" width="31.42578125" style="133" customWidth="1"/>
    <col min="4" max="4" width="49.7109375" style="133" customWidth="1"/>
    <col min="5" max="6" width="27.5703125" style="133" customWidth="1"/>
    <col min="7" max="8" width="29.28515625" style="134" customWidth="1"/>
    <col min="9" max="9" width="36.42578125" style="133" customWidth="1"/>
    <col min="10" max="10" width="31.85546875" style="133" customWidth="1"/>
    <col min="11" max="11" width="55.85546875" style="133" customWidth="1"/>
    <col min="12" max="12" width="48.42578125" style="133" customWidth="1"/>
    <col min="13" max="14" width="28.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1" ht="18" thickBot="1"/>
    <row r="2" spans="2:61" ht="15.6" customHeight="1">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1" ht="15.6" customHeight="1">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1"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1" ht="15.6" customHeight="1">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1"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1"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1" ht="20.25">
      <c r="B8" s="213" t="s">
        <v>45</v>
      </c>
      <c r="C8" s="1713" t="s">
        <v>81</v>
      </c>
      <c r="D8" s="1713"/>
      <c r="E8" s="214"/>
      <c r="F8" s="214"/>
      <c r="G8" s="214"/>
      <c r="H8" s="214"/>
      <c r="I8" s="214"/>
      <c r="J8" s="214"/>
      <c r="K8" s="214"/>
      <c r="L8" s="214"/>
      <c r="M8" s="214"/>
      <c r="N8" s="214"/>
      <c r="O8" s="214"/>
      <c r="AW8" s="231"/>
      <c r="AX8" s="231"/>
      <c r="AY8" s="231"/>
      <c r="AZ8" s="231"/>
      <c r="BA8" s="231"/>
      <c r="BB8" s="231"/>
      <c r="BC8" s="231"/>
      <c r="BD8" s="231"/>
    </row>
    <row r="9" spans="2:61" ht="96.75" customHeight="1">
      <c r="B9" s="213" t="s">
        <v>34</v>
      </c>
      <c r="C9" s="1672" t="s">
        <v>356</v>
      </c>
      <c r="D9" s="1673"/>
      <c r="E9" s="214"/>
      <c r="F9" s="214"/>
      <c r="G9" s="214"/>
      <c r="H9" s="214"/>
      <c r="I9" s="214"/>
      <c r="J9" s="214"/>
      <c r="K9" s="214"/>
      <c r="L9" s="214"/>
      <c r="M9" s="214"/>
      <c r="N9" s="214"/>
      <c r="O9" s="214"/>
      <c r="AW9" s="231"/>
      <c r="AX9" s="231"/>
      <c r="AY9" s="231"/>
      <c r="AZ9" s="231"/>
      <c r="BA9" s="231"/>
      <c r="BB9" s="231"/>
      <c r="BC9" s="231"/>
      <c r="BD9" s="231"/>
    </row>
    <row r="10" spans="2:61" ht="25.5">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2:61"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1" ht="28.9"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1"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2:61"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1" ht="18"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1" ht="76.5" customHeight="1">
      <c r="B16" s="167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78" t="str">
        <f>+'01-FR-03 POA INSTITUCIONAL'!C48</f>
        <v>4.1. Implementar el 100% de las acciones que impulsen el crecimiento del Modelo de Madurez de Transformación Digital de la Entidad, aplicando los principios , lineamientos y normas que lo enmarcan.</v>
      </c>
      <c r="D16" s="31" t="str">
        <f>+'01-FR-03 POA INSTITUCIONAL'!D48</f>
        <v>4.1.1 Implementar el 100 % de los proyectos de hoja de ruta del Plan Estratégico de Tecnología de la Información de tal forma que se optimicen los procesos de la Entidad</v>
      </c>
      <c r="E16" s="52">
        <f>+'01-FR-03 POA INSTITUCIONAL'!E48</f>
        <v>0.14000000000000001</v>
      </c>
      <c r="F16" s="310">
        <f>+'01-FR-03 POA INSTITUCIONAL'!F48</f>
        <v>1</v>
      </c>
      <c r="G16" s="160">
        <f>+'01-FR-03 POA INSTITUCIONAL'!L48</f>
        <v>0.4</v>
      </c>
      <c r="H16" s="140" t="str">
        <f>+'01-FR-03 POA INSTITUCIONAL'!G48</f>
        <v>S.I.</v>
      </c>
      <c r="I16" s="245" t="str">
        <f>+'01-FR-03 POA INSTITUCIONAL'!H48</f>
        <v>Porcentaje de proyectos implementados de acuerdo al plan de tecnologías de la Información</v>
      </c>
      <c r="J16" s="234" t="s">
        <v>332</v>
      </c>
      <c r="K16" s="234" t="s">
        <v>333</v>
      </c>
      <c r="L16" s="217" t="s">
        <v>334</v>
      </c>
      <c r="M16" s="246" t="s">
        <v>335</v>
      </c>
      <c r="N16" s="234" t="s">
        <v>336</v>
      </c>
      <c r="O16" s="82" t="str">
        <f>+'01-FR-03 POA INSTITUCIONAL'!J48</f>
        <v>Dirección de Tecnologías de la  Información y las Comunicaciones</v>
      </c>
      <c r="P16" s="975">
        <v>0.02</v>
      </c>
      <c r="Q16" s="975">
        <v>0.02</v>
      </c>
      <c r="R16" s="975">
        <v>0.02</v>
      </c>
      <c r="S16" s="975">
        <v>0.02</v>
      </c>
      <c r="T16" s="975">
        <v>0.03</v>
      </c>
      <c r="U16" s="975">
        <v>0.03</v>
      </c>
      <c r="V16" s="320">
        <f t="shared" ref="V16:W22" si="0">P16+R16+T16</f>
        <v>7.0000000000000007E-2</v>
      </c>
      <c r="W16" s="320">
        <f t="shared" si="0"/>
        <v>7.0000000000000007E-2</v>
      </c>
      <c r="X16" s="975">
        <v>0.04</v>
      </c>
      <c r="Y16" s="975">
        <v>0.04</v>
      </c>
      <c r="Z16" s="975">
        <v>0.04</v>
      </c>
      <c r="AA16" s="975">
        <v>0.04</v>
      </c>
      <c r="AB16" s="975">
        <v>0.05</v>
      </c>
      <c r="AC16" s="975">
        <v>0.05</v>
      </c>
      <c r="AD16" s="320">
        <f t="shared" ref="AD16:AE22" si="1">X16+Z16+AB16</f>
        <v>0.13</v>
      </c>
      <c r="AE16" s="320">
        <f t="shared" si="1"/>
        <v>0.13</v>
      </c>
      <c r="AF16" s="975">
        <v>0.05</v>
      </c>
      <c r="AG16" s="975">
        <v>0.05</v>
      </c>
      <c r="AH16" s="975">
        <v>0.04</v>
      </c>
      <c r="AI16" s="975">
        <v>0.04</v>
      </c>
      <c r="AJ16" s="975">
        <v>0.04</v>
      </c>
      <c r="AK16" s="975">
        <v>0.04</v>
      </c>
      <c r="AL16" s="320">
        <f t="shared" ref="AL16:AM22" si="2">AF16+AH16+AJ16</f>
        <v>0.13</v>
      </c>
      <c r="AM16" s="320">
        <f t="shared" si="2"/>
        <v>0.13</v>
      </c>
      <c r="AN16" s="975">
        <v>0.03</v>
      </c>
      <c r="AO16" s="975"/>
      <c r="AP16" s="975">
        <v>0.02</v>
      </c>
      <c r="AQ16" s="975"/>
      <c r="AR16" s="975">
        <v>0.02</v>
      </c>
      <c r="AS16" s="975"/>
      <c r="AT16" s="320">
        <f>AN16+AP16+AR16</f>
        <v>7.0000000000000007E-2</v>
      </c>
      <c r="AU16" s="320">
        <f>AO16+AQ16+AS16</f>
        <v>0</v>
      </c>
      <c r="AV16" s="320">
        <f>V16+AD16+AL16+AT16</f>
        <v>0.4</v>
      </c>
      <c r="AW16" s="65">
        <f t="shared" ref="AW16:AW22" si="3">+W16</f>
        <v>7.0000000000000007E-2</v>
      </c>
      <c r="AX16" s="65">
        <f t="shared" ref="AX16:AX22" si="4">+W16+AE16</f>
        <v>0.2</v>
      </c>
      <c r="AY16" s="65">
        <f t="shared" ref="AY16:AY22" si="5">+W16+AE16+AM16</f>
        <v>0.33</v>
      </c>
      <c r="AZ16" s="1038">
        <f t="shared" ref="AZ16:AZ22" si="6">+W16+AE16+AM16+AU16</f>
        <v>0.33</v>
      </c>
      <c r="BA16" s="374">
        <f>IF(AND(AW16&gt;0,$AV16&gt;0),AW16/$AV16,0)</f>
        <v>0.17500000000000002</v>
      </c>
      <c r="BB16" s="375">
        <f t="shared" ref="BB16:BD22" si="7">IF(AND(AX16&gt;0,$AV16&gt;0),AX16/$AV16,0)</f>
        <v>0.5</v>
      </c>
      <c r="BC16" s="375">
        <f t="shared" si="7"/>
        <v>0.82499999999999996</v>
      </c>
      <c r="BD16" s="375">
        <f t="shared" si="7"/>
        <v>0.82499999999999996</v>
      </c>
      <c r="BE16" s="311">
        <f>(IF(AND(AW16&gt;0,$F16&gt;0),AW16/$F16,0))</f>
        <v>7.0000000000000007E-2</v>
      </c>
      <c r="BF16" s="311">
        <f t="shared" ref="BF16:BH22" si="8">(IF(AND(AX16&gt;0,$F16&gt;0),AX16/$F16,0))</f>
        <v>0.2</v>
      </c>
      <c r="BG16" s="311">
        <f t="shared" si="8"/>
        <v>0.33</v>
      </c>
      <c r="BH16" s="1048">
        <f t="shared" si="8"/>
        <v>0.33</v>
      </c>
      <c r="BI16" s="312"/>
    </row>
    <row r="17" spans="2:60" ht="84.75" customHeight="1">
      <c r="B17" s="1679"/>
      <c r="C17" s="1679"/>
      <c r="D17" s="31" t="str">
        <f>+'01-FR-03 POA INSTITUCIONAL'!D49</f>
        <v>4.1.2 Ejecutar en un 100 % las actividades programadas en el plan de Seguridad de la Información, garantizando la disponibilidad, confiabilidad e integridad de los activos de información</v>
      </c>
      <c r="E17" s="52">
        <f>+'01-FR-03 POA INSTITUCIONAL'!E49</f>
        <v>0.14000000000000001</v>
      </c>
      <c r="F17" s="310">
        <f>+'01-FR-03 POA INSTITUCIONAL'!F49</f>
        <v>1</v>
      </c>
      <c r="G17" s="160">
        <f>+'01-FR-03 POA INSTITUCIONAL'!L49</f>
        <v>0.4</v>
      </c>
      <c r="H17" s="140" t="str">
        <f>+'01-FR-03 POA INSTITUCIONAL'!G49</f>
        <v>S.I.</v>
      </c>
      <c r="I17" s="245" t="str">
        <f>+'01-FR-03 POA INSTITUCIONAL'!H49</f>
        <v>Porcentaje de actividades ejecutadas de acuerdo al plan de Seguridad de información</v>
      </c>
      <c r="J17" s="234" t="s">
        <v>337</v>
      </c>
      <c r="K17" s="234" t="s">
        <v>338</v>
      </c>
      <c r="L17" s="217" t="s">
        <v>339</v>
      </c>
      <c r="M17" s="246" t="s">
        <v>335</v>
      </c>
      <c r="N17" s="234" t="s">
        <v>340</v>
      </c>
      <c r="O17" s="443" t="str">
        <f>+'01-FR-03 POA INSTITUCIONAL'!J49</f>
        <v>Dirección de Tecnologías de la  Información y las Comunicaciones</v>
      </c>
      <c r="P17" s="975">
        <v>0.02</v>
      </c>
      <c r="Q17" s="975">
        <v>0.02</v>
      </c>
      <c r="R17" s="975">
        <v>0.02</v>
      </c>
      <c r="S17" s="975">
        <v>0.02</v>
      </c>
      <c r="T17" s="975">
        <v>0.03</v>
      </c>
      <c r="U17" s="975">
        <v>0.03</v>
      </c>
      <c r="V17" s="320">
        <f t="shared" si="0"/>
        <v>7.0000000000000007E-2</v>
      </c>
      <c r="W17" s="320">
        <f t="shared" si="0"/>
        <v>7.0000000000000007E-2</v>
      </c>
      <c r="X17" s="975">
        <v>0.04</v>
      </c>
      <c r="Y17" s="975">
        <v>0.04</v>
      </c>
      <c r="Z17" s="975">
        <v>0.04</v>
      </c>
      <c r="AA17" s="975">
        <v>0.04</v>
      </c>
      <c r="AB17" s="975">
        <v>0.05</v>
      </c>
      <c r="AC17" s="975">
        <v>0.05</v>
      </c>
      <c r="AD17" s="320">
        <f t="shared" si="1"/>
        <v>0.13</v>
      </c>
      <c r="AE17" s="320">
        <f t="shared" si="1"/>
        <v>0.13</v>
      </c>
      <c r="AF17" s="975">
        <v>0.05</v>
      </c>
      <c r="AG17" s="975">
        <v>0.05</v>
      </c>
      <c r="AH17" s="975">
        <v>0.04</v>
      </c>
      <c r="AI17" s="975">
        <v>0.04</v>
      </c>
      <c r="AJ17" s="975">
        <v>0.04</v>
      </c>
      <c r="AK17" s="975">
        <v>0.04</v>
      </c>
      <c r="AL17" s="320">
        <f t="shared" si="2"/>
        <v>0.13</v>
      </c>
      <c r="AM17" s="320">
        <f t="shared" si="2"/>
        <v>0.13</v>
      </c>
      <c r="AN17" s="975">
        <v>0.03</v>
      </c>
      <c r="AO17" s="975"/>
      <c r="AP17" s="975">
        <v>0.02</v>
      </c>
      <c r="AQ17" s="975"/>
      <c r="AR17" s="975">
        <v>0.02</v>
      </c>
      <c r="AS17" s="975"/>
      <c r="AT17" s="320">
        <f t="shared" ref="AT17:AU22" si="9">AN17+AP17+AR17</f>
        <v>7.0000000000000007E-2</v>
      </c>
      <c r="AU17" s="320">
        <f t="shared" si="9"/>
        <v>0</v>
      </c>
      <c r="AV17" s="320">
        <f t="shared" ref="AV17:AV22" si="10">V17+AD17+AL17+AT17</f>
        <v>0.4</v>
      </c>
      <c r="AW17" s="65">
        <f t="shared" si="3"/>
        <v>7.0000000000000007E-2</v>
      </c>
      <c r="AX17" s="65">
        <f t="shared" si="4"/>
        <v>0.2</v>
      </c>
      <c r="AY17" s="65">
        <f t="shared" si="5"/>
        <v>0.33</v>
      </c>
      <c r="AZ17" s="1038">
        <f t="shared" si="6"/>
        <v>0.33</v>
      </c>
      <c r="BA17" s="318">
        <f t="shared" ref="BA17:BA22" si="11">IF(AND(AW17&gt;0,AV17&gt;0),AW17/AV17,0)</f>
        <v>0.17500000000000002</v>
      </c>
      <c r="BB17" s="375">
        <f t="shared" si="7"/>
        <v>0.5</v>
      </c>
      <c r="BC17" s="375">
        <f t="shared" si="7"/>
        <v>0.82499999999999996</v>
      </c>
      <c r="BD17" s="375">
        <f t="shared" si="7"/>
        <v>0.82499999999999996</v>
      </c>
      <c r="BE17" s="311">
        <f t="shared" ref="BE17:BE22" si="12">(IF(AND(AW17&gt;0,$F17&gt;0),AW17/$F17,0))</f>
        <v>7.0000000000000007E-2</v>
      </c>
      <c r="BF17" s="311">
        <f t="shared" si="8"/>
        <v>0.2</v>
      </c>
      <c r="BG17" s="311">
        <f t="shared" si="8"/>
        <v>0.33</v>
      </c>
      <c r="BH17" s="1048">
        <f t="shared" si="8"/>
        <v>0.33</v>
      </c>
    </row>
    <row r="18" spans="2:60" ht="107.25" customHeight="1">
      <c r="B18" s="1679"/>
      <c r="C18" s="1679"/>
      <c r="D18" s="31" t="str">
        <f>+'01-FR-03 POA INSTITUCIONAL'!D50</f>
        <v>4.1.3 Realizar el 100% de las actividades definidas en la estrategia de servicios ciudadanos digitales, que permitan acceder a los tramites y servicios de la Entidad a través de canales digitales rápidos, fiables y seguros</v>
      </c>
      <c r="E18" s="52">
        <f>+'01-FR-03 POA INSTITUCIONAL'!E50</f>
        <v>0.14000000000000001</v>
      </c>
      <c r="F18" s="310">
        <f>+'01-FR-03 POA INSTITUCIONAL'!F50</f>
        <v>1</v>
      </c>
      <c r="G18" s="160">
        <f>+'01-FR-03 POA INSTITUCIONAL'!L50</f>
        <v>0.4</v>
      </c>
      <c r="H18" s="140" t="str">
        <f>+'01-FR-03 POA INSTITUCIONAL'!G50</f>
        <v>S.I.</v>
      </c>
      <c r="I18" s="245" t="str">
        <f>+'01-FR-03 POA INSTITUCIONAL'!H50</f>
        <v xml:space="preserve">Porcentaje de actividades ejecutadas  en la estrategia de servicios ciudadanos digitales </v>
      </c>
      <c r="J18" s="234" t="s">
        <v>337</v>
      </c>
      <c r="K18" s="234" t="s">
        <v>341</v>
      </c>
      <c r="L18" s="217" t="s">
        <v>342</v>
      </c>
      <c r="M18" s="246" t="s">
        <v>335</v>
      </c>
      <c r="N18" s="234" t="s">
        <v>340</v>
      </c>
      <c r="O18" s="443" t="str">
        <f>+'01-FR-03 POA INSTITUCIONAL'!J50</f>
        <v>Dirección de Tecnologías de la  Información y las Comunicaciones</v>
      </c>
      <c r="P18" s="975">
        <v>0.02</v>
      </c>
      <c r="Q18" s="975">
        <v>0.02</v>
      </c>
      <c r="R18" s="975">
        <v>0.02</v>
      </c>
      <c r="S18" s="975">
        <v>0.02</v>
      </c>
      <c r="T18" s="975">
        <v>0.03</v>
      </c>
      <c r="U18" s="975">
        <v>0.03</v>
      </c>
      <c r="V18" s="320">
        <f t="shared" si="0"/>
        <v>7.0000000000000007E-2</v>
      </c>
      <c r="W18" s="320">
        <f t="shared" si="0"/>
        <v>7.0000000000000007E-2</v>
      </c>
      <c r="X18" s="975">
        <v>0.04</v>
      </c>
      <c r="Y18" s="975">
        <v>0.04</v>
      </c>
      <c r="Z18" s="975">
        <v>0.04</v>
      </c>
      <c r="AA18" s="975">
        <v>0.04</v>
      </c>
      <c r="AB18" s="975">
        <v>0.05</v>
      </c>
      <c r="AC18" s="975">
        <v>0.05</v>
      </c>
      <c r="AD18" s="320">
        <f t="shared" si="1"/>
        <v>0.13</v>
      </c>
      <c r="AE18" s="320">
        <f t="shared" si="1"/>
        <v>0.13</v>
      </c>
      <c r="AF18" s="975">
        <v>0.05</v>
      </c>
      <c r="AG18" s="975">
        <v>0.05</v>
      </c>
      <c r="AH18" s="975">
        <v>0.04</v>
      </c>
      <c r="AI18" s="975">
        <v>0.04</v>
      </c>
      <c r="AJ18" s="975">
        <v>0.04</v>
      </c>
      <c r="AK18" s="975">
        <v>0.04</v>
      </c>
      <c r="AL18" s="320">
        <f t="shared" si="2"/>
        <v>0.13</v>
      </c>
      <c r="AM18" s="320">
        <f t="shared" si="2"/>
        <v>0.13</v>
      </c>
      <c r="AN18" s="975">
        <v>0.03</v>
      </c>
      <c r="AO18" s="975"/>
      <c r="AP18" s="975">
        <v>0.02</v>
      </c>
      <c r="AQ18" s="975"/>
      <c r="AR18" s="975">
        <v>0.02</v>
      </c>
      <c r="AS18" s="975"/>
      <c r="AT18" s="320">
        <f t="shared" si="9"/>
        <v>7.0000000000000007E-2</v>
      </c>
      <c r="AU18" s="320">
        <f t="shared" si="9"/>
        <v>0</v>
      </c>
      <c r="AV18" s="320">
        <f t="shared" si="10"/>
        <v>0.4</v>
      </c>
      <c r="AW18" s="65">
        <f t="shared" si="3"/>
        <v>7.0000000000000007E-2</v>
      </c>
      <c r="AX18" s="65">
        <f t="shared" si="4"/>
        <v>0.2</v>
      </c>
      <c r="AY18" s="65">
        <f t="shared" si="5"/>
        <v>0.33</v>
      </c>
      <c r="AZ18" s="1038">
        <f t="shared" si="6"/>
        <v>0.33</v>
      </c>
      <c r="BA18" s="318">
        <f t="shared" si="11"/>
        <v>0.17500000000000002</v>
      </c>
      <c r="BB18" s="375">
        <f t="shared" si="7"/>
        <v>0.5</v>
      </c>
      <c r="BC18" s="375">
        <f t="shared" si="7"/>
        <v>0.82499999999999996</v>
      </c>
      <c r="BD18" s="375">
        <f t="shared" si="7"/>
        <v>0.82499999999999996</v>
      </c>
      <c r="BE18" s="311">
        <f t="shared" si="12"/>
        <v>7.0000000000000007E-2</v>
      </c>
      <c r="BF18" s="311">
        <f t="shared" si="8"/>
        <v>0.2</v>
      </c>
      <c r="BG18" s="311">
        <f t="shared" si="8"/>
        <v>0.33</v>
      </c>
      <c r="BH18" s="1048">
        <f t="shared" si="8"/>
        <v>0.33</v>
      </c>
    </row>
    <row r="19" spans="2:60" ht="80.25" customHeight="1">
      <c r="B19" s="1679"/>
      <c r="C19" s="1679"/>
      <c r="D19" s="31" t="str">
        <f>+'01-FR-03 POA INSTITUCIONAL'!D51</f>
        <v>4.1.4 Implementar en un 100% los lineamientos que adopte la Entidad para mejorar la gestión de datos que facilite la toma de decisiones</v>
      </c>
      <c r="E19" s="52">
        <f>+'01-FR-03 POA INSTITUCIONAL'!E51</f>
        <v>0.14000000000000001</v>
      </c>
      <c r="F19" s="310">
        <f>+'01-FR-03 POA INSTITUCIONAL'!F51</f>
        <v>1</v>
      </c>
      <c r="G19" s="160">
        <f>+'01-FR-03 POA INSTITUCIONAL'!L51</f>
        <v>0.4</v>
      </c>
      <c r="H19" s="140" t="str">
        <f>+'01-FR-03 POA INSTITUCIONAL'!G51</f>
        <v>S.I.</v>
      </c>
      <c r="I19" s="245" t="str">
        <f>+'01-FR-03 POA INSTITUCIONAL'!H51</f>
        <v>Porcentaje de lineamientos adoptados  en la estrategia de gestión de datos</v>
      </c>
      <c r="J19" s="234" t="s">
        <v>343</v>
      </c>
      <c r="K19" s="234" t="s">
        <v>341</v>
      </c>
      <c r="L19" s="217" t="s">
        <v>344</v>
      </c>
      <c r="M19" s="246" t="s">
        <v>335</v>
      </c>
      <c r="N19" s="234" t="s">
        <v>340</v>
      </c>
      <c r="O19" s="443" t="str">
        <f>+'01-FR-03 POA INSTITUCIONAL'!J51</f>
        <v>Dirección de Tecnologías de la  Información y las Comunicaciones</v>
      </c>
      <c r="P19" s="975">
        <v>0.02</v>
      </c>
      <c r="Q19" s="975">
        <v>0</v>
      </c>
      <c r="R19" s="975">
        <v>0.02</v>
      </c>
      <c r="S19" s="975">
        <v>0.04</v>
      </c>
      <c r="T19" s="975">
        <v>0.03</v>
      </c>
      <c r="U19" s="975">
        <v>0.03</v>
      </c>
      <c r="V19" s="320">
        <f t="shared" si="0"/>
        <v>7.0000000000000007E-2</v>
      </c>
      <c r="W19" s="320">
        <f t="shared" si="0"/>
        <v>7.0000000000000007E-2</v>
      </c>
      <c r="X19" s="975">
        <v>0.04</v>
      </c>
      <c r="Y19" s="975">
        <v>0.04</v>
      </c>
      <c r="Z19" s="975">
        <v>0.04</v>
      </c>
      <c r="AA19" s="975">
        <v>0.04</v>
      </c>
      <c r="AB19" s="975">
        <v>0.05</v>
      </c>
      <c r="AC19" s="975">
        <v>0.05</v>
      </c>
      <c r="AD19" s="320">
        <f t="shared" si="1"/>
        <v>0.13</v>
      </c>
      <c r="AE19" s="320">
        <f t="shared" si="1"/>
        <v>0.13</v>
      </c>
      <c r="AF19" s="975">
        <v>0.05</v>
      </c>
      <c r="AG19" s="975">
        <v>0.05</v>
      </c>
      <c r="AH19" s="975">
        <v>0.04</v>
      </c>
      <c r="AI19" s="975">
        <v>0.04</v>
      </c>
      <c r="AJ19" s="975">
        <v>0.04</v>
      </c>
      <c r="AK19" s="975">
        <v>0.04</v>
      </c>
      <c r="AL19" s="320">
        <f t="shared" si="2"/>
        <v>0.13</v>
      </c>
      <c r="AM19" s="320">
        <f t="shared" si="2"/>
        <v>0.13</v>
      </c>
      <c r="AN19" s="975">
        <v>0.03</v>
      </c>
      <c r="AO19" s="975"/>
      <c r="AP19" s="975">
        <v>0.02</v>
      </c>
      <c r="AQ19" s="975"/>
      <c r="AR19" s="975">
        <v>0.02</v>
      </c>
      <c r="AS19" s="975"/>
      <c r="AT19" s="320">
        <f t="shared" si="9"/>
        <v>7.0000000000000007E-2</v>
      </c>
      <c r="AU19" s="320">
        <f t="shared" si="9"/>
        <v>0</v>
      </c>
      <c r="AV19" s="320">
        <f t="shared" si="10"/>
        <v>0.4</v>
      </c>
      <c r="AW19" s="65">
        <f t="shared" si="3"/>
        <v>7.0000000000000007E-2</v>
      </c>
      <c r="AX19" s="65">
        <f t="shared" si="4"/>
        <v>0.2</v>
      </c>
      <c r="AY19" s="65">
        <f t="shared" si="5"/>
        <v>0.33</v>
      </c>
      <c r="AZ19" s="1038">
        <f t="shared" si="6"/>
        <v>0.33</v>
      </c>
      <c r="BA19" s="318">
        <f t="shared" si="11"/>
        <v>0.17500000000000002</v>
      </c>
      <c r="BB19" s="375">
        <f t="shared" si="7"/>
        <v>0.5</v>
      </c>
      <c r="BC19" s="375">
        <f t="shared" si="7"/>
        <v>0.82499999999999996</v>
      </c>
      <c r="BD19" s="375">
        <f t="shared" si="7"/>
        <v>0.82499999999999996</v>
      </c>
      <c r="BE19" s="311">
        <f t="shared" si="12"/>
        <v>7.0000000000000007E-2</v>
      </c>
      <c r="BF19" s="311">
        <f t="shared" si="8"/>
        <v>0.2</v>
      </c>
      <c r="BG19" s="311">
        <f t="shared" si="8"/>
        <v>0.33</v>
      </c>
      <c r="BH19" s="1048">
        <f t="shared" si="8"/>
        <v>0.33</v>
      </c>
    </row>
    <row r="20" spans="2:60" ht="88.5" customHeight="1">
      <c r="B20" s="1679"/>
      <c r="C20" s="1679"/>
      <c r="D20" s="31" t="str">
        <f>+'01-FR-03 POA INSTITUCIONAL'!D52</f>
        <v>4.1.5 Desarrollar el 100% de los requerimientos prioritarios a Sistemas de Información y de apoyo que garanticen el óptimo desempeño de la gestión de los procesos en la Entidad</v>
      </c>
      <c r="E20" s="52">
        <f>+'01-FR-03 POA INSTITUCIONAL'!E52</f>
        <v>0.14000000000000001</v>
      </c>
      <c r="F20" s="310">
        <f>+'01-FR-03 POA INSTITUCIONAL'!F52</f>
        <v>1</v>
      </c>
      <c r="G20" s="160">
        <f>+'01-FR-03 POA INSTITUCIONAL'!L52</f>
        <v>0.4</v>
      </c>
      <c r="H20" s="140" t="str">
        <f>+'01-FR-03 POA INSTITUCIONAL'!G52</f>
        <v>S.I.</v>
      </c>
      <c r="I20" s="245" t="str">
        <f>+'01-FR-03 POA INSTITUCIONAL'!H52</f>
        <v>Cantidad de requerimientos prioritarios desarrollados para los sistemas información</v>
      </c>
      <c r="J20" s="234" t="s">
        <v>357</v>
      </c>
      <c r="K20" s="234" t="s">
        <v>345</v>
      </c>
      <c r="L20" s="217" t="s">
        <v>346</v>
      </c>
      <c r="M20" s="246" t="s">
        <v>335</v>
      </c>
      <c r="N20" s="234" t="s">
        <v>340</v>
      </c>
      <c r="O20" s="443" t="str">
        <f>+'01-FR-03 POA INSTITUCIONAL'!J52</f>
        <v>Dirección de Tecnologías de la  Información y las Comunicaciones</v>
      </c>
      <c r="P20" s="975">
        <v>0.02</v>
      </c>
      <c r="Q20" s="975">
        <v>0.02</v>
      </c>
      <c r="R20" s="975">
        <v>0.02</v>
      </c>
      <c r="S20" s="975">
        <v>0.02</v>
      </c>
      <c r="T20" s="975">
        <v>0.03</v>
      </c>
      <c r="U20" s="975">
        <v>0.03</v>
      </c>
      <c r="V20" s="320">
        <f t="shared" si="0"/>
        <v>7.0000000000000007E-2</v>
      </c>
      <c r="W20" s="320">
        <f t="shared" si="0"/>
        <v>7.0000000000000007E-2</v>
      </c>
      <c r="X20" s="975">
        <v>0.04</v>
      </c>
      <c r="Y20" s="975">
        <v>0.04</v>
      </c>
      <c r="Z20" s="975">
        <v>0.04</v>
      </c>
      <c r="AA20" s="975">
        <v>0.04</v>
      </c>
      <c r="AB20" s="975">
        <v>0.05</v>
      </c>
      <c r="AC20" s="975">
        <v>0.05</v>
      </c>
      <c r="AD20" s="320">
        <f t="shared" si="1"/>
        <v>0.13</v>
      </c>
      <c r="AE20" s="320">
        <f t="shared" si="1"/>
        <v>0.13</v>
      </c>
      <c r="AF20" s="975">
        <v>0.05</v>
      </c>
      <c r="AG20" s="975">
        <v>0.05</v>
      </c>
      <c r="AH20" s="975">
        <v>0.04</v>
      </c>
      <c r="AI20" s="975">
        <v>0.04</v>
      </c>
      <c r="AJ20" s="975">
        <v>0.04</v>
      </c>
      <c r="AK20" s="975">
        <v>0.04</v>
      </c>
      <c r="AL20" s="320">
        <f t="shared" si="2"/>
        <v>0.13</v>
      </c>
      <c r="AM20" s="320">
        <f t="shared" si="2"/>
        <v>0.13</v>
      </c>
      <c r="AN20" s="975">
        <v>0.03</v>
      </c>
      <c r="AO20" s="975"/>
      <c r="AP20" s="975">
        <v>0.02</v>
      </c>
      <c r="AQ20" s="975"/>
      <c r="AR20" s="975">
        <v>0.02</v>
      </c>
      <c r="AS20" s="975"/>
      <c r="AT20" s="320">
        <f t="shared" si="9"/>
        <v>7.0000000000000007E-2</v>
      </c>
      <c r="AU20" s="320">
        <f t="shared" si="9"/>
        <v>0</v>
      </c>
      <c r="AV20" s="320">
        <f t="shared" si="10"/>
        <v>0.4</v>
      </c>
      <c r="AW20" s="65">
        <f t="shared" si="3"/>
        <v>7.0000000000000007E-2</v>
      </c>
      <c r="AX20" s="65">
        <f t="shared" si="4"/>
        <v>0.2</v>
      </c>
      <c r="AY20" s="65">
        <f t="shared" si="5"/>
        <v>0.33</v>
      </c>
      <c r="AZ20" s="1038">
        <f t="shared" si="6"/>
        <v>0.33</v>
      </c>
      <c r="BA20" s="318">
        <f t="shared" si="11"/>
        <v>0.17500000000000002</v>
      </c>
      <c r="BB20" s="375">
        <f t="shared" si="7"/>
        <v>0.5</v>
      </c>
      <c r="BC20" s="375">
        <f t="shared" si="7"/>
        <v>0.82499999999999996</v>
      </c>
      <c r="BD20" s="375">
        <f t="shared" si="7"/>
        <v>0.82499999999999996</v>
      </c>
      <c r="BE20" s="311">
        <f t="shared" si="12"/>
        <v>7.0000000000000007E-2</v>
      </c>
      <c r="BF20" s="311">
        <f t="shared" si="8"/>
        <v>0.2</v>
      </c>
      <c r="BG20" s="311">
        <f t="shared" si="8"/>
        <v>0.33</v>
      </c>
      <c r="BH20" s="1048">
        <f t="shared" si="8"/>
        <v>0.33</v>
      </c>
    </row>
    <row r="21" spans="2:60" ht="91.5" customHeight="1">
      <c r="B21" s="1679"/>
      <c r="C21" s="1679"/>
      <c r="D21" s="31" t="str">
        <f>+'01-FR-03 POA INSTITUCIONAL'!D53</f>
        <v>4.1.6 Implementar en un 100% las actividades programadas en el plan de uso y apropiación de las TIC, para una óptima gestión institucional</v>
      </c>
      <c r="E21" s="52">
        <f>+'01-FR-03 POA INSTITUCIONAL'!E53</f>
        <v>0.15</v>
      </c>
      <c r="F21" s="310">
        <f>+'01-FR-03 POA INSTITUCIONAL'!F53</f>
        <v>1</v>
      </c>
      <c r="G21" s="160">
        <f>+'01-FR-03 POA INSTITUCIONAL'!L53</f>
        <v>0.4</v>
      </c>
      <c r="H21" s="140" t="str">
        <f>+'01-FR-03 POA INSTITUCIONAL'!G53</f>
        <v>S.I.</v>
      </c>
      <c r="I21" s="245" t="str">
        <f>+'01-FR-03 POA INSTITUCIONAL'!H53</f>
        <v>Porcentaje de actividades ejecutadas del plan de uso y apropiación</v>
      </c>
      <c r="J21" s="234" t="s">
        <v>347</v>
      </c>
      <c r="K21" s="234" t="s">
        <v>348</v>
      </c>
      <c r="L21" s="217" t="s">
        <v>349</v>
      </c>
      <c r="M21" s="246" t="s">
        <v>335</v>
      </c>
      <c r="N21" s="234" t="s">
        <v>350</v>
      </c>
      <c r="O21" s="443" t="str">
        <f>+'01-FR-03 POA INSTITUCIONAL'!J53</f>
        <v>Dirección de Tecnologías de la  Información y las Comunicaciones</v>
      </c>
      <c r="P21" s="975">
        <v>0.02</v>
      </c>
      <c r="Q21" s="975">
        <v>0</v>
      </c>
      <c r="R21" s="975">
        <v>0.02</v>
      </c>
      <c r="S21" s="975">
        <v>0.04</v>
      </c>
      <c r="T21" s="975">
        <v>0.03</v>
      </c>
      <c r="U21" s="975">
        <v>0.03</v>
      </c>
      <c r="V21" s="320">
        <f t="shared" si="0"/>
        <v>7.0000000000000007E-2</v>
      </c>
      <c r="W21" s="320">
        <f t="shared" si="0"/>
        <v>7.0000000000000007E-2</v>
      </c>
      <c r="X21" s="975">
        <v>0.04</v>
      </c>
      <c r="Y21" s="975">
        <v>0.04</v>
      </c>
      <c r="Z21" s="975">
        <v>0.04</v>
      </c>
      <c r="AA21" s="975">
        <v>0.04</v>
      </c>
      <c r="AB21" s="975">
        <v>0.05</v>
      </c>
      <c r="AC21" s="975">
        <v>0.05</v>
      </c>
      <c r="AD21" s="320">
        <f t="shared" si="1"/>
        <v>0.13</v>
      </c>
      <c r="AE21" s="320">
        <f t="shared" si="1"/>
        <v>0.13</v>
      </c>
      <c r="AF21" s="975">
        <v>0.05</v>
      </c>
      <c r="AG21" s="975">
        <v>0.05</v>
      </c>
      <c r="AH21" s="975">
        <v>0.04</v>
      </c>
      <c r="AI21" s="975">
        <v>0.04</v>
      </c>
      <c r="AJ21" s="975">
        <v>0.04</v>
      </c>
      <c r="AK21" s="975">
        <v>0.04</v>
      </c>
      <c r="AL21" s="320">
        <f t="shared" si="2"/>
        <v>0.13</v>
      </c>
      <c r="AM21" s="320">
        <f t="shared" si="2"/>
        <v>0.13</v>
      </c>
      <c r="AN21" s="975">
        <v>0.03</v>
      </c>
      <c r="AO21" s="975"/>
      <c r="AP21" s="975">
        <v>0.02</v>
      </c>
      <c r="AQ21" s="975"/>
      <c r="AR21" s="975">
        <v>0.02</v>
      </c>
      <c r="AS21" s="975"/>
      <c r="AT21" s="320">
        <f t="shared" si="9"/>
        <v>7.0000000000000007E-2</v>
      </c>
      <c r="AU21" s="320">
        <f t="shared" si="9"/>
        <v>0</v>
      </c>
      <c r="AV21" s="320">
        <f t="shared" si="10"/>
        <v>0.4</v>
      </c>
      <c r="AW21" s="65">
        <f t="shared" si="3"/>
        <v>7.0000000000000007E-2</v>
      </c>
      <c r="AX21" s="65">
        <f t="shared" si="4"/>
        <v>0.2</v>
      </c>
      <c r="AY21" s="65">
        <f t="shared" si="5"/>
        <v>0.33</v>
      </c>
      <c r="AZ21" s="1038">
        <f t="shared" si="6"/>
        <v>0.33</v>
      </c>
      <c r="BA21" s="318">
        <f t="shared" si="11"/>
        <v>0.17500000000000002</v>
      </c>
      <c r="BB21" s="375">
        <f t="shared" si="7"/>
        <v>0.5</v>
      </c>
      <c r="BC21" s="375">
        <f t="shared" si="7"/>
        <v>0.82499999999999996</v>
      </c>
      <c r="BD21" s="375">
        <f t="shared" si="7"/>
        <v>0.82499999999999996</v>
      </c>
      <c r="BE21" s="311">
        <f t="shared" si="12"/>
        <v>7.0000000000000007E-2</v>
      </c>
      <c r="BF21" s="311">
        <f t="shared" si="8"/>
        <v>0.2</v>
      </c>
      <c r="BG21" s="311">
        <f t="shared" si="8"/>
        <v>0.33</v>
      </c>
      <c r="BH21" s="1048">
        <f t="shared" si="8"/>
        <v>0.33</v>
      </c>
    </row>
    <row r="22" spans="2:60" ht="81.75" customHeight="1">
      <c r="B22" s="1705"/>
      <c r="C22" s="1705"/>
      <c r="D22" s="31" t="str">
        <f>+'01-FR-03 POA INSTITUCIONAL'!D54</f>
        <v>4.1.7 Optimizar la infraestructura tecnológica cumpliendo el 100% de las actividades de la hoja de ruta proyectada para garantizar la prestación continua de los servicios en la Entidad</v>
      </c>
      <c r="E22" s="52">
        <f>+'01-FR-03 POA INSTITUCIONAL'!E54</f>
        <v>0.15</v>
      </c>
      <c r="F22" s="310">
        <f>+'01-FR-03 POA INSTITUCIONAL'!F54</f>
        <v>1</v>
      </c>
      <c r="G22" s="160">
        <f>+'01-FR-03 POA INSTITUCIONAL'!L54</f>
        <v>0.4</v>
      </c>
      <c r="H22" s="140" t="str">
        <f>+'01-FR-03 POA INSTITUCIONAL'!G54</f>
        <v>S.I</v>
      </c>
      <c r="I22" s="245" t="str">
        <f>+'01-FR-03 POA INSTITUCIONAL'!H54</f>
        <v>Porcentaje de actividades ejecutadas de la hoja de ruta de optimización tecnológica</v>
      </c>
      <c r="J22" s="234" t="s">
        <v>352</v>
      </c>
      <c r="K22" s="234" t="s">
        <v>353</v>
      </c>
      <c r="L22" s="217" t="s">
        <v>354</v>
      </c>
      <c r="M22" s="246" t="s">
        <v>335</v>
      </c>
      <c r="N22" s="234" t="s">
        <v>340</v>
      </c>
      <c r="O22" s="443" t="str">
        <f>+'01-FR-03 POA INSTITUCIONAL'!J54</f>
        <v>Dirección de Tecnologías de la  Información y las Comunicaciones</v>
      </c>
      <c r="P22" s="975">
        <v>0.02</v>
      </c>
      <c r="Q22" s="975">
        <v>0.02</v>
      </c>
      <c r="R22" s="975">
        <v>0.02</v>
      </c>
      <c r="S22" s="975">
        <v>0.02</v>
      </c>
      <c r="T22" s="975">
        <v>0.03</v>
      </c>
      <c r="U22" s="975">
        <v>0.03</v>
      </c>
      <c r="V22" s="320">
        <f t="shared" si="0"/>
        <v>7.0000000000000007E-2</v>
      </c>
      <c r="W22" s="320">
        <f t="shared" si="0"/>
        <v>7.0000000000000007E-2</v>
      </c>
      <c r="X22" s="975">
        <v>0.04</v>
      </c>
      <c r="Y22" s="975">
        <v>0.04</v>
      </c>
      <c r="Z22" s="975">
        <v>0.04</v>
      </c>
      <c r="AA22" s="975">
        <v>0.04</v>
      </c>
      <c r="AB22" s="975">
        <v>0.05</v>
      </c>
      <c r="AC22" s="975">
        <v>0.05</v>
      </c>
      <c r="AD22" s="320">
        <f t="shared" si="1"/>
        <v>0.13</v>
      </c>
      <c r="AE22" s="320">
        <f t="shared" si="1"/>
        <v>0.13</v>
      </c>
      <c r="AF22" s="975">
        <v>0.05</v>
      </c>
      <c r="AG22" s="975">
        <v>0.05</v>
      </c>
      <c r="AH22" s="975">
        <v>0.04</v>
      </c>
      <c r="AI22" s="975">
        <v>0.04</v>
      </c>
      <c r="AJ22" s="975">
        <v>0.04</v>
      </c>
      <c r="AK22" s="975">
        <v>0.04</v>
      </c>
      <c r="AL22" s="320">
        <f t="shared" si="2"/>
        <v>0.13</v>
      </c>
      <c r="AM22" s="320">
        <f t="shared" si="2"/>
        <v>0.13</v>
      </c>
      <c r="AN22" s="975">
        <v>0.03</v>
      </c>
      <c r="AO22" s="975"/>
      <c r="AP22" s="975">
        <v>0.02</v>
      </c>
      <c r="AQ22" s="975"/>
      <c r="AR22" s="975">
        <v>0.02</v>
      </c>
      <c r="AS22" s="975"/>
      <c r="AT22" s="320">
        <f t="shared" si="9"/>
        <v>7.0000000000000007E-2</v>
      </c>
      <c r="AU22" s="320">
        <f t="shared" si="9"/>
        <v>0</v>
      </c>
      <c r="AV22" s="320">
        <f t="shared" si="10"/>
        <v>0.4</v>
      </c>
      <c r="AW22" s="65">
        <f t="shared" si="3"/>
        <v>7.0000000000000007E-2</v>
      </c>
      <c r="AX22" s="65">
        <f t="shared" si="4"/>
        <v>0.2</v>
      </c>
      <c r="AY22" s="65">
        <f t="shared" si="5"/>
        <v>0.33</v>
      </c>
      <c r="AZ22" s="1038">
        <f t="shared" si="6"/>
        <v>0.33</v>
      </c>
      <c r="BA22" s="318">
        <f t="shared" si="11"/>
        <v>0.17500000000000002</v>
      </c>
      <c r="BB22" s="375">
        <f t="shared" si="7"/>
        <v>0.5</v>
      </c>
      <c r="BC22" s="375">
        <f t="shared" si="7"/>
        <v>0.82499999999999996</v>
      </c>
      <c r="BD22" s="375">
        <f t="shared" si="7"/>
        <v>0.82499999999999996</v>
      </c>
      <c r="BE22" s="311">
        <f t="shared" si="12"/>
        <v>7.0000000000000007E-2</v>
      </c>
      <c r="BF22" s="311">
        <f t="shared" si="8"/>
        <v>0.2</v>
      </c>
      <c r="BG22" s="311">
        <f t="shared" si="8"/>
        <v>0.33</v>
      </c>
      <c r="BH22" s="1048">
        <f t="shared" si="8"/>
        <v>0.33</v>
      </c>
    </row>
    <row r="23" spans="2:60" ht="23.25">
      <c r="B23" s="1537"/>
      <c r="C23" s="1538"/>
      <c r="D23" s="1538"/>
      <c r="E23" s="1538"/>
      <c r="F23" s="1538"/>
      <c r="G23" s="1538"/>
      <c r="H23" s="1538"/>
      <c r="I23" s="1538"/>
      <c r="J23" s="1538"/>
      <c r="K23" s="1538"/>
      <c r="L23" s="1538"/>
      <c r="M23" s="1538"/>
      <c r="N23" s="1538"/>
      <c r="O23" s="1538"/>
      <c r="P23" s="1538"/>
      <c r="Q23" s="1538"/>
      <c r="R23" s="1538"/>
      <c r="S23" s="1538"/>
      <c r="T23" s="1538"/>
      <c r="U23" s="1538"/>
      <c r="V23" s="1538"/>
      <c r="W23" s="1538"/>
      <c r="X23" s="1538"/>
      <c r="Y23" s="1538"/>
      <c r="Z23" s="1538"/>
      <c r="AA23" s="1538"/>
      <c r="AB23" s="1538"/>
      <c r="AC23" s="1538"/>
      <c r="AD23" s="1538"/>
      <c r="AE23" s="1538"/>
      <c r="AF23" s="1538"/>
      <c r="AG23" s="1538"/>
      <c r="AH23" s="1538"/>
      <c r="AI23" s="1538"/>
      <c r="AJ23" s="1538"/>
      <c r="AK23" s="1538"/>
      <c r="AL23" s="1538"/>
      <c r="AM23" s="1538"/>
      <c r="AN23" s="1538"/>
      <c r="AO23" s="1538"/>
      <c r="AP23" s="1538"/>
      <c r="AQ23" s="1538"/>
      <c r="AR23" s="1538"/>
      <c r="AS23" s="1538"/>
      <c r="AT23" s="1538"/>
      <c r="AU23" s="1538"/>
      <c r="AV23" s="1538"/>
      <c r="AW23" s="1706"/>
      <c r="AX23" s="1676" t="s">
        <v>19</v>
      </c>
      <c r="AY23" s="1704"/>
      <c r="AZ23" s="1704"/>
      <c r="BA23" s="70">
        <f t="shared" ref="BA23:BD23" si="13">AVERAGE(BA16:BA22)</f>
        <v>0.17500000000000002</v>
      </c>
      <c r="BB23" s="70">
        <f t="shared" si="13"/>
        <v>0.5</v>
      </c>
      <c r="BC23" s="70">
        <f t="shared" si="13"/>
        <v>0.82500000000000007</v>
      </c>
      <c r="BD23" s="70">
        <f t="shared" si="13"/>
        <v>0.82500000000000007</v>
      </c>
      <c r="BE23" s="1689"/>
      <c r="BF23" s="1690"/>
      <c r="BG23" s="1690"/>
      <c r="BH23" s="1691"/>
    </row>
    <row r="24" spans="2:60" ht="17.25">
      <c r="B24" s="1516"/>
      <c r="C24" s="1516"/>
      <c r="D24" s="1516"/>
      <c r="E24" s="1516"/>
      <c r="F24" s="1516"/>
      <c r="G24" s="1516"/>
      <c r="H24" s="238"/>
      <c r="I24" s="239"/>
      <c r="J24" s="239"/>
      <c r="K24" s="239"/>
      <c r="L24" s="239"/>
      <c r="M24" s="239"/>
      <c r="N24" s="239"/>
      <c r="O24" s="239"/>
    </row>
    <row r="25" spans="2:60" ht="17.25">
      <c r="B25" s="239"/>
      <c r="C25" s="239"/>
      <c r="D25" s="1686"/>
      <c r="E25" s="1686"/>
      <c r="F25" s="1686"/>
      <c r="G25" s="1686"/>
      <c r="H25" s="1686"/>
      <c r="I25" s="1686"/>
      <c r="J25" s="1686"/>
      <c r="K25" s="1686"/>
      <c r="L25" s="1686"/>
      <c r="M25" s="1686"/>
      <c r="N25" s="1686"/>
      <c r="O25" s="1686"/>
    </row>
    <row r="26" spans="2:60" ht="15.75">
      <c r="B26" s="77" t="s">
        <v>26</v>
      </c>
      <c r="C26" s="240">
        <v>44224</v>
      </c>
      <c r="D26" s="241"/>
      <c r="E26" s="1687" t="s">
        <v>50</v>
      </c>
      <c r="F26" s="328"/>
      <c r="G26" s="1688" t="s">
        <v>358</v>
      </c>
      <c r="H26" s="1688"/>
      <c r="I26" s="1688"/>
      <c r="J26" s="1688"/>
      <c r="K26" s="242"/>
      <c r="L26" s="1695"/>
      <c r="M26" s="1695"/>
      <c r="N26" s="1695"/>
      <c r="O26" s="1696"/>
    </row>
    <row r="27" spans="2:60" ht="17.25">
      <c r="B27" s="239"/>
      <c r="C27" s="239"/>
      <c r="D27" s="242"/>
      <c r="E27" s="1687"/>
      <c r="F27" s="328"/>
      <c r="G27" s="1688"/>
      <c r="H27" s="1688"/>
      <c r="I27" s="1688"/>
      <c r="J27" s="1688"/>
      <c r="K27" s="239"/>
      <c r="L27" s="239"/>
      <c r="M27" s="239"/>
      <c r="N27" s="239"/>
      <c r="O27" s="239"/>
    </row>
    <row r="28" spans="2:60" ht="17.25">
      <c r="B28" s="77" t="s">
        <v>49</v>
      </c>
      <c r="C28" s="80">
        <v>44581</v>
      </c>
      <c r="D28" s="239"/>
      <c r="E28" s="239"/>
      <c r="F28" s="239"/>
      <c r="K28" s="239"/>
      <c r="L28" s="239"/>
      <c r="M28" s="239"/>
      <c r="N28" s="239"/>
      <c r="O28" s="239"/>
    </row>
    <row r="29" spans="2:60" ht="17.25">
      <c r="B29" s="239"/>
      <c r="C29" s="239"/>
      <c r="D29" s="239"/>
      <c r="E29" s="239"/>
      <c r="F29" s="239"/>
      <c r="K29" s="239"/>
      <c r="L29" s="239"/>
      <c r="M29" s="239"/>
      <c r="N29" s="239"/>
      <c r="O29" s="239"/>
    </row>
    <row r="30" spans="2:60" ht="17.25">
      <c r="B30" s="605" t="s">
        <v>922</v>
      </c>
      <c r="C30" s="239"/>
      <c r="D30" s="239"/>
      <c r="E30" s="239"/>
      <c r="F30" s="239"/>
      <c r="G30" s="238"/>
      <c r="H30" s="238"/>
      <c r="I30" s="1694"/>
      <c r="J30" s="1694"/>
      <c r="K30" s="1694"/>
      <c r="L30" s="1694"/>
      <c r="M30" s="243"/>
      <c r="N30" s="243"/>
      <c r="O30" s="243"/>
    </row>
    <row r="31" spans="2:60" ht="17.25">
      <c r="B31" s="239"/>
      <c r="C31" s="239"/>
      <c r="D31" s="239"/>
      <c r="E31" s="239"/>
      <c r="F31" s="239"/>
      <c r="G31" s="238"/>
      <c r="H31" s="238"/>
      <c r="I31" s="239"/>
      <c r="J31" s="239"/>
      <c r="K31" s="244"/>
      <c r="L31" s="239"/>
      <c r="M31" s="239"/>
      <c r="N31" s="239"/>
      <c r="O31" s="239"/>
    </row>
    <row r="32" spans="2:60" ht="17.25">
      <c r="B32" s="239"/>
      <c r="C32" s="239"/>
      <c r="D32" s="239"/>
      <c r="E32" s="239"/>
      <c r="F32" s="239"/>
      <c r="G32" s="238"/>
      <c r="H32" s="238"/>
      <c r="I32" s="1694"/>
      <c r="J32" s="1694"/>
      <c r="K32" s="1694"/>
      <c r="L32" s="1694"/>
      <c r="M32" s="243"/>
      <c r="N32" s="243"/>
      <c r="O32" s="243"/>
    </row>
    <row r="33" spans="2:15" ht="17.25">
      <c r="B33" s="239"/>
      <c r="C33" s="239"/>
      <c r="D33" s="239"/>
      <c r="E33" s="239"/>
      <c r="F33" s="239"/>
      <c r="G33" s="238"/>
      <c r="H33" s="238"/>
      <c r="I33" s="239"/>
      <c r="J33" s="239"/>
      <c r="K33" s="244"/>
      <c r="L33" s="239"/>
      <c r="M33" s="239"/>
      <c r="N33" s="239"/>
      <c r="O33" s="239"/>
    </row>
    <row r="34" spans="2:15" ht="17.25">
      <c r="B34" s="239"/>
      <c r="C34" s="239"/>
      <c r="D34" s="239"/>
      <c r="E34" s="239"/>
      <c r="F34" s="239"/>
      <c r="G34" s="238"/>
      <c r="H34" s="238"/>
      <c r="I34" s="1694"/>
      <c r="J34" s="1694"/>
      <c r="K34" s="1694"/>
      <c r="L34" s="1694"/>
      <c r="M34" s="243"/>
      <c r="N34" s="243"/>
      <c r="O34" s="243"/>
    </row>
  </sheetData>
  <sheetProtection algorithmName="SHA-512" hashValue="QI0dmr/QLXAb2tUJMX29/NJV/ueL4jGqUyWyxnreXPUmH9nMCErdP/d8HuMAQE970nROhrWrsR8nJGtv5GJ39Q==" saltValue="UBtshG0pFfOX3GeKuKy5Xg==" spinCount="100000" sheet="1" objects="1" scenarios="1"/>
  <mergeCells count="71">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22"/>
    <mergeCell ref="C16:C22"/>
    <mergeCell ref="AD14:AE14"/>
    <mergeCell ref="G12:G15"/>
    <mergeCell ref="F12:F15"/>
    <mergeCell ref="N12:N15"/>
    <mergeCell ref="O12:O15"/>
    <mergeCell ref="H12:H15"/>
    <mergeCell ref="K12:K15"/>
    <mergeCell ref="L12:L15"/>
    <mergeCell ref="M12:M15"/>
    <mergeCell ref="I12:I15"/>
    <mergeCell ref="J12:J15"/>
    <mergeCell ref="I32:L32"/>
    <mergeCell ref="I34:L34"/>
    <mergeCell ref="B24:G24"/>
    <mergeCell ref="AX23:AZ23"/>
    <mergeCell ref="D25:O25"/>
    <mergeCell ref="E26:E27"/>
    <mergeCell ref="G26:J27"/>
    <mergeCell ref="L26:O26"/>
    <mergeCell ref="I30:L30"/>
    <mergeCell ref="B23:AW23"/>
  </mergeCells>
  <conditionalFormatting sqref="BA16:BD22">
    <cfRule type="cellIs" dxfId="58" priority="1" operator="greaterThan">
      <formula>1</formula>
    </cfRule>
    <cfRule type="cellIs" dxfId="57" priority="8" operator="between">
      <formula>0.8</formula>
      <formula>1</formula>
    </cfRule>
    <cfRule type="cellIs" dxfId="56" priority="9" operator="between">
      <formula>0.61</formula>
      <formula>0.79</formula>
    </cfRule>
    <cfRule type="cellIs" dxfId="55"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66FF33"/>
  </sheetPr>
  <dimension ref="B1:BH29"/>
  <sheetViews>
    <sheetView showGridLines="0" zoomScale="70" zoomScaleNormal="70" workbookViewId="0">
      <selection activeCell="F16" sqref="F16"/>
    </sheetView>
  </sheetViews>
  <sheetFormatPr baseColWidth="10" defaultColWidth="17.28515625" defaultRowHeight="15" customHeight="1"/>
  <cols>
    <col min="1" max="1" width="4.28515625" style="1" customWidth="1"/>
    <col min="2" max="2" width="50.42578125" style="3" customWidth="1"/>
    <col min="3" max="3" width="37.7109375" style="3" customWidth="1"/>
    <col min="4" max="4" width="49.7109375" style="3" customWidth="1"/>
    <col min="5" max="6" width="27.42578125" style="3" customWidth="1"/>
    <col min="7" max="8" width="29.28515625" style="5" customWidth="1"/>
    <col min="9" max="9" width="21.42578125" style="3" customWidth="1"/>
    <col min="10" max="10" width="31.85546875" style="3" customWidth="1"/>
    <col min="11" max="11" width="55.85546875" style="3" customWidth="1"/>
    <col min="12" max="12" width="48.42578125" style="3" customWidth="1"/>
    <col min="13" max="14" width="28.42578125" style="3" customWidth="1"/>
    <col min="15" max="15" width="50" style="3" customWidth="1"/>
    <col min="16" max="47" width="15.85546875" style="1" customWidth="1"/>
    <col min="48" max="48" width="24.42578125" style="1" customWidth="1"/>
    <col min="49" max="49" width="22.85546875" style="1" customWidth="1"/>
    <col min="50" max="50" width="19.28515625" style="1" customWidth="1"/>
    <col min="51" max="51" width="18.42578125" style="1" customWidth="1"/>
    <col min="52" max="52" width="19.42578125" style="1" customWidth="1"/>
    <col min="53" max="53" width="23.28515625" style="1" customWidth="1"/>
    <col min="54" max="55" width="25.140625" style="1" customWidth="1"/>
    <col min="56" max="56" width="26.7109375" style="1" customWidth="1"/>
    <col min="57" max="57" width="26.28515625" style="1" customWidth="1"/>
    <col min="58" max="58" width="26.42578125" style="1" customWidth="1"/>
    <col min="59" max="59" width="26.28515625" style="1" customWidth="1"/>
    <col min="60" max="60" width="27.28515625" style="1" customWidth="1"/>
    <col min="61" max="16384" width="17.28515625" style="1"/>
  </cols>
  <sheetData>
    <row r="1" spans="2:60" ht="18" thickBot="1"/>
    <row r="2" spans="2:60" ht="15.6" customHeight="1">
      <c r="B2" s="1559" t="s">
        <v>685</v>
      </c>
      <c r="C2" s="1751" t="s">
        <v>118</v>
      </c>
      <c r="D2" s="1752"/>
      <c r="E2" s="1752"/>
      <c r="F2" s="1752"/>
      <c r="G2" s="1752"/>
      <c r="H2" s="1752"/>
      <c r="I2" s="1752"/>
      <c r="J2" s="1752"/>
      <c r="K2" s="1752"/>
      <c r="L2" s="1752"/>
      <c r="M2" s="1752"/>
      <c r="N2" s="1752"/>
      <c r="O2" s="1752"/>
      <c r="P2" s="1752"/>
      <c r="Q2" s="1752"/>
      <c r="R2" s="1752"/>
      <c r="S2" s="1752"/>
      <c r="T2" s="1752"/>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2"/>
      <c r="AS2" s="1752"/>
      <c r="AT2" s="1752"/>
      <c r="AU2" s="1752"/>
      <c r="AV2" s="1752"/>
      <c r="AW2" s="1752"/>
      <c r="AX2" s="1752"/>
      <c r="AY2" s="1752"/>
      <c r="AZ2" s="1752"/>
      <c r="BA2" s="1752"/>
      <c r="BB2" s="1752"/>
      <c r="BC2" s="1752"/>
      <c r="BD2" s="1752"/>
      <c r="BE2" s="1752"/>
      <c r="BF2" s="1753"/>
      <c r="BG2" s="37" t="s">
        <v>31</v>
      </c>
      <c r="BH2" s="38"/>
    </row>
    <row r="3" spans="2:60" ht="15.6" customHeight="1">
      <c r="B3" s="1560"/>
      <c r="C3" s="1754"/>
      <c r="D3" s="1755"/>
      <c r="E3" s="1755"/>
      <c r="F3" s="1755"/>
      <c r="G3" s="1755"/>
      <c r="H3" s="1755"/>
      <c r="I3" s="1755"/>
      <c r="J3" s="1755"/>
      <c r="K3" s="1755"/>
      <c r="L3" s="1755"/>
      <c r="M3" s="1755"/>
      <c r="N3" s="1755"/>
      <c r="O3" s="1755"/>
      <c r="P3" s="1755"/>
      <c r="Q3" s="1755"/>
      <c r="R3" s="1755"/>
      <c r="S3" s="1755"/>
      <c r="T3" s="1755"/>
      <c r="U3" s="1755"/>
      <c r="V3" s="1755"/>
      <c r="W3" s="1755"/>
      <c r="X3" s="1755"/>
      <c r="Y3" s="1755"/>
      <c r="Z3" s="1755"/>
      <c r="AA3" s="1755"/>
      <c r="AB3" s="1755"/>
      <c r="AC3" s="1755"/>
      <c r="AD3" s="1755"/>
      <c r="AE3" s="1755"/>
      <c r="AF3" s="1755"/>
      <c r="AG3" s="1755"/>
      <c r="AH3" s="1755"/>
      <c r="AI3" s="1755"/>
      <c r="AJ3" s="1755"/>
      <c r="AK3" s="1755"/>
      <c r="AL3" s="1755"/>
      <c r="AM3" s="1755"/>
      <c r="AN3" s="1755"/>
      <c r="AO3" s="1755"/>
      <c r="AP3" s="1755"/>
      <c r="AQ3" s="1755"/>
      <c r="AR3" s="1755"/>
      <c r="AS3" s="1755"/>
      <c r="AT3" s="1755"/>
      <c r="AU3" s="1755"/>
      <c r="AV3" s="1755"/>
      <c r="AW3" s="1755"/>
      <c r="AX3" s="1755"/>
      <c r="AY3" s="1755"/>
      <c r="AZ3" s="1755"/>
      <c r="BA3" s="1755"/>
      <c r="BB3" s="1755"/>
      <c r="BC3" s="1755"/>
      <c r="BD3" s="1755"/>
      <c r="BE3" s="1755"/>
      <c r="BF3" s="1756"/>
      <c r="BG3" s="13" t="s">
        <v>28</v>
      </c>
      <c r="BH3" s="6" t="s">
        <v>29</v>
      </c>
    </row>
    <row r="4" spans="2:60" ht="15" customHeight="1">
      <c r="B4" s="1560"/>
      <c r="C4" s="1754"/>
      <c r="D4" s="1755"/>
      <c r="E4" s="1755"/>
      <c r="F4" s="1755"/>
      <c r="G4" s="1755"/>
      <c r="H4" s="1755"/>
      <c r="I4" s="1755"/>
      <c r="J4" s="1755"/>
      <c r="K4" s="1755"/>
      <c r="L4" s="1755"/>
      <c r="M4" s="1755"/>
      <c r="N4" s="1755"/>
      <c r="O4" s="1755"/>
      <c r="P4" s="1755"/>
      <c r="Q4" s="1755"/>
      <c r="R4" s="1755"/>
      <c r="S4" s="1755"/>
      <c r="T4" s="1755"/>
      <c r="U4" s="1755"/>
      <c r="V4" s="1755"/>
      <c r="W4" s="1755"/>
      <c r="X4" s="1755"/>
      <c r="Y4" s="1755"/>
      <c r="Z4" s="1755"/>
      <c r="AA4" s="1755"/>
      <c r="AB4" s="1755"/>
      <c r="AC4" s="1755"/>
      <c r="AD4" s="1755"/>
      <c r="AE4" s="1755"/>
      <c r="AF4" s="1755"/>
      <c r="AG4" s="1755"/>
      <c r="AH4" s="1755"/>
      <c r="AI4" s="1755"/>
      <c r="AJ4" s="1755"/>
      <c r="AK4" s="1755"/>
      <c r="AL4" s="1755"/>
      <c r="AM4" s="1755"/>
      <c r="AN4" s="1755"/>
      <c r="AO4" s="1755"/>
      <c r="AP4" s="1755"/>
      <c r="AQ4" s="1755"/>
      <c r="AR4" s="1755"/>
      <c r="AS4" s="1755"/>
      <c r="AT4" s="1755"/>
      <c r="AU4" s="1755"/>
      <c r="AV4" s="1755"/>
      <c r="AW4" s="1755"/>
      <c r="AX4" s="1755"/>
      <c r="AY4" s="1755"/>
      <c r="AZ4" s="1755"/>
      <c r="BA4" s="1755"/>
      <c r="BB4" s="1755"/>
      <c r="BC4" s="1755"/>
      <c r="BD4" s="1755"/>
      <c r="BE4" s="1755"/>
      <c r="BF4" s="1756"/>
      <c r="BG4" s="210">
        <v>5</v>
      </c>
      <c r="BH4" s="30" t="s">
        <v>656</v>
      </c>
    </row>
    <row r="5" spans="2:60" ht="15.6" customHeight="1">
      <c r="B5" s="1560"/>
      <c r="C5" s="1754"/>
      <c r="D5" s="1755"/>
      <c r="E5" s="1755"/>
      <c r="F5" s="1755"/>
      <c r="G5" s="1755"/>
      <c r="H5" s="1755"/>
      <c r="I5" s="1755"/>
      <c r="J5" s="1755"/>
      <c r="K5" s="1755"/>
      <c r="L5" s="1755"/>
      <c r="M5" s="1755"/>
      <c r="N5" s="1755"/>
      <c r="O5" s="1755"/>
      <c r="P5" s="1755"/>
      <c r="Q5" s="1755"/>
      <c r="R5" s="1755"/>
      <c r="S5" s="1755"/>
      <c r="T5" s="1755"/>
      <c r="U5" s="1755"/>
      <c r="V5" s="1755"/>
      <c r="W5" s="1755"/>
      <c r="X5" s="1755"/>
      <c r="Y5" s="1755"/>
      <c r="Z5" s="1755"/>
      <c r="AA5" s="1755"/>
      <c r="AB5" s="1755"/>
      <c r="AC5" s="1755"/>
      <c r="AD5" s="1755"/>
      <c r="AE5" s="1755"/>
      <c r="AF5" s="1755"/>
      <c r="AG5" s="1755"/>
      <c r="AH5" s="1755"/>
      <c r="AI5" s="1755"/>
      <c r="AJ5" s="1755"/>
      <c r="AK5" s="1755"/>
      <c r="AL5" s="1755"/>
      <c r="AM5" s="1755"/>
      <c r="AN5" s="1755"/>
      <c r="AO5" s="1755"/>
      <c r="AP5" s="1755"/>
      <c r="AQ5" s="1755"/>
      <c r="AR5" s="1755"/>
      <c r="AS5" s="1755"/>
      <c r="AT5" s="1755"/>
      <c r="AU5" s="1755"/>
      <c r="AV5" s="1755"/>
      <c r="AW5" s="1755"/>
      <c r="AX5" s="1755"/>
      <c r="AY5" s="1755"/>
      <c r="AZ5" s="1755"/>
      <c r="BA5" s="1755"/>
      <c r="BB5" s="1755"/>
      <c r="BC5" s="1755"/>
      <c r="BD5" s="1755"/>
      <c r="BE5" s="1755"/>
      <c r="BF5" s="1756"/>
      <c r="BG5" s="211" t="s">
        <v>30</v>
      </c>
      <c r="BH5" s="212"/>
    </row>
    <row r="6" spans="2:60" ht="15.6" customHeight="1" thickBot="1">
      <c r="B6" s="1561"/>
      <c r="C6" s="1757"/>
      <c r="D6" s="1758"/>
      <c r="E6" s="1758"/>
      <c r="F6" s="1758"/>
      <c r="G6" s="1758"/>
      <c r="H6" s="1758"/>
      <c r="I6" s="1758"/>
      <c r="J6" s="1758"/>
      <c r="K6" s="1758"/>
      <c r="L6" s="1758"/>
      <c r="M6" s="1758"/>
      <c r="N6" s="1758"/>
      <c r="O6" s="1758"/>
      <c r="P6" s="1758"/>
      <c r="Q6" s="1758"/>
      <c r="R6" s="1758"/>
      <c r="S6" s="1758"/>
      <c r="T6" s="1758"/>
      <c r="U6" s="1758"/>
      <c r="V6" s="1758"/>
      <c r="W6" s="1758"/>
      <c r="X6" s="1758"/>
      <c r="Y6" s="1758"/>
      <c r="Z6" s="1758"/>
      <c r="AA6" s="1758"/>
      <c r="AB6" s="1758"/>
      <c r="AC6" s="1758"/>
      <c r="AD6" s="1758"/>
      <c r="AE6" s="1758"/>
      <c r="AF6" s="1758"/>
      <c r="AG6" s="1758"/>
      <c r="AH6" s="1758"/>
      <c r="AI6" s="1758"/>
      <c r="AJ6" s="1758"/>
      <c r="AK6" s="1758"/>
      <c r="AL6" s="1758"/>
      <c r="AM6" s="1758"/>
      <c r="AN6" s="1758"/>
      <c r="AO6" s="1758"/>
      <c r="AP6" s="1758"/>
      <c r="AQ6" s="1758"/>
      <c r="AR6" s="1758"/>
      <c r="AS6" s="1758"/>
      <c r="AT6" s="1758"/>
      <c r="AU6" s="1758"/>
      <c r="AV6" s="1758"/>
      <c r="AW6" s="1758"/>
      <c r="AX6" s="1758"/>
      <c r="AY6" s="1758"/>
      <c r="AZ6" s="1758"/>
      <c r="BA6" s="1758"/>
      <c r="BB6" s="1758"/>
      <c r="BC6" s="1758"/>
      <c r="BD6" s="1758"/>
      <c r="BE6" s="1758"/>
      <c r="BF6" s="1759"/>
      <c r="BG6" s="1543">
        <v>44306</v>
      </c>
      <c r="BH6" s="1544"/>
    </row>
    <row r="7" spans="2:60" ht="17.25">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744"/>
      <c r="AX7" s="1745"/>
      <c r="AY7" s="1745"/>
      <c r="AZ7" s="1745"/>
      <c r="BA7" s="1746"/>
      <c r="BB7" s="39"/>
      <c r="BC7" s="39"/>
      <c r="BD7" s="39"/>
      <c r="BE7" s="12"/>
      <c r="BF7" s="12"/>
    </row>
    <row r="8" spans="2:60" ht="25.5">
      <c r="B8" s="19" t="s">
        <v>45</v>
      </c>
      <c r="C8" s="1747" t="s">
        <v>86</v>
      </c>
      <c r="D8" s="1747"/>
      <c r="E8" s="17"/>
      <c r="F8" s="17"/>
      <c r="G8" s="17"/>
      <c r="H8" s="17"/>
      <c r="I8" s="17"/>
      <c r="J8" s="17"/>
      <c r="K8" s="17"/>
      <c r="L8" s="17"/>
      <c r="M8" s="17"/>
      <c r="N8" s="17"/>
      <c r="O8" s="17"/>
      <c r="AW8" s="39"/>
      <c r="AX8" s="39"/>
      <c r="AY8" s="39"/>
      <c r="AZ8" s="39"/>
      <c r="BA8" s="39"/>
      <c r="BB8" s="39"/>
      <c r="BC8" s="39"/>
      <c r="BD8" s="39"/>
    </row>
    <row r="9" spans="2:60" ht="50.25" customHeight="1">
      <c r="B9" s="19" t="s">
        <v>34</v>
      </c>
      <c r="C9" s="1748" t="s">
        <v>253</v>
      </c>
      <c r="D9" s="1749"/>
      <c r="E9" s="17"/>
      <c r="F9" s="17"/>
      <c r="G9" s="17"/>
      <c r="H9" s="17"/>
      <c r="I9" s="17"/>
      <c r="J9" s="17"/>
      <c r="K9" s="17"/>
      <c r="L9" s="17"/>
      <c r="M9" s="17"/>
      <c r="N9" s="17"/>
      <c r="O9" s="17"/>
      <c r="AW9" s="39"/>
      <c r="AX9" s="39"/>
      <c r="AY9" s="39"/>
      <c r="AZ9" s="39"/>
      <c r="BA9" s="39"/>
      <c r="BB9" s="39"/>
      <c r="BC9" s="39"/>
      <c r="BD9" s="39"/>
    </row>
    <row r="10" spans="2:60" ht="25.5">
      <c r="B10" s="19" t="s">
        <v>101</v>
      </c>
      <c r="C10" s="1761">
        <v>2022</v>
      </c>
      <c r="D10" s="1762"/>
      <c r="E10" s="17"/>
      <c r="F10" s="17"/>
      <c r="G10" s="17"/>
      <c r="H10" s="17"/>
      <c r="I10" s="17"/>
      <c r="J10" s="17"/>
      <c r="K10" s="17"/>
      <c r="L10" s="17"/>
      <c r="M10" s="17"/>
      <c r="N10" s="17"/>
      <c r="O10" s="17"/>
      <c r="AW10" s="39"/>
      <c r="AX10" s="39"/>
      <c r="AY10" s="39"/>
      <c r="AZ10" s="39"/>
      <c r="BA10" s="39"/>
      <c r="BB10" s="39"/>
      <c r="BC10" s="39"/>
      <c r="BD10" s="39"/>
    </row>
    <row r="11" spans="2:60" ht="17.25">
      <c r="B11" s="2"/>
      <c r="C11" s="2"/>
      <c r="D11" s="2"/>
      <c r="E11" s="2"/>
      <c r="F11" s="2"/>
      <c r="G11" s="4"/>
      <c r="H11" s="4"/>
      <c r="I11" s="2"/>
      <c r="J11" s="2"/>
      <c r="K11" s="2"/>
      <c r="L11" s="2"/>
      <c r="M11" s="2"/>
      <c r="N11" s="2"/>
      <c r="O11" s="2"/>
      <c r="AW11" s="39"/>
      <c r="AX11" s="39"/>
      <c r="AY11" s="39"/>
      <c r="AZ11" s="39"/>
      <c r="BA11" s="39"/>
      <c r="BB11" s="39"/>
      <c r="BC11" s="39"/>
      <c r="BD11" s="39"/>
    </row>
    <row r="12" spans="2:60" ht="15.6" customHeight="1">
      <c r="B12" s="1366" t="s">
        <v>0</v>
      </c>
      <c r="C12" s="1366" t="s">
        <v>52</v>
      </c>
      <c r="D12" s="1366" t="s">
        <v>710</v>
      </c>
      <c r="E12" s="1366" t="s">
        <v>61</v>
      </c>
      <c r="F12" s="1366" t="s">
        <v>681</v>
      </c>
      <c r="G12" s="1366" t="s">
        <v>58</v>
      </c>
      <c r="H12" s="1366" t="s">
        <v>25</v>
      </c>
      <c r="I12" s="1366" t="s">
        <v>60</v>
      </c>
      <c r="J12" s="1366" t="s">
        <v>39</v>
      </c>
      <c r="K12" s="1366" t="s">
        <v>36</v>
      </c>
      <c r="L12" s="1366" t="s">
        <v>20</v>
      </c>
      <c r="M12" s="1366" t="s">
        <v>51</v>
      </c>
      <c r="N12" s="1366" t="s">
        <v>40</v>
      </c>
      <c r="O12" s="1366" t="s">
        <v>42</v>
      </c>
      <c r="P12" s="1398" t="s">
        <v>112</v>
      </c>
      <c r="Q12" s="1398"/>
      <c r="R12" s="1398"/>
      <c r="S12" s="1398"/>
      <c r="T12" s="1398"/>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T12" s="1398"/>
      <c r="AU12" s="1398"/>
      <c r="AV12" s="1760" t="s">
        <v>62</v>
      </c>
      <c r="AW12" s="1656" t="s">
        <v>682</v>
      </c>
      <c r="AX12" s="1657"/>
      <c r="AY12" s="1657"/>
      <c r="AZ12" s="1658"/>
      <c r="BA12" s="1645" t="s">
        <v>683</v>
      </c>
      <c r="BB12" s="1646"/>
      <c r="BC12" s="1646"/>
      <c r="BD12" s="1647"/>
      <c r="BE12" s="1680" t="s">
        <v>684</v>
      </c>
      <c r="BF12" s="1681"/>
      <c r="BG12" s="1681"/>
      <c r="BH12" s="1682"/>
    </row>
    <row r="13" spans="2:60" ht="15.75">
      <c r="B13" s="1366"/>
      <c r="C13" s="1366"/>
      <c r="D13" s="1366"/>
      <c r="E13" s="1366"/>
      <c r="F13" s="1366"/>
      <c r="G13" s="1366"/>
      <c r="H13" s="1366"/>
      <c r="I13" s="1366"/>
      <c r="J13" s="1366"/>
      <c r="K13" s="1366"/>
      <c r="L13" s="1366"/>
      <c r="M13" s="1366"/>
      <c r="N13" s="1366"/>
      <c r="O13" s="1366"/>
      <c r="P13" s="1750" t="s">
        <v>21</v>
      </c>
      <c r="Q13" s="1750"/>
      <c r="R13" s="1750"/>
      <c r="S13" s="1750"/>
      <c r="T13" s="1750"/>
      <c r="U13" s="1750"/>
      <c r="V13" s="1750"/>
      <c r="W13" s="1750"/>
      <c r="X13" s="1750" t="s">
        <v>22</v>
      </c>
      <c r="Y13" s="1750"/>
      <c r="Z13" s="1750"/>
      <c r="AA13" s="1750"/>
      <c r="AB13" s="1750"/>
      <c r="AC13" s="1750"/>
      <c r="AD13" s="1750"/>
      <c r="AE13" s="1750"/>
      <c r="AF13" s="1750" t="s">
        <v>23</v>
      </c>
      <c r="AG13" s="1750"/>
      <c r="AH13" s="1750"/>
      <c r="AI13" s="1750"/>
      <c r="AJ13" s="1750"/>
      <c r="AK13" s="1750"/>
      <c r="AL13" s="1750"/>
      <c r="AM13" s="1750"/>
      <c r="AN13" s="1750" t="s">
        <v>24</v>
      </c>
      <c r="AO13" s="1750"/>
      <c r="AP13" s="1750"/>
      <c r="AQ13" s="1750"/>
      <c r="AR13" s="1750"/>
      <c r="AS13" s="1750"/>
      <c r="AT13" s="1750"/>
      <c r="AU13" s="1750"/>
      <c r="AV13" s="1760"/>
      <c r="AW13" s="1738" t="s">
        <v>119</v>
      </c>
      <c r="AX13" s="1738" t="s">
        <v>22</v>
      </c>
      <c r="AY13" s="1738" t="s">
        <v>120</v>
      </c>
      <c r="AZ13" s="1738" t="s">
        <v>121</v>
      </c>
      <c r="BA13" s="1741" t="s">
        <v>119</v>
      </c>
      <c r="BB13" s="1741" t="s">
        <v>122</v>
      </c>
      <c r="BC13" s="1741" t="s">
        <v>123</v>
      </c>
      <c r="BD13" s="1741" t="s">
        <v>124</v>
      </c>
      <c r="BE13" s="1735" t="s">
        <v>21</v>
      </c>
      <c r="BF13" s="1735" t="s">
        <v>22</v>
      </c>
      <c r="BG13" s="1735" t="s">
        <v>23</v>
      </c>
      <c r="BH13" s="1735" t="s">
        <v>24</v>
      </c>
    </row>
    <row r="14" spans="2:60" ht="15.75">
      <c r="B14" s="1366"/>
      <c r="C14" s="1366"/>
      <c r="D14" s="1366"/>
      <c r="E14" s="1366"/>
      <c r="F14" s="1366"/>
      <c r="G14" s="1366"/>
      <c r="H14" s="1366"/>
      <c r="I14" s="1366"/>
      <c r="J14" s="1366"/>
      <c r="K14" s="1366"/>
      <c r="L14" s="1366"/>
      <c r="M14" s="1366"/>
      <c r="N14" s="1366"/>
      <c r="O14" s="1366"/>
      <c r="P14" s="1734" t="s">
        <v>5</v>
      </c>
      <c r="Q14" s="1734"/>
      <c r="R14" s="1734" t="s">
        <v>6</v>
      </c>
      <c r="S14" s="1734"/>
      <c r="T14" s="1734" t="s">
        <v>7</v>
      </c>
      <c r="U14" s="1734"/>
      <c r="V14" s="1398" t="s">
        <v>8</v>
      </c>
      <c r="W14" s="1398"/>
      <c r="X14" s="1734" t="s">
        <v>27</v>
      </c>
      <c r="Y14" s="1734"/>
      <c r="Z14" s="1734" t="s">
        <v>9</v>
      </c>
      <c r="AA14" s="1734"/>
      <c r="AB14" s="1734" t="s">
        <v>10</v>
      </c>
      <c r="AC14" s="1734"/>
      <c r="AD14" s="1398" t="s">
        <v>8</v>
      </c>
      <c r="AE14" s="1398"/>
      <c r="AF14" s="1734" t="s">
        <v>11</v>
      </c>
      <c r="AG14" s="1734"/>
      <c r="AH14" s="1734" t="s">
        <v>12</v>
      </c>
      <c r="AI14" s="1734"/>
      <c r="AJ14" s="1734" t="s">
        <v>13</v>
      </c>
      <c r="AK14" s="1734"/>
      <c r="AL14" s="1398" t="s">
        <v>8</v>
      </c>
      <c r="AM14" s="1398"/>
      <c r="AN14" s="1734" t="s">
        <v>14</v>
      </c>
      <c r="AO14" s="1734"/>
      <c r="AP14" s="1734" t="s">
        <v>15</v>
      </c>
      <c r="AQ14" s="1734"/>
      <c r="AR14" s="1734" t="s">
        <v>16</v>
      </c>
      <c r="AS14" s="1734"/>
      <c r="AT14" s="1398" t="s">
        <v>8</v>
      </c>
      <c r="AU14" s="1398"/>
      <c r="AV14" s="1760"/>
      <c r="AW14" s="1739"/>
      <c r="AX14" s="1739"/>
      <c r="AY14" s="1739"/>
      <c r="AZ14" s="1739"/>
      <c r="BA14" s="1742"/>
      <c r="BB14" s="1742"/>
      <c r="BC14" s="1742"/>
      <c r="BD14" s="1742"/>
      <c r="BE14" s="1736"/>
      <c r="BF14" s="1736"/>
      <c r="BG14" s="1736"/>
      <c r="BH14" s="1736"/>
    </row>
    <row r="15" spans="2:60" ht="13.15" customHeight="1">
      <c r="B15" s="1366"/>
      <c r="C15" s="1366"/>
      <c r="D15" s="1366"/>
      <c r="E15" s="1366"/>
      <c r="F15" s="1366"/>
      <c r="G15" s="1366"/>
      <c r="H15" s="1366"/>
      <c r="I15" s="1366"/>
      <c r="J15" s="1366"/>
      <c r="K15" s="1366"/>
      <c r="L15" s="1366"/>
      <c r="M15" s="1366"/>
      <c r="N15" s="1366"/>
      <c r="O15" s="1366"/>
      <c r="P15" s="54" t="s">
        <v>17</v>
      </c>
      <c r="Q15" s="55" t="s">
        <v>18</v>
      </c>
      <c r="R15" s="54" t="s">
        <v>17</v>
      </c>
      <c r="S15" s="55" t="s">
        <v>18</v>
      </c>
      <c r="T15" s="54" t="s">
        <v>17</v>
      </c>
      <c r="U15" s="55" t="s">
        <v>18</v>
      </c>
      <c r="V15" s="56" t="s">
        <v>17</v>
      </c>
      <c r="W15" s="57" t="s">
        <v>18</v>
      </c>
      <c r="X15" s="54" t="s">
        <v>17</v>
      </c>
      <c r="Y15" s="55" t="s">
        <v>18</v>
      </c>
      <c r="Z15" s="54" t="s">
        <v>17</v>
      </c>
      <c r="AA15" s="55" t="s">
        <v>18</v>
      </c>
      <c r="AB15" s="54" t="s">
        <v>17</v>
      </c>
      <c r="AC15" s="55" t="s">
        <v>18</v>
      </c>
      <c r="AD15" s="56" t="s">
        <v>17</v>
      </c>
      <c r="AE15" s="57" t="s">
        <v>18</v>
      </c>
      <c r="AF15" s="54" t="s">
        <v>17</v>
      </c>
      <c r="AG15" s="55" t="s">
        <v>18</v>
      </c>
      <c r="AH15" s="54" t="s">
        <v>17</v>
      </c>
      <c r="AI15" s="55" t="s">
        <v>18</v>
      </c>
      <c r="AJ15" s="54" t="s">
        <v>17</v>
      </c>
      <c r="AK15" s="55" t="s">
        <v>18</v>
      </c>
      <c r="AL15" s="56" t="s">
        <v>17</v>
      </c>
      <c r="AM15" s="57" t="s">
        <v>18</v>
      </c>
      <c r="AN15" s="54" t="s">
        <v>17</v>
      </c>
      <c r="AO15" s="55" t="s">
        <v>18</v>
      </c>
      <c r="AP15" s="54" t="s">
        <v>17</v>
      </c>
      <c r="AQ15" s="55" t="s">
        <v>18</v>
      </c>
      <c r="AR15" s="54" t="s">
        <v>17</v>
      </c>
      <c r="AS15" s="55" t="s">
        <v>18</v>
      </c>
      <c r="AT15" s="56" t="s">
        <v>17</v>
      </c>
      <c r="AU15" s="57" t="s">
        <v>18</v>
      </c>
      <c r="AV15" s="1760"/>
      <c r="AW15" s="1740"/>
      <c r="AX15" s="1740"/>
      <c r="AY15" s="1740"/>
      <c r="AZ15" s="1740"/>
      <c r="BA15" s="1743"/>
      <c r="BB15" s="1743"/>
      <c r="BC15" s="1743"/>
      <c r="BD15" s="1743"/>
      <c r="BE15" s="1737"/>
      <c r="BF15" s="1737"/>
      <c r="BG15" s="1737"/>
      <c r="BH15" s="1737"/>
    </row>
    <row r="16" spans="2:60" ht="81.599999999999994" customHeight="1">
      <c r="B16" s="1535"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5" t="str">
        <f>+'01-FR-03 POA INSTITUCIONAL'!C93</f>
        <v>4.6. Desarrollar el 100% de las estrategias de comunicación organizacional y de medios que contribuyan al logro de los objetivos institucionales y al posicionamiento de la Entidad.</v>
      </c>
      <c r="D16" s="51" t="str">
        <f>+'01-FR-03 POA INSTITUCIONAL'!D93</f>
        <v>4.6.1  Desarrollar el 100% de los productos para comunicación y divulgación externa que promuevan y difundan la gestión institucional</v>
      </c>
      <c r="E16" s="52">
        <f>+'01-FR-03 POA INSTITUCIONAL'!E93</f>
        <v>0.5</v>
      </c>
      <c r="F16" s="52">
        <f>+'01-FR-03 POA INSTITUCIONAL'!F93</f>
        <v>1</v>
      </c>
      <c r="G16" s="52">
        <f>+'01-FR-03 POA INSTITUCIONAL'!L93</f>
        <v>1</v>
      </c>
      <c r="H16" s="52">
        <f>+'01-FR-03 POA INSTITUCIONAL'!G93</f>
        <v>1</v>
      </c>
      <c r="I16" s="40" t="str">
        <f>+'01-FR-03 POA INSTITUCIONAL'!H93</f>
        <v>Productos de comunicación externa desarrollados</v>
      </c>
      <c r="J16" s="72" t="s">
        <v>585</v>
      </c>
      <c r="K16" s="61" t="s">
        <v>591</v>
      </c>
      <c r="L16" s="71" t="s">
        <v>586</v>
      </c>
      <c r="M16" s="71" t="s">
        <v>587</v>
      </c>
      <c r="N16" s="71" t="s">
        <v>588</v>
      </c>
      <c r="O16" s="62" t="str">
        <f>+'01-FR-03 POA INSTITUCIONAL'!J93</f>
        <v>Oficina Asesora de Comunicaciones</v>
      </c>
      <c r="P16" s="92">
        <v>1</v>
      </c>
      <c r="Q16" s="309">
        <v>1</v>
      </c>
      <c r="R16" s="92">
        <v>1</v>
      </c>
      <c r="S16" s="309">
        <v>1</v>
      </c>
      <c r="T16" s="92">
        <v>1</v>
      </c>
      <c r="U16" s="309">
        <v>1</v>
      </c>
      <c r="V16" s="89">
        <f>AVERAGE(P16,R16,T16)</f>
        <v>1</v>
      </c>
      <c r="W16" s="89">
        <f>IFERROR(AVERAGE(Q16,S16,U16),0)</f>
        <v>1</v>
      </c>
      <c r="X16" s="92">
        <v>1</v>
      </c>
      <c r="Y16" s="309">
        <v>1</v>
      </c>
      <c r="Z16" s="92">
        <v>1</v>
      </c>
      <c r="AA16" s="309">
        <v>1</v>
      </c>
      <c r="AB16" s="92">
        <v>1</v>
      </c>
      <c r="AC16" s="309">
        <v>1</v>
      </c>
      <c r="AD16" s="89">
        <f>AVERAGE(X16,Z16,AB16)</f>
        <v>1</v>
      </c>
      <c r="AE16" s="89">
        <f>IFERROR(AVERAGE(Y16,AA16,AC16),0)</f>
        <v>1</v>
      </c>
      <c r="AF16" s="92">
        <v>1</v>
      </c>
      <c r="AG16" s="92">
        <v>1</v>
      </c>
      <c r="AH16" s="92">
        <v>1</v>
      </c>
      <c r="AI16" s="309">
        <v>1</v>
      </c>
      <c r="AJ16" s="92">
        <v>1</v>
      </c>
      <c r="AK16" s="309">
        <v>1</v>
      </c>
      <c r="AL16" s="89">
        <f>AVERAGE(AF16,AH16,AJ16)</f>
        <v>1</v>
      </c>
      <c r="AM16" s="89">
        <f>IFERROR(AVERAGE(AG16,AI16,AK16),0)</f>
        <v>1</v>
      </c>
      <c r="AN16" s="92">
        <v>1</v>
      </c>
      <c r="AO16" s="1047">
        <v>0</v>
      </c>
      <c r="AP16" s="92">
        <v>1</v>
      </c>
      <c r="AQ16" s="1047">
        <v>0</v>
      </c>
      <c r="AR16" s="92">
        <v>1</v>
      </c>
      <c r="AS16" s="1047">
        <v>0</v>
      </c>
      <c r="AT16" s="89">
        <f>AVERAGE(AN16,AP16,AR16)</f>
        <v>1</v>
      </c>
      <c r="AU16" s="89">
        <f>IFERROR(AVERAGE(AO16,AQ16,AS16),0)</f>
        <v>0</v>
      </c>
      <c r="AV16" s="89">
        <f>AVERAGE(P16,R16,T16,X16,Z16,AB16,AF16,AH16,AJ16,AN16,AP16,AR16)</f>
        <v>1</v>
      </c>
      <c r="AW16" s="65">
        <f>IFERROR(IF(OR($AV$16="",$AV$16=0),0,ROUNDDOWN(AVERAGE($Q16,$S16,$U16),3)),0)</f>
        <v>1</v>
      </c>
      <c r="AX16" s="65">
        <f>IFERROR(IF(OR($AV$17="",$AV$17=0),0,ROUNDDOWN(AVERAGE($Q16,$S16,$U16,$Y16,$AA16,$AC16),3)),0)</f>
        <v>1</v>
      </c>
      <c r="AY16" s="65">
        <f>IFERROR(IF(OR($AV$16="",$AV$16=0),0,ROUNDDOWN(AVERAGE($Q16,$S16,$U16,$Y16,$AA16,$AC16,$AG16,$AI16,$AK16),3)),0)</f>
        <v>1</v>
      </c>
      <c r="AZ16" s="1038">
        <f t="shared" ref="AZ16" si="0">IFERROR(IF(OR($AV$16="",$AV$16=0),0,ROUNDDOWN(AVERAGE($Q16,$S16,$U16,$Y16,$AA16,$AC16,$AG16,$AI16,$AK16,$AO16,$AQ16,$AS16),3)),0)</f>
        <v>0.75</v>
      </c>
      <c r="BA16" s="341">
        <f>(IF(AND(AW16&gt;0,$AV16&gt;0),AW16/$AV16,0))*0.25</f>
        <v>0.25</v>
      </c>
      <c r="BB16" s="341">
        <f>(IF(AND(AX16&gt;0,$AV16&gt;0),AX16/$AV16,0))*0.5</f>
        <v>0.5</v>
      </c>
      <c r="BC16" s="341">
        <f>(IF(AND(AY16&gt;0,$AV16&gt;0),AY16/$AV16,0))*0.75</f>
        <v>0.75</v>
      </c>
      <c r="BD16" s="341">
        <f t="shared" ref="BD16" si="1">(IF(AND(AZ16&gt;0,$AV16&gt;0),AZ16/$AV16,0))</f>
        <v>0.75</v>
      </c>
      <c r="BE16" s="347">
        <f>((IF(AND(AW16&gt;0,$F16&gt;0),AW16/$F16,0))/4)*0.25</f>
        <v>6.25E-2</v>
      </c>
      <c r="BF16" s="347">
        <f>((IF(AND(AX16&gt;0,$F16&gt;0),AX16/$F16,0))/4)*0.5</f>
        <v>0.125</v>
      </c>
      <c r="BG16" s="345">
        <f>((IF(AND(AY16&gt;0,$F16&gt;0),AY16/$F16,0))/4)*0.75</f>
        <v>0.1875</v>
      </c>
      <c r="BH16" s="1039">
        <f>((IF(AND(AZ16&gt;0,$F16&gt;0),AZ16/$F16,0))/4)</f>
        <v>0.1875</v>
      </c>
    </row>
    <row r="17" spans="2:60" ht="78.599999999999994" customHeight="1">
      <c r="B17" s="1352"/>
      <c r="C17" s="1352"/>
      <c r="D17" s="51" t="str">
        <f>+'01-FR-03 POA INSTITUCIONAL'!D94</f>
        <v>4.6.2 Desarrollar el 100% de los productos para comunicación y divulgación interna que contribuyan a la consecución de objetivos institucionales</v>
      </c>
      <c r="E17" s="52">
        <f>+'01-FR-03 POA INSTITUCIONAL'!E94</f>
        <v>0.5</v>
      </c>
      <c r="F17" s="52">
        <f>+'01-FR-03 POA INSTITUCIONAL'!F94</f>
        <v>1</v>
      </c>
      <c r="G17" s="52">
        <f>+'01-FR-03 POA INSTITUCIONAL'!L94</f>
        <v>1</v>
      </c>
      <c r="H17" s="52">
        <f>+'01-FR-03 POA INSTITUCIONAL'!G94</f>
        <v>1</v>
      </c>
      <c r="I17" s="40" t="str">
        <f>+'01-FR-03 POA INSTITUCIONAL'!H94</f>
        <v>Productos  de comunicación interna
desarrollados</v>
      </c>
      <c r="J17" s="72" t="s">
        <v>589</v>
      </c>
      <c r="K17" s="61" t="s">
        <v>592</v>
      </c>
      <c r="L17" s="71" t="s">
        <v>590</v>
      </c>
      <c r="M17" s="71" t="s">
        <v>587</v>
      </c>
      <c r="N17" s="71" t="s">
        <v>588</v>
      </c>
      <c r="O17" s="62" t="str">
        <f>+'01-FR-03 POA INSTITUCIONAL'!J94</f>
        <v>Oficina Asesora de Comunicaciones</v>
      </c>
      <c r="P17" s="92">
        <v>1</v>
      </c>
      <c r="Q17" s="309">
        <v>1</v>
      </c>
      <c r="R17" s="92">
        <v>1</v>
      </c>
      <c r="S17" s="309">
        <v>1</v>
      </c>
      <c r="T17" s="92">
        <v>1</v>
      </c>
      <c r="U17" s="309">
        <v>1</v>
      </c>
      <c r="V17" s="89">
        <f t="shared" ref="V17" si="2">AVERAGE(P17,R17,T17)</f>
        <v>1</v>
      </c>
      <c r="W17" s="89">
        <f t="shared" ref="W17" si="3">IFERROR(AVERAGE(Q17,S17,U17),0)</f>
        <v>1</v>
      </c>
      <c r="X17" s="92">
        <v>1</v>
      </c>
      <c r="Y17" s="309">
        <v>1</v>
      </c>
      <c r="Z17" s="92">
        <v>1</v>
      </c>
      <c r="AA17" s="309">
        <v>1</v>
      </c>
      <c r="AB17" s="92">
        <v>1</v>
      </c>
      <c r="AC17" s="309">
        <v>1</v>
      </c>
      <c r="AD17" s="89">
        <f t="shared" ref="AD17" si="4">AVERAGE(X17,Z17,AB17)</f>
        <v>1</v>
      </c>
      <c r="AE17" s="89">
        <f t="shared" ref="AE17" si="5">IFERROR(AVERAGE(Y17,AA17,AC17),0)</f>
        <v>1</v>
      </c>
      <c r="AF17" s="92">
        <v>1</v>
      </c>
      <c r="AG17" s="92">
        <v>1</v>
      </c>
      <c r="AH17" s="92">
        <v>1</v>
      </c>
      <c r="AI17" s="309">
        <v>1</v>
      </c>
      <c r="AJ17" s="92">
        <v>1</v>
      </c>
      <c r="AK17" s="309">
        <v>1</v>
      </c>
      <c r="AL17" s="89">
        <f t="shared" ref="AL17" si="6">AVERAGE(AF17,AH17,AJ17)</f>
        <v>1</v>
      </c>
      <c r="AM17" s="89">
        <f t="shared" ref="AM17" si="7">IFERROR(AVERAGE(AG17,AI17,AK17),0)</f>
        <v>1</v>
      </c>
      <c r="AN17" s="92">
        <v>1</v>
      </c>
      <c r="AO17" s="1047">
        <v>0</v>
      </c>
      <c r="AP17" s="92">
        <v>1</v>
      </c>
      <c r="AQ17" s="1047">
        <v>0</v>
      </c>
      <c r="AR17" s="92">
        <v>1</v>
      </c>
      <c r="AS17" s="1047">
        <v>0</v>
      </c>
      <c r="AT17" s="89">
        <f t="shared" ref="AT17" si="8">AVERAGE(AN17,AP17,AR17)</f>
        <v>1</v>
      </c>
      <c r="AU17" s="89">
        <f t="shared" ref="AU17" si="9">IFERROR(AVERAGE(AO17,AQ17,AS17),0)</f>
        <v>0</v>
      </c>
      <c r="AV17" s="89">
        <f t="shared" ref="AV17" si="10">AVERAGE(P17,R17,T17,X17,Z17,AB17,AF17,AH17,AJ17,AN17,AP17,AR17)</f>
        <v>1</v>
      </c>
      <c r="AW17" s="65">
        <f>IFERROR(IF(OR($AV$17="",$AV$17=0),0,ROUNDDOWN(AVERAGE($Q17,$S17,$U17),3)),0)</f>
        <v>1</v>
      </c>
      <c r="AX17" s="65">
        <f>IFERROR(IF(OR($AV$17="",$AV$17=0),0,ROUNDDOWN(AVERAGE($Q17,$S17,$U17,$Y17,$AA17,$AC17),3)),0)</f>
        <v>1</v>
      </c>
      <c r="AY17" s="65">
        <f>IFERROR(IF(OR($AV$17="",$AV$17=0),0,ROUNDDOWN(AVERAGE($Q17,$S17,$U17,$Y17,$AA17,$AC17,$AG17,$AI17,$AK17),3)),0)</f>
        <v>1</v>
      </c>
      <c r="AZ17" s="1038">
        <f>IFERROR(IF(OR($AV$17="",$AV$17=0),0,ROUNDDOWN(AVERAGE($Q17,$S17,$U17,$Y17,$AA17,$AC17,$AG17,$AI17,$AK17,$AO17,$AQ17,$AS17),3)),0)</f>
        <v>0.75</v>
      </c>
      <c r="BA17" s="341">
        <f>(IF(AND(AW17&gt;0,$AV17&gt;0),AW17/$AV17,0))*0.25</f>
        <v>0.25</v>
      </c>
      <c r="BB17" s="341">
        <f>(IF(AND(AX17&gt;0,$AV17&gt;0),AX17/$AV17,0))*0.5</f>
        <v>0.5</v>
      </c>
      <c r="BC17" s="341">
        <f>(IF(AND(AY17&gt;0,$AV17&gt;0),AY17/$AV17,0))*0.75</f>
        <v>0.75</v>
      </c>
      <c r="BD17" s="341">
        <f t="shared" ref="BD17" si="11">(IF(AND(AZ17&gt;0,$AV17&gt;0),AZ17/$AV17,0))</f>
        <v>0.75</v>
      </c>
      <c r="BE17" s="347">
        <f>((IF(AND(AW17&gt;0,$F17&gt;0),AW17/$F17,0))*0.25)*0.25</f>
        <v>6.25E-2</v>
      </c>
      <c r="BF17" s="347">
        <f>((IF(AND(AX17&gt;0,$F17&gt;0),AX17/$F17,0))/4)*0.5</f>
        <v>0.125</v>
      </c>
      <c r="BG17" s="345">
        <f>((IF(AND(AY17&gt;0,$F17&gt;0),AY17/$F17,0))/4)*0.75</f>
        <v>0.1875</v>
      </c>
      <c r="BH17" s="1039">
        <f>((IF(AND(AZ17&gt;0,$F17&gt;0),AZ17/$F17,0))/4)</f>
        <v>0.1875</v>
      </c>
    </row>
    <row r="18" spans="2:60" ht="23.25">
      <c r="B18" s="1719"/>
      <c r="C18" s="1720"/>
      <c r="D18" s="1720"/>
      <c r="E18" s="1720"/>
      <c r="F18" s="1720"/>
      <c r="G18" s="1720"/>
      <c r="H18" s="1720"/>
      <c r="I18" s="1720"/>
      <c r="J18" s="1720"/>
      <c r="K18" s="1720"/>
      <c r="L18" s="1720"/>
      <c r="M18" s="1720"/>
      <c r="N18" s="1720"/>
      <c r="O18" s="1720"/>
      <c r="P18" s="1720"/>
      <c r="Q18" s="1720"/>
      <c r="R18" s="1720"/>
      <c r="S18" s="1720"/>
      <c r="T18" s="1720"/>
      <c r="U18" s="1720"/>
      <c r="V18" s="1720"/>
      <c r="W18" s="1720"/>
      <c r="X18" s="1720"/>
      <c r="Y18" s="1720"/>
      <c r="Z18" s="1720"/>
      <c r="AA18" s="1720"/>
      <c r="AB18" s="1720"/>
      <c r="AC18" s="1720"/>
      <c r="AD18" s="1720"/>
      <c r="AE18" s="1720"/>
      <c r="AF18" s="1720"/>
      <c r="AG18" s="1720"/>
      <c r="AH18" s="1720"/>
      <c r="AI18" s="1720"/>
      <c r="AJ18" s="1720"/>
      <c r="AK18" s="1720"/>
      <c r="AL18" s="1720"/>
      <c r="AM18" s="1720"/>
      <c r="AN18" s="1720"/>
      <c r="AO18" s="1720"/>
      <c r="AP18" s="1720"/>
      <c r="AQ18" s="1720"/>
      <c r="AR18" s="1720"/>
      <c r="AS18" s="1720"/>
      <c r="AT18" s="1720"/>
      <c r="AU18" s="1720"/>
      <c r="AV18" s="1720"/>
      <c r="AW18" s="1721"/>
      <c r="AX18" s="1722" t="s">
        <v>19</v>
      </c>
      <c r="AY18" s="1723"/>
      <c r="AZ18" s="1723"/>
      <c r="BA18" s="70">
        <f t="shared" ref="BA18:BD18" si="12">AVERAGE(BA16:BA17)</f>
        <v>0.25</v>
      </c>
      <c r="BB18" s="70">
        <f t="shared" si="12"/>
        <v>0.5</v>
      </c>
      <c r="BC18" s="70">
        <f t="shared" si="12"/>
        <v>0.75</v>
      </c>
      <c r="BD18" s="70">
        <f t="shared" si="12"/>
        <v>0.75</v>
      </c>
      <c r="BE18" s="1714"/>
      <c r="BF18" s="1715"/>
      <c r="BG18" s="1715"/>
      <c r="BH18" s="1716"/>
    </row>
    <row r="19" spans="2:60" ht="17.25">
      <c r="B19" s="1718"/>
      <c r="C19" s="1718"/>
      <c r="D19" s="1718"/>
      <c r="E19" s="1718"/>
      <c r="F19" s="1718"/>
      <c r="G19" s="1718"/>
      <c r="H19" s="44"/>
      <c r="I19" s="43"/>
      <c r="J19" s="43"/>
      <c r="K19" s="43"/>
      <c r="L19" s="43"/>
      <c r="M19" s="43"/>
      <c r="N19" s="43"/>
      <c r="O19" s="43"/>
    </row>
    <row r="20" spans="2:60" ht="17.25">
      <c r="B20" s="43"/>
      <c r="C20" s="43"/>
      <c r="D20" s="1724"/>
      <c r="E20" s="1724"/>
      <c r="F20" s="1724"/>
      <c r="G20" s="1724"/>
      <c r="H20" s="1724"/>
      <c r="I20" s="1724"/>
      <c r="J20" s="1724"/>
      <c r="K20" s="1724"/>
      <c r="L20" s="1724"/>
      <c r="M20" s="1724"/>
      <c r="N20" s="1724"/>
      <c r="O20" s="1724"/>
    </row>
    <row r="21" spans="2:60" ht="15.6" customHeight="1">
      <c r="B21" s="45" t="s">
        <v>26</v>
      </c>
      <c r="C21" s="46">
        <v>44224</v>
      </c>
      <c r="D21" s="47"/>
      <c r="E21" s="1725" t="s">
        <v>50</v>
      </c>
      <c r="F21" s="1728" t="s">
        <v>1104</v>
      </c>
      <c r="G21" s="1729"/>
      <c r="H21" s="1729"/>
      <c r="I21" s="1729"/>
      <c r="J21" s="1730"/>
      <c r="K21" s="48"/>
      <c r="L21" s="1726"/>
      <c r="M21" s="1726"/>
      <c r="N21" s="1726"/>
      <c r="O21" s="1727"/>
      <c r="T21" s="346"/>
    </row>
    <row r="22" spans="2:60" ht="17.25">
      <c r="B22" s="43"/>
      <c r="C22" s="43"/>
      <c r="D22" s="48"/>
      <c r="E22" s="1725"/>
      <c r="F22" s="1731"/>
      <c r="G22" s="1732"/>
      <c r="H22" s="1732"/>
      <c r="I22" s="1732"/>
      <c r="J22" s="1733"/>
      <c r="K22" s="43"/>
      <c r="L22" s="43"/>
      <c r="M22" s="43"/>
      <c r="N22" s="43"/>
      <c r="O22" s="43"/>
    </row>
    <row r="23" spans="2:60" ht="17.25">
      <c r="B23" s="45" t="s">
        <v>49</v>
      </c>
      <c r="C23" s="80">
        <v>44581</v>
      </c>
      <c r="D23" s="43"/>
      <c r="E23" s="43"/>
      <c r="F23" s="43"/>
      <c r="K23" s="43"/>
      <c r="L23" s="43"/>
      <c r="M23" s="43"/>
      <c r="N23" s="43"/>
      <c r="O23" s="43"/>
    </row>
    <row r="24" spans="2:60" ht="17.25">
      <c r="B24" s="43"/>
      <c r="C24" s="43"/>
      <c r="D24" s="43"/>
      <c r="E24" s="43"/>
      <c r="F24" s="43"/>
      <c r="K24" s="43"/>
      <c r="L24" s="43"/>
      <c r="M24" s="43"/>
      <c r="N24" s="43"/>
      <c r="O24" s="43"/>
    </row>
    <row r="25" spans="2:60" ht="17.25">
      <c r="B25" s="605" t="s">
        <v>680</v>
      </c>
      <c r="C25" s="43"/>
      <c r="D25" s="43"/>
      <c r="E25" s="43"/>
      <c r="F25" s="43"/>
      <c r="G25" s="44"/>
      <c r="H25" s="44"/>
      <c r="I25" s="1717"/>
      <c r="J25" s="1717"/>
      <c r="K25" s="1717"/>
      <c r="L25" s="1717"/>
      <c r="M25" s="49"/>
      <c r="N25" s="49"/>
      <c r="O25" s="49"/>
    </row>
    <row r="26" spans="2:60" ht="17.25">
      <c r="B26" s="43"/>
      <c r="C26" s="43"/>
      <c r="D26" s="43"/>
      <c r="E26" s="43"/>
      <c r="F26" s="43"/>
      <c r="G26" s="44"/>
      <c r="H26" s="44"/>
      <c r="I26" s="43"/>
      <c r="J26" s="43"/>
      <c r="K26" s="50"/>
      <c r="L26" s="43"/>
      <c r="M26" s="43"/>
      <c r="N26" s="43"/>
      <c r="O26" s="43"/>
    </row>
    <row r="27" spans="2:60" ht="17.25">
      <c r="B27" s="43"/>
      <c r="C27" s="43"/>
      <c r="D27" s="43"/>
      <c r="E27" s="43"/>
      <c r="F27" s="43"/>
      <c r="G27" s="44"/>
      <c r="H27" s="44"/>
      <c r="I27" s="1717"/>
      <c r="J27" s="1717"/>
      <c r="K27" s="1717"/>
      <c r="L27" s="1717"/>
      <c r="M27" s="49"/>
      <c r="N27" s="49"/>
      <c r="O27" s="49"/>
    </row>
    <row r="28" spans="2:60" ht="17.25">
      <c r="B28" s="43"/>
      <c r="C28" s="43"/>
      <c r="D28" s="43"/>
      <c r="E28" s="43"/>
      <c r="F28" s="43"/>
      <c r="G28" s="44"/>
      <c r="H28" s="44"/>
      <c r="I28" s="43"/>
      <c r="J28" s="43"/>
      <c r="K28" s="50"/>
      <c r="L28" s="43"/>
      <c r="M28" s="43"/>
      <c r="N28" s="43"/>
      <c r="O28" s="43"/>
    </row>
    <row r="29" spans="2:60" ht="17.25">
      <c r="B29" s="43"/>
      <c r="C29" s="43"/>
      <c r="D29" s="43"/>
      <c r="E29" s="43"/>
      <c r="F29" s="43"/>
      <c r="G29" s="44"/>
      <c r="H29" s="44"/>
      <c r="I29" s="1717"/>
      <c r="J29" s="1717"/>
      <c r="K29" s="1717"/>
      <c r="L29" s="1717"/>
      <c r="M29" s="49"/>
      <c r="N29" s="49"/>
      <c r="O29" s="49"/>
    </row>
  </sheetData>
  <sheetProtection algorithmName="SHA-512" hashValue="wFdBmTCLwJmXmtfazgFfWGYxJOuTvgP5j5VY37kyg3MjNJiF0ksq1Tbegu3bI7gJMMsuP5EwxRYafCmbePJQ3A==" saltValue="5ZtOzZ9+8v+hAaTutZJY8w==" spinCount="100000" sheet="1" objects="1" scenarios="1"/>
  <mergeCells count="71">
    <mergeCell ref="B2:B6"/>
    <mergeCell ref="B12:B15"/>
    <mergeCell ref="C12:C15"/>
    <mergeCell ref="D12:D15"/>
    <mergeCell ref="E12:E15"/>
    <mergeCell ref="C10:D10"/>
    <mergeCell ref="K12:K15"/>
    <mergeCell ref="C2:BF6"/>
    <mergeCell ref="AJ14:AK14"/>
    <mergeCell ref="AL14:AM14"/>
    <mergeCell ref="P13:W13"/>
    <mergeCell ref="AV12:AV15"/>
    <mergeCell ref="AW12:AZ12"/>
    <mergeCell ref="BA12:BD12"/>
    <mergeCell ref="BF13:BF15"/>
    <mergeCell ref="F12:F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BG13:BG15"/>
    <mergeCell ref="BE12:BH12"/>
    <mergeCell ref="BH13:BH15"/>
    <mergeCell ref="AW13:AW15"/>
    <mergeCell ref="AX13:AX15"/>
    <mergeCell ref="AY13:AY15"/>
    <mergeCell ref="AZ13:AZ15"/>
    <mergeCell ref="BA13:BA15"/>
    <mergeCell ref="BB13:BB15"/>
    <mergeCell ref="BC13:BC15"/>
    <mergeCell ref="BD13:BD15"/>
    <mergeCell ref="BE13:BE15"/>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E18:BH18"/>
    <mergeCell ref="I25:L25"/>
    <mergeCell ref="I27:L27"/>
    <mergeCell ref="I29:L29"/>
    <mergeCell ref="B19:G19"/>
    <mergeCell ref="B18:AW18"/>
    <mergeCell ref="AX18:AZ18"/>
    <mergeCell ref="D20:O20"/>
    <mergeCell ref="E21:E22"/>
    <mergeCell ref="L21:O21"/>
    <mergeCell ref="F21:J22"/>
  </mergeCells>
  <conditionalFormatting sqref="BA16:BD17">
    <cfRule type="cellIs" dxfId="54" priority="1" operator="greaterThan">
      <formula>1</formula>
    </cfRule>
    <cfRule type="cellIs" dxfId="53" priority="2" operator="between">
      <formula>0.8</formula>
      <formula>1</formula>
    </cfRule>
    <cfRule type="cellIs" dxfId="52" priority="3" operator="between">
      <formula>0.61</formula>
      <formula>0.79</formula>
    </cfRule>
    <cfRule type="cellIs" dxfId="5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66FF33"/>
  </sheetPr>
  <dimension ref="B1:BH47"/>
  <sheetViews>
    <sheetView showGridLines="0" topLeftCell="Y24" zoomScale="55" zoomScaleNormal="55" workbookViewId="0">
      <selection activeCell="D27" sqref="A27:XFD27"/>
    </sheetView>
  </sheetViews>
  <sheetFormatPr baseColWidth="10" defaultColWidth="17.28515625" defaultRowHeight="15" customHeight="1"/>
  <cols>
    <col min="1" max="1" width="4.28515625" style="135" customWidth="1"/>
    <col min="2" max="2" width="50.42578125" style="133" customWidth="1"/>
    <col min="3" max="3" width="39.7109375" style="133" customWidth="1"/>
    <col min="4" max="4" width="66.140625" style="133" customWidth="1"/>
    <col min="5" max="6" width="27.85546875" style="133" customWidth="1"/>
    <col min="7" max="7" width="23.5703125" style="134" customWidth="1"/>
    <col min="8" max="8" width="13.28515625" style="134" customWidth="1"/>
    <col min="9" max="9" width="46.85546875" style="133" customWidth="1"/>
    <col min="10" max="10" width="63" style="133" customWidth="1"/>
    <col min="11" max="11" width="69.28515625" style="133" customWidth="1"/>
    <col min="12" max="12" width="48.42578125" style="133" customWidth="1"/>
    <col min="13" max="13" width="28.5703125" style="133" customWidth="1"/>
    <col min="14" max="14" width="30.7109375" style="133" customWidth="1"/>
    <col min="15" max="15" width="60.42578125" style="133" customWidth="1"/>
    <col min="16" max="47" width="15.85546875" style="135" customWidth="1"/>
    <col min="48" max="48" width="24.5703125" style="135" customWidth="1"/>
    <col min="49" max="52" width="17.85546875" style="135" customWidth="1"/>
    <col min="53" max="56" width="18.85546875" style="135" customWidth="1"/>
    <col min="57" max="60" width="18.42578125" style="135" customWidth="1"/>
    <col min="61" max="16384" width="17.28515625" style="135"/>
  </cols>
  <sheetData>
    <row r="1" spans="2:60" ht="15" customHeight="1" thickBot="1"/>
    <row r="2" spans="2:60" ht="16.5" customHeight="1">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0" ht="16.5" customHeight="1">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0" ht="16.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6.5" customHeight="1">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6.5"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ht="19.5" customHeight="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0" ht="28.5" customHeight="1">
      <c r="B8" s="213" t="s">
        <v>45</v>
      </c>
      <c r="C8" s="1671" t="s">
        <v>88</v>
      </c>
      <c r="D8" s="1671"/>
      <c r="E8" s="214"/>
      <c r="F8" s="214"/>
      <c r="G8" s="214"/>
      <c r="H8" s="214"/>
      <c r="I8" s="214"/>
      <c r="J8" s="214"/>
      <c r="K8" s="214"/>
      <c r="L8" s="214"/>
      <c r="M8" s="214"/>
      <c r="N8" s="214"/>
      <c r="O8" s="214"/>
      <c r="AW8" s="231"/>
      <c r="AX8" s="231"/>
      <c r="AY8" s="231"/>
      <c r="AZ8" s="231"/>
      <c r="BA8" s="231"/>
      <c r="BB8" s="231"/>
      <c r="BC8" s="231"/>
      <c r="BD8" s="231"/>
    </row>
    <row r="9" spans="2:60" ht="98.25" customHeight="1">
      <c r="B9" s="213" t="s">
        <v>34</v>
      </c>
      <c r="C9" s="1707" t="s">
        <v>198</v>
      </c>
      <c r="D9" s="1708"/>
      <c r="E9" s="214"/>
      <c r="F9" s="214"/>
      <c r="G9" s="214"/>
      <c r="H9" s="214"/>
      <c r="I9" s="214"/>
      <c r="J9" s="214"/>
      <c r="K9" s="214"/>
      <c r="L9" s="214"/>
      <c r="M9" s="214"/>
      <c r="N9" s="214"/>
      <c r="O9" s="214"/>
      <c r="AW9" s="231"/>
      <c r="AX9" s="231"/>
      <c r="AY9" s="231"/>
      <c r="AZ9" s="231"/>
      <c r="BA9" s="231"/>
      <c r="BB9" s="231"/>
      <c r="BC9" s="231"/>
      <c r="BD9" s="231"/>
    </row>
    <row r="10" spans="2:60" ht="30" customHeight="1">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2:60" ht="14.25" customHeight="1">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0" ht="33"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0" ht="21.75" customHeight="1">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2:60" ht="21.75" customHeight="1">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0" ht="21.75" customHeight="1">
      <c r="B15" s="1558"/>
      <c r="C15" s="1558"/>
      <c r="D15" s="1366"/>
      <c r="E15" s="1558"/>
      <c r="F15" s="1366"/>
      <c r="G15" s="1558"/>
      <c r="H15" s="1558"/>
      <c r="I15" s="1558"/>
      <c r="J15" s="1558"/>
      <c r="K15" s="1558"/>
      <c r="L15" s="1558"/>
      <c r="M15" s="1558"/>
      <c r="N15" s="1558"/>
      <c r="O15" s="1558"/>
      <c r="P15" s="247" t="s">
        <v>17</v>
      </c>
      <c r="Q15" s="248" t="s">
        <v>18</v>
      </c>
      <c r="R15" s="247" t="s">
        <v>17</v>
      </c>
      <c r="S15" s="248" t="s">
        <v>18</v>
      </c>
      <c r="T15" s="247" t="s">
        <v>17</v>
      </c>
      <c r="U15" s="248" t="s">
        <v>18</v>
      </c>
      <c r="V15" s="249" t="s">
        <v>17</v>
      </c>
      <c r="W15" s="250" t="s">
        <v>18</v>
      </c>
      <c r="X15" s="247" t="s">
        <v>17</v>
      </c>
      <c r="Y15" s="248" t="s">
        <v>18</v>
      </c>
      <c r="Z15" s="247" t="s">
        <v>17</v>
      </c>
      <c r="AA15" s="248" t="s">
        <v>18</v>
      </c>
      <c r="AB15" s="247" t="s">
        <v>17</v>
      </c>
      <c r="AC15" s="248" t="s">
        <v>18</v>
      </c>
      <c r="AD15" s="249" t="s">
        <v>17</v>
      </c>
      <c r="AE15" s="250" t="s">
        <v>18</v>
      </c>
      <c r="AF15" s="247" t="s">
        <v>17</v>
      </c>
      <c r="AG15" s="248" t="s">
        <v>18</v>
      </c>
      <c r="AH15" s="247" t="s">
        <v>17</v>
      </c>
      <c r="AI15" s="248" t="s">
        <v>18</v>
      </c>
      <c r="AJ15" s="247" t="s">
        <v>17</v>
      </c>
      <c r="AK15" s="248" t="s">
        <v>18</v>
      </c>
      <c r="AL15" s="249" t="s">
        <v>17</v>
      </c>
      <c r="AM15" s="250" t="s">
        <v>18</v>
      </c>
      <c r="AN15" s="247" t="s">
        <v>17</v>
      </c>
      <c r="AO15" s="248" t="s">
        <v>18</v>
      </c>
      <c r="AP15" s="247" t="s">
        <v>17</v>
      </c>
      <c r="AQ15" s="248" t="s">
        <v>18</v>
      </c>
      <c r="AR15" s="247" t="s">
        <v>17</v>
      </c>
      <c r="AS15" s="248" t="s">
        <v>18</v>
      </c>
      <c r="AT15" s="249" t="s">
        <v>17</v>
      </c>
      <c r="AU15" s="250" t="s">
        <v>18</v>
      </c>
      <c r="AV15" s="1654"/>
      <c r="AW15" s="1661"/>
      <c r="AX15" s="1661"/>
      <c r="AY15" s="1661"/>
      <c r="AZ15" s="1661"/>
      <c r="BA15" s="1650"/>
      <c r="BB15" s="1650"/>
      <c r="BC15" s="1650"/>
      <c r="BD15" s="1650"/>
      <c r="BE15" s="1644"/>
      <c r="BF15" s="1644"/>
      <c r="BG15" s="1644"/>
      <c r="BH15" s="1644"/>
    </row>
    <row r="16" spans="2:60" ht="92.25" customHeight="1">
      <c r="B16" s="1769" t="str" cm="1">
        <f t="array" ref="B16">'[5]POA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1531" t="str">
        <f>+'01-FR-03 POA INSTITUCIONAL'!C13</f>
        <v>1.1. Realizar 884.203 acciones que promuevan la defensa, garantía y restablecimiento de los derechos de las personas en el Distrito Capital.</v>
      </c>
      <c r="D16" s="305" t="str">
        <f>+'01-FR-03 POA INSTITUCIONAL'!D13</f>
        <v>1.1.1 Realizar 356.610 intervenciones dentro del ejercicio del Ministerio Público para prevenir la vulneración de derechos y/o lograr el  restablecimiento de los mismos.</v>
      </c>
      <c r="E16" s="52">
        <f>+'01-FR-03 POA INSTITUCIONAL'!E13</f>
        <v>0.38</v>
      </c>
      <c r="F16" s="139">
        <f>+'01-FR-03 POA INSTITUCIONAL'!F13</f>
        <v>356610</v>
      </c>
      <c r="G16" s="139">
        <f>+'01-FR-03 POA INSTITUCIONAL'!L13</f>
        <v>106660</v>
      </c>
      <c r="H16" s="140" t="str">
        <f>+'01-FR-03 POA INSTITUCIONAL'!G13</f>
        <v>S.I.</v>
      </c>
      <c r="I16" s="140" t="str">
        <f>+'01-FR-03 POA INSTITUCIONAL'!H13</f>
        <v>Intervenciones realizadas en defensa de los derechos</v>
      </c>
      <c r="J16" s="140" t="s">
        <v>223</v>
      </c>
      <c r="K16" s="274" t="s">
        <v>199</v>
      </c>
      <c r="L16" s="976" t="s">
        <v>1106</v>
      </c>
      <c r="M16" s="216" t="s">
        <v>200</v>
      </c>
      <c r="N16" s="216" t="s">
        <v>201</v>
      </c>
      <c r="O16" s="34" t="str">
        <f>+'01-FR-03 POA INSTITUCIONAL'!J13</f>
        <v>P.D. para Asuntos Penales I, Penales II, Derechos Humanos y Policivos y Civiles
P.D. para los Sectores Planeación y Movilidad y la P.D. para los Sectores Educación y Cultura, Recreación y Deporte</v>
      </c>
      <c r="P16" s="881">
        <f>15+6610</f>
        <v>6625</v>
      </c>
      <c r="Q16" s="881">
        <v>8588</v>
      </c>
      <c r="R16" s="881">
        <f>50+9290</f>
        <v>9340</v>
      </c>
      <c r="S16" s="881">
        <v>8736</v>
      </c>
      <c r="T16" s="881">
        <f>50+9290</f>
        <v>9340</v>
      </c>
      <c r="U16" s="881">
        <v>11821</v>
      </c>
      <c r="V16" s="53">
        <f>P16+R16+T16</f>
        <v>25305</v>
      </c>
      <c r="W16" s="53">
        <f>Q16+S16+U16</f>
        <v>29145</v>
      </c>
      <c r="X16" s="881">
        <f>50+9290</f>
        <v>9340</v>
      </c>
      <c r="Y16" s="881">
        <v>8812</v>
      </c>
      <c r="Z16" s="881">
        <f>50+9290</f>
        <v>9340</v>
      </c>
      <c r="AA16" s="881">
        <v>10975</v>
      </c>
      <c r="AB16" s="881">
        <f>50+9290</f>
        <v>9340</v>
      </c>
      <c r="AC16" s="881">
        <v>13576</v>
      </c>
      <c r="AD16" s="53">
        <f>X16+Z16+AB16</f>
        <v>28020</v>
      </c>
      <c r="AE16" s="53">
        <f>Y16+AA16+AC16</f>
        <v>33363</v>
      </c>
      <c r="AF16" s="881">
        <f>50+9290</f>
        <v>9340</v>
      </c>
      <c r="AG16" s="881">
        <v>11629</v>
      </c>
      <c r="AH16" s="881">
        <f>50+9290</f>
        <v>9340</v>
      </c>
      <c r="AI16" s="881">
        <v>12194</v>
      </c>
      <c r="AJ16" s="881">
        <f>50+9290</f>
        <v>9340</v>
      </c>
      <c r="AK16" s="981">
        <v>12270</v>
      </c>
      <c r="AL16" s="53">
        <f>AF16+AH16+AJ16</f>
        <v>28020</v>
      </c>
      <c r="AM16" s="53">
        <f>AG16+AI16+AK16</f>
        <v>36093</v>
      </c>
      <c r="AN16" s="881">
        <f>50+9290</f>
        <v>9340</v>
      </c>
      <c r="AO16" s="907"/>
      <c r="AP16" s="881">
        <f>50+9290</f>
        <v>9340</v>
      </c>
      <c r="AQ16" s="907"/>
      <c r="AR16" s="906">
        <f>25+6610</f>
        <v>6635</v>
      </c>
      <c r="AS16" s="881"/>
      <c r="AT16" s="53">
        <f>AN16+AP16+AR16</f>
        <v>25315</v>
      </c>
      <c r="AU16" s="53">
        <f>AO16+AQ16+AS16</f>
        <v>0</v>
      </c>
      <c r="AV16" s="251">
        <f>V16+AD16+AL16+AT16</f>
        <v>106660</v>
      </c>
      <c r="AW16" s="81">
        <f>+W16</f>
        <v>29145</v>
      </c>
      <c r="AX16" s="81">
        <f>+W16+AE16</f>
        <v>62508</v>
      </c>
      <c r="AY16" s="81">
        <f>+W16+AE16+AM16</f>
        <v>98601</v>
      </c>
      <c r="AZ16" s="1029">
        <f>+W16+AE16+AM16+AU16</f>
        <v>98601</v>
      </c>
      <c r="BA16" s="318">
        <f>IF(AND(AW16&gt;0,$AV16&gt;0),AW16/$AV16,0)</f>
        <v>0.273251453215826</v>
      </c>
      <c r="BB16" s="318">
        <f t="shared" ref="BB16:BD16" si="0">IF(AND(AX16&gt;0,$AV16&gt;0),AX16/$AV16,0)</f>
        <v>0.58604912807050435</v>
      </c>
      <c r="BC16" s="318">
        <f t="shared" si="0"/>
        <v>0.92444215263453966</v>
      </c>
      <c r="BD16" s="318">
        <f t="shared" si="0"/>
        <v>0.92444215263453966</v>
      </c>
      <c r="BE16" s="345">
        <f>(IF(AND(AW16&gt;0,$F16&gt;0),AW16/$F16,0))</f>
        <v>8.1727938083620763E-2</v>
      </c>
      <c r="BF16" s="345">
        <f t="shared" ref="BF16:BH20" si="1">(IF(AND(AX16&gt;0,$F16&gt;0),AX16/$F16,0))</f>
        <v>0.17528392361403214</v>
      </c>
      <c r="BG16" s="345">
        <f t="shared" si="1"/>
        <v>0.27649533103390256</v>
      </c>
      <c r="BH16" s="1032">
        <f t="shared" si="1"/>
        <v>0.27649533103390256</v>
      </c>
    </row>
    <row r="17" spans="2:60" ht="111.75" customHeight="1">
      <c r="B17" s="1770"/>
      <c r="C17" s="1604"/>
      <c r="D17" s="305" t="str">
        <f>+'01-FR-03 POA INSTITUCIONAL'!D14</f>
        <v>1.1.2 Orientar 292.755 personas en garantía de derechos.</v>
      </c>
      <c r="E17" s="52">
        <f>+'01-FR-03 POA INSTITUCIONAL'!E14</f>
        <v>0.3</v>
      </c>
      <c r="F17" s="139">
        <f>+'01-FR-03 POA INSTITUCIONAL'!F14</f>
        <v>292755</v>
      </c>
      <c r="G17" s="139">
        <f>+'01-FR-03 POA INSTITUCIONAL'!L14</f>
        <v>97105</v>
      </c>
      <c r="H17" s="140" t="str">
        <f>+'01-FR-03 POA INSTITUCIONAL'!G14</f>
        <v>S.I.</v>
      </c>
      <c r="I17" s="140" t="str">
        <f>+'01-FR-03 POA INSTITUCIONAL'!H14</f>
        <v>Personas orientadas en garantía de derechos</v>
      </c>
      <c r="J17" s="140" t="s">
        <v>224</v>
      </c>
      <c r="K17" s="274" t="s">
        <v>202</v>
      </c>
      <c r="L17" s="976" t="s">
        <v>1107</v>
      </c>
      <c r="M17" s="216" t="s">
        <v>200</v>
      </c>
      <c r="N17" s="216" t="s">
        <v>201</v>
      </c>
      <c r="O17" s="34"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881">
        <f>800+450+4200</f>
        <v>5450</v>
      </c>
      <c r="Q17" s="881">
        <v>6641</v>
      </c>
      <c r="R17" s="881">
        <f>1000+450+6166</f>
        <v>7616</v>
      </c>
      <c r="S17" s="881">
        <v>9767</v>
      </c>
      <c r="T17" s="881">
        <f>1100+450+7005</f>
        <v>8555</v>
      </c>
      <c r="U17" s="881">
        <v>10099</v>
      </c>
      <c r="V17" s="53">
        <f t="shared" ref="V17:W35" si="2">P17+R17+T17</f>
        <v>21621</v>
      </c>
      <c r="W17" s="53">
        <f t="shared" si="2"/>
        <v>26507</v>
      </c>
      <c r="X17" s="881">
        <f>1100+450+6772</f>
        <v>8322</v>
      </c>
      <c r="Y17" s="881">
        <v>7470</v>
      </c>
      <c r="Z17" s="881">
        <f>1000+450+7373</f>
        <v>8823</v>
      </c>
      <c r="AA17" s="881">
        <v>9865</v>
      </c>
      <c r="AB17" s="881">
        <f>1000+450+7402</f>
        <v>8852</v>
      </c>
      <c r="AC17" s="981">
        <v>10363</v>
      </c>
      <c r="AD17" s="53">
        <f t="shared" ref="AD17:AE35" si="3">X17+Z17+AB17</f>
        <v>25997</v>
      </c>
      <c r="AE17" s="53">
        <f t="shared" si="3"/>
        <v>27698</v>
      </c>
      <c r="AF17" s="881">
        <f>1000+450+7432</f>
        <v>8882</v>
      </c>
      <c r="AG17" s="881">
        <v>9512</v>
      </c>
      <c r="AH17" s="881">
        <f>1000+450+7432</f>
        <v>8882</v>
      </c>
      <c r="AI17" s="881">
        <v>10259</v>
      </c>
      <c r="AJ17" s="881">
        <f>1000+450+7431</f>
        <v>8881</v>
      </c>
      <c r="AK17" s="981">
        <v>10584</v>
      </c>
      <c r="AL17" s="53">
        <f t="shared" ref="AL17:AM35" si="4">AF17+AH17+AJ17</f>
        <v>26645</v>
      </c>
      <c r="AM17" s="53">
        <f t="shared" si="4"/>
        <v>30355</v>
      </c>
      <c r="AN17" s="906">
        <f>1000+450+7211</f>
        <v>8661</v>
      </c>
      <c r="AO17" s="907"/>
      <c r="AP17" s="906">
        <f>1000+450+7096</f>
        <v>8546</v>
      </c>
      <c r="AQ17" s="907"/>
      <c r="AR17" s="906">
        <f>1000+50+4585</f>
        <v>5635</v>
      </c>
      <c r="AS17" s="881"/>
      <c r="AT17" s="53">
        <f t="shared" ref="AT17:AU35" si="5">AN17+AP17+AR17</f>
        <v>22842</v>
      </c>
      <c r="AU17" s="53">
        <f t="shared" si="5"/>
        <v>0</v>
      </c>
      <c r="AV17" s="251">
        <f t="shared" ref="AV17:AV35" si="6">V17+AD17+AL17+AT17</f>
        <v>97105</v>
      </c>
      <c r="AW17" s="81">
        <f t="shared" ref="AW17:AW35" si="7">+W17</f>
        <v>26507</v>
      </c>
      <c r="AX17" s="81">
        <f t="shared" ref="AX17:AX35" si="8">+W17+AE17</f>
        <v>54205</v>
      </c>
      <c r="AY17" s="81">
        <f t="shared" ref="AY17:AY35" si="9">+W17+AE17+AM17</f>
        <v>84560</v>
      </c>
      <c r="AZ17" s="1029">
        <f t="shared" ref="AZ17:AZ35" si="10">+W17+AE17+AM17+AU17</f>
        <v>84560</v>
      </c>
      <c r="BA17" s="318">
        <f t="shared" ref="BA17:BA18" si="11">IF(AND(AW17&gt;0,$AV17&gt;0),AW17/$AV17,0)</f>
        <v>0.27297255548118016</v>
      </c>
      <c r="BB17" s="318">
        <f t="shared" ref="BB17:BB19" si="12">IF(AND(AX17&gt;0,$AV17&gt;0),AX17/$AV17,0)</f>
        <v>0.55821018485144946</v>
      </c>
      <c r="BC17" s="318">
        <f t="shared" ref="BC17:BC19" si="13">IF(AND(AY17&gt;0,$AV17&gt;0),AY17/$AV17,0)</f>
        <v>0.870809947994439</v>
      </c>
      <c r="BD17" s="318">
        <f t="shared" ref="BD17:BD19" si="14">IF(AND(AZ17&gt;0,$AV17&gt;0),AZ17/$AV17,0)</f>
        <v>0.870809947994439</v>
      </c>
      <c r="BE17" s="345">
        <f t="shared" ref="BE17:BE20" si="15">(IF(AND(AW17&gt;0,$F17&gt;0),AW17/$F17,0))</f>
        <v>9.0543287048897539E-2</v>
      </c>
      <c r="BF17" s="345">
        <f t="shared" si="1"/>
        <v>0.18515482229167735</v>
      </c>
      <c r="BG17" s="345">
        <f t="shared" si="1"/>
        <v>0.28884220594012056</v>
      </c>
      <c r="BH17" s="1032">
        <f t="shared" si="1"/>
        <v>0.28884220594012056</v>
      </c>
    </row>
    <row r="18" spans="2:60" ht="138.75" customHeight="1">
      <c r="B18" s="1770"/>
      <c r="C18" s="1604"/>
      <c r="D18" s="305" t="str">
        <f>+'01-FR-03 POA INSTITUCIONAL'!D15</f>
        <v>1.1.3 Asistir 117.610 personas en garantía de derechos.</v>
      </c>
      <c r="E18" s="52">
        <f>+'01-FR-03 POA INSTITUCIONAL'!E15</f>
        <v>0.15</v>
      </c>
      <c r="F18" s="139">
        <f>+'01-FR-03 POA INSTITUCIONAL'!F15</f>
        <v>117610</v>
      </c>
      <c r="G18" s="139">
        <f>+'01-FR-03 POA INSTITUCIONAL'!L15</f>
        <v>26115</v>
      </c>
      <c r="H18" s="140" t="str">
        <f>+'01-FR-03 POA INSTITUCIONAL'!G15</f>
        <v>S.I.</v>
      </c>
      <c r="I18" s="140" t="str">
        <f>+'01-FR-03 POA INSTITUCIONAL'!H15</f>
        <v>Personas asistidas en garantía de derechos</v>
      </c>
      <c r="J18" s="140" t="s">
        <v>225</v>
      </c>
      <c r="K18" s="274" t="s">
        <v>203</v>
      </c>
      <c r="L18" s="976" t="s">
        <v>1108</v>
      </c>
      <c r="M18" s="216" t="s">
        <v>200</v>
      </c>
      <c r="N18" s="216" t="s">
        <v>201</v>
      </c>
      <c r="O18" s="34"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881">
        <f>150+0+1050</f>
        <v>1200</v>
      </c>
      <c r="Q18" s="881">
        <v>2792</v>
      </c>
      <c r="R18" s="881">
        <f>350+800+1580</f>
        <v>2730</v>
      </c>
      <c r="S18" s="881">
        <v>3287</v>
      </c>
      <c r="T18" s="881">
        <f>350+800+1590</f>
        <v>2740</v>
      </c>
      <c r="U18" s="881">
        <v>3439</v>
      </c>
      <c r="V18" s="53">
        <f t="shared" si="2"/>
        <v>6670</v>
      </c>
      <c r="W18" s="53">
        <f t="shared" si="2"/>
        <v>9518</v>
      </c>
      <c r="X18" s="881">
        <f>350+800+1440</f>
        <v>2590</v>
      </c>
      <c r="Y18" s="881">
        <v>2925</v>
      </c>
      <c r="Z18" s="881">
        <f>350+800+1640</f>
        <v>2790</v>
      </c>
      <c r="AA18" s="881">
        <v>3810</v>
      </c>
      <c r="AB18" s="881">
        <f>350+800+1635</f>
        <v>2785</v>
      </c>
      <c r="AC18" s="881">
        <v>3563</v>
      </c>
      <c r="AD18" s="53">
        <f t="shared" si="3"/>
        <v>8165</v>
      </c>
      <c r="AE18" s="53">
        <f t="shared" si="3"/>
        <v>10298</v>
      </c>
      <c r="AF18" s="881">
        <f>350+800+1635</f>
        <v>2785</v>
      </c>
      <c r="AG18" s="881">
        <v>2914</v>
      </c>
      <c r="AH18" s="881">
        <f>350+800+840</f>
        <v>1990</v>
      </c>
      <c r="AI18" s="881">
        <v>3658</v>
      </c>
      <c r="AJ18" s="881">
        <f>350+800+840</f>
        <v>1990</v>
      </c>
      <c r="AK18" s="881">
        <v>3530</v>
      </c>
      <c r="AL18" s="53">
        <f t="shared" si="4"/>
        <v>6765</v>
      </c>
      <c r="AM18" s="53">
        <f t="shared" si="4"/>
        <v>10102</v>
      </c>
      <c r="AN18" s="881">
        <f>350+800+785</f>
        <v>1935</v>
      </c>
      <c r="AO18" s="907"/>
      <c r="AP18" s="881">
        <f>350+800+790</f>
        <v>1940</v>
      </c>
      <c r="AQ18" s="907"/>
      <c r="AR18" s="906">
        <f>150+0+490</f>
        <v>640</v>
      </c>
      <c r="AS18" s="881"/>
      <c r="AT18" s="53">
        <f t="shared" si="5"/>
        <v>4515</v>
      </c>
      <c r="AU18" s="53">
        <f t="shared" si="5"/>
        <v>0</v>
      </c>
      <c r="AV18" s="251">
        <f t="shared" si="6"/>
        <v>26115</v>
      </c>
      <c r="AW18" s="81">
        <f t="shared" si="7"/>
        <v>9518</v>
      </c>
      <c r="AX18" s="81">
        <f t="shared" si="8"/>
        <v>19816</v>
      </c>
      <c r="AY18" s="81">
        <f t="shared" si="9"/>
        <v>29918</v>
      </c>
      <c r="AZ18" s="1029">
        <f t="shared" si="10"/>
        <v>29918</v>
      </c>
      <c r="BA18" s="318">
        <f t="shared" si="11"/>
        <v>0.36446486693471186</v>
      </c>
      <c r="BB18" s="318">
        <f t="shared" si="12"/>
        <v>0.75879762588550637</v>
      </c>
      <c r="BC18" s="318">
        <f t="shared" si="13"/>
        <v>1.1456251196630289</v>
      </c>
      <c r="BD18" s="318">
        <f t="shared" si="14"/>
        <v>1.1456251196630289</v>
      </c>
      <c r="BE18" s="345">
        <f t="shared" si="15"/>
        <v>8.0928492475129662E-2</v>
      </c>
      <c r="BF18" s="345">
        <f t="shared" si="1"/>
        <v>0.16848907405832839</v>
      </c>
      <c r="BG18" s="345">
        <f t="shared" si="1"/>
        <v>0.25438313068616614</v>
      </c>
      <c r="BH18" s="1032">
        <f t="shared" si="1"/>
        <v>0.25438313068616614</v>
      </c>
    </row>
    <row r="19" spans="2:60" ht="84" customHeight="1">
      <c r="B19" s="1770"/>
      <c r="C19" s="1604"/>
      <c r="D19" s="305" t="str">
        <f>+'01-FR-03 POA INSTITUCIONAL'!D16</f>
        <v>1.1.4 Asistir a 28.586 personas en mecanismos alternativos de solución de conflictos.</v>
      </c>
      <c r="E19" s="52">
        <f>+'01-FR-03 POA INSTITUCIONAL'!E16</f>
        <v>0.04</v>
      </c>
      <c r="F19" s="139">
        <f>+'01-FR-03 POA INSTITUCIONAL'!F16</f>
        <v>28586</v>
      </c>
      <c r="G19" s="139">
        <f>+'01-FR-03 POA INSTITUCIONAL'!L16</f>
        <v>6900</v>
      </c>
      <c r="H19" s="140" t="str">
        <f>+'01-FR-03 POA INSTITUCIONAL'!G16</f>
        <v>S.I.</v>
      </c>
      <c r="I19" s="140" t="str">
        <f>+'01-FR-03 POA INSTITUCIONAL'!H16</f>
        <v>Personas asistidas en Mecanismos Alternativos de Solución de Conflictos</v>
      </c>
      <c r="J19" s="140" t="s">
        <v>226</v>
      </c>
      <c r="K19" s="274" t="s">
        <v>204</v>
      </c>
      <c r="L19" s="977" t="s">
        <v>1109</v>
      </c>
      <c r="M19" s="216" t="s">
        <v>200</v>
      </c>
      <c r="N19" s="216" t="s">
        <v>201</v>
      </c>
      <c r="O19" s="34" t="str">
        <f>+'01-FR-03 POA INSTITUCIONAL'!J16</f>
        <v>Dirección de Conciliación y M.A.S.C.</v>
      </c>
      <c r="P19" s="881">
        <v>300</v>
      </c>
      <c r="Q19" s="881">
        <v>916</v>
      </c>
      <c r="R19" s="881">
        <v>300</v>
      </c>
      <c r="S19" s="881">
        <v>1152</v>
      </c>
      <c r="T19" s="881">
        <v>300</v>
      </c>
      <c r="U19" s="881">
        <v>1221</v>
      </c>
      <c r="V19" s="53">
        <f t="shared" si="2"/>
        <v>900</v>
      </c>
      <c r="W19" s="53">
        <f t="shared" si="2"/>
        <v>3289</v>
      </c>
      <c r="X19" s="881">
        <v>500</v>
      </c>
      <c r="Y19" s="881">
        <v>948</v>
      </c>
      <c r="Z19" s="881">
        <v>500</v>
      </c>
      <c r="AA19" s="881">
        <v>1153</v>
      </c>
      <c r="AB19" s="881">
        <v>500</v>
      </c>
      <c r="AC19" s="881">
        <v>1098</v>
      </c>
      <c r="AD19" s="53">
        <f t="shared" si="3"/>
        <v>1500</v>
      </c>
      <c r="AE19" s="53">
        <f t="shared" si="3"/>
        <v>3199</v>
      </c>
      <c r="AF19" s="881">
        <v>700</v>
      </c>
      <c r="AG19" s="881">
        <v>1070</v>
      </c>
      <c r="AH19" s="881">
        <v>700</v>
      </c>
      <c r="AI19" s="881">
        <v>1332</v>
      </c>
      <c r="AJ19" s="881">
        <v>700</v>
      </c>
      <c r="AK19" s="881">
        <v>1307</v>
      </c>
      <c r="AL19" s="53">
        <f t="shared" si="4"/>
        <v>2100</v>
      </c>
      <c r="AM19" s="53">
        <f t="shared" si="4"/>
        <v>3709</v>
      </c>
      <c r="AN19" s="881">
        <v>800</v>
      </c>
      <c r="AO19" s="881"/>
      <c r="AP19" s="881">
        <v>800</v>
      </c>
      <c r="AQ19" s="881"/>
      <c r="AR19" s="881">
        <v>800</v>
      </c>
      <c r="AS19" s="881"/>
      <c r="AT19" s="53">
        <f t="shared" si="5"/>
        <v>2400</v>
      </c>
      <c r="AU19" s="53">
        <f t="shared" si="5"/>
        <v>0</v>
      </c>
      <c r="AV19" s="251">
        <f t="shared" si="6"/>
        <v>6900</v>
      </c>
      <c r="AW19" s="81">
        <f t="shared" si="7"/>
        <v>3289</v>
      </c>
      <c r="AX19" s="81">
        <f t="shared" si="8"/>
        <v>6488</v>
      </c>
      <c r="AY19" s="81">
        <f t="shared" si="9"/>
        <v>10197</v>
      </c>
      <c r="AZ19" s="1029">
        <f t="shared" si="10"/>
        <v>10197</v>
      </c>
      <c r="BA19" s="318">
        <f>IF(AND(AW19&gt;0,$AV19&gt;0),AW19/$AV19,0)</f>
        <v>0.47666666666666668</v>
      </c>
      <c r="BB19" s="318">
        <f t="shared" si="12"/>
        <v>0.94028985507246376</v>
      </c>
      <c r="BC19" s="318">
        <f t="shared" si="13"/>
        <v>1.4778260869565218</v>
      </c>
      <c r="BD19" s="318">
        <f t="shared" si="14"/>
        <v>1.4778260869565218</v>
      </c>
      <c r="BE19" s="345">
        <f t="shared" si="15"/>
        <v>0.11505632127614916</v>
      </c>
      <c r="BF19" s="345">
        <f t="shared" si="1"/>
        <v>0.22696424823340097</v>
      </c>
      <c r="BG19" s="345">
        <f t="shared" si="1"/>
        <v>0.35671307633107113</v>
      </c>
      <c r="BH19" s="1032">
        <f t="shared" si="1"/>
        <v>0.35671307633107113</v>
      </c>
    </row>
    <row r="20" spans="2:60" ht="144.75" customHeight="1">
      <c r="B20" s="1770"/>
      <c r="C20" s="1604"/>
      <c r="D20" s="305" t="str">
        <f>+'01-FR-03 POA INSTITUCIONAL'!D17</f>
        <v>1.1.5 Atender y gestionar 55.722 peticiones y/o requerimientos presentados por la comunidad en garantía de derechos.</v>
      </c>
      <c r="E20" s="52">
        <f>+'01-FR-03 POA INSTITUCIONAL'!E17</f>
        <v>0.06</v>
      </c>
      <c r="F20" s="139">
        <f>+'01-FR-03 POA INSTITUCIONAL'!F17</f>
        <v>55722</v>
      </c>
      <c r="G20" s="139">
        <f>+'01-FR-03 POA INSTITUCIONAL'!L17</f>
        <v>16115</v>
      </c>
      <c r="H20" s="140" t="str">
        <f>+'01-FR-03 POA INSTITUCIONAL'!G17</f>
        <v>S.I.</v>
      </c>
      <c r="I20" s="140" t="str">
        <f>+'01-FR-03 POA INSTITUCIONAL'!H17</f>
        <v>Peticiones o requerimientos ciudadanos atendidos en garantía de derechos</v>
      </c>
      <c r="J20" s="140" t="s">
        <v>235</v>
      </c>
      <c r="K20" s="274" t="s">
        <v>203</v>
      </c>
      <c r="L20" s="976" t="s">
        <v>1110</v>
      </c>
      <c r="M20" s="216" t="s">
        <v>200</v>
      </c>
      <c r="N20" s="216" t="s">
        <v>201</v>
      </c>
      <c r="O20" s="34"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881">
        <f>400+150+268</f>
        <v>818</v>
      </c>
      <c r="Q20" s="881">
        <v>1275</v>
      </c>
      <c r="R20" s="881">
        <f>600+150+525</f>
        <v>1275</v>
      </c>
      <c r="S20" s="881">
        <v>1642</v>
      </c>
      <c r="T20" s="881">
        <f>600+150+565</f>
        <v>1315</v>
      </c>
      <c r="U20" s="881">
        <v>2185</v>
      </c>
      <c r="V20" s="53">
        <f t="shared" si="2"/>
        <v>3408</v>
      </c>
      <c r="W20" s="53">
        <f t="shared" si="2"/>
        <v>5102</v>
      </c>
      <c r="X20" s="881">
        <f>700+150+565</f>
        <v>1415</v>
      </c>
      <c r="Y20" s="881">
        <v>1767</v>
      </c>
      <c r="Z20" s="881">
        <f>700+150+575</f>
        <v>1425</v>
      </c>
      <c r="AA20" s="881">
        <v>2240</v>
      </c>
      <c r="AB20" s="881">
        <f>700+150+575</f>
        <v>1425</v>
      </c>
      <c r="AC20" s="881">
        <v>1957</v>
      </c>
      <c r="AD20" s="53">
        <f t="shared" si="3"/>
        <v>4265</v>
      </c>
      <c r="AE20" s="53">
        <f t="shared" si="3"/>
        <v>5964</v>
      </c>
      <c r="AF20" s="881">
        <f>700+150+575</f>
        <v>1425</v>
      </c>
      <c r="AG20" s="881">
        <v>2183</v>
      </c>
      <c r="AH20" s="881">
        <f>700+150+575</f>
        <v>1425</v>
      </c>
      <c r="AI20" s="881">
        <v>2309</v>
      </c>
      <c r="AJ20" s="881">
        <f>700+150+575</f>
        <v>1425</v>
      </c>
      <c r="AK20" s="881">
        <v>2068</v>
      </c>
      <c r="AL20" s="53">
        <f t="shared" si="4"/>
        <v>4275</v>
      </c>
      <c r="AM20" s="53">
        <f t="shared" si="4"/>
        <v>6560</v>
      </c>
      <c r="AN20" s="881">
        <f>800+150+570</f>
        <v>1520</v>
      </c>
      <c r="AO20" s="907"/>
      <c r="AP20" s="881">
        <f>800+150+570</f>
        <v>1520</v>
      </c>
      <c r="AQ20" s="907"/>
      <c r="AR20" s="881">
        <f>600+150+377</f>
        <v>1127</v>
      </c>
      <c r="AS20" s="881"/>
      <c r="AT20" s="53">
        <f t="shared" si="5"/>
        <v>4167</v>
      </c>
      <c r="AU20" s="53">
        <f t="shared" si="5"/>
        <v>0</v>
      </c>
      <c r="AV20" s="251">
        <f t="shared" si="6"/>
        <v>16115</v>
      </c>
      <c r="AW20" s="81">
        <f t="shared" si="7"/>
        <v>5102</v>
      </c>
      <c r="AX20" s="81">
        <f t="shared" si="8"/>
        <v>11066</v>
      </c>
      <c r="AY20" s="81">
        <f t="shared" si="9"/>
        <v>17626</v>
      </c>
      <c r="AZ20" s="1029">
        <f t="shared" si="10"/>
        <v>17626</v>
      </c>
      <c r="BA20" s="318">
        <f t="shared" ref="BA20:BA21" si="16">IF(AND(AW20&gt;0,$AV20&gt;0),AW20/$AV20,0)</f>
        <v>0.31659944151411729</v>
      </c>
      <c r="BB20" s="318">
        <f t="shared" ref="BB20:BB21" si="17">IF(AND(AX20&gt;0,$AV20&gt;0),AX20/$AV20,0)</f>
        <v>0.6866894197952218</v>
      </c>
      <c r="BC20" s="318">
        <f t="shared" ref="BC20:BC21" si="18">IF(AND(AY20&gt;0,$AV20&gt;0),AY20/$AV20,0)</f>
        <v>1.0937635743096494</v>
      </c>
      <c r="BD20" s="318">
        <f t="shared" ref="BD20:BD21" si="19">IF(AND(AZ20&gt;0,$AV20&gt;0),AZ20/$AV20,0)</f>
        <v>1.0937635743096494</v>
      </c>
      <c r="BE20" s="345">
        <f t="shared" si="15"/>
        <v>9.1561681203115461E-2</v>
      </c>
      <c r="BF20" s="345">
        <f t="shared" si="1"/>
        <v>0.19859301532608306</v>
      </c>
      <c r="BG20" s="345">
        <f t="shared" si="1"/>
        <v>0.31632030436811315</v>
      </c>
      <c r="BH20" s="1032">
        <f t="shared" si="1"/>
        <v>0.31632030436811315</v>
      </c>
    </row>
    <row r="21" spans="2:60" ht="189.75" customHeight="1">
      <c r="B21" s="1770"/>
      <c r="C21" s="1604"/>
      <c r="D21" s="305" t="str">
        <f>+'01-FR-03 POA INSTITUCIONAL'!D18</f>
        <v>1.1.6 Generar 80 espacios de mejora, de transferencia de conocimientos y buenas prácticas que permitan brindar una atención idónea a las personas que acuden a la Personería de Bogotá, D. C</v>
      </c>
      <c r="E21" s="52">
        <f>+'01-FR-03 POA INSTITUCIONAL'!E18</f>
        <v>0.01</v>
      </c>
      <c r="F21" s="139">
        <f>+'01-FR-03 POA INSTITUCIONAL'!F18</f>
        <v>80</v>
      </c>
      <c r="G21" s="139">
        <f>+'01-FR-03 POA INSTITUCIONAL'!L18</f>
        <v>20</v>
      </c>
      <c r="H21" s="140" t="str">
        <f>+'01-FR-03 POA INSTITUCIONAL'!G18</f>
        <v>S.I.</v>
      </c>
      <c r="I21" s="140" t="str">
        <f>+'01-FR-03 POA INSTITUCIONAL'!H18</f>
        <v>Espacios de mejora y transferencia de conocimiento realizados</v>
      </c>
      <c r="J21" s="140" t="s">
        <v>227</v>
      </c>
      <c r="K21" s="274" t="s">
        <v>205</v>
      </c>
      <c r="L21" s="976" t="s">
        <v>206</v>
      </c>
      <c r="M21" s="216" t="s">
        <v>200</v>
      </c>
      <c r="N21" s="216" t="s">
        <v>201</v>
      </c>
      <c r="O21" s="34" t="str">
        <f>+'01-FR-03 POA INSTITUCIONAL'!J18</f>
        <v>P.D. para la Coordinación del MP y DDHH y sus dependencias adscritas.</v>
      </c>
      <c r="P21" s="881">
        <v>0</v>
      </c>
      <c r="Q21" s="881">
        <v>0</v>
      </c>
      <c r="R21" s="881">
        <v>0</v>
      </c>
      <c r="S21" s="881">
        <v>0</v>
      </c>
      <c r="T21" s="881">
        <v>2</v>
      </c>
      <c r="U21" s="881">
        <v>0</v>
      </c>
      <c r="V21" s="53">
        <f t="shared" si="2"/>
        <v>2</v>
      </c>
      <c r="W21" s="53">
        <f t="shared" si="2"/>
        <v>0</v>
      </c>
      <c r="X21" s="881">
        <v>5</v>
      </c>
      <c r="Y21" s="881">
        <v>3</v>
      </c>
      <c r="Z21" s="881">
        <v>3</v>
      </c>
      <c r="AA21" s="881">
        <v>3</v>
      </c>
      <c r="AB21" s="881">
        <v>3</v>
      </c>
      <c r="AC21" s="881">
        <v>5</v>
      </c>
      <c r="AD21" s="53">
        <f t="shared" si="3"/>
        <v>11</v>
      </c>
      <c r="AE21" s="53">
        <f t="shared" si="3"/>
        <v>11</v>
      </c>
      <c r="AF21" s="881">
        <v>3</v>
      </c>
      <c r="AG21" s="881">
        <v>2</v>
      </c>
      <c r="AH21" s="881">
        <v>2</v>
      </c>
      <c r="AI21" s="881">
        <v>1</v>
      </c>
      <c r="AJ21" s="981">
        <v>1</v>
      </c>
      <c r="AK21" s="981">
        <v>1</v>
      </c>
      <c r="AL21" s="53">
        <f t="shared" si="4"/>
        <v>6</v>
      </c>
      <c r="AM21" s="53">
        <f t="shared" si="4"/>
        <v>4</v>
      </c>
      <c r="AN21" s="881">
        <v>1</v>
      </c>
      <c r="AO21" s="881"/>
      <c r="AP21" s="881">
        <v>0</v>
      </c>
      <c r="AQ21" s="881"/>
      <c r="AR21" s="881">
        <v>0</v>
      </c>
      <c r="AS21" s="881"/>
      <c r="AT21" s="53">
        <f t="shared" si="5"/>
        <v>1</v>
      </c>
      <c r="AU21" s="53">
        <f t="shared" si="5"/>
        <v>0</v>
      </c>
      <c r="AV21" s="251">
        <f t="shared" si="6"/>
        <v>20</v>
      </c>
      <c r="AW21" s="81">
        <f t="shared" si="7"/>
        <v>0</v>
      </c>
      <c r="AX21" s="81">
        <f t="shared" si="8"/>
        <v>11</v>
      </c>
      <c r="AY21" s="81">
        <f t="shared" si="9"/>
        <v>15</v>
      </c>
      <c r="AZ21" s="1029">
        <f t="shared" si="10"/>
        <v>15</v>
      </c>
      <c r="BA21" s="318">
        <f t="shared" si="16"/>
        <v>0</v>
      </c>
      <c r="BB21" s="318">
        <f t="shared" si="17"/>
        <v>0.55000000000000004</v>
      </c>
      <c r="BC21" s="318">
        <f t="shared" si="18"/>
        <v>0.75</v>
      </c>
      <c r="BD21" s="318">
        <f t="shared" si="19"/>
        <v>0.75</v>
      </c>
      <c r="BE21" s="345">
        <f t="shared" ref="BE21" si="20">(IF(AND(AW21&gt;0,$F21&gt;0),AW21/$F21,0))</f>
        <v>0</v>
      </c>
      <c r="BF21" s="345">
        <f t="shared" ref="BF21" si="21">(IF(AND(AX21&gt;0,$F21&gt;0),AX21/$F21,0))</f>
        <v>0.13750000000000001</v>
      </c>
      <c r="BG21" s="345">
        <f t="shared" ref="BG21" si="22">(IF(AND(AY21&gt;0,$F21&gt;0),AY21/$F21,0))</f>
        <v>0.1875</v>
      </c>
      <c r="BH21" s="1032">
        <f t="shared" ref="BH21" si="23">(IF(AND(AZ21&gt;0,$F21&gt;0),AZ21/$F21,0))</f>
        <v>0.1875</v>
      </c>
    </row>
    <row r="22" spans="2:60" ht="160.5" customHeight="1">
      <c r="B22" s="1770"/>
      <c r="C22" s="1604"/>
      <c r="D22" s="305" t="str">
        <f>+'01-FR-03 POA INSTITUCIONAL'!D19</f>
        <v>1.1.7 Entregar en un termino menor a los cinco (5) días hábiles, mas del 95% de las solicitudes de elaboración de tutelas, desacatos e impugnaciones que realicen las personas en el Distrito Capital.</v>
      </c>
      <c r="E22" s="52">
        <f>+'01-FR-03 POA INSTITUCIONAL'!E19</f>
        <v>0.01</v>
      </c>
      <c r="F22" s="139" t="str">
        <f>+'01-FR-03 POA INSTITUCIONAL'!F19</f>
        <v>&gt;=95%</v>
      </c>
      <c r="G22" s="139" t="str">
        <f>+'01-FR-03 POA INSTITUCIONAL'!L19</f>
        <v>&gt;=95%</v>
      </c>
      <c r="H22" s="140" t="str">
        <f>+'01-FR-03 POA INSTITUCIONAL'!G19</f>
        <v>S.I.</v>
      </c>
      <c r="I22" s="140" t="str">
        <f>+'01-FR-03 POA INSTITUCIONAL'!H19</f>
        <v>Porcentaje de Acciones de Tutela, Desacatos e Impugnaciones Entregadas en un Termino Menor a Cinco (5) Días Hábiles</v>
      </c>
      <c r="J22" s="140" t="s">
        <v>228</v>
      </c>
      <c r="K22" s="274" t="s">
        <v>207</v>
      </c>
      <c r="L22" s="978" t="s">
        <v>208</v>
      </c>
      <c r="M22" s="216" t="s">
        <v>200</v>
      </c>
      <c r="N22" s="216" t="s">
        <v>201</v>
      </c>
      <c r="O22" s="34" t="str">
        <f>+'01-FR-03 POA INSTITUCIONAL'!J19</f>
        <v>P.D. para Asuntos Jurisdiccionales, Víctimas y Penal II.
P.D. para la Coordinación de la Gestión de Personerías Locales y sus Personerías Locales adscritas</v>
      </c>
      <c r="P22" s="980">
        <v>0.95</v>
      </c>
      <c r="Q22" s="980">
        <v>1</v>
      </c>
      <c r="R22" s="980">
        <v>0.95</v>
      </c>
      <c r="S22" s="980">
        <v>1</v>
      </c>
      <c r="T22" s="980">
        <v>0.95</v>
      </c>
      <c r="U22" s="980">
        <v>1</v>
      </c>
      <c r="V22" s="326">
        <f>AVERAGE(P22,R22,T22)</f>
        <v>0.94999999999999984</v>
      </c>
      <c r="W22" s="326">
        <f>IFERROR(AVERAGE(Q22,S22,U22),0)</f>
        <v>1</v>
      </c>
      <c r="X22" s="980">
        <v>0.95</v>
      </c>
      <c r="Y22" s="1092">
        <v>1</v>
      </c>
      <c r="Z22" s="980">
        <v>0.95</v>
      </c>
      <c r="AA22" s="1092">
        <v>1</v>
      </c>
      <c r="AB22" s="980">
        <v>0.95</v>
      </c>
      <c r="AC22" s="1092">
        <v>1</v>
      </c>
      <c r="AD22" s="326">
        <f>AVERAGE(X22,Z22,AB22)</f>
        <v>0.94999999999999984</v>
      </c>
      <c r="AE22" s="326">
        <f>IFERROR(AVERAGE(Y22,AA22,AC22),0)</f>
        <v>1</v>
      </c>
      <c r="AF22" s="980">
        <v>0.95</v>
      </c>
      <c r="AG22" s="1092">
        <v>1</v>
      </c>
      <c r="AH22" s="980">
        <v>0.95</v>
      </c>
      <c r="AI22" s="1092">
        <v>0.998</v>
      </c>
      <c r="AJ22" s="980">
        <v>0.95</v>
      </c>
      <c r="AK22" s="1092">
        <v>1</v>
      </c>
      <c r="AL22" s="326">
        <f>AVERAGE(AF22,AH22,AJ22)</f>
        <v>0.94999999999999984</v>
      </c>
      <c r="AM22" s="326">
        <f>IFERROR(AVERAGE(AG22,AI22,AK22),0)</f>
        <v>0.99933333333333341</v>
      </c>
      <c r="AN22" s="980">
        <v>0.95</v>
      </c>
      <c r="AO22" s="1046">
        <v>0</v>
      </c>
      <c r="AP22" s="980">
        <v>0.95</v>
      </c>
      <c r="AQ22" s="1046">
        <v>0</v>
      </c>
      <c r="AR22" s="980">
        <v>0.95</v>
      </c>
      <c r="AS22" s="1046">
        <v>0</v>
      </c>
      <c r="AT22" s="326">
        <f>AVERAGE(AN22,AP22,AR22)</f>
        <v>0.94999999999999984</v>
      </c>
      <c r="AU22" s="326">
        <f>IFERROR(AVERAGE(AO22,AQ22,AS22),0)</f>
        <v>0</v>
      </c>
      <c r="AV22" s="326">
        <f>AVERAGE(P22,R22,T22,X22,Z22,AB22,AF22,AH22,AJ22,AN22,AP22,AR22)</f>
        <v>0.94999999999999984</v>
      </c>
      <c r="AW22" s="306">
        <f>IFERROR(IF(OR($AV$22="",$AV$22=0),0,ROUNDDOWN(AVERAGE($Q22,$S22,$U22),3)),0)</f>
        <v>1</v>
      </c>
      <c r="AX22" s="306">
        <f>IFERROR(IF(OR($AV$22="",$AV$22=0),0,ROUNDDOWN(AVERAGE($Q22,$S22,$U22,$Y22,$AA22,$AC22),3)),0)</f>
        <v>1</v>
      </c>
      <c r="AY22" s="306">
        <f>IFERROR(IF(OR($AV$22="",$AV$22=0),0,ROUNDDOWN(AVERAGE($Q22,$S22,$U22,$Y22,$AA22,$AC22,$AG22,$AI22,$AK22),3)),0)</f>
        <v>0.999</v>
      </c>
      <c r="AZ22" s="1033">
        <f>IFERROR(IF(OR($AV$22="",$AV$22=0),0,ROUNDDOWN(AVERAGE($Q22,$S22,$U22,$Y22,$AA22,$AC22,$AG22,$AI22,$AK22,$AO22,$AQ22,$AS22),3)),0)</f>
        <v>0.749</v>
      </c>
      <c r="BA22" s="318">
        <f>IF(AND(AW22&gt;0,$AV22&gt;0),AW22/$AV22,0)*0.25</f>
        <v>0.26315789473684215</v>
      </c>
      <c r="BB22" s="318">
        <f>IF(AND(AX22&gt;0,$AV22&gt;0),AX22/$AV22,0)*0.5</f>
        <v>0.52631578947368429</v>
      </c>
      <c r="BC22" s="318">
        <f>IF(AND(AY22&gt;0,$AV22&gt;0),AY22/$AV22,0)*0.75</f>
        <v>0.78868421052631588</v>
      </c>
      <c r="BD22" s="318">
        <f>IF(AND(AZ22&gt;0,$AV22&gt;0),AZ22/$AV22,0)</f>
        <v>0.78842105263157902</v>
      </c>
      <c r="BE22" s="345">
        <f>((IF(AND(AW22&gt;0,95%&gt;0),AW22/95%,0))/4)*0.25</f>
        <v>6.5789473684210523E-2</v>
      </c>
      <c r="BF22" s="345">
        <f>((IF(AND(AX22&gt;0,95%&gt;0),AX22/95%,0))/4)*0.5</f>
        <v>0.13157894736842105</v>
      </c>
      <c r="BG22" s="345">
        <f>((IF(AND(AY22&gt;0,95%&gt;0),AY22/95%,0))/4)*0.75</f>
        <v>0.19717105263157897</v>
      </c>
      <c r="BH22" s="1032">
        <f>(IF(AND(AZ22&gt;0,95%&gt;0),AZ22/95%,0))/4</f>
        <v>0.19710526315789476</v>
      </c>
    </row>
    <row r="23" spans="2:60" ht="138.75" customHeight="1">
      <c r="B23" s="1770"/>
      <c r="C23" s="1604"/>
      <c r="D23" s="305"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52">
        <f>+'01-FR-03 POA INSTITUCIONAL'!E20</f>
        <v>0.02</v>
      </c>
      <c r="F23" s="139">
        <f>+'01-FR-03 POA INSTITUCIONAL'!F20</f>
        <v>19500</v>
      </c>
      <c r="G23" s="139">
        <f>+'01-FR-03 POA INSTITUCIONAL'!L20</f>
        <v>6000</v>
      </c>
      <c r="H23" s="140" t="str">
        <f>+'01-FR-03 POA INSTITUCIONAL'!G20</f>
        <v>S.I.</v>
      </c>
      <c r="I23" s="140" t="str">
        <f>+'01-FR-03 POA INSTITUCIONAL'!H20</f>
        <v>Audiencias Publicas Realizadas con Asistencia del Ministerio Público</v>
      </c>
      <c r="J23" s="140" t="s">
        <v>229</v>
      </c>
      <c r="K23" s="274" t="s">
        <v>209</v>
      </c>
      <c r="L23" s="976" t="s">
        <v>1111</v>
      </c>
      <c r="M23" s="216" t="s">
        <v>200</v>
      </c>
      <c r="N23" s="216" t="s">
        <v>201</v>
      </c>
      <c r="O23" s="34" t="str">
        <f>+'01-FR-03 POA INSTITUCIONAL'!J20</f>
        <v>P.D. para la Coordinación de la Gestión de Personerías Locales y sus Personerías Locales adscritas</v>
      </c>
      <c r="P23" s="981">
        <v>0</v>
      </c>
      <c r="Q23" s="881">
        <v>127</v>
      </c>
      <c r="R23" s="981">
        <v>600</v>
      </c>
      <c r="S23" s="881">
        <v>672</v>
      </c>
      <c r="T23" s="981">
        <v>600</v>
      </c>
      <c r="U23" s="881">
        <v>653</v>
      </c>
      <c r="V23" s="53">
        <f t="shared" si="2"/>
        <v>1200</v>
      </c>
      <c r="W23" s="53">
        <f t="shared" si="2"/>
        <v>1452</v>
      </c>
      <c r="X23" s="981">
        <v>600</v>
      </c>
      <c r="Y23" s="881">
        <v>500</v>
      </c>
      <c r="Z23" s="981">
        <v>600</v>
      </c>
      <c r="AA23" s="881">
        <v>846</v>
      </c>
      <c r="AB23" s="981">
        <v>600</v>
      </c>
      <c r="AC23" s="881">
        <v>606</v>
      </c>
      <c r="AD23" s="53">
        <f t="shared" si="3"/>
        <v>1800</v>
      </c>
      <c r="AE23" s="53">
        <f t="shared" si="3"/>
        <v>1952</v>
      </c>
      <c r="AF23" s="981">
        <v>600</v>
      </c>
      <c r="AG23" s="881">
        <v>827</v>
      </c>
      <c r="AH23" s="981">
        <v>600</v>
      </c>
      <c r="AI23" s="881">
        <v>838</v>
      </c>
      <c r="AJ23" s="981">
        <v>600</v>
      </c>
      <c r="AK23" s="881">
        <v>737</v>
      </c>
      <c r="AL23" s="53">
        <f t="shared" si="4"/>
        <v>1800</v>
      </c>
      <c r="AM23" s="53">
        <f t="shared" si="4"/>
        <v>2402</v>
      </c>
      <c r="AN23" s="981">
        <v>600</v>
      </c>
      <c r="AO23" s="881"/>
      <c r="AP23" s="981">
        <v>600</v>
      </c>
      <c r="AQ23" s="881"/>
      <c r="AR23" s="881">
        <v>0</v>
      </c>
      <c r="AS23" s="881"/>
      <c r="AT23" s="53">
        <f t="shared" si="5"/>
        <v>1200</v>
      </c>
      <c r="AU23" s="53">
        <f t="shared" si="5"/>
        <v>0</v>
      </c>
      <c r="AV23" s="251">
        <f t="shared" si="6"/>
        <v>6000</v>
      </c>
      <c r="AW23" s="81">
        <f t="shared" si="7"/>
        <v>1452</v>
      </c>
      <c r="AX23" s="81">
        <f t="shared" si="8"/>
        <v>3404</v>
      </c>
      <c r="AY23" s="81">
        <f t="shared" si="9"/>
        <v>5806</v>
      </c>
      <c r="AZ23" s="1029">
        <f t="shared" si="10"/>
        <v>5806</v>
      </c>
      <c r="BA23" s="318">
        <f t="shared" ref="BA23:BA24" si="24">IF(AND(AW23&gt;0,$AV23&gt;0),AW23/$AV23,0)</f>
        <v>0.24199999999999999</v>
      </c>
      <c r="BB23" s="318">
        <f t="shared" ref="BB23:BB24" si="25">IF(AND(AX23&gt;0,$AV23&gt;0),AX23/$AV23,0)</f>
        <v>0.56733333333333336</v>
      </c>
      <c r="BC23" s="318">
        <f t="shared" ref="BC23:BC24" si="26">IF(AND(AY23&gt;0,$AV23&gt;0),AY23/$AV23,0)</f>
        <v>0.96766666666666667</v>
      </c>
      <c r="BD23" s="318">
        <f t="shared" ref="BD23:BD24" si="27">IF(AND(AZ23&gt;0,$AV23&gt;0),AZ23/$AV23,0)</f>
        <v>0.96766666666666667</v>
      </c>
      <c r="BE23" s="345">
        <f t="shared" ref="BE23:BE35" si="28">(IF(AND(AW23&gt;0,$F23&gt;0),AW23/$F23,0))</f>
        <v>7.4461538461538468E-2</v>
      </c>
      <c r="BF23" s="345">
        <f t="shared" ref="BF23:BF24" si="29">(IF(AND(AX23&gt;0,$F23&gt;0),AX23/$F23,0))</f>
        <v>0.17456410256410257</v>
      </c>
      <c r="BG23" s="345">
        <f t="shared" ref="BG23:BH24" si="30">(IF(AND(AY23&gt;0,$F23&gt;0),AY23/$F23,0))</f>
        <v>0.29774358974358972</v>
      </c>
      <c r="BH23" s="1032">
        <f t="shared" ref="BH23" si="31">(IF(AND(AZ23&gt;0,$F23&gt;0),AZ23/$F23,0))</f>
        <v>0.29774358974358972</v>
      </c>
    </row>
    <row r="24" spans="2:60" ht="236.25" customHeight="1">
      <c r="B24" s="1770"/>
      <c r="C24" s="1604"/>
      <c r="D24" s="305" t="str">
        <f>+'01-FR-03 POA INSTITUCIONAL'!D21</f>
        <v>1.1.9 Realizar 11.000 intervenciones de manera oportuna para evitar situaciones de caducidad y perdida de fuerza ejecutoria en las actuaciones administrativas y policivas</v>
      </c>
      <c r="E24" s="52">
        <f>+'01-FR-03 POA INSTITUCIONAL'!E21</f>
        <v>0.01</v>
      </c>
      <c r="F24" s="139">
        <f>+'01-FR-03 POA INSTITUCIONAL'!F21</f>
        <v>11000</v>
      </c>
      <c r="G24" s="139">
        <f>+'01-FR-03 POA INSTITUCIONAL'!L21</f>
        <v>3000</v>
      </c>
      <c r="H24" s="140" t="str">
        <f>+'01-FR-03 POA INSTITUCIONAL'!G21</f>
        <v>S.I.</v>
      </c>
      <c r="I24" s="140" t="str">
        <f>+'01-FR-03 POA INSTITUCIONAL'!H21</f>
        <v>Intervenciones realizadas oportunamente para evitar la caducidad y perdida de fuerza ejecutoria (Impulsos procesales)</v>
      </c>
      <c r="J24" s="140" t="s">
        <v>237</v>
      </c>
      <c r="K24" s="274" t="s">
        <v>210</v>
      </c>
      <c r="L24" s="976" t="s">
        <v>242</v>
      </c>
      <c r="M24" s="216" t="s">
        <v>200</v>
      </c>
      <c r="N24" s="216" t="s">
        <v>201</v>
      </c>
      <c r="O24" s="34" t="str">
        <f>+'01-FR-03 POA INSTITUCIONAL'!J21</f>
        <v>P.D. para la Coordinación de la Gestión de Personerías Locales y sus Personerías Locales adscritas</v>
      </c>
      <c r="P24" s="981">
        <v>0</v>
      </c>
      <c r="Q24" s="881">
        <v>22</v>
      </c>
      <c r="R24" s="981">
        <v>300</v>
      </c>
      <c r="S24" s="881">
        <v>60</v>
      </c>
      <c r="T24" s="981">
        <v>300</v>
      </c>
      <c r="U24" s="881">
        <v>356</v>
      </c>
      <c r="V24" s="53">
        <f t="shared" si="2"/>
        <v>600</v>
      </c>
      <c r="W24" s="53">
        <f t="shared" si="2"/>
        <v>438</v>
      </c>
      <c r="X24" s="981">
        <v>300</v>
      </c>
      <c r="Y24" s="881">
        <v>168</v>
      </c>
      <c r="Z24" s="981">
        <v>300</v>
      </c>
      <c r="AA24" s="881">
        <v>263</v>
      </c>
      <c r="AB24" s="981">
        <v>300</v>
      </c>
      <c r="AC24" s="981">
        <v>296</v>
      </c>
      <c r="AD24" s="53">
        <f t="shared" si="3"/>
        <v>900</v>
      </c>
      <c r="AE24" s="53">
        <f t="shared" si="3"/>
        <v>727</v>
      </c>
      <c r="AF24" s="981">
        <v>300</v>
      </c>
      <c r="AG24" s="881">
        <v>238</v>
      </c>
      <c r="AH24" s="981">
        <v>300</v>
      </c>
      <c r="AI24" s="881">
        <v>252</v>
      </c>
      <c r="AJ24" s="981">
        <v>300</v>
      </c>
      <c r="AK24" s="981">
        <v>327</v>
      </c>
      <c r="AL24" s="53">
        <f t="shared" si="4"/>
        <v>900</v>
      </c>
      <c r="AM24" s="53">
        <f t="shared" si="4"/>
        <v>817</v>
      </c>
      <c r="AN24" s="981">
        <v>300</v>
      </c>
      <c r="AO24" s="881"/>
      <c r="AP24" s="981">
        <v>300</v>
      </c>
      <c r="AQ24" s="881"/>
      <c r="AR24" s="881">
        <v>0</v>
      </c>
      <c r="AS24" s="881"/>
      <c r="AT24" s="53">
        <f t="shared" si="5"/>
        <v>600</v>
      </c>
      <c r="AU24" s="53">
        <f t="shared" si="5"/>
        <v>0</v>
      </c>
      <c r="AV24" s="251">
        <f t="shared" si="6"/>
        <v>3000</v>
      </c>
      <c r="AW24" s="81">
        <f t="shared" si="7"/>
        <v>438</v>
      </c>
      <c r="AX24" s="81">
        <f t="shared" si="8"/>
        <v>1165</v>
      </c>
      <c r="AY24" s="81">
        <f t="shared" si="9"/>
        <v>1982</v>
      </c>
      <c r="AZ24" s="1029">
        <f t="shared" si="10"/>
        <v>1982</v>
      </c>
      <c r="BA24" s="318">
        <f t="shared" si="24"/>
        <v>0.14599999999999999</v>
      </c>
      <c r="BB24" s="318">
        <f t="shared" si="25"/>
        <v>0.38833333333333331</v>
      </c>
      <c r="BC24" s="318">
        <f t="shared" si="26"/>
        <v>0.66066666666666662</v>
      </c>
      <c r="BD24" s="318">
        <f t="shared" si="27"/>
        <v>0.66066666666666662</v>
      </c>
      <c r="BE24" s="345">
        <f t="shared" si="28"/>
        <v>3.9818181818181815E-2</v>
      </c>
      <c r="BF24" s="345">
        <f t="shared" si="29"/>
        <v>0.10590909090909091</v>
      </c>
      <c r="BG24" s="345">
        <f t="shared" si="30"/>
        <v>0.18018181818181819</v>
      </c>
      <c r="BH24" s="1032">
        <f t="shared" si="30"/>
        <v>0.18018181818181819</v>
      </c>
    </row>
    <row r="25" spans="2:60" ht="136.5" customHeight="1">
      <c r="B25" s="1770"/>
      <c r="C25" s="1604"/>
      <c r="D25" s="305" t="str">
        <f>+'01-FR-03 POA INSTITUCIONAL'!D22</f>
        <v>1.1.10 Impulsar 2.300 expedientes que contengan orden de policía (MULTA) en firme y ejecutoriada, para que se efectúen cobros persuasivos y/o se de traslado para el cobro coactivo.</v>
      </c>
      <c r="E25" s="52">
        <f>+'01-FR-03 POA INSTITUCIONAL'!E22</f>
        <v>0.01</v>
      </c>
      <c r="F25" s="139">
        <f>+'01-FR-03 POA INSTITUCIONAL'!F22</f>
        <v>2300</v>
      </c>
      <c r="G25" s="139">
        <f>+'01-FR-03 POA INSTITUCIONAL'!L22</f>
        <v>500</v>
      </c>
      <c r="H25" s="140" t="str">
        <f>+'01-FR-03 POA INSTITUCIONAL'!G22</f>
        <v>S.I.</v>
      </c>
      <c r="I25" s="140" t="str">
        <f>+'01-FR-03 POA INSTITUCIONAL'!H22</f>
        <v>Expedientes con impulso procesal para la gestión de multas</v>
      </c>
      <c r="J25" s="140" t="s">
        <v>672</v>
      </c>
      <c r="K25" s="274" t="s">
        <v>211</v>
      </c>
      <c r="L25" s="976" t="s">
        <v>1112</v>
      </c>
      <c r="M25" s="216" t="s">
        <v>200</v>
      </c>
      <c r="N25" s="216" t="s">
        <v>201</v>
      </c>
      <c r="O25" s="34" t="str">
        <f>+'01-FR-03 POA INSTITUCIONAL'!J22</f>
        <v>P.D. para la Coordinación de la Gestión de Personerías Locales y sus Personerías Locales adscritas</v>
      </c>
      <c r="P25" s="981">
        <v>0</v>
      </c>
      <c r="Q25" s="981">
        <v>11</v>
      </c>
      <c r="R25" s="981">
        <v>50</v>
      </c>
      <c r="S25" s="981">
        <v>17</v>
      </c>
      <c r="T25" s="981">
        <v>50</v>
      </c>
      <c r="U25" s="981">
        <v>54</v>
      </c>
      <c r="V25" s="53">
        <f t="shared" si="2"/>
        <v>100</v>
      </c>
      <c r="W25" s="53">
        <f t="shared" si="2"/>
        <v>82</v>
      </c>
      <c r="X25" s="981">
        <v>50</v>
      </c>
      <c r="Y25" s="981">
        <v>12</v>
      </c>
      <c r="Z25" s="981">
        <v>50</v>
      </c>
      <c r="AA25" s="981">
        <v>37</v>
      </c>
      <c r="AB25" s="981">
        <v>50</v>
      </c>
      <c r="AC25" s="981">
        <v>25</v>
      </c>
      <c r="AD25" s="53">
        <f t="shared" si="3"/>
        <v>150</v>
      </c>
      <c r="AE25" s="53">
        <f t="shared" si="3"/>
        <v>74</v>
      </c>
      <c r="AF25" s="981">
        <v>50</v>
      </c>
      <c r="AG25" s="881">
        <v>32</v>
      </c>
      <c r="AH25" s="981">
        <v>50</v>
      </c>
      <c r="AI25" s="981">
        <v>67</v>
      </c>
      <c r="AJ25" s="981">
        <v>50</v>
      </c>
      <c r="AK25" s="981">
        <v>51</v>
      </c>
      <c r="AL25" s="53">
        <f t="shared" si="4"/>
        <v>150</v>
      </c>
      <c r="AM25" s="53">
        <f t="shared" si="4"/>
        <v>150</v>
      </c>
      <c r="AN25" s="881">
        <v>50</v>
      </c>
      <c r="AO25" s="881"/>
      <c r="AP25" s="881">
        <v>50</v>
      </c>
      <c r="AQ25" s="881"/>
      <c r="AR25" s="881">
        <v>0</v>
      </c>
      <c r="AS25" s="881"/>
      <c r="AT25" s="53">
        <f t="shared" si="5"/>
        <v>100</v>
      </c>
      <c r="AU25" s="53">
        <f t="shared" si="5"/>
        <v>0</v>
      </c>
      <c r="AV25" s="251">
        <f t="shared" si="6"/>
        <v>500</v>
      </c>
      <c r="AW25" s="81">
        <f t="shared" si="7"/>
        <v>82</v>
      </c>
      <c r="AX25" s="81">
        <f t="shared" si="8"/>
        <v>156</v>
      </c>
      <c r="AY25" s="81">
        <f t="shared" si="9"/>
        <v>306</v>
      </c>
      <c r="AZ25" s="1029">
        <f t="shared" si="10"/>
        <v>306</v>
      </c>
      <c r="BA25" s="318">
        <f t="shared" ref="BA25:BA35" si="32">IF(AND(AW25&gt;0,$AV25&gt;0),AW25/$AV25,0)</f>
        <v>0.16400000000000001</v>
      </c>
      <c r="BB25" s="318">
        <f t="shared" ref="BB25:BB35" si="33">IF(AND(AX25&gt;0,$AV25&gt;0),AX25/$AV25,0)</f>
        <v>0.312</v>
      </c>
      <c r="BC25" s="318">
        <f t="shared" ref="BC25:BC35" si="34">IF(AND(AY25&gt;0,$AV25&gt;0),AY25/$AV25,0)</f>
        <v>0.61199999999999999</v>
      </c>
      <c r="BD25" s="318">
        <f t="shared" ref="BD25:BD35" si="35">IF(AND(AZ25&gt;0,$AV25&gt;0),AZ25/$AV25,0)</f>
        <v>0.61199999999999999</v>
      </c>
      <c r="BE25" s="345">
        <f t="shared" si="28"/>
        <v>3.5652173913043476E-2</v>
      </c>
      <c r="BF25" s="345">
        <f t="shared" ref="BF25" si="36">(IF(AND(AX25&gt;0,$F25&gt;0),AX25/$F25,0))</f>
        <v>6.7826086956521744E-2</v>
      </c>
      <c r="BG25" s="345">
        <f t="shared" ref="BG25:BH25" si="37">(IF(AND(AY25&gt;0,$F25&gt;0),AY25/$F25,0))</f>
        <v>0.13304347826086957</v>
      </c>
      <c r="BH25" s="1032">
        <f t="shared" si="37"/>
        <v>0.13304347826086957</v>
      </c>
    </row>
    <row r="26" spans="2:60" ht="196.5" customHeight="1">
      <c r="B26" s="1770"/>
      <c r="C26" s="1532"/>
      <c r="D26" s="305" t="str">
        <f>+'01-FR-03 POA INSTITUCIONAL'!D23</f>
        <v>1.1.11 Establecer de forma periódica, 40 estados de la vulneración de  los derechos humanos en las localidades, dando a conocer a las Entidades correspondientes los hechos observados que requieren su intervención.</v>
      </c>
      <c r="E26" s="52">
        <f>+'01-FR-03 POA INSTITUCIONAL'!E23</f>
        <v>0.01</v>
      </c>
      <c r="F26" s="139">
        <f>+'01-FR-03 POA INSTITUCIONAL'!F23</f>
        <v>40</v>
      </c>
      <c r="G26" s="139">
        <f>+'01-FR-03 POA INSTITUCIONAL'!L23</f>
        <v>0</v>
      </c>
      <c r="H26" s="140" t="str">
        <f>+'01-FR-03 POA INSTITUCIONAL'!G23</f>
        <v>S.I.</v>
      </c>
      <c r="I26" s="140" t="str">
        <f>+'01-FR-03 POA INSTITUCIONAL'!H23</f>
        <v>Estados de vulneración establecidos</v>
      </c>
      <c r="J26" s="140" t="s">
        <v>243</v>
      </c>
      <c r="K26" s="274" t="s">
        <v>212</v>
      </c>
      <c r="L26" s="976" t="s">
        <v>244</v>
      </c>
      <c r="M26" s="216" t="s">
        <v>200</v>
      </c>
      <c r="N26" s="216" t="s">
        <v>201</v>
      </c>
      <c r="O26" s="34" t="str">
        <f>+'01-FR-03 POA INSTITUCIONAL'!J23</f>
        <v>P.D. para la Coordinación de la Gestión de Personerías Locales y sus Personerías Locales adscritas</v>
      </c>
      <c r="P26" s="881">
        <v>0</v>
      </c>
      <c r="Q26" s="881">
        <v>0</v>
      </c>
      <c r="R26" s="881">
        <v>0</v>
      </c>
      <c r="S26" s="881">
        <v>0</v>
      </c>
      <c r="T26" s="881">
        <v>0</v>
      </c>
      <c r="U26" s="881">
        <v>0</v>
      </c>
      <c r="V26" s="53">
        <f t="shared" si="2"/>
        <v>0</v>
      </c>
      <c r="W26" s="53">
        <f t="shared" si="2"/>
        <v>0</v>
      </c>
      <c r="X26" s="881">
        <v>0</v>
      </c>
      <c r="Y26" s="881">
        <v>0</v>
      </c>
      <c r="Z26" s="881">
        <v>0</v>
      </c>
      <c r="AA26" s="881">
        <v>0</v>
      </c>
      <c r="AB26" s="881">
        <v>0</v>
      </c>
      <c r="AC26" s="881">
        <v>0</v>
      </c>
      <c r="AD26" s="53">
        <f t="shared" si="3"/>
        <v>0</v>
      </c>
      <c r="AE26" s="53">
        <f t="shared" si="3"/>
        <v>0</v>
      </c>
      <c r="AF26" s="881">
        <v>0</v>
      </c>
      <c r="AG26" s="881">
        <v>0</v>
      </c>
      <c r="AH26" s="881">
        <v>0</v>
      </c>
      <c r="AI26" s="881">
        <v>0</v>
      </c>
      <c r="AJ26" s="981">
        <v>0</v>
      </c>
      <c r="AK26" s="981">
        <v>0</v>
      </c>
      <c r="AL26" s="53">
        <f t="shared" si="4"/>
        <v>0</v>
      </c>
      <c r="AM26" s="53">
        <f t="shared" si="4"/>
        <v>0</v>
      </c>
      <c r="AN26" s="881">
        <v>0</v>
      </c>
      <c r="AO26" s="881"/>
      <c r="AP26" s="881">
        <v>0</v>
      </c>
      <c r="AQ26" s="881"/>
      <c r="AR26" s="881">
        <v>0</v>
      </c>
      <c r="AS26" s="881"/>
      <c r="AT26" s="53">
        <f t="shared" si="5"/>
        <v>0</v>
      </c>
      <c r="AU26" s="53">
        <f t="shared" si="5"/>
        <v>0</v>
      </c>
      <c r="AV26" s="251">
        <f t="shared" si="6"/>
        <v>0</v>
      </c>
      <c r="AW26" s="81">
        <f t="shared" si="7"/>
        <v>0</v>
      </c>
      <c r="AX26" s="81">
        <f t="shared" si="8"/>
        <v>0</v>
      </c>
      <c r="AY26" s="81">
        <f t="shared" si="9"/>
        <v>0</v>
      </c>
      <c r="AZ26" s="1029">
        <f t="shared" si="10"/>
        <v>0</v>
      </c>
      <c r="BA26" s="318">
        <f t="shared" si="32"/>
        <v>0</v>
      </c>
      <c r="BB26" s="318">
        <f t="shared" si="33"/>
        <v>0</v>
      </c>
      <c r="BC26" s="318">
        <f t="shared" si="34"/>
        <v>0</v>
      </c>
      <c r="BD26" s="318">
        <f t="shared" si="35"/>
        <v>0</v>
      </c>
      <c r="BE26" s="345">
        <f t="shared" si="28"/>
        <v>0</v>
      </c>
      <c r="BF26" s="307">
        <f t="shared" ref="BF26" si="38">(IF(AND(AX26&gt;0,$AV26&gt;0),AX26/$AV26,0))*$E26</f>
        <v>0</v>
      </c>
      <c r="BG26" s="307">
        <f t="shared" ref="BG26" si="39">(IF(AND(AY26&gt;0,$AV26&gt;0),AY26/$AV26,0))*$E26</f>
        <v>0</v>
      </c>
      <c r="BH26" s="1031">
        <f t="shared" ref="BH26" si="40">(IF(AND(AZ26&gt;0,$AV26&gt;0),AZ26/$AV26,0))*$E26</f>
        <v>0</v>
      </c>
    </row>
    <row r="27" spans="2:60" ht="123" customHeight="1">
      <c r="B27" s="1770"/>
      <c r="C27" s="1531" t="str">
        <f>+'01-FR-03 POA INSTITUCIONAL'!C24</f>
        <v>1.2. Realizar 260.709 acciones que propendan por la efectiva defensa y garantía de los derechos de los sujetos de especial protección constitucional, con énfasis en las personas mayores, mujeres y la población migrante en el Distrito Capital.</v>
      </c>
      <c r="D27" s="305" t="str">
        <f>+'01-FR-03 POA INSTITUCIONAL'!D24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52">
        <f>+'01-FR-03 POA INSTITUCIONAL'!E24</f>
        <v>0.75</v>
      </c>
      <c r="F27" s="139">
        <f>+'01-FR-03 POA INSTITUCIONAL'!F24</f>
        <v>205930</v>
      </c>
      <c r="G27" s="139">
        <f>+'01-FR-03 POA INSTITUCIONAL'!L24</f>
        <v>71570</v>
      </c>
      <c r="H27" s="140" t="str">
        <f>+'01-FR-03 POA INSTITUCIONAL'!G24</f>
        <v>S.I.</v>
      </c>
      <c r="I27" s="140" t="str">
        <f>+'01-FR-03 POA INSTITUCIONAL'!H24</f>
        <v>Personas sensibilizadas en el Distrito Capital</v>
      </c>
      <c r="J27" s="140" t="s">
        <v>230</v>
      </c>
      <c r="K27" s="274" t="s">
        <v>213</v>
      </c>
      <c r="L27" s="976" t="s">
        <v>1113</v>
      </c>
      <c r="M27" s="216" t="s">
        <v>200</v>
      </c>
      <c r="N27" s="216" t="s">
        <v>201</v>
      </c>
      <c r="O27" s="34" t="str">
        <f>+'01-FR-03 POA INSTITUCIONAL'!J24</f>
        <v>P.D. para la Coordinación del MP y DDHH y sus dependencias adscritas
P.D. para la Coordinación de la Gestión de Personerías Locales y sus Personerías Locales adscritas</v>
      </c>
      <c r="P27" s="881">
        <f>0+200</f>
        <v>200</v>
      </c>
      <c r="Q27" s="881">
        <v>1388</v>
      </c>
      <c r="R27" s="881">
        <f>2000+850</f>
        <v>2850</v>
      </c>
      <c r="S27" s="881">
        <v>7276</v>
      </c>
      <c r="T27" s="881">
        <f>2000+5650</f>
        <v>7650</v>
      </c>
      <c r="U27" s="881">
        <v>8125</v>
      </c>
      <c r="V27" s="53">
        <f t="shared" si="2"/>
        <v>10700</v>
      </c>
      <c r="W27" s="53">
        <f t="shared" si="2"/>
        <v>16789</v>
      </c>
      <c r="X27" s="881">
        <f>2000+5700</f>
        <v>7700</v>
      </c>
      <c r="Y27" s="881">
        <v>8929</v>
      </c>
      <c r="Z27" s="881">
        <f>2000+5850</f>
        <v>7850</v>
      </c>
      <c r="AA27" s="881">
        <v>9385</v>
      </c>
      <c r="AB27" s="881">
        <f>2000+3850</f>
        <v>5850</v>
      </c>
      <c r="AC27" s="881">
        <v>9558</v>
      </c>
      <c r="AD27" s="53">
        <f t="shared" si="3"/>
        <v>21400</v>
      </c>
      <c r="AE27" s="53">
        <f t="shared" si="3"/>
        <v>27872</v>
      </c>
      <c r="AF27" s="881">
        <f>2000+5850</f>
        <v>7850</v>
      </c>
      <c r="AG27" s="881">
        <v>7187</v>
      </c>
      <c r="AH27" s="881">
        <f>2000+5850</f>
        <v>7850</v>
      </c>
      <c r="AI27" s="881">
        <v>7936</v>
      </c>
      <c r="AJ27" s="881">
        <f>2000+5850</f>
        <v>7850</v>
      </c>
      <c r="AK27" s="881">
        <v>7587</v>
      </c>
      <c r="AL27" s="53">
        <f t="shared" si="4"/>
        <v>23550</v>
      </c>
      <c r="AM27" s="53">
        <f t="shared" si="4"/>
        <v>22710</v>
      </c>
      <c r="AN27" s="881">
        <f>2000+5850</f>
        <v>7850</v>
      </c>
      <c r="AO27" s="881"/>
      <c r="AP27" s="881">
        <f>2000+5850</f>
        <v>7850</v>
      </c>
      <c r="AQ27" s="881"/>
      <c r="AR27" s="881">
        <f>0+220</f>
        <v>220</v>
      </c>
      <c r="AS27" s="881"/>
      <c r="AT27" s="53">
        <f t="shared" si="5"/>
        <v>15920</v>
      </c>
      <c r="AU27" s="53">
        <f t="shared" si="5"/>
        <v>0</v>
      </c>
      <c r="AV27" s="251">
        <f t="shared" si="6"/>
        <v>71570</v>
      </c>
      <c r="AW27" s="81">
        <f t="shared" si="7"/>
        <v>16789</v>
      </c>
      <c r="AX27" s="81">
        <f t="shared" si="8"/>
        <v>44661</v>
      </c>
      <c r="AY27" s="81">
        <f t="shared" si="9"/>
        <v>67371</v>
      </c>
      <c r="AZ27" s="1029">
        <f t="shared" si="10"/>
        <v>67371</v>
      </c>
      <c r="BA27" s="318">
        <f t="shared" si="32"/>
        <v>0.23458152857342462</v>
      </c>
      <c r="BB27" s="318">
        <f t="shared" si="33"/>
        <v>0.62401844348190583</v>
      </c>
      <c r="BC27" s="318">
        <f t="shared" si="34"/>
        <v>0.94133016627078381</v>
      </c>
      <c r="BD27" s="318">
        <f t="shared" si="35"/>
        <v>0.94133016627078381</v>
      </c>
      <c r="BE27" s="345">
        <f t="shared" si="28"/>
        <v>8.1527703588598066E-2</v>
      </c>
      <c r="BF27" s="345">
        <f t="shared" ref="BF27:BF28" si="41">(IF(AND(AX27&gt;0,$F27&gt;0),AX27/$F27,0))</f>
        <v>0.2168746661486913</v>
      </c>
      <c r="BG27" s="345">
        <f t="shared" ref="BG27:BH28" si="42">(IF(AND(AY27&gt;0,$F27&gt;0),AY27/$F27,0))</f>
        <v>0.32715485844704512</v>
      </c>
      <c r="BH27" s="1032">
        <f t="shared" si="42"/>
        <v>0.32715485844704512</v>
      </c>
    </row>
    <row r="28" spans="2:60" ht="144.75" customHeight="1">
      <c r="B28" s="1770"/>
      <c r="C28" s="1604"/>
      <c r="D28" s="305" t="str">
        <f>+'01-FR-03 POA INSTITUCIONAL'!D25</f>
        <v>1.2.2 Adelantar 23.910 acciones necesarias en favor de la población víctima del conflicto armado interno mediante el apoyo jurídico, la atención psicosocial, la gestión para acceso a derechos, la toma de declaraciones y la elaboración de derechos de petición.</v>
      </c>
      <c r="E28" s="52">
        <f>+'01-FR-03 POA INSTITUCIONAL'!E25</f>
        <v>0.12</v>
      </c>
      <c r="F28" s="139">
        <f>+'01-FR-03 POA INSTITUCIONAL'!F25</f>
        <v>23910</v>
      </c>
      <c r="G28" s="139">
        <f>+'01-FR-03 POA INSTITUCIONAL'!L25</f>
        <v>5480</v>
      </c>
      <c r="H28" s="140" t="str">
        <f>+'01-FR-03 POA INSTITUCIONAL'!G25</f>
        <v>S.I.</v>
      </c>
      <c r="I28" s="140" t="str">
        <f>+'01-FR-03 POA INSTITUCIONAL'!H25</f>
        <v>Acciones en favor de las víctimas del conflicto armado interno adelantadas</v>
      </c>
      <c r="J28" s="140" t="s">
        <v>231</v>
      </c>
      <c r="K28" s="274" t="s">
        <v>214</v>
      </c>
      <c r="L28" s="976" t="s">
        <v>1049</v>
      </c>
      <c r="M28" s="216" t="s">
        <v>200</v>
      </c>
      <c r="N28" s="216" t="s">
        <v>201</v>
      </c>
      <c r="O28" s="34" t="str">
        <f>+'01-FR-03 POA INSTITUCIONAL'!J25</f>
        <v>P.D. para la Protección de las Víctimas del Conflicto Armado Interno
P.D. para la Coordinación de la Gestión de Personerías Locales y sus Personerías Locales adscritas</v>
      </c>
      <c r="P28" s="881">
        <f>50+100</f>
        <v>150</v>
      </c>
      <c r="Q28" s="881">
        <v>443</v>
      </c>
      <c r="R28" s="881">
        <f>110+200</f>
        <v>310</v>
      </c>
      <c r="S28" s="881">
        <v>1110</v>
      </c>
      <c r="T28" s="881">
        <f>160+300</f>
        <v>460</v>
      </c>
      <c r="U28" s="881">
        <v>1148</v>
      </c>
      <c r="V28" s="53">
        <f t="shared" si="2"/>
        <v>920</v>
      </c>
      <c r="W28" s="53">
        <f t="shared" si="2"/>
        <v>2701</v>
      </c>
      <c r="X28" s="881">
        <f>160+400</f>
        <v>560</v>
      </c>
      <c r="Y28" s="881">
        <v>847</v>
      </c>
      <c r="Z28" s="881">
        <f>160+440</f>
        <v>600</v>
      </c>
      <c r="AA28" s="881">
        <v>1015</v>
      </c>
      <c r="AB28" s="881">
        <f>160+440</f>
        <v>600</v>
      </c>
      <c r="AC28" s="881">
        <v>948</v>
      </c>
      <c r="AD28" s="53">
        <f t="shared" si="3"/>
        <v>1760</v>
      </c>
      <c r="AE28" s="53">
        <f t="shared" si="3"/>
        <v>2810</v>
      </c>
      <c r="AF28" s="881">
        <f>160+400</f>
        <v>560</v>
      </c>
      <c r="AG28" s="881">
        <v>560</v>
      </c>
      <c r="AH28" s="881">
        <f>160+400</f>
        <v>560</v>
      </c>
      <c r="AI28" s="881">
        <v>767</v>
      </c>
      <c r="AJ28" s="881">
        <f>160+400</f>
        <v>560</v>
      </c>
      <c r="AK28" s="881">
        <v>952</v>
      </c>
      <c r="AL28" s="53">
        <f t="shared" si="4"/>
        <v>1680</v>
      </c>
      <c r="AM28" s="53">
        <f t="shared" si="4"/>
        <v>2279</v>
      </c>
      <c r="AN28" s="881">
        <f>160+400</f>
        <v>560</v>
      </c>
      <c r="AO28" s="881"/>
      <c r="AP28" s="881">
        <f>160+400</f>
        <v>560</v>
      </c>
      <c r="AQ28" s="881"/>
      <c r="AR28" s="906">
        <v>0</v>
      </c>
      <c r="AS28" s="881"/>
      <c r="AT28" s="53">
        <f t="shared" si="5"/>
        <v>1120</v>
      </c>
      <c r="AU28" s="53">
        <f t="shared" si="5"/>
        <v>0</v>
      </c>
      <c r="AV28" s="251">
        <f t="shared" si="6"/>
        <v>5480</v>
      </c>
      <c r="AW28" s="81">
        <f t="shared" si="7"/>
        <v>2701</v>
      </c>
      <c r="AX28" s="81">
        <f t="shared" si="8"/>
        <v>5511</v>
      </c>
      <c r="AY28" s="81">
        <f t="shared" si="9"/>
        <v>7790</v>
      </c>
      <c r="AZ28" s="1029">
        <f t="shared" si="10"/>
        <v>7790</v>
      </c>
      <c r="BA28" s="318">
        <f t="shared" si="32"/>
        <v>0.49288321167883209</v>
      </c>
      <c r="BB28" s="318">
        <f t="shared" si="33"/>
        <v>1.0056569343065693</v>
      </c>
      <c r="BC28" s="318">
        <f t="shared" si="34"/>
        <v>1.4215328467153285</v>
      </c>
      <c r="BD28" s="318">
        <f t="shared" si="35"/>
        <v>1.4215328467153285</v>
      </c>
      <c r="BE28" s="345">
        <f t="shared" si="28"/>
        <v>0.11296528649100794</v>
      </c>
      <c r="BF28" s="345">
        <f t="shared" si="41"/>
        <v>0.23048933500627353</v>
      </c>
      <c r="BG28" s="345">
        <f t="shared" si="42"/>
        <v>0.32580510246758676</v>
      </c>
      <c r="BH28" s="1032">
        <f t="shared" si="42"/>
        <v>0.32580510246758676</v>
      </c>
    </row>
    <row r="29" spans="2:60" ht="136.5" customHeight="1">
      <c r="B29" s="1770"/>
      <c r="C29" s="1604"/>
      <c r="D29" s="305" t="str">
        <f>+'01-FR-03 POA INSTITUCIONAL'!D26</f>
        <v>1.2.3 Prevenir mediante la elaboración de 18.880 acciones constitucionales, la vulneración de derechos  con énfasis en sujetos de especial protección constitucional.</v>
      </c>
      <c r="E29" s="52">
        <f>+'01-FR-03 POA INSTITUCIONAL'!E26</f>
        <v>0.09</v>
      </c>
      <c r="F29" s="139">
        <f>+'01-FR-03 POA INSTITUCIONAL'!F26</f>
        <v>18880</v>
      </c>
      <c r="G29" s="139">
        <f>+'01-FR-03 POA INSTITUCIONAL'!L26</f>
        <v>4790</v>
      </c>
      <c r="H29" s="140" t="str">
        <f>+'01-FR-03 POA INSTITUCIONAL'!G26</f>
        <v>S.I.</v>
      </c>
      <c r="I29" s="140" t="str">
        <f>+'01-FR-03 POA INSTITUCIONAL'!H26</f>
        <v>Acciones constitucionales elaboradas para prevenir vulneración de derechos</v>
      </c>
      <c r="J29" s="140" t="s">
        <v>232</v>
      </c>
      <c r="K29" s="274" t="s">
        <v>215</v>
      </c>
      <c r="L29" s="976" t="s">
        <v>1050</v>
      </c>
      <c r="M29" s="216" t="s">
        <v>200</v>
      </c>
      <c r="N29" s="216" t="s">
        <v>201</v>
      </c>
      <c r="O29" s="34" t="str">
        <f>+'01-FR-03 POA INSTITUCIONAL'!J26</f>
        <v>P.D. para Asuntos Jurisdiccionales, Víctimas, Penal II y Consumidor.
P.D. para la Coordinación de la Gestión de Personerías Locales y sus Personerías Locales adscritas</v>
      </c>
      <c r="P29" s="881">
        <f>0+197</f>
        <v>197</v>
      </c>
      <c r="Q29" s="881">
        <v>449</v>
      </c>
      <c r="R29" s="881">
        <f>70+487</f>
        <v>557</v>
      </c>
      <c r="S29" s="881">
        <v>584</v>
      </c>
      <c r="T29" s="881">
        <f>70+487</f>
        <v>557</v>
      </c>
      <c r="U29" s="881">
        <v>440</v>
      </c>
      <c r="V29" s="53">
        <f t="shared" si="2"/>
        <v>1311</v>
      </c>
      <c r="W29" s="53">
        <f t="shared" si="2"/>
        <v>1473</v>
      </c>
      <c r="X29" s="881">
        <f>70+488</f>
        <v>558</v>
      </c>
      <c r="Y29" s="881">
        <v>497</v>
      </c>
      <c r="Z29" s="881">
        <f>70+488</f>
        <v>558</v>
      </c>
      <c r="AA29" s="881">
        <v>652</v>
      </c>
      <c r="AB29" s="881">
        <f>70+488</f>
        <v>558</v>
      </c>
      <c r="AC29" s="881">
        <v>675</v>
      </c>
      <c r="AD29" s="53">
        <f t="shared" si="3"/>
        <v>1674</v>
      </c>
      <c r="AE29" s="53">
        <f t="shared" si="3"/>
        <v>1824</v>
      </c>
      <c r="AF29" s="881">
        <f>70+488</f>
        <v>558</v>
      </c>
      <c r="AG29" s="881">
        <v>660</v>
      </c>
      <c r="AH29" s="881">
        <f>70+205</f>
        <v>275</v>
      </c>
      <c r="AI29" s="881">
        <v>773</v>
      </c>
      <c r="AJ29" s="881">
        <f>70+204</f>
        <v>274</v>
      </c>
      <c r="AK29" s="881">
        <v>768</v>
      </c>
      <c r="AL29" s="53">
        <f t="shared" si="4"/>
        <v>1107</v>
      </c>
      <c r="AM29" s="53">
        <f t="shared" si="4"/>
        <v>2201</v>
      </c>
      <c r="AN29" s="881">
        <f>70+204</f>
        <v>274</v>
      </c>
      <c r="AO29" s="881"/>
      <c r="AP29" s="881">
        <f>70+204</f>
        <v>274</v>
      </c>
      <c r="AQ29" s="881"/>
      <c r="AR29" s="881">
        <f>0+150</f>
        <v>150</v>
      </c>
      <c r="AS29" s="881"/>
      <c r="AT29" s="53">
        <f t="shared" si="5"/>
        <v>698</v>
      </c>
      <c r="AU29" s="53">
        <f t="shared" si="5"/>
        <v>0</v>
      </c>
      <c r="AV29" s="251">
        <f t="shared" si="6"/>
        <v>4790</v>
      </c>
      <c r="AW29" s="81">
        <f t="shared" si="7"/>
        <v>1473</v>
      </c>
      <c r="AX29" s="81">
        <f t="shared" si="8"/>
        <v>3297</v>
      </c>
      <c r="AY29" s="81">
        <f t="shared" si="9"/>
        <v>5498</v>
      </c>
      <c r="AZ29" s="1029">
        <f t="shared" si="10"/>
        <v>5498</v>
      </c>
      <c r="BA29" s="318">
        <f t="shared" si="32"/>
        <v>0.30751565762004174</v>
      </c>
      <c r="BB29" s="318">
        <f t="shared" si="33"/>
        <v>0.68830897703549065</v>
      </c>
      <c r="BC29" s="318">
        <f t="shared" si="34"/>
        <v>1.1478079331941544</v>
      </c>
      <c r="BD29" s="318">
        <f t="shared" si="35"/>
        <v>1.1478079331941544</v>
      </c>
      <c r="BE29" s="345">
        <f t="shared" si="28"/>
        <v>7.8019067796610164E-2</v>
      </c>
      <c r="BF29" s="345">
        <f t="shared" ref="BF29:BF35" si="43">(IF(AND(AX29&gt;0,$F29&gt;0),AX29/$F29,0))</f>
        <v>0.17462923728813559</v>
      </c>
      <c r="BG29" s="345">
        <f t="shared" ref="BG29:BH35" si="44">(IF(AND(AY29&gt;0,$F29&gt;0),AY29/$F29,0))</f>
        <v>0.29120762711864406</v>
      </c>
      <c r="BH29" s="1032">
        <f t="shared" si="44"/>
        <v>0.29120762711864406</v>
      </c>
    </row>
    <row r="30" spans="2:60" ht="91.5" customHeight="1">
      <c r="B30" s="1770"/>
      <c r="C30" s="1604"/>
      <c r="D30" s="305" t="str">
        <f>+'01-FR-03 POA INSTITUCIONAL'!D27</f>
        <v>1.2.4 Fortalecer el ejercicio del ministerio público ante las comisarías de familia, verificando el cumplimiento a 3.540 medidas de protección que se imponen.</v>
      </c>
      <c r="E30" s="52">
        <f>+'01-FR-03 POA INSTITUCIONAL'!E27</f>
        <v>0.02</v>
      </c>
      <c r="F30" s="139">
        <f>+'01-FR-03 POA INSTITUCIONAL'!F27</f>
        <v>3540</v>
      </c>
      <c r="G30" s="139">
        <f>+'01-FR-03 POA INSTITUCIONAL'!L27</f>
        <v>800</v>
      </c>
      <c r="H30" s="140" t="str">
        <f>+'01-FR-03 POA INSTITUCIONAL'!G27</f>
        <v>S.I.</v>
      </c>
      <c r="I30" s="140" t="str">
        <f>+'01-FR-03 POA INSTITUCIONAL'!H27</f>
        <v>Verificaciones de cumplimiento realizadas por el Ministerio Público a las medidas de protección impuestas por las Comisarías de Familia</v>
      </c>
      <c r="J30" s="140" t="s">
        <v>239</v>
      </c>
      <c r="K30" s="979" t="s">
        <v>1114</v>
      </c>
      <c r="L30" s="976" t="s">
        <v>1115</v>
      </c>
      <c r="M30" s="216" t="s">
        <v>200</v>
      </c>
      <c r="N30" s="216" t="s">
        <v>201</v>
      </c>
      <c r="O30" s="34" t="str">
        <f>+'01-FR-03 POA INSTITUCIONAL'!J27</f>
        <v>P.D. para la Familia y Sujetos de Especial Protección Constitucional</v>
      </c>
      <c r="P30" s="881">
        <v>0</v>
      </c>
      <c r="Q30" s="881">
        <v>49</v>
      </c>
      <c r="R30" s="881">
        <v>50</v>
      </c>
      <c r="S30" s="881">
        <v>0</v>
      </c>
      <c r="T30" s="881">
        <v>90</v>
      </c>
      <c r="U30" s="881">
        <v>4</v>
      </c>
      <c r="V30" s="53">
        <f t="shared" si="2"/>
        <v>140</v>
      </c>
      <c r="W30" s="53">
        <f t="shared" si="2"/>
        <v>53</v>
      </c>
      <c r="X30" s="881">
        <v>90</v>
      </c>
      <c r="Y30" s="881">
        <v>16</v>
      </c>
      <c r="Z30" s="881">
        <v>90</v>
      </c>
      <c r="AA30" s="881">
        <v>38</v>
      </c>
      <c r="AB30" s="881">
        <v>90</v>
      </c>
      <c r="AC30" s="881">
        <v>90</v>
      </c>
      <c r="AD30" s="53">
        <f t="shared" si="3"/>
        <v>270</v>
      </c>
      <c r="AE30" s="53">
        <f t="shared" si="3"/>
        <v>144</v>
      </c>
      <c r="AF30" s="881">
        <v>80</v>
      </c>
      <c r="AG30" s="881">
        <v>203</v>
      </c>
      <c r="AH30" s="881">
        <v>80</v>
      </c>
      <c r="AI30" s="881">
        <v>163</v>
      </c>
      <c r="AJ30" s="881">
        <v>80</v>
      </c>
      <c r="AK30" s="981">
        <v>119</v>
      </c>
      <c r="AL30" s="53">
        <f t="shared" si="4"/>
        <v>240</v>
      </c>
      <c r="AM30" s="53">
        <f t="shared" si="4"/>
        <v>485</v>
      </c>
      <c r="AN30" s="881">
        <v>80</v>
      </c>
      <c r="AO30" s="881"/>
      <c r="AP30" s="881">
        <v>70</v>
      </c>
      <c r="AQ30" s="881"/>
      <c r="AR30" s="881">
        <v>0</v>
      </c>
      <c r="AS30" s="881"/>
      <c r="AT30" s="53">
        <f t="shared" si="5"/>
        <v>150</v>
      </c>
      <c r="AU30" s="53">
        <f t="shared" si="5"/>
        <v>0</v>
      </c>
      <c r="AV30" s="251">
        <f t="shared" si="6"/>
        <v>800</v>
      </c>
      <c r="AW30" s="81">
        <f t="shared" si="7"/>
        <v>53</v>
      </c>
      <c r="AX30" s="81">
        <f t="shared" si="8"/>
        <v>197</v>
      </c>
      <c r="AY30" s="81">
        <f t="shared" si="9"/>
        <v>682</v>
      </c>
      <c r="AZ30" s="1029">
        <f t="shared" si="10"/>
        <v>682</v>
      </c>
      <c r="BA30" s="318">
        <f t="shared" si="32"/>
        <v>6.6250000000000003E-2</v>
      </c>
      <c r="BB30" s="318">
        <f t="shared" si="33"/>
        <v>0.24625</v>
      </c>
      <c r="BC30" s="318">
        <f t="shared" si="34"/>
        <v>0.85250000000000004</v>
      </c>
      <c r="BD30" s="318">
        <f t="shared" si="35"/>
        <v>0.85250000000000004</v>
      </c>
      <c r="BE30" s="345">
        <f t="shared" si="28"/>
        <v>1.4971751412429379E-2</v>
      </c>
      <c r="BF30" s="345">
        <f t="shared" si="43"/>
        <v>5.5649717514124293E-2</v>
      </c>
      <c r="BG30" s="345">
        <f t="shared" si="44"/>
        <v>0.19265536723163842</v>
      </c>
      <c r="BH30" s="1032">
        <f t="shared" si="44"/>
        <v>0.19265536723163842</v>
      </c>
    </row>
    <row r="31" spans="2:60" ht="145.5" customHeight="1">
      <c r="B31" s="1770"/>
      <c r="C31" s="1604"/>
      <c r="D31" s="305" t="str">
        <f>+'01-FR-03 POA INSTITUCIONAL'!D28</f>
        <v>1.2.5 Participar en 7.711 comités, mesas y consejos interinstitucionales en garantía de derechos, con énfasis en temas relacionados con sujetos de especial protección constitucional, en particular, persona mayor, mujer y población migrante.</v>
      </c>
      <c r="E31" s="52">
        <f>+'01-FR-03 POA INSTITUCIONAL'!E28</f>
        <v>0.01</v>
      </c>
      <c r="F31" s="139">
        <f>+'01-FR-03 POA INSTITUCIONAL'!F28</f>
        <v>7711</v>
      </c>
      <c r="G31" s="139">
        <f>+'01-FR-03 POA INSTITUCIONAL'!L28</f>
        <v>2771</v>
      </c>
      <c r="H31" s="140" t="str">
        <f>+'01-FR-03 POA INSTITUCIONAL'!G28</f>
        <v>S.I.</v>
      </c>
      <c r="I31" s="140" t="str">
        <f>+'01-FR-03 POA INSTITUCIONAL'!H28</f>
        <v>Espacios Interinstitucionales con participación</v>
      </c>
      <c r="J31" s="140" t="s">
        <v>238</v>
      </c>
      <c r="K31" s="274" t="s">
        <v>216</v>
      </c>
      <c r="L31" s="976" t="s">
        <v>1116</v>
      </c>
      <c r="M31" s="216" t="s">
        <v>200</v>
      </c>
      <c r="N31" s="216" t="s">
        <v>201</v>
      </c>
      <c r="O31" s="34"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881">
        <f>200+15</f>
        <v>215</v>
      </c>
      <c r="Q31" s="881">
        <v>97</v>
      </c>
      <c r="R31" s="881">
        <f>200+30</f>
        <v>230</v>
      </c>
      <c r="S31" s="881">
        <v>226</v>
      </c>
      <c r="T31" s="881">
        <f>200+33</f>
        <v>233</v>
      </c>
      <c r="U31" s="881">
        <v>279</v>
      </c>
      <c r="V31" s="53">
        <f t="shared" si="2"/>
        <v>678</v>
      </c>
      <c r="W31" s="53">
        <f t="shared" si="2"/>
        <v>602</v>
      </c>
      <c r="X31" s="881">
        <f>200+33</f>
        <v>233</v>
      </c>
      <c r="Y31" s="881">
        <v>220</v>
      </c>
      <c r="Z31" s="881">
        <f>200+36</f>
        <v>236</v>
      </c>
      <c r="AA31" s="881">
        <v>313</v>
      </c>
      <c r="AB31" s="881">
        <f>200+33</f>
        <v>233</v>
      </c>
      <c r="AC31" s="981">
        <v>314</v>
      </c>
      <c r="AD31" s="53">
        <f t="shared" si="3"/>
        <v>702</v>
      </c>
      <c r="AE31" s="53">
        <f t="shared" si="3"/>
        <v>847</v>
      </c>
      <c r="AF31" s="881">
        <f>200+34</f>
        <v>234</v>
      </c>
      <c r="AG31" s="881">
        <v>254</v>
      </c>
      <c r="AH31" s="881">
        <f>200+35</f>
        <v>235</v>
      </c>
      <c r="AI31" s="881">
        <v>266</v>
      </c>
      <c r="AJ31" s="881">
        <f>200+34</f>
        <v>234</v>
      </c>
      <c r="AK31" s="981">
        <v>290</v>
      </c>
      <c r="AL31" s="53">
        <f t="shared" si="4"/>
        <v>703</v>
      </c>
      <c r="AM31" s="53">
        <f t="shared" si="4"/>
        <v>810</v>
      </c>
      <c r="AN31" s="881">
        <f>200+33</f>
        <v>233</v>
      </c>
      <c r="AO31" s="881"/>
      <c r="AP31" s="881">
        <f>200+34</f>
        <v>234</v>
      </c>
      <c r="AQ31" s="881"/>
      <c r="AR31" s="881">
        <f>200+21</f>
        <v>221</v>
      </c>
      <c r="AS31" s="881"/>
      <c r="AT31" s="53">
        <f t="shared" si="5"/>
        <v>688</v>
      </c>
      <c r="AU31" s="53">
        <f t="shared" si="5"/>
        <v>0</v>
      </c>
      <c r="AV31" s="251">
        <f t="shared" si="6"/>
        <v>2771</v>
      </c>
      <c r="AW31" s="81">
        <f t="shared" si="7"/>
        <v>602</v>
      </c>
      <c r="AX31" s="81">
        <f t="shared" si="8"/>
        <v>1449</v>
      </c>
      <c r="AY31" s="81">
        <f t="shared" si="9"/>
        <v>2259</v>
      </c>
      <c r="AZ31" s="1029">
        <f t="shared" si="10"/>
        <v>2259</v>
      </c>
      <c r="BA31" s="318">
        <f t="shared" si="32"/>
        <v>0.21725009022013714</v>
      </c>
      <c r="BB31" s="318">
        <f t="shared" si="33"/>
        <v>0.52291591483219058</v>
      </c>
      <c r="BC31" s="318">
        <f t="shared" si="34"/>
        <v>0.81522915914832195</v>
      </c>
      <c r="BD31" s="318">
        <f t="shared" si="35"/>
        <v>0.81522915914832195</v>
      </c>
      <c r="BE31" s="345">
        <f t="shared" si="28"/>
        <v>7.8070289197250675E-2</v>
      </c>
      <c r="BF31" s="345">
        <f t="shared" si="43"/>
        <v>0.18791337050966153</v>
      </c>
      <c r="BG31" s="345">
        <f t="shared" si="44"/>
        <v>0.29295811178835429</v>
      </c>
      <c r="BH31" s="1032">
        <f t="shared" si="44"/>
        <v>0.29295811178835429</v>
      </c>
    </row>
    <row r="32" spans="2:60" ht="99.75" customHeight="1">
      <c r="B32" s="1770"/>
      <c r="C32" s="1532"/>
      <c r="D32" s="305" t="str">
        <f>+'01-FR-03 POA INSTITUCIONAL'!D29</f>
        <v>1.2.6 Realizar 738 seguimientos a la amenaza y vulneración de los derechos, con énfasis en sujetos de especial protección constitucional, en particular, persona mayor, mujer y población migrante</v>
      </c>
      <c r="E32" s="52">
        <f>+'01-FR-03 POA INSTITUCIONAL'!E29</f>
        <v>0.01</v>
      </c>
      <c r="F32" s="139">
        <f>+'01-FR-03 POA INSTITUCIONAL'!F29</f>
        <v>712</v>
      </c>
      <c r="G32" s="139">
        <f>+'01-FR-03 POA INSTITUCIONAL'!L29</f>
        <v>208</v>
      </c>
      <c r="H32" s="140" t="str">
        <f>+'01-FR-03 POA INSTITUCIONAL'!G29</f>
        <v>S.I.</v>
      </c>
      <c r="I32" s="140" t="str">
        <f>+'01-FR-03 POA INSTITUCIONAL'!H29</f>
        <v>Seguimientos a la Amenaza y Vulneración de los Derechos Realizados</v>
      </c>
      <c r="J32" s="140" t="s">
        <v>233</v>
      </c>
      <c r="K32" s="274" t="s">
        <v>217</v>
      </c>
      <c r="L32" s="976" t="s">
        <v>1117</v>
      </c>
      <c r="M32" s="216" t="s">
        <v>200</v>
      </c>
      <c r="N32" s="216" t="s">
        <v>201</v>
      </c>
      <c r="O32" s="34"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881">
        <f>5+3</f>
        <v>8</v>
      </c>
      <c r="Q32" s="881">
        <v>18</v>
      </c>
      <c r="R32" s="881">
        <f>5+11</f>
        <v>16</v>
      </c>
      <c r="S32" s="881">
        <v>16</v>
      </c>
      <c r="T32" s="881">
        <f>5+16</f>
        <v>21</v>
      </c>
      <c r="U32" s="881">
        <v>54</v>
      </c>
      <c r="V32" s="53">
        <f t="shared" si="2"/>
        <v>45</v>
      </c>
      <c r="W32" s="53">
        <f t="shared" si="2"/>
        <v>88</v>
      </c>
      <c r="X32" s="881">
        <f>5+16</f>
        <v>21</v>
      </c>
      <c r="Y32" s="881">
        <v>19</v>
      </c>
      <c r="Z32" s="881">
        <f>5+16</f>
        <v>21</v>
      </c>
      <c r="AA32" s="881">
        <v>57</v>
      </c>
      <c r="AB32" s="881">
        <f>5+17</f>
        <v>22</v>
      </c>
      <c r="AC32" s="981">
        <v>18</v>
      </c>
      <c r="AD32" s="53">
        <f t="shared" si="3"/>
        <v>64</v>
      </c>
      <c r="AE32" s="53">
        <f t="shared" si="3"/>
        <v>94</v>
      </c>
      <c r="AF32" s="881">
        <f>5+16</f>
        <v>21</v>
      </c>
      <c r="AG32" s="881">
        <v>28</v>
      </c>
      <c r="AH32" s="881">
        <f>5+14</f>
        <v>19</v>
      </c>
      <c r="AI32" s="881">
        <v>26</v>
      </c>
      <c r="AJ32" s="881">
        <f>5+12</f>
        <v>17</v>
      </c>
      <c r="AK32" s="981">
        <v>33</v>
      </c>
      <c r="AL32" s="53">
        <f t="shared" si="4"/>
        <v>57</v>
      </c>
      <c r="AM32" s="53">
        <f t="shared" si="4"/>
        <v>87</v>
      </c>
      <c r="AN32" s="881">
        <f>5+12</f>
        <v>17</v>
      </c>
      <c r="AO32" s="881"/>
      <c r="AP32" s="881">
        <f>5+9</f>
        <v>14</v>
      </c>
      <c r="AQ32" s="881"/>
      <c r="AR32" s="881">
        <f>5+6</f>
        <v>11</v>
      </c>
      <c r="AS32" s="881"/>
      <c r="AT32" s="53">
        <f t="shared" si="5"/>
        <v>42</v>
      </c>
      <c r="AU32" s="53">
        <f t="shared" si="5"/>
        <v>0</v>
      </c>
      <c r="AV32" s="251">
        <f t="shared" si="6"/>
        <v>208</v>
      </c>
      <c r="AW32" s="81">
        <f t="shared" si="7"/>
        <v>88</v>
      </c>
      <c r="AX32" s="81">
        <f t="shared" si="8"/>
        <v>182</v>
      </c>
      <c r="AY32" s="81">
        <f t="shared" si="9"/>
        <v>269</v>
      </c>
      <c r="AZ32" s="1029">
        <f t="shared" si="10"/>
        <v>269</v>
      </c>
      <c r="BA32" s="318">
        <f t="shared" si="32"/>
        <v>0.42307692307692307</v>
      </c>
      <c r="BB32" s="318">
        <f t="shared" si="33"/>
        <v>0.875</v>
      </c>
      <c r="BC32" s="318">
        <f t="shared" si="34"/>
        <v>1.2932692307692308</v>
      </c>
      <c r="BD32" s="318">
        <f t="shared" si="35"/>
        <v>1.2932692307692308</v>
      </c>
      <c r="BE32" s="345">
        <f t="shared" si="28"/>
        <v>0.12359550561797752</v>
      </c>
      <c r="BF32" s="345">
        <f t="shared" si="43"/>
        <v>0.2556179775280899</v>
      </c>
      <c r="BG32" s="345">
        <f t="shared" si="44"/>
        <v>0.37780898876404495</v>
      </c>
      <c r="BH32" s="1032">
        <f t="shared" si="44"/>
        <v>0.37780898876404495</v>
      </c>
    </row>
    <row r="33" spans="2:60" ht="102" customHeight="1">
      <c r="B33" s="1770"/>
      <c r="C33" s="1531" t="str">
        <f>+'01-FR-03 POA INSTITUCIONAL'!C30</f>
        <v>1.3. Construir e Implementar 35 estrategias que permitan incrementar la oferta y cobertura de los servicios prestados por la Entidad.</v>
      </c>
      <c r="D33" s="305" t="str">
        <f>+'01-FR-03 POA INSTITUCIONAL'!D30</f>
        <v>1.3.1 Realizar 20 actividades que permitan el acercamiento de la Entidad a la Comunidad.</v>
      </c>
      <c r="E33" s="52">
        <f>+'01-FR-03 POA INSTITUCIONAL'!E30</f>
        <v>0.56000000000000005</v>
      </c>
      <c r="F33" s="139">
        <f>+'01-FR-03 POA INSTITUCIONAL'!F30</f>
        <v>20</v>
      </c>
      <c r="G33" s="139">
        <f>+'01-FR-03 POA INSTITUCIONAL'!L30</f>
        <v>8</v>
      </c>
      <c r="H33" s="140" t="str">
        <f>+'01-FR-03 POA INSTITUCIONAL'!G30</f>
        <v>S.I.</v>
      </c>
      <c r="I33" s="140" t="str">
        <f>+'01-FR-03 POA INSTITUCIONAL'!H30</f>
        <v>Actividades de acercamiento de la Entidad a la comunidad realizadas</v>
      </c>
      <c r="J33" s="140" t="s">
        <v>234</v>
      </c>
      <c r="K33" s="274" t="s">
        <v>218</v>
      </c>
      <c r="L33" s="976" t="s">
        <v>1118</v>
      </c>
      <c r="M33" s="216" t="s">
        <v>200</v>
      </c>
      <c r="N33" s="216" t="s">
        <v>201</v>
      </c>
      <c r="O33" s="34" t="str">
        <f>+'01-FR-03 POA INSTITUCIONAL'!J30</f>
        <v>P.D. para la Coordinación del MP y DDHH y sus dependencias adscritas
 P.D. para la Coordinación de la Gestión de Personerías Locales y sus Personerías Locales adscritas</v>
      </c>
      <c r="P33" s="881">
        <f>0+0</f>
        <v>0</v>
      </c>
      <c r="Q33" s="881">
        <v>0</v>
      </c>
      <c r="R33" s="881">
        <f>0+0</f>
        <v>0</v>
      </c>
      <c r="S33" s="881">
        <v>0</v>
      </c>
      <c r="T33" s="881">
        <f>0+0</f>
        <v>0</v>
      </c>
      <c r="U33" s="881">
        <v>0.2</v>
      </c>
      <c r="V33" s="53">
        <f t="shared" si="2"/>
        <v>0</v>
      </c>
      <c r="W33" s="53">
        <f t="shared" si="2"/>
        <v>0.2</v>
      </c>
      <c r="X33" s="881">
        <v>1</v>
      </c>
      <c r="Y33" s="881">
        <v>1.3</v>
      </c>
      <c r="Z33" s="881">
        <v>0</v>
      </c>
      <c r="AA33" s="881">
        <v>0.1</v>
      </c>
      <c r="AB33" s="881">
        <v>1</v>
      </c>
      <c r="AC33" s="881">
        <v>0.4</v>
      </c>
      <c r="AD33" s="53">
        <f t="shared" si="3"/>
        <v>2</v>
      </c>
      <c r="AE33" s="53">
        <f t="shared" si="3"/>
        <v>1.8000000000000003</v>
      </c>
      <c r="AF33" s="881">
        <v>1</v>
      </c>
      <c r="AG33" s="881">
        <v>2.2000000000000002</v>
      </c>
      <c r="AH33" s="881">
        <f>1+1</f>
        <v>2</v>
      </c>
      <c r="AI33" s="881">
        <v>0.4</v>
      </c>
      <c r="AJ33" s="881">
        <f>1+1</f>
        <v>2</v>
      </c>
      <c r="AK33" s="981">
        <v>0</v>
      </c>
      <c r="AL33" s="53">
        <f t="shared" si="4"/>
        <v>5</v>
      </c>
      <c r="AM33" s="53">
        <f t="shared" si="4"/>
        <v>2.6</v>
      </c>
      <c r="AN33" s="881">
        <v>1</v>
      </c>
      <c r="AO33" s="881"/>
      <c r="AP33" s="881">
        <f>0+0</f>
        <v>0</v>
      </c>
      <c r="AQ33" s="881"/>
      <c r="AR33" s="881">
        <f>0+0</f>
        <v>0</v>
      </c>
      <c r="AS33" s="881"/>
      <c r="AT33" s="53">
        <f t="shared" si="5"/>
        <v>1</v>
      </c>
      <c r="AU33" s="53">
        <f t="shared" si="5"/>
        <v>0</v>
      </c>
      <c r="AV33" s="251">
        <f t="shared" si="6"/>
        <v>8</v>
      </c>
      <c r="AW33" s="81">
        <f t="shared" si="7"/>
        <v>0.2</v>
      </c>
      <c r="AX33" s="1091">
        <f t="shared" si="8"/>
        <v>2.0000000000000004</v>
      </c>
      <c r="AY33" s="1091">
        <f t="shared" si="9"/>
        <v>4.6000000000000005</v>
      </c>
      <c r="AZ33" s="1029">
        <f t="shared" si="10"/>
        <v>4.6000000000000005</v>
      </c>
      <c r="BA33" s="318">
        <f t="shared" si="32"/>
        <v>2.5000000000000001E-2</v>
      </c>
      <c r="BB33" s="318">
        <f t="shared" si="33"/>
        <v>0.25000000000000006</v>
      </c>
      <c r="BC33" s="318">
        <f t="shared" si="34"/>
        <v>0.57500000000000007</v>
      </c>
      <c r="BD33" s="318">
        <f t="shared" si="35"/>
        <v>0.57500000000000007</v>
      </c>
      <c r="BE33" s="345">
        <f t="shared" si="28"/>
        <v>0.01</v>
      </c>
      <c r="BF33" s="345">
        <f t="shared" si="43"/>
        <v>0.10000000000000002</v>
      </c>
      <c r="BG33" s="345">
        <f t="shared" si="44"/>
        <v>0.23000000000000004</v>
      </c>
      <c r="BH33" s="1032">
        <f t="shared" si="44"/>
        <v>0.23000000000000004</v>
      </c>
    </row>
    <row r="34" spans="2:60" ht="87.75" customHeight="1">
      <c r="B34" s="1770"/>
      <c r="C34" s="1604"/>
      <c r="D34" s="305" t="str">
        <f>+'01-FR-03 POA INSTITUCIONAL'!D31</f>
        <v>1.3.2 Incrementar la cobertura de los servicios que presta el proceso de Promoción y Defensa de Derechos, mediante la implementación de 11 acciones que propendan por el mejoramiento de los mismos.</v>
      </c>
      <c r="E34" s="52">
        <f>+'01-FR-03 POA INSTITUCIONAL'!E31</f>
        <v>0.31</v>
      </c>
      <c r="F34" s="139">
        <f>+'01-FR-03 POA INSTITUCIONAL'!F31</f>
        <v>11</v>
      </c>
      <c r="G34" s="139">
        <f>+'01-FR-03 POA INSTITUCIONAL'!L31</f>
        <v>3</v>
      </c>
      <c r="H34" s="140" t="str">
        <f>+'01-FR-03 POA INSTITUCIONAL'!G31</f>
        <v>S.I.</v>
      </c>
      <c r="I34" s="140" t="str">
        <f>+'01-FR-03 POA INSTITUCIONAL'!H31</f>
        <v>Acciones realizadas para incrementar la cobertura de los servicios</v>
      </c>
      <c r="J34" s="140" t="s">
        <v>240</v>
      </c>
      <c r="K34" s="274" t="s">
        <v>219</v>
      </c>
      <c r="L34" s="976" t="s">
        <v>220</v>
      </c>
      <c r="M34" s="216" t="s">
        <v>200</v>
      </c>
      <c r="N34" s="216" t="s">
        <v>201</v>
      </c>
      <c r="O34" s="34" t="str">
        <f>+'01-FR-03 POA INSTITUCIONAL'!J31</f>
        <v>P.D. para la Coordinación del MP y DDHH y sus dependencias adscritas
 P.D. para la Coordinación de la Gestión de Personerías Locales y sus Personerías Locales adscritas</v>
      </c>
      <c r="P34" s="881">
        <f>0+0</f>
        <v>0</v>
      </c>
      <c r="Q34" s="881">
        <v>0</v>
      </c>
      <c r="R34" s="881">
        <f>0+0</f>
        <v>0</v>
      </c>
      <c r="S34" s="881">
        <v>0</v>
      </c>
      <c r="T34" s="881">
        <f>0+0</f>
        <v>0</v>
      </c>
      <c r="U34" s="881">
        <v>0</v>
      </c>
      <c r="V34" s="53">
        <f t="shared" si="2"/>
        <v>0</v>
      </c>
      <c r="W34" s="53">
        <f t="shared" si="2"/>
        <v>0</v>
      </c>
      <c r="X34" s="881">
        <f>0+0</f>
        <v>0</v>
      </c>
      <c r="Y34" s="881">
        <v>0</v>
      </c>
      <c r="Z34" s="881">
        <f>0+0</f>
        <v>0</v>
      </c>
      <c r="AA34" s="881">
        <v>0</v>
      </c>
      <c r="AB34" s="881">
        <f>0+0</f>
        <v>0</v>
      </c>
      <c r="AC34" s="881">
        <v>0</v>
      </c>
      <c r="AD34" s="53">
        <f t="shared" si="3"/>
        <v>0</v>
      </c>
      <c r="AE34" s="53">
        <f t="shared" si="3"/>
        <v>0</v>
      </c>
      <c r="AF34" s="881">
        <f>0+0</f>
        <v>0</v>
      </c>
      <c r="AG34" s="881">
        <v>0</v>
      </c>
      <c r="AH34" s="881">
        <f>1+2</f>
        <v>3</v>
      </c>
      <c r="AI34" s="881">
        <v>0</v>
      </c>
      <c r="AJ34" s="881">
        <f>0+0</f>
        <v>0</v>
      </c>
      <c r="AK34" s="981">
        <v>1</v>
      </c>
      <c r="AL34" s="53">
        <f t="shared" si="4"/>
        <v>3</v>
      </c>
      <c r="AM34" s="53">
        <f t="shared" si="4"/>
        <v>1</v>
      </c>
      <c r="AN34" s="881">
        <f>0+0</f>
        <v>0</v>
      </c>
      <c r="AO34" s="881"/>
      <c r="AP34" s="881">
        <f>0+0</f>
        <v>0</v>
      </c>
      <c r="AQ34" s="881"/>
      <c r="AR34" s="881">
        <f>0+0</f>
        <v>0</v>
      </c>
      <c r="AS34" s="881"/>
      <c r="AT34" s="53">
        <f t="shared" si="5"/>
        <v>0</v>
      </c>
      <c r="AU34" s="53">
        <f t="shared" si="5"/>
        <v>0</v>
      </c>
      <c r="AV34" s="251">
        <f t="shared" si="6"/>
        <v>3</v>
      </c>
      <c r="AW34" s="81">
        <f t="shared" si="7"/>
        <v>0</v>
      </c>
      <c r="AX34" s="81">
        <f t="shared" si="8"/>
        <v>0</v>
      </c>
      <c r="AY34" s="81">
        <f t="shared" si="9"/>
        <v>1</v>
      </c>
      <c r="AZ34" s="1029">
        <f t="shared" si="10"/>
        <v>1</v>
      </c>
      <c r="BA34" s="318">
        <f t="shared" si="32"/>
        <v>0</v>
      </c>
      <c r="BB34" s="318">
        <f t="shared" si="33"/>
        <v>0</v>
      </c>
      <c r="BC34" s="318">
        <f t="shared" si="34"/>
        <v>0.33333333333333331</v>
      </c>
      <c r="BD34" s="318">
        <f t="shared" si="35"/>
        <v>0.33333333333333331</v>
      </c>
      <c r="BE34" s="345">
        <f t="shared" si="28"/>
        <v>0</v>
      </c>
      <c r="BF34" s="345">
        <f t="shared" si="43"/>
        <v>0</v>
      </c>
      <c r="BG34" s="345">
        <f t="shared" si="44"/>
        <v>9.0909090909090912E-2</v>
      </c>
      <c r="BH34" s="1032">
        <f t="shared" si="44"/>
        <v>9.0909090909090912E-2</v>
      </c>
    </row>
    <row r="35" spans="2:60" ht="81" customHeight="1">
      <c r="B35" s="1770"/>
      <c r="C35" s="1604"/>
      <c r="D35" s="305" t="str">
        <f>+'01-FR-03 POA INSTITUCIONAL'!D32</f>
        <v>1.3.3 Implementar 4 herramientas para la promoción y prevención a infracciones del Derecho Internacional Humanitario en el Distrito Capital</v>
      </c>
      <c r="E35" s="52">
        <f>+'01-FR-03 POA INSTITUCIONAL'!E32</f>
        <v>0.11</v>
      </c>
      <c r="F35" s="139">
        <f>+'01-FR-03 POA INSTITUCIONAL'!F32</f>
        <v>4</v>
      </c>
      <c r="G35" s="139">
        <f>+'01-FR-03 POA INSTITUCIONAL'!L32</f>
        <v>1</v>
      </c>
      <c r="H35" s="140" t="str">
        <f>+'01-FR-03 POA INSTITUCIONAL'!G32</f>
        <v>S.I.</v>
      </c>
      <c r="I35" s="140" t="str">
        <f>+'01-FR-03 POA INSTITUCIONAL'!H32</f>
        <v>Herramientas de promoción y prevención a infracciones del Derecho Internacional Humanitario implementadas</v>
      </c>
      <c r="J35" s="140" t="s">
        <v>241</v>
      </c>
      <c r="K35" s="274" t="s">
        <v>221</v>
      </c>
      <c r="L35" s="976" t="s">
        <v>222</v>
      </c>
      <c r="M35" s="216" t="s">
        <v>200</v>
      </c>
      <c r="N35" s="216" t="s">
        <v>201</v>
      </c>
      <c r="O35" s="34" t="str">
        <f>+'01-FR-03 POA INSTITUCIONAL'!J32</f>
        <v>P.D. para la Coordinación del MP y DDHH y sus dependencias adscritas
 P.D. para la Coordinación de la Gestión de Personerías Locales y sus Personerías Locales adscritas</v>
      </c>
      <c r="P35" s="881">
        <v>0</v>
      </c>
      <c r="Q35" s="881">
        <v>0</v>
      </c>
      <c r="R35" s="881">
        <v>0</v>
      </c>
      <c r="S35" s="881">
        <v>0</v>
      </c>
      <c r="T35" s="881">
        <v>0</v>
      </c>
      <c r="U35" s="881">
        <v>0</v>
      </c>
      <c r="V35" s="53">
        <f t="shared" si="2"/>
        <v>0</v>
      </c>
      <c r="W35" s="53">
        <f t="shared" si="2"/>
        <v>0</v>
      </c>
      <c r="X35" s="881">
        <v>0</v>
      </c>
      <c r="Y35" s="881">
        <v>0</v>
      </c>
      <c r="Z35" s="881">
        <v>0</v>
      </c>
      <c r="AA35" s="881">
        <v>0</v>
      </c>
      <c r="AB35" s="881">
        <v>0</v>
      </c>
      <c r="AC35" s="881">
        <v>0</v>
      </c>
      <c r="AD35" s="53">
        <f t="shared" si="3"/>
        <v>0</v>
      </c>
      <c r="AE35" s="53">
        <f t="shared" si="3"/>
        <v>0</v>
      </c>
      <c r="AF35" s="881">
        <v>0</v>
      </c>
      <c r="AG35" s="881">
        <v>0</v>
      </c>
      <c r="AH35" s="881">
        <v>0</v>
      </c>
      <c r="AI35" s="881">
        <v>0</v>
      </c>
      <c r="AJ35" s="981">
        <v>0</v>
      </c>
      <c r="AK35" s="981">
        <v>0</v>
      </c>
      <c r="AL35" s="53">
        <f t="shared" si="4"/>
        <v>0</v>
      </c>
      <c r="AM35" s="53">
        <f t="shared" si="4"/>
        <v>0</v>
      </c>
      <c r="AN35" s="881">
        <v>0</v>
      </c>
      <c r="AO35" s="881"/>
      <c r="AP35" s="881">
        <f>0.5+0.5</f>
        <v>1</v>
      </c>
      <c r="AQ35" s="881"/>
      <c r="AR35" s="881">
        <v>0</v>
      </c>
      <c r="AS35" s="881"/>
      <c r="AT35" s="53">
        <f t="shared" si="5"/>
        <v>1</v>
      </c>
      <c r="AU35" s="53">
        <f t="shared" si="5"/>
        <v>0</v>
      </c>
      <c r="AV35" s="251">
        <f t="shared" si="6"/>
        <v>1</v>
      </c>
      <c r="AW35" s="81">
        <f t="shared" si="7"/>
        <v>0</v>
      </c>
      <c r="AX35" s="81">
        <f t="shared" si="8"/>
        <v>0</v>
      </c>
      <c r="AY35" s="81">
        <f t="shared" si="9"/>
        <v>0</v>
      </c>
      <c r="AZ35" s="1029">
        <f t="shared" si="10"/>
        <v>0</v>
      </c>
      <c r="BA35" s="318">
        <f t="shared" si="32"/>
        <v>0</v>
      </c>
      <c r="BB35" s="318">
        <f t="shared" si="33"/>
        <v>0</v>
      </c>
      <c r="BC35" s="318">
        <f t="shared" si="34"/>
        <v>0</v>
      </c>
      <c r="BD35" s="318">
        <f t="shared" si="35"/>
        <v>0</v>
      </c>
      <c r="BE35" s="345">
        <f t="shared" si="28"/>
        <v>0</v>
      </c>
      <c r="BF35" s="345">
        <f t="shared" si="43"/>
        <v>0</v>
      </c>
      <c r="BG35" s="345">
        <f t="shared" si="44"/>
        <v>0</v>
      </c>
      <c r="BH35" s="1032">
        <f t="shared" si="44"/>
        <v>0</v>
      </c>
    </row>
    <row r="36" spans="2:60" ht="23.25">
      <c r="B36" s="1537" t="s">
        <v>680</v>
      </c>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1538"/>
      <c r="AV36" s="1538"/>
      <c r="AW36" s="1706"/>
      <c r="AX36" s="1771" t="s">
        <v>19</v>
      </c>
      <c r="AY36" s="1771"/>
      <c r="AZ36" s="1771"/>
      <c r="BA36" s="70">
        <f>AVERAGE(BA16:BA35)</f>
        <v>0.21428351448593519</v>
      </c>
      <c r="BB36" s="70">
        <f>AVERAGE(BB16:BB35)</f>
        <v>0.50430844697358257</v>
      </c>
      <c r="BC36" s="70">
        <f>AVERAGE(BC16:BC35)</f>
        <v>0.83357435474244901</v>
      </c>
      <c r="BD36" s="70">
        <f>AVERAGE(BD16:BD35)</f>
        <v>0.83356119684771213</v>
      </c>
      <c r="BE36" s="1714"/>
      <c r="BF36" s="1715"/>
      <c r="BG36" s="1715"/>
      <c r="BH36" s="1716"/>
    </row>
    <row r="37" spans="2:60" ht="17.25">
      <c r="B37" s="1516"/>
      <c r="C37" s="1516"/>
      <c r="D37" s="1516"/>
      <c r="E37" s="1516"/>
      <c r="F37" s="1516"/>
      <c r="G37" s="1516"/>
      <c r="H37" s="238"/>
      <c r="I37" s="239"/>
      <c r="J37" s="239"/>
      <c r="K37" s="239"/>
      <c r="L37" s="239"/>
      <c r="M37" s="239"/>
      <c r="N37" s="239"/>
      <c r="O37" s="239"/>
    </row>
    <row r="38" spans="2:60" ht="17.25">
      <c r="B38" s="239"/>
      <c r="C38" s="239"/>
      <c r="D38" s="1686"/>
      <c r="E38" s="1686"/>
      <c r="F38" s="1686"/>
      <c r="G38" s="1686"/>
      <c r="H38" s="1686"/>
      <c r="I38" s="1686"/>
      <c r="J38" s="1686"/>
      <c r="K38" s="1686"/>
      <c r="L38" s="1686"/>
      <c r="M38" s="1686"/>
      <c r="N38" s="1686"/>
      <c r="O38" s="1686"/>
    </row>
    <row r="39" spans="2:60" ht="30" customHeight="1">
      <c r="B39" s="77" t="s">
        <v>26</v>
      </c>
      <c r="C39" s="240">
        <v>44224</v>
      </c>
      <c r="D39" s="241"/>
      <c r="E39" s="1687" t="s">
        <v>50</v>
      </c>
      <c r="F39" s="1763" t="s">
        <v>1105</v>
      </c>
      <c r="G39" s="1764"/>
      <c r="H39" s="1764"/>
      <c r="I39" s="1764"/>
      <c r="J39" s="1765"/>
      <c r="K39" s="242"/>
      <c r="L39" s="1695"/>
      <c r="M39" s="1695"/>
      <c r="N39" s="1695"/>
      <c r="O39" s="1696"/>
    </row>
    <row r="40" spans="2:60" ht="40.15" customHeight="1">
      <c r="B40" s="239"/>
      <c r="C40" s="239"/>
      <c r="D40" s="242"/>
      <c r="E40" s="1687"/>
      <c r="F40" s="1766"/>
      <c r="G40" s="1767"/>
      <c r="H40" s="1767"/>
      <c r="I40" s="1767"/>
      <c r="J40" s="1768"/>
      <c r="K40" s="239"/>
      <c r="L40" s="239"/>
      <c r="M40" s="239"/>
      <c r="N40" s="239"/>
      <c r="O40" s="239"/>
    </row>
    <row r="41" spans="2:60" ht="31.5" customHeight="1">
      <c r="B41" s="77" t="s">
        <v>49</v>
      </c>
      <c r="C41" s="80">
        <v>44581</v>
      </c>
      <c r="D41" s="239"/>
      <c r="E41" s="239"/>
      <c r="F41" s="239"/>
      <c r="K41" s="239"/>
      <c r="L41" s="239"/>
      <c r="M41" s="239"/>
      <c r="N41" s="239"/>
      <c r="O41" s="239"/>
    </row>
    <row r="42" spans="2:60" ht="17.25">
      <c r="B42" s="239"/>
      <c r="C42" s="239"/>
      <c r="D42" s="239"/>
      <c r="E42" s="239"/>
      <c r="F42" s="239"/>
      <c r="K42" s="239"/>
      <c r="L42" s="239"/>
      <c r="M42" s="239"/>
      <c r="N42" s="239"/>
      <c r="O42" s="239"/>
    </row>
    <row r="43" spans="2:60" ht="15" customHeight="1">
      <c r="B43" s="605" t="s">
        <v>922</v>
      </c>
      <c r="C43" s="239"/>
      <c r="D43" s="239"/>
      <c r="E43" s="239"/>
      <c r="F43" s="239"/>
      <c r="G43" s="238"/>
      <c r="H43" s="238"/>
      <c r="I43" s="1694"/>
      <c r="J43" s="1694"/>
      <c r="K43" s="1694"/>
      <c r="L43" s="1694"/>
      <c r="M43" s="243"/>
      <c r="N43" s="243"/>
      <c r="O43" s="243"/>
    </row>
    <row r="44" spans="2:60" ht="15" customHeight="1">
      <c r="B44" s="239"/>
      <c r="C44" s="239"/>
      <c r="D44" s="239"/>
      <c r="E44" s="239"/>
      <c r="F44" s="239"/>
      <c r="G44" s="238"/>
      <c r="H44" s="238"/>
      <c r="I44" s="239"/>
      <c r="J44" s="239"/>
      <c r="K44" s="244"/>
      <c r="L44" s="239"/>
      <c r="M44" s="239"/>
      <c r="N44" s="239"/>
      <c r="O44" s="239"/>
    </row>
    <row r="45" spans="2:60" ht="15" customHeight="1">
      <c r="B45" s="239"/>
      <c r="C45" s="239"/>
      <c r="D45" s="239"/>
      <c r="E45" s="239"/>
      <c r="F45" s="239"/>
      <c r="G45" s="238"/>
      <c r="H45" s="238"/>
      <c r="I45" s="1694"/>
      <c r="J45" s="1694"/>
      <c r="K45" s="1694"/>
      <c r="L45" s="1694"/>
      <c r="M45" s="243"/>
      <c r="N45" s="243"/>
      <c r="O45" s="243"/>
    </row>
    <row r="46" spans="2:60" ht="15" customHeight="1">
      <c r="B46" s="239"/>
      <c r="C46" s="239"/>
      <c r="D46" s="239"/>
      <c r="E46" s="239"/>
      <c r="F46" s="239"/>
      <c r="G46" s="238"/>
      <c r="H46" s="238"/>
      <c r="I46" s="239"/>
      <c r="J46" s="239"/>
      <c r="K46" s="244"/>
      <c r="L46" s="239"/>
      <c r="M46" s="239"/>
      <c r="N46" s="239"/>
      <c r="O46" s="239"/>
    </row>
    <row r="47" spans="2:60" ht="15" customHeight="1">
      <c r="B47" s="239"/>
      <c r="C47" s="239"/>
      <c r="D47" s="239"/>
      <c r="E47" s="239"/>
      <c r="F47" s="239"/>
      <c r="G47" s="238"/>
      <c r="H47" s="238"/>
      <c r="I47" s="1694"/>
      <c r="J47" s="1694"/>
      <c r="K47" s="1694"/>
      <c r="L47" s="1694"/>
      <c r="M47" s="243"/>
      <c r="N47" s="243"/>
      <c r="O47" s="243"/>
    </row>
  </sheetData>
  <sheetProtection algorithmName="SHA-512" hashValue="xiR0DJxAtgqjZPaUM2yVZOl4hWzPHEhpSb7IKogtJW0WUW1sN7vFsE6ZzwxzUhx9UfhG9nm1VKTz1M4hwaO6sw==" saltValue="9xa8Urzu4XkHdnJgUX9JPA==" spinCount="100000" sheet="1" objects="1" scenarios="1"/>
  <mergeCells count="73">
    <mergeCell ref="BE36:BH36"/>
    <mergeCell ref="I12:I15"/>
    <mergeCell ref="J12:J15"/>
    <mergeCell ref="K12:K15"/>
    <mergeCell ref="L12:L15"/>
    <mergeCell ref="AV12:AV15"/>
    <mergeCell ref="AW12:AZ12"/>
    <mergeCell ref="BA12:BD12"/>
    <mergeCell ref="BB13:BB15"/>
    <mergeCell ref="AX36:AZ36"/>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I45:L45"/>
    <mergeCell ref="I47:L47"/>
    <mergeCell ref="B37:G37"/>
    <mergeCell ref="B36:AW36"/>
    <mergeCell ref="D38:O38"/>
    <mergeCell ref="E39:E40"/>
    <mergeCell ref="L39:O39"/>
    <mergeCell ref="F39:J40"/>
    <mergeCell ref="I43:L43"/>
  </mergeCells>
  <conditionalFormatting sqref="BA16:BD35">
    <cfRule type="cellIs" dxfId="50" priority="1" operator="greaterThan">
      <formula>1</formula>
    </cfRule>
    <cfRule type="cellIs" dxfId="49" priority="17" operator="between">
      <formula>0.8</formula>
      <formula>1</formula>
    </cfRule>
    <cfRule type="cellIs" dxfId="48" priority="18" operator="between">
      <formula>0.61</formula>
      <formula>0.79</formula>
    </cfRule>
    <cfRule type="cellIs" dxfId="47" priority="19"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66FF33"/>
  </sheetPr>
  <dimension ref="B1:BI34"/>
  <sheetViews>
    <sheetView showGridLines="0" topLeftCell="A19" zoomScale="55" zoomScaleNormal="55" workbookViewId="0">
      <selection activeCell="K21" sqref="K21"/>
    </sheetView>
  </sheetViews>
  <sheetFormatPr baseColWidth="10" defaultColWidth="17.28515625" defaultRowHeight="15" customHeight="1"/>
  <cols>
    <col min="1" max="1" width="4.28515625" style="135" customWidth="1"/>
    <col min="2" max="2" width="50.42578125" style="133" customWidth="1"/>
    <col min="3" max="3" width="31.42578125" style="133" customWidth="1"/>
    <col min="4" max="4" width="49.7109375" style="133" customWidth="1"/>
    <col min="5" max="6" width="27.5703125" style="133" customWidth="1"/>
    <col min="7" max="7" width="29.28515625" style="134" customWidth="1"/>
    <col min="8" max="8" width="27.140625" style="134" customWidth="1"/>
    <col min="9" max="9" width="28.85546875" style="133" customWidth="1"/>
    <col min="10" max="10" width="31.85546875" style="133" customWidth="1"/>
    <col min="11" max="11" width="55.85546875" style="133" customWidth="1"/>
    <col min="12" max="12" width="48.42578125" style="133" customWidth="1"/>
    <col min="13" max="14" width="28.5703125" style="133" customWidth="1"/>
    <col min="15" max="15" width="50" style="133" customWidth="1"/>
    <col min="16" max="23" width="15.85546875" style="135" customWidth="1"/>
    <col min="24" max="24" width="14" style="135" bestFit="1" customWidth="1"/>
    <col min="25" max="25" width="12" style="135" bestFit="1" customWidth="1"/>
    <col min="26" max="26" width="14" style="135" bestFit="1" customWidth="1"/>
    <col min="27" max="27" width="12" style="135" bestFit="1" customWidth="1"/>
    <col min="28" max="28" width="14" style="135" bestFit="1" customWidth="1"/>
    <col min="29" max="29" width="12" style="135" bestFit="1" customWidth="1"/>
    <col min="30" max="31" width="15.42578125" style="135" customWidth="1"/>
    <col min="32" max="32" width="14" style="135" bestFit="1" customWidth="1"/>
    <col min="33" max="33" width="12" style="135" bestFit="1" customWidth="1"/>
    <col min="34" max="34" width="14" style="135" bestFit="1" customWidth="1"/>
    <col min="35" max="35" width="12" style="135" bestFit="1" customWidth="1"/>
    <col min="36" max="36" width="14" style="135" bestFit="1" customWidth="1"/>
    <col min="37" max="37" width="12" style="135" bestFit="1" customWidth="1"/>
    <col min="38" max="39" width="14.5703125" style="135" customWidth="1"/>
    <col min="40" max="40" width="18.42578125" style="135" customWidth="1"/>
    <col min="41" max="41" width="13.5703125" style="135" customWidth="1"/>
    <col min="42" max="42" width="15" style="135" customWidth="1"/>
    <col min="43" max="43" width="14.140625" style="135" customWidth="1"/>
    <col min="44" max="44" width="15.85546875" style="135" customWidth="1"/>
    <col min="45" max="45" width="14.140625" style="135" customWidth="1"/>
    <col min="46" max="47" width="15.28515625" style="135" customWidth="1"/>
    <col min="48" max="48" width="22.140625" style="135" customWidth="1"/>
    <col min="49" max="51" width="16" style="135" bestFit="1" customWidth="1"/>
    <col min="52" max="52" width="14.28515625" style="135" bestFit="1" customWidth="1"/>
    <col min="53" max="58" width="16" style="135" bestFit="1" customWidth="1"/>
    <col min="59" max="59" width="19.28515625" style="135" bestFit="1" customWidth="1"/>
    <col min="60" max="60" width="16" style="135" bestFit="1" customWidth="1"/>
    <col min="61" max="16384" width="17.28515625" style="135"/>
  </cols>
  <sheetData>
    <row r="1" spans="2:61" ht="15" customHeight="1" thickBot="1"/>
    <row r="2" spans="2:61" ht="16.5" customHeight="1">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1" ht="16.5" customHeight="1">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1" ht="16.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1" ht="16.5" customHeight="1">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1" ht="16.5"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1" ht="19.5" customHeight="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1" ht="28.5" customHeight="1">
      <c r="B8" s="213" t="s">
        <v>45</v>
      </c>
      <c r="C8" s="1713" t="s">
        <v>89</v>
      </c>
      <c r="D8" s="1713"/>
      <c r="E8" s="214"/>
      <c r="F8" s="214"/>
      <c r="G8" s="214"/>
      <c r="H8" s="214"/>
      <c r="I8" s="214"/>
      <c r="J8" s="214"/>
      <c r="K8" s="214"/>
      <c r="L8" s="214"/>
      <c r="M8" s="214"/>
      <c r="N8" s="214"/>
      <c r="O8" s="214"/>
      <c r="AW8" s="231"/>
      <c r="AX8" s="231"/>
      <c r="AY8" s="231"/>
      <c r="AZ8" s="231"/>
      <c r="BA8" s="231"/>
      <c r="BB8" s="231"/>
      <c r="BC8" s="231"/>
      <c r="BD8" s="231"/>
    </row>
    <row r="9" spans="2:61" ht="98.25" customHeight="1">
      <c r="B9" s="213" t="s">
        <v>34</v>
      </c>
      <c r="C9" s="1707" t="s">
        <v>276</v>
      </c>
      <c r="D9" s="1708"/>
      <c r="E9" s="214"/>
      <c r="F9" s="214"/>
      <c r="G9" s="214"/>
      <c r="H9" s="214"/>
      <c r="I9" s="214"/>
      <c r="J9" s="214"/>
      <c r="K9" s="214"/>
      <c r="L9" s="214"/>
      <c r="M9" s="214"/>
      <c r="N9" s="214"/>
      <c r="O9" s="214"/>
      <c r="AW9" s="231"/>
      <c r="AX9" s="231"/>
      <c r="AY9" s="231"/>
      <c r="AZ9" s="231"/>
      <c r="BA9" s="231"/>
      <c r="BB9" s="231"/>
      <c r="BC9" s="231"/>
      <c r="BD9" s="231"/>
    </row>
    <row r="10" spans="2:61" ht="30" customHeight="1">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2:61" ht="14.25" customHeight="1">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1" ht="33"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254</v>
      </c>
      <c r="AW12" s="1656" t="s">
        <v>682</v>
      </c>
      <c r="AX12" s="1657"/>
      <c r="AY12" s="1657"/>
      <c r="AZ12" s="1658"/>
      <c r="BA12" s="1645" t="s">
        <v>683</v>
      </c>
      <c r="BB12" s="1646"/>
      <c r="BC12" s="1646"/>
      <c r="BD12" s="1647"/>
      <c r="BE12" s="1680" t="s">
        <v>684</v>
      </c>
      <c r="BF12" s="1681"/>
      <c r="BG12" s="1681"/>
      <c r="BH12" s="1682"/>
    </row>
    <row r="13" spans="2:61" ht="21.75" customHeight="1">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255</v>
      </c>
      <c r="AX13" s="1659" t="s">
        <v>256</v>
      </c>
      <c r="AY13" s="1659" t="s">
        <v>257</v>
      </c>
      <c r="AZ13" s="1659" t="s">
        <v>258</v>
      </c>
      <c r="BA13" s="1648" t="s">
        <v>259</v>
      </c>
      <c r="BB13" s="1648" t="s">
        <v>256</v>
      </c>
      <c r="BC13" s="1648" t="s">
        <v>260</v>
      </c>
      <c r="BD13" s="1648" t="s">
        <v>261</v>
      </c>
      <c r="BE13" s="1642" t="s">
        <v>259</v>
      </c>
      <c r="BF13" s="1642" t="s">
        <v>256</v>
      </c>
      <c r="BG13" s="1642" t="s">
        <v>260</v>
      </c>
      <c r="BH13" s="1642" t="s">
        <v>261</v>
      </c>
    </row>
    <row r="14" spans="2:61" ht="21.75" customHeight="1">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1" ht="21.7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1" ht="186" customHeight="1">
      <c r="B16" s="1678" t="str">
        <f>+'01-FR-03 POA INSTITUCIONAL'!B33</f>
        <v>2. Realizar acciones de prevención y control a la Función Pública, en el marco del cumplimiento del Plan de Desarrollo, con énfasis en los Derechos e intereses colectivos.</v>
      </c>
      <c r="C16" s="1678" t="str">
        <f>+'01-FR-03 POA INSTITUCIONAL'!C33</f>
        <v>2.1. Realizar 22 acciones de prevención y control a la función pública en medio ambiente, agua, protección y bienestar animal y desarrollo urbano.</v>
      </c>
      <c r="D16" s="31" t="str">
        <f>+'01-FR-03 POA INSTITUCIONAL'!D33</f>
        <v>2.1.1 Realizar 16 informes en los cuales se evalúen las políticas ambientales, el manejo de recursos hídricos, protección y bienestar animal y desarrollo urbano en el Distrito Capital.</v>
      </c>
      <c r="E16" s="52">
        <f>+'01-FR-03 POA INSTITUCIONAL'!E33</f>
        <v>0.72727272727272696</v>
      </c>
      <c r="F16" s="172">
        <f>+'01-FR-03 POA INSTITUCIONAL'!F33</f>
        <v>16</v>
      </c>
      <c r="G16" s="172">
        <f>+'01-FR-03 POA INSTITUCIONAL'!L33</f>
        <v>7</v>
      </c>
      <c r="H16" s="140" t="str">
        <f>+'01-FR-03 POA INSTITUCIONAL'!G33</f>
        <v>S.I.</v>
      </c>
      <c r="I16" s="140" t="str">
        <f>+'01-FR-03 POA INSTITUCIONAL'!H33</f>
        <v>Informes realizados en temas específicos.</v>
      </c>
      <c r="J16" s="140" t="s">
        <v>665</v>
      </c>
      <c r="K16" s="442" t="s">
        <v>262</v>
      </c>
      <c r="L16" s="217" t="s">
        <v>1120</v>
      </c>
      <c r="M16" s="216" t="s">
        <v>263</v>
      </c>
      <c r="N16" s="216" t="s">
        <v>264</v>
      </c>
      <c r="O16" s="252"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982">
        <v>0</v>
      </c>
      <c r="Q16" s="982">
        <v>0</v>
      </c>
      <c r="R16" s="982">
        <v>0</v>
      </c>
      <c r="S16" s="982">
        <v>0</v>
      </c>
      <c r="T16" s="982">
        <v>0</v>
      </c>
      <c r="U16" s="983">
        <v>0</v>
      </c>
      <c r="V16" s="41">
        <f>P16+R16+T16</f>
        <v>0</v>
      </c>
      <c r="W16" s="41">
        <f>Q16+S16+U16</f>
        <v>0</v>
      </c>
      <c r="X16" s="982">
        <v>0</v>
      </c>
      <c r="Y16" s="982">
        <v>0</v>
      </c>
      <c r="Z16" s="982">
        <v>1</v>
      </c>
      <c r="AA16" s="982">
        <v>0</v>
      </c>
      <c r="AB16" s="982">
        <v>1</v>
      </c>
      <c r="AC16" s="982">
        <v>0</v>
      </c>
      <c r="AD16" s="41">
        <f>X16+Z16+AB16</f>
        <v>2</v>
      </c>
      <c r="AE16" s="41">
        <f>Y16+AA16+AC16</f>
        <v>0</v>
      </c>
      <c r="AF16" s="982">
        <v>0</v>
      </c>
      <c r="AG16" s="982">
        <v>2</v>
      </c>
      <c r="AH16" s="982">
        <v>0</v>
      </c>
      <c r="AI16" s="982">
        <v>0</v>
      </c>
      <c r="AJ16" s="983">
        <v>0</v>
      </c>
      <c r="AK16" s="983">
        <v>0</v>
      </c>
      <c r="AL16" s="41">
        <f>AF16+AH16+AJ16</f>
        <v>0</v>
      </c>
      <c r="AM16" s="41">
        <f>AG16+AI16+AK16</f>
        <v>2</v>
      </c>
      <c r="AN16" s="982">
        <v>2</v>
      </c>
      <c r="AO16" s="982"/>
      <c r="AP16" s="982">
        <v>2</v>
      </c>
      <c r="AQ16" s="982"/>
      <c r="AR16" s="982">
        <v>1</v>
      </c>
      <c r="AS16" s="982"/>
      <c r="AT16" s="41">
        <f>AN16+AP16+AR16</f>
        <v>5</v>
      </c>
      <c r="AU16" s="41">
        <f>AO16+AQ16+AS16</f>
        <v>0</v>
      </c>
      <c r="AV16" s="25">
        <f>V16+AD16+AL16+AT16</f>
        <v>7</v>
      </c>
      <c r="AW16" s="81">
        <f>+W16</f>
        <v>0</v>
      </c>
      <c r="AX16" s="81">
        <f>+W16+AE16</f>
        <v>0</v>
      </c>
      <c r="AY16" s="81">
        <f>+W16+AE16+AM16</f>
        <v>2</v>
      </c>
      <c r="AZ16" s="1029">
        <f>+W16+AE16+AM16+AU16</f>
        <v>2</v>
      </c>
      <c r="BA16" s="42">
        <f>IF(AND(AW16&gt;0,$AV16&gt;0),AW16/$AV16,0)</f>
        <v>0</v>
      </c>
      <c r="BB16" s="42">
        <f t="shared" ref="BB16:BD22" si="0">IF(AND(AX16&gt;0,$AV16&gt;0),AX16/$AV16,0)</f>
        <v>0</v>
      </c>
      <c r="BC16" s="42">
        <f t="shared" si="0"/>
        <v>0.2857142857142857</v>
      </c>
      <c r="BD16" s="42">
        <f t="shared" si="0"/>
        <v>0.2857142857142857</v>
      </c>
      <c r="BE16" s="307">
        <f>(IF(AND(AW16&gt;0,$F16&gt;0),AW16/$F16,0))</f>
        <v>0</v>
      </c>
      <c r="BF16" s="307">
        <f t="shared" ref="BF16:BH16" si="1">(IF(AND(AX16&gt;0,$F16&gt;0),AX16/$F16,0))</f>
        <v>0</v>
      </c>
      <c r="BG16" s="307">
        <f t="shared" si="1"/>
        <v>0.125</v>
      </c>
      <c r="BH16" s="1031">
        <f t="shared" si="1"/>
        <v>0.125</v>
      </c>
      <c r="BI16" s="253"/>
    </row>
    <row r="17" spans="2:61" ht="135" customHeight="1">
      <c r="B17" s="1679"/>
      <c r="C17" s="1705"/>
      <c r="D17" s="31"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52">
        <f>+'01-FR-03 POA INSTITUCIONAL'!E34</f>
        <v>0.27272727272727298</v>
      </c>
      <c r="F17" s="172">
        <f>+'01-FR-03 POA INSTITUCIONAL'!F34</f>
        <v>6</v>
      </c>
      <c r="G17" s="172">
        <f>+'01-FR-03 POA INSTITUCIONAL'!L34</f>
        <v>1</v>
      </c>
      <c r="H17" s="140" t="str">
        <f>+'01-FR-03 POA INSTITUCIONAL'!G34</f>
        <v>S.I.</v>
      </c>
      <c r="I17" s="140" t="str">
        <f>+'01-FR-03 POA INSTITUCIONAL'!H34</f>
        <v>Informes de seguimientos realizados en temas específicos.</v>
      </c>
      <c r="J17" s="140" t="s">
        <v>666</v>
      </c>
      <c r="K17" s="442" t="s">
        <v>265</v>
      </c>
      <c r="L17" s="217" t="s">
        <v>273</v>
      </c>
      <c r="M17" s="216" t="s">
        <v>263</v>
      </c>
      <c r="N17" s="216" t="s">
        <v>264</v>
      </c>
      <c r="O17" s="252"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982">
        <v>0</v>
      </c>
      <c r="Q17" s="982">
        <v>0</v>
      </c>
      <c r="R17" s="982">
        <v>0</v>
      </c>
      <c r="S17" s="982">
        <v>0</v>
      </c>
      <c r="T17" s="982">
        <v>0</v>
      </c>
      <c r="U17" s="983">
        <v>0</v>
      </c>
      <c r="V17" s="41">
        <f t="shared" ref="V17:W22" si="2">P17+R17+T17</f>
        <v>0</v>
      </c>
      <c r="W17" s="41">
        <f t="shared" si="2"/>
        <v>0</v>
      </c>
      <c r="X17" s="982">
        <v>0</v>
      </c>
      <c r="Y17" s="982">
        <v>0</v>
      </c>
      <c r="Z17" s="982">
        <v>0</v>
      </c>
      <c r="AA17" s="982">
        <v>0</v>
      </c>
      <c r="AB17" s="982">
        <v>0</v>
      </c>
      <c r="AC17" s="982">
        <v>0</v>
      </c>
      <c r="AD17" s="41">
        <f t="shared" ref="AD17:AE22" si="3">X17+Z17+AB17</f>
        <v>0</v>
      </c>
      <c r="AE17" s="41">
        <f t="shared" si="3"/>
        <v>0</v>
      </c>
      <c r="AF17" s="982">
        <v>0</v>
      </c>
      <c r="AG17" s="982">
        <v>0</v>
      </c>
      <c r="AH17" s="982">
        <v>0</v>
      </c>
      <c r="AI17" s="982">
        <v>0</v>
      </c>
      <c r="AJ17" s="983">
        <v>0</v>
      </c>
      <c r="AK17" s="983">
        <v>0</v>
      </c>
      <c r="AL17" s="41">
        <f t="shared" ref="AL17:AM22" si="4">AF17+AH17+AJ17</f>
        <v>0</v>
      </c>
      <c r="AM17" s="41">
        <f t="shared" si="4"/>
        <v>0</v>
      </c>
      <c r="AN17" s="982">
        <v>1</v>
      </c>
      <c r="AO17" s="982"/>
      <c r="AP17" s="982">
        <v>0</v>
      </c>
      <c r="AQ17" s="982"/>
      <c r="AR17" s="982">
        <v>0</v>
      </c>
      <c r="AS17" s="982"/>
      <c r="AT17" s="41">
        <f t="shared" ref="AT17:AU22" si="5">AN17+AP17+AR17</f>
        <v>1</v>
      </c>
      <c r="AU17" s="41">
        <f t="shared" si="5"/>
        <v>0</v>
      </c>
      <c r="AV17" s="25">
        <f t="shared" ref="AV17:AV22" si="6">V17+AD17+AL17+AT17</f>
        <v>1</v>
      </c>
      <c r="AW17" s="81">
        <f t="shared" ref="AW17:AW22" si="7">+W17</f>
        <v>0</v>
      </c>
      <c r="AX17" s="81">
        <f t="shared" ref="AX17:AX22" si="8">+W17+AE17</f>
        <v>0</v>
      </c>
      <c r="AY17" s="81">
        <f t="shared" ref="AY17:AY22" si="9">+W17+AE17+AM17</f>
        <v>0</v>
      </c>
      <c r="AZ17" s="1029">
        <f t="shared" ref="AZ17:AZ22" si="10">+W17+AE17+AM17+AU17</f>
        <v>0</v>
      </c>
      <c r="BA17" s="42">
        <f>IF(AND(AW17&gt;0,AV17&gt;0),AW17/AV17,0)</f>
        <v>0</v>
      </c>
      <c r="BB17" s="42">
        <f t="shared" si="0"/>
        <v>0</v>
      </c>
      <c r="BC17" s="42">
        <f t="shared" si="0"/>
        <v>0</v>
      </c>
      <c r="BD17" s="42">
        <f t="shared" si="0"/>
        <v>0</v>
      </c>
      <c r="BE17" s="307">
        <f t="shared" ref="BE17:BE19" si="11">(IF(AND(AW17&gt;0,$F17&gt;0),AW17/$F17,0))</f>
        <v>0</v>
      </c>
      <c r="BF17" s="307">
        <f t="shared" ref="BF17:BF19" si="12">(IF(AND(AX17&gt;0,$F17&gt;0),AX17/$F17,0))</f>
        <v>0</v>
      </c>
      <c r="BG17" s="307">
        <f t="shared" ref="BG17:BG19" si="13">(IF(AND(AY17&gt;0,$F17&gt;0),AY17/$F17,0))</f>
        <v>0</v>
      </c>
      <c r="BH17" s="1031">
        <f t="shared" ref="BH17:BH19" si="14">(IF(AND(AZ17&gt;0,$F17&gt;0),AZ17/$F17,0))</f>
        <v>0</v>
      </c>
      <c r="BI17" s="253"/>
    </row>
    <row r="18" spans="2:61" ht="126" customHeight="1">
      <c r="B18" s="1679"/>
      <c r="C18" s="1678" t="str">
        <f>+'01-FR-03 POA INSTITUCIONAL'!C35</f>
        <v>2.2. Fortalecer la moralidad publica realizando  952 acciones de prevención y control a la función pública.</v>
      </c>
      <c r="D18" s="31" t="str">
        <f>+'01-FR-03 POA INSTITUCIONAL'!D35</f>
        <v>2.2.1 Realizar 817 acciones de prevención y control a la función pública para fortalecer la moralidad pública.</v>
      </c>
      <c r="E18" s="52">
        <f>+'01-FR-03 POA INSTITUCIONAL'!E35</f>
        <v>0.92840909090909096</v>
      </c>
      <c r="F18" s="172">
        <f>+'01-FR-03 POA INSTITUCIONAL'!F35</f>
        <v>817</v>
      </c>
      <c r="G18" s="172">
        <f>+'01-FR-03 POA INSTITUCIONAL'!L35</f>
        <v>286</v>
      </c>
      <c r="H18" s="140" t="str">
        <f>+'01-FR-03 POA INSTITUCIONAL'!G35</f>
        <v>S.I.</v>
      </c>
      <c r="I18" s="140" t="str">
        <f>+'01-FR-03 POA INSTITUCIONAL'!H35</f>
        <v>Acciones de Prevención y Control a la Función Pública realizadas, con informe.</v>
      </c>
      <c r="J18" s="140" t="s">
        <v>667</v>
      </c>
      <c r="K18" s="442" t="s">
        <v>266</v>
      </c>
      <c r="L18" s="217" t="s">
        <v>1121</v>
      </c>
      <c r="M18" s="216" t="s">
        <v>263</v>
      </c>
      <c r="N18" s="216" t="s">
        <v>264</v>
      </c>
      <c r="O18" s="252"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984">
        <v>0</v>
      </c>
      <c r="Q18" s="984">
        <v>0</v>
      </c>
      <c r="R18" s="984">
        <f>0+20</f>
        <v>20</v>
      </c>
      <c r="S18" s="984">
        <v>0</v>
      </c>
      <c r="T18" s="984">
        <f>1+20</f>
        <v>21</v>
      </c>
      <c r="U18" s="984">
        <v>16</v>
      </c>
      <c r="V18" s="41">
        <f t="shared" si="2"/>
        <v>41</v>
      </c>
      <c r="W18" s="41">
        <f t="shared" si="2"/>
        <v>16</v>
      </c>
      <c r="X18" s="984">
        <f>8+20</f>
        <v>28</v>
      </c>
      <c r="Y18" s="984">
        <v>24</v>
      </c>
      <c r="Z18" s="984">
        <f>12+20</f>
        <v>32</v>
      </c>
      <c r="AA18" s="984">
        <v>32</v>
      </c>
      <c r="AB18" s="984">
        <f>17+0</f>
        <v>17</v>
      </c>
      <c r="AC18" s="984">
        <v>41</v>
      </c>
      <c r="AD18" s="41">
        <f t="shared" si="3"/>
        <v>77</v>
      </c>
      <c r="AE18" s="41">
        <f t="shared" si="3"/>
        <v>97</v>
      </c>
      <c r="AF18" s="984">
        <f>18+20</f>
        <v>38</v>
      </c>
      <c r="AG18" s="984">
        <v>12</v>
      </c>
      <c r="AH18" s="984">
        <f>18+20</f>
        <v>38</v>
      </c>
      <c r="AI18" s="984">
        <v>11</v>
      </c>
      <c r="AJ18" s="984">
        <f>18+20</f>
        <v>38</v>
      </c>
      <c r="AK18" s="984">
        <v>51</v>
      </c>
      <c r="AL18" s="41">
        <f t="shared" si="4"/>
        <v>114</v>
      </c>
      <c r="AM18" s="41">
        <f t="shared" si="4"/>
        <v>74</v>
      </c>
      <c r="AN18" s="984">
        <f>18+20</f>
        <v>38</v>
      </c>
      <c r="AO18" s="984"/>
      <c r="AP18" s="984">
        <f>16+0</f>
        <v>16</v>
      </c>
      <c r="AQ18" s="984"/>
      <c r="AR18" s="984">
        <v>0</v>
      </c>
      <c r="AS18" s="984"/>
      <c r="AT18" s="41">
        <f t="shared" si="5"/>
        <v>54</v>
      </c>
      <c r="AU18" s="41">
        <f t="shared" si="5"/>
        <v>0</v>
      </c>
      <c r="AV18" s="25">
        <f t="shared" si="6"/>
        <v>286</v>
      </c>
      <c r="AW18" s="81">
        <f t="shared" si="7"/>
        <v>16</v>
      </c>
      <c r="AX18" s="81">
        <f t="shared" si="8"/>
        <v>113</v>
      </c>
      <c r="AY18" s="81">
        <f t="shared" si="9"/>
        <v>187</v>
      </c>
      <c r="AZ18" s="1029">
        <f t="shared" si="10"/>
        <v>187</v>
      </c>
      <c r="BA18" s="318">
        <f t="shared" ref="BA18:BA22" si="15">IF(AND(AW18&gt;0,AV18&gt;0),AW18/AV18,0)</f>
        <v>5.5944055944055944E-2</v>
      </c>
      <c r="BB18" s="318">
        <f t="shared" si="0"/>
        <v>0.3951048951048951</v>
      </c>
      <c r="BC18" s="318">
        <f t="shared" si="0"/>
        <v>0.65384615384615385</v>
      </c>
      <c r="BD18" s="318">
        <f t="shared" si="0"/>
        <v>0.65384615384615385</v>
      </c>
      <c r="BE18" s="307">
        <f t="shared" si="11"/>
        <v>1.9583843329253364E-2</v>
      </c>
      <c r="BF18" s="307">
        <f t="shared" si="12"/>
        <v>0.13831089351285189</v>
      </c>
      <c r="BG18" s="307">
        <f t="shared" si="13"/>
        <v>0.22888616891064872</v>
      </c>
      <c r="BH18" s="1031">
        <f t="shared" si="14"/>
        <v>0.22888616891064872</v>
      </c>
      <c r="BI18" s="253"/>
    </row>
    <row r="19" spans="2:61" ht="105.6" customHeight="1">
      <c r="B19" s="1679"/>
      <c r="C19" s="1705"/>
      <c r="D19" s="31" t="str">
        <f>+'01-FR-03 POA INSTITUCIONAL'!D36</f>
        <v>2.2.2 Realizar 135 acciones de prevención y control a la función pública - seguimientos, para fortalecer la moralidad pública en el Distrito Capital.</v>
      </c>
      <c r="E19" s="52">
        <f>+'01-FR-03 POA INSTITUCIONAL'!E36</f>
        <v>0.15340909090909091</v>
      </c>
      <c r="F19" s="172">
        <f>+'01-FR-03 POA INSTITUCIONAL'!F36</f>
        <v>135</v>
      </c>
      <c r="G19" s="172">
        <f>+'01-FR-03 POA INSTITUCIONAL'!L36</f>
        <v>67</v>
      </c>
      <c r="H19" s="140" t="str">
        <f>+'01-FR-03 POA INSTITUCIONAL'!G36</f>
        <v>S.I.</v>
      </c>
      <c r="I19" s="140" t="str">
        <f>+'01-FR-03 POA INSTITUCIONAL'!H36</f>
        <v>Seguimientos realizados sobre acciones previas, con informe</v>
      </c>
      <c r="J19" s="140" t="s">
        <v>668</v>
      </c>
      <c r="K19" s="442" t="s">
        <v>267</v>
      </c>
      <c r="L19" s="217" t="s">
        <v>1122</v>
      </c>
      <c r="M19" s="216" t="s">
        <v>263</v>
      </c>
      <c r="N19" s="216" t="s">
        <v>264</v>
      </c>
      <c r="O19" s="252"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984">
        <f>0+0</f>
        <v>0</v>
      </c>
      <c r="Q19" s="984">
        <v>0</v>
      </c>
      <c r="R19" s="984">
        <f>0+0</f>
        <v>0</v>
      </c>
      <c r="S19" s="984">
        <v>0</v>
      </c>
      <c r="T19" s="984">
        <f>1+0</f>
        <v>1</v>
      </c>
      <c r="U19" s="984">
        <v>2</v>
      </c>
      <c r="V19" s="41">
        <f t="shared" si="2"/>
        <v>1</v>
      </c>
      <c r="W19" s="41">
        <f t="shared" si="2"/>
        <v>2</v>
      </c>
      <c r="X19" s="984">
        <f>3+0</f>
        <v>3</v>
      </c>
      <c r="Y19" s="984">
        <v>2</v>
      </c>
      <c r="Z19" s="984">
        <f>9+0</f>
        <v>9</v>
      </c>
      <c r="AA19" s="984">
        <v>4</v>
      </c>
      <c r="AB19" s="984">
        <f>8+0</f>
        <v>8</v>
      </c>
      <c r="AC19" s="984">
        <v>3</v>
      </c>
      <c r="AD19" s="41">
        <f t="shared" si="3"/>
        <v>20</v>
      </c>
      <c r="AE19" s="41">
        <f t="shared" si="3"/>
        <v>9</v>
      </c>
      <c r="AF19" s="984">
        <v>20</v>
      </c>
      <c r="AG19" s="984">
        <v>5</v>
      </c>
      <c r="AH19" s="984">
        <v>0</v>
      </c>
      <c r="AI19" s="984">
        <v>2</v>
      </c>
      <c r="AJ19" s="984">
        <v>23</v>
      </c>
      <c r="AK19" s="984">
        <v>11</v>
      </c>
      <c r="AL19" s="41">
        <f t="shared" si="4"/>
        <v>43</v>
      </c>
      <c r="AM19" s="41">
        <f t="shared" si="4"/>
        <v>18</v>
      </c>
      <c r="AN19" s="984">
        <v>2</v>
      </c>
      <c r="AO19" s="984"/>
      <c r="AP19" s="984">
        <v>1</v>
      </c>
      <c r="AQ19" s="984"/>
      <c r="AR19" s="984">
        <f>0+0</f>
        <v>0</v>
      </c>
      <c r="AS19" s="984"/>
      <c r="AT19" s="41">
        <f t="shared" si="5"/>
        <v>3</v>
      </c>
      <c r="AU19" s="41">
        <f t="shared" si="5"/>
        <v>0</v>
      </c>
      <c r="AV19" s="25">
        <f t="shared" si="6"/>
        <v>67</v>
      </c>
      <c r="AW19" s="81">
        <f t="shared" si="7"/>
        <v>2</v>
      </c>
      <c r="AX19" s="81">
        <f t="shared" si="8"/>
        <v>11</v>
      </c>
      <c r="AY19" s="81">
        <f t="shared" si="9"/>
        <v>29</v>
      </c>
      <c r="AZ19" s="1029">
        <f t="shared" si="10"/>
        <v>29</v>
      </c>
      <c r="BA19" s="42">
        <f t="shared" si="15"/>
        <v>2.9850746268656716E-2</v>
      </c>
      <c r="BB19" s="42">
        <f t="shared" si="0"/>
        <v>0.16417910447761194</v>
      </c>
      <c r="BC19" s="42">
        <f t="shared" si="0"/>
        <v>0.43283582089552236</v>
      </c>
      <c r="BD19" s="42">
        <f t="shared" si="0"/>
        <v>0.43283582089552236</v>
      </c>
      <c r="BE19" s="307">
        <f t="shared" si="11"/>
        <v>1.4814814814814815E-2</v>
      </c>
      <c r="BF19" s="307">
        <f t="shared" si="12"/>
        <v>8.1481481481481488E-2</v>
      </c>
      <c r="BG19" s="307">
        <f t="shared" si="13"/>
        <v>0.21481481481481482</v>
      </c>
      <c r="BH19" s="1031">
        <f t="shared" si="14"/>
        <v>0.21481481481481482</v>
      </c>
      <c r="BI19" s="253"/>
    </row>
    <row r="20" spans="2:61" ht="322.5" customHeight="1">
      <c r="B20" s="1679"/>
      <c r="C20" s="1678" t="str">
        <f>+'01-FR-03 POA INSTITUCIONAL'!C37</f>
        <v>2.3. Fortalecer 320 espacios de participación ciudadana en la Personería de Bogotá</v>
      </c>
      <c r="D20" s="31" t="str">
        <f>+'01-FR-03 POA INSTITUCIONAL'!D37</f>
        <v>2.3.1 Realizar 60 audiencias públicas y/o mesas de trabajo, las cuales permitan la participación ciudadana, con énfasis en los Derechos e intereses colectivos.</v>
      </c>
      <c r="E20" s="52">
        <f>+'01-FR-03 POA INSTITUCIONAL'!E37</f>
        <v>0.20338983050847459</v>
      </c>
      <c r="F20" s="172">
        <f>+'01-FR-03 POA INSTITUCIONAL'!F37</f>
        <v>60</v>
      </c>
      <c r="G20" s="172">
        <f>+'01-FR-03 POA INSTITUCIONAL'!L37</f>
        <v>21</v>
      </c>
      <c r="H20" s="140">
        <f>+'01-FR-03 POA INSTITUCIONAL'!G37</f>
        <v>75</v>
      </c>
      <c r="I20" s="140" t="str">
        <f>+'01-FR-03 POA INSTITUCIONAL'!H37</f>
        <v>Audiencias públicas y/o mesas de trabajo realizadas.</v>
      </c>
      <c r="J20" s="140" t="s">
        <v>268</v>
      </c>
      <c r="K20" s="442" t="s">
        <v>269</v>
      </c>
      <c r="L20" s="217" t="s">
        <v>1123</v>
      </c>
      <c r="M20" s="216" t="s">
        <v>263</v>
      </c>
      <c r="N20" s="216" t="s">
        <v>264</v>
      </c>
      <c r="O20" s="252" t="str">
        <f>+'01-FR-03 POA INSTITUCIONAL'!J37</f>
        <v>Personería Delegada para la Coordinación de Prevención y Control a la Función Pública y sus Personerías Delegadas.</v>
      </c>
      <c r="P20" s="982">
        <v>0</v>
      </c>
      <c r="Q20" s="982">
        <v>0</v>
      </c>
      <c r="R20" s="982">
        <v>0</v>
      </c>
      <c r="S20" s="982">
        <v>0</v>
      </c>
      <c r="T20" s="982">
        <v>2</v>
      </c>
      <c r="U20" s="983">
        <v>0</v>
      </c>
      <c r="V20" s="41">
        <f t="shared" si="2"/>
        <v>2</v>
      </c>
      <c r="W20" s="41">
        <f t="shared" si="2"/>
        <v>0</v>
      </c>
      <c r="X20" s="982">
        <v>2</v>
      </c>
      <c r="Y20" s="982">
        <v>2</v>
      </c>
      <c r="Z20" s="982">
        <v>2</v>
      </c>
      <c r="AA20" s="982">
        <v>0</v>
      </c>
      <c r="AB20" s="982">
        <v>2</v>
      </c>
      <c r="AC20" s="982">
        <v>1</v>
      </c>
      <c r="AD20" s="41">
        <f t="shared" si="3"/>
        <v>6</v>
      </c>
      <c r="AE20" s="41">
        <f t="shared" si="3"/>
        <v>3</v>
      </c>
      <c r="AF20" s="982">
        <v>0</v>
      </c>
      <c r="AG20" s="982">
        <v>7</v>
      </c>
      <c r="AH20" s="982">
        <v>2</v>
      </c>
      <c r="AI20" s="982">
        <v>0</v>
      </c>
      <c r="AJ20" s="983">
        <v>3</v>
      </c>
      <c r="AK20" s="983">
        <v>2</v>
      </c>
      <c r="AL20" s="41">
        <f t="shared" si="4"/>
        <v>5</v>
      </c>
      <c r="AM20" s="41">
        <f t="shared" si="4"/>
        <v>9</v>
      </c>
      <c r="AN20" s="982">
        <v>3</v>
      </c>
      <c r="AO20" s="982"/>
      <c r="AP20" s="982">
        <v>3</v>
      </c>
      <c r="AQ20" s="982"/>
      <c r="AR20" s="982">
        <v>2</v>
      </c>
      <c r="AS20" s="982"/>
      <c r="AT20" s="41">
        <f t="shared" si="5"/>
        <v>8</v>
      </c>
      <c r="AU20" s="41">
        <f t="shared" si="5"/>
        <v>0</v>
      </c>
      <c r="AV20" s="25">
        <f t="shared" si="6"/>
        <v>21</v>
      </c>
      <c r="AW20" s="81">
        <f t="shared" si="7"/>
        <v>0</v>
      </c>
      <c r="AX20" s="81">
        <f t="shared" si="8"/>
        <v>3</v>
      </c>
      <c r="AY20" s="81">
        <f t="shared" si="9"/>
        <v>12</v>
      </c>
      <c r="AZ20" s="1029">
        <f t="shared" si="10"/>
        <v>12</v>
      </c>
      <c r="BA20" s="42">
        <f t="shared" si="15"/>
        <v>0</v>
      </c>
      <c r="BB20" s="42">
        <f t="shared" si="0"/>
        <v>0.14285714285714285</v>
      </c>
      <c r="BC20" s="42">
        <f t="shared" si="0"/>
        <v>0.5714285714285714</v>
      </c>
      <c r="BD20" s="42">
        <f t="shared" si="0"/>
        <v>0.5714285714285714</v>
      </c>
      <c r="BE20" s="307">
        <f t="shared" ref="BE20:BE22" si="16">(IF(AND(AW20&gt;0,$F20&gt;0),AW20/$F20,0))</f>
        <v>0</v>
      </c>
      <c r="BF20" s="307">
        <f t="shared" ref="BF20:BF22" si="17">(IF(AND(AX20&gt;0,$F20&gt;0),AX20/$F20,0))</f>
        <v>0.05</v>
      </c>
      <c r="BG20" s="307">
        <f t="shared" ref="BG20:BG22" si="18">(IF(AND(AY20&gt;0,$F20&gt;0),AY20/$F20,0))</f>
        <v>0.2</v>
      </c>
      <c r="BH20" s="1031">
        <f t="shared" ref="BH20:BH22" si="19">(IF(AND(AZ20&gt;0,$F20&gt;0),AZ20/$F20,0))</f>
        <v>0.2</v>
      </c>
      <c r="BI20" s="253"/>
    </row>
    <row r="21" spans="2:61" ht="171" customHeight="1">
      <c r="B21" s="1679"/>
      <c r="C21" s="1679"/>
      <c r="D21" s="31" t="str">
        <f>+'01-FR-03 POA INSTITUCIONAL'!D38</f>
        <v>2.3.2 Realizar 160 acompañamientos a los ciudadanos que intervienen en los diferentes espacios de participación ciudadana.</v>
      </c>
      <c r="E21" s="52">
        <f>+'01-FR-03 POA INSTITUCIONAL'!E38</f>
        <v>0.5423728813559322</v>
      </c>
      <c r="F21" s="172">
        <f>+'01-FR-03 POA INSTITUCIONAL'!F38</f>
        <v>160</v>
      </c>
      <c r="G21" s="172">
        <f>+'01-FR-03 POA INSTITUCIONAL'!L38</f>
        <v>60</v>
      </c>
      <c r="H21" s="140" t="str">
        <f>+'01-FR-03 POA INSTITUCIONAL'!G38</f>
        <v>S.I.</v>
      </c>
      <c r="I21" s="140" t="str">
        <f>+'01-FR-03 POA INSTITUCIONAL'!H38</f>
        <v>Acompañamientos a los ciudadanos realizados.</v>
      </c>
      <c r="J21" s="140" t="s">
        <v>270</v>
      </c>
      <c r="K21" s="442" t="s">
        <v>271</v>
      </c>
      <c r="L21" s="217" t="s">
        <v>1124</v>
      </c>
      <c r="M21" s="216" t="s">
        <v>263</v>
      </c>
      <c r="N21" s="216" t="s">
        <v>264</v>
      </c>
      <c r="O21" s="252" t="str">
        <f>+'01-FR-03 POA INSTITUCIONAL'!J38</f>
        <v xml:space="preserve">Personería Delegada para la Coordinación de Gestión de las Personerías Locales y sus Personerías Locales. </v>
      </c>
      <c r="P21" s="982">
        <v>0</v>
      </c>
      <c r="Q21" s="982">
        <v>5</v>
      </c>
      <c r="R21" s="982">
        <f>0+6</f>
        <v>6</v>
      </c>
      <c r="S21" s="982">
        <v>3</v>
      </c>
      <c r="T21" s="982">
        <f>0+6</f>
        <v>6</v>
      </c>
      <c r="U21" s="983">
        <v>10</v>
      </c>
      <c r="V21" s="41">
        <f t="shared" si="2"/>
        <v>12</v>
      </c>
      <c r="W21" s="41">
        <f t="shared" si="2"/>
        <v>18</v>
      </c>
      <c r="X21" s="982">
        <f>0+6</f>
        <v>6</v>
      </c>
      <c r="Y21" s="982">
        <v>5</v>
      </c>
      <c r="Z21" s="982">
        <f>0+6</f>
        <v>6</v>
      </c>
      <c r="AA21" s="982">
        <v>1</v>
      </c>
      <c r="AB21" s="982">
        <f>0+6</f>
        <v>6</v>
      </c>
      <c r="AC21" s="982">
        <v>7</v>
      </c>
      <c r="AD21" s="41">
        <f t="shared" si="3"/>
        <v>18</v>
      </c>
      <c r="AE21" s="41">
        <f t="shared" si="3"/>
        <v>13</v>
      </c>
      <c r="AF21" s="982">
        <f>0+6</f>
        <v>6</v>
      </c>
      <c r="AG21" s="982">
        <v>1</v>
      </c>
      <c r="AH21" s="982">
        <f>0+6</f>
        <v>6</v>
      </c>
      <c r="AI21" s="982">
        <v>4</v>
      </c>
      <c r="AJ21" s="982">
        <f>0+6</f>
        <v>6</v>
      </c>
      <c r="AK21" s="983">
        <v>2</v>
      </c>
      <c r="AL21" s="41">
        <f t="shared" si="4"/>
        <v>18</v>
      </c>
      <c r="AM21" s="41">
        <f t="shared" si="4"/>
        <v>7</v>
      </c>
      <c r="AN21" s="982">
        <f>0+6</f>
        <v>6</v>
      </c>
      <c r="AO21" s="982"/>
      <c r="AP21" s="982">
        <f>0+6</f>
        <v>6</v>
      </c>
      <c r="AQ21" s="982"/>
      <c r="AR21" s="982">
        <v>0</v>
      </c>
      <c r="AS21" s="982"/>
      <c r="AT21" s="41">
        <f t="shared" si="5"/>
        <v>12</v>
      </c>
      <c r="AU21" s="41">
        <f t="shared" si="5"/>
        <v>0</v>
      </c>
      <c r="AV21" s="25">
        <f t="shared" si="6"/>
        <v>60</v>
      </c>
      <c r="AW21" s="81">
        <f t="shared" si="7"/>
        <v>18</v>
      </c>
      <c r="AX21" s="81">
        <f t="shared" si="8"/>
        <v>31</v>
      </c>
      <c r="AY21" s="81">
        <f t="shared" si="9"/>
        <v>38</v>
      </c>
      <c r="AZ21" s="1029">
        <f t="shared" si="10"/>
        <v>38</v>
      </c>
      <c r="BA21" s="42">
        <f t="shared" si="15"/>
        <v>0.3</v>
      </c>
      <c r="BB21" s="42">
        <f t="shared" si="0"/>
        <v>0.51666666666666672</v>
      </c>
      <c r="BC21" s="42">
        <f t="shared" si="0"/>
        <v>0.6333333333333333</v>
      </c>
      <c r="BD21" s="42">
        <f t="shared" si="0"/>
        <v>0.6333333333333333</v>
      </c>
      <c r="BE21" s="307">
        <f t="shared" si="16"/>
        <v>0.1125</v>
      </c>
      <c r="BF21" s="307">
        <f t="shared" si="17"/>
        <v>0.19375000000000001</v>
      </c>
      <c r="BG21" s="307">
        <f t="shared" si="18"/>
        <v>0.23749999999999999</v>
      </c>
      <c r="BH21" s="1031">
        <f t="shared" si="19"/>
        <v>0.23749999999999999</v>
      </c>
      <c r="BI21" s="253"/>
    </row>
    <row r="22" spans="2:61" ht="177" customHeight="1">
      <c r="B22" s="1705"/>
      <c r="C22" s="1705"/>
      <c r="D22" s="31" t="str">
        <f>+'01-FR-03 POA INSTITUCIONAL'!D39</f>
        <v>2.3.3 Realizar 100 espacios de diálogo con las personas para retroalimentar las actividades de participación ciudadana</v>
      </c>
      <c r="E22" s="52">
        <f>+'01-FR-03 POA INSTITUCIONAL'!E39</f>
        <v>0.33898305084745761</v>
      </c>
      <c r="F22" s="172">
        <f>+'01-FR-03 POA INSTITUCIONAL'!F39</f>
        <v>100</v>
      </c>
      <c r="G22" s="172">
        <f>+'01-FR-03 POA INSTITUCIONAL'!L39</f>
        <v>30</v>
      </c>
      <c r="H22" s="140" t="str">
        <f>+'01-FR-03 POA INSTITUCIONAL'!G39</f>
        <v>S.I.</v>
      </c>
      <c r="I22" s="140" t="str">
        <f>+'01-FR-03 POA INSTITUCIONAL'!H39</f>
        <v>Espacios de dialogo realizados.</v>
      </c>
      <c r="J22" s="140" t="s">
        <v>669</v>
      </c>
      <c r="K22" s="442" t="s">
        <v>272</v>
      </c>
      <c r="L22" s="217" t="s">
        <v>1125</v>
      </c>
      <c r="M22" s="216" t="s">
        <v>263</v>
      </c>
      <c r="N22" s="216" t="s">
        <v>264</v>
      </c>
      <c r="O22" s="252" t="str">
        <f>+'01-FR-03 POA INSTITUCIONAL'!J39</f>
        <v>Personería Delegada para la Coordinación de Gestión de las Personerías Locales y sus Personerías Locales. 
Personería Delegada para la Coordinación de Prevención y Control a la Función Pública y sus Personerías Delegadas.</v>
      </c>
      <c r="P22" s="982">
        <v>0</v>
      </c>
      <c r="Q22" s="982">
        <v>0</v>
      </c>
      <c r="R22" s="982">
        <v>3</v>
      </c>
      <c r="S22" s="982">
        <v>2</v>
      </c>
      <c r="T22" s="982">
        <v>3</v>
      </c>
      <c r="U22" s="983">
        <v>11</v>
      </c>
      <c r="V22" s="41">
        <f t="shared" si="2"/>
        <v>6</v>
      </c>
      <c r="W22" s="41">
        <f t="shared" si="2"/>
        <v>13</v>
      </c>
      <c r="X22" s="982">
        <v>3</v>
      </c>
      <c r="Y22" s="982">
        <v>0</v>
      </c>
      <c r="Z22" s="982">
        <v>3</v>
      </c>
      <c r="AA22" s="982">
        <v>1</v>
      </c>
      <c r="AB22" s="982">
        <v>3</v>
      </c>
      <c r="AC22" s="982">
        <v>3</v>
      </c>
      <c r="AD22" s="41">
        <f t="shared" si="3"/>
        <v>9</v>
      </c>
      <c r="AE22" s="41">
        <f t="shared" si="3"/>
        <v>4</v>
      </c>
      <c r="AF22" s="982">
        <v>3</v>
      </c>
      <c r="AG22" s="982">
        <v>6</v>
      </c>
      <c r="AH22" s="982">
        <v>3</v>
      </c>
      <c r="AI22" s="982">
        <v>5</v>
      </c>
      <c r="AJ22" s="983">
        <v>3</v>
      </c>
      <c r="AK22" s="983">
        <v>7</v>
      </c>
      <c r="AL22" s="41">
        <f t="shared" si="4"/>
        <v>9</v>
      </c>
      <c r="AM22" s="41">
        <f t="shared" si="4"/>
        <v>18</v>
      </c>
      <c r="AN22" s="982">
        <v>3</v>
      </c>
      <c r="AO22" s="982"/>
      <c r="AP22" s="982">
        <v>3</v>
      </c>
      <c r="AQ22" s="982"/>
      <c r="AR22" s="982">
        <v>0</v>
      </c>
      <c r="AS22" s="982"/>
      <c r="AT22" s="41">
        <f t="shared" si="5"/>
        <v>6</v>
      </c>
      <c r="AU22" s="41">
        <f t="shared" si="5"/>
        <v>0</v>
      </c>
      <c r="AV22" s="25">
        <f t="shared" si="6"/>
        <v>30</v>
      </c>
      <c r="AW22" s="81">
        <f t="shared" si="7"/>
        <v>13</v>
      </c>
      <c r="AX22" s="81">
        <f t="shared" si="8"/>
        <v>17</v>
      </c>
      <c r="AY22" s="81">
        <f t="shared" si="9"/>
        <v>35</v>
      </c>
      <c r="AZ22" s="1029">
        <f t="shared" si="10"/>
        <v>35</v>
      </c>
      <c r="BA22" s="42">
        <f t="shared" si="15"/>
        <v>0.43333333333333335</v>
      </c>
      <c r="BB22" s="42">
        <f t="shared" si="0"/>
        <v>0.56666666666666665</v>
      </c>
      <c r="BC22" s="42">
        <f t="shared" si="0"/>
        <v>1.1666666666666667</v>
      </c>
      <c r="BD22" s="42">
        <f t="shared" si="0"/>
        <v>1.1666666666666667</v>
      </c>
      <c r="BE22" s="307">
        <f t="shared" si="16"/>
        <v>0.13</v>
      </c>
      <c r="BF22" s="307">
        <f t="shared" si="17"/>
        <v>0.17</v>
      </c>
      <c r="BG22" s="307">
        <f t="shared" si="18"/>
        <v>0.35</v>
      </c>
      <c r="BH22" s="1031">
        <f t="shared" si="19"/>
        <v>0.35</v>
      </c>
      <c r="BI22" s="253"/>
    </row>
    <row r="23" spans="2:61" ht="23.25">
      <c r="B23" s="1537"/>
      <c r="C23" s="1538"/>
      <c r="D23" s="1538"/>
      <c r="E23" s="1538"/>
      <c r="F23" s="1538"/>
      <c r="G23" s="1538"/>
      <c r="H23" s="1538"/>
      <c r="I23" s="1538"/>
      <c r="J23" s="1538"/>
      <c r="K23" s="1538"/>
      <c r="L23" s="1538"/>
      <c r="M23" s="1538"/>
      <c r="N23" s="1538"/>
      <c r="O23" s="1538"/>
      <c r="P23" s="1538"/>
      <c r="Q23" s="1538"/>
      <c r="R23" s="1538"/>
      <c r="S23" s="1538"/>
      <c r="T23" s="1538"/>
      <c r="U23" s="1538"/>
      <c r="V23" s="1538"/>
      <c r="W23" s="1538"/>
      <c r="X23" s="1538"/>
      <c r="Y23" s="1538"/>
      <c r="Z23" s="1538"/>
      <c r="AA23" s="1538"/>
      <c r="AB23" s="1538"/>
      <c r="AC23" s="1538"/>
      <c r="AD23" s="1538"/>
      <c r="AE23" s="1538"/>
      <c r="AF23" s="1538"/>
      <c r="AG23" s="1538"/>
      <c r="AH23" s="1538"/>
      <c r="AI23" s="1538"/>
      <c r="AJ23" s="1538"/>
      <c r="AK23" s="1538"/>
      <c r="AL23" s="1538"/>
      <c r="AM23" s="1538"/>
      <c r="AN23" s="1538"/>
      <c r="AO23" s="1538"/>
      <c r="AP23" s="1538"/>
      <c r="AQ23" s="1538"/>
      <c r="AR23" s="1538"/>
      <c r="AS23" s="1538"/>
      <c r="AT23" s="1538"/>
      <c r="AU23" s="1538"/>
      <c r="AV23" s="1538"/>
      <c r="AW23" s="1706"/>
      <c r="AX23" s="1676" t="s">
        <v>19</v>
      </c>
      <c r="AY23" s="1704"/>
      <c r="AZ23" s="1704"/>
      <c r="BA23" s="70">
        <f t="shared" ref="BA23:BD23" si="20">AVERAGE(BA16:BA22)</f>
        <v>0.11701830507800658</v>
      </c>
      <c r="BB23" s="70">
        <f t="shared" si="20"/>
        <v>0.2550677822532833</v>
      </c>
      <c r="BC23" s="70">
        <f t="shared" si="20"/>
        <v>0.53483211884064763</v>
      </c>
      <c r="BD23" s="70">
        <f t="shared" si="20"/>
        <v>0.53483211884064763</v>
      </c>
      <c r="BE23" s="1714"/>
      <c r="BF23" s="1715"/>
      <c r="BG23" s="1715"/>
      <c r="BH23" s="1716"/>
    </row>
    <row r="24" spans="2:61" ht="17.25">
      <c r="B24" s="1516"/>
      <c r="C24" s="1516"/>
      <c r="D24" s="1516"/>
      <c r="E24" s="1516"/>
      <c r="F24" s="1516"/>
      <c r="G24" s="1516"/>
      <c r="H24" s="238"/>
      <c r="I24" s="239"/>
      <c r="J24" s="239"/>
      <c r="K24" s="239"/>
      <c r="L24" s="239"/>
      <c r="M24" s="239"/>
      <c r="N24" s="239"/>
      <c r="O24" s="239"/>
    </row>
    <row r="25" spans="2:61" ht="17.25">
      <c r="B25" s="239"/>
      <c r="C25" s="239"/>
      <c r="D25" s="1686"/>
      <c r="E25" s="1686"/>
      <c r="F25" s="1686"/>
      <c r="G25" s="1686"/>
      <c r="H25" s="1686"/>
      <c r="I25" s="1686"/>
      <c r="J25" s="1686"/>
      <c r="K25" s="1686"/>
      <c r="L25" s="1686"/>
      <c r="M25" s="1686"/>
      <c r="N25" s="1686"/>
      <c r="O25" s="1686"/>
    </row>
    <row r="26" spans="2:61" ht="38.25" customHeight="1">
      <c r="B26" s="77" t="s">
        <v>26</v>
      </c>
      <c r="C26" s="240">
        <v>44224</v>
      </c>
      <c r="D26" s="241"/>
      <c r="E26" s="1687" t="s">
        <v>50</v>
      </c>
      <c r="F26" s="1763" t="s">
        <v>1119</v>
      </c>
      <c r="G26" s="1764"/>
      <c r="H26" s="1764"/>
      <c r="I26" s="1764"/>
      <c r="J26" s="1765"/>
      <c r="K26" s="242"/>
      <c r="L26" s="1695"/>
      <c r="M26" s="1695"/>
      <c r="N26" s="1695"/>
      <c r="O26" s="1696"/>
    </row>
    <row r="27" spans="2:61" ht="32.25" customHeight="1">
      <c r="B27" s="239"/>
      <c r="C27" s="239"/>
      <c r="D27" s="242"/>
      <c r="E27" s="1687"/>
      <c r="F27" s="1766"/>
      <c r="G27" s="1767"/>
      <c r="H27" s="1767"/>
      <c r="I27" s="1767"/>
      <c r="J27" s="1768"/>
      <c r="K27" s="239"/>
      <c r="L27" s="239"/>
      <c r="M27" s="239"/>
      <c r="N27" s="239"/>
      <c r="O27" s="239"/>
    </row>
    <row r="28" spans="2:61" ht="31.5" customHeight="1">
      <c r="B28" s="77" t="s">
        <v>49</v>
      </c>
      <c r="C28" s="80">
        <v>44581</v>
      </c>
      <c r="D28" s="239"/>
      <c r="E28" s="239"/>
      <c r="F28" s="239"/>
      <c r="K28" s="239"/>
      <c r="L28" s="239"/>
      <c r="M28" s="239"/>
      <c r="N28" s="239"/>
      <c r="O28" s="239"/>
    </row>
    <row r="29" spans="2:61" ht="17.25">
      <c r="B29" s="239"/>
      <c r="C29" s="239"/>
      <c r="D29" s="239"/>
      <c r="E29" s="239"/>
      <c r="F29" s="239"/>
      <c r="K29" s="239"/>
      <c r="L29" s="239"/>
      <c r="M29" s="239"/>
      <c r="N29" s="239"/>
      <c r="O29" s="239"/>
    </row>
    <row r="30" spans="2:61" ht="15" customHeight="1">
      <c r="B30" s="605" t="s">
        <v>922</v>
      </c>
      <c r="C30" s="239"/>
      <c r="D30" s="239"/>
      <c r="E30" s="239"/>
      <c r="F30" s="239"/>
      <c r="G30" s="238"/>
      <c r="H30" s="238"/>
      <c r="I30" s="1694"/>
      <c r="J30" s="1694"/>
      <c r="K30" s="1694"/>
      <c r="L30" s="1694"/>
      <c r="M30" s="243"/>
      <c r="N30" s="243"/>
      <c r="O30" s="243"/>
    </row>
    <row r="31" spans="2:61" ht="15" customHeight="1">
      <c r="B31" s="239"/>
      <c r="C31" s="239"/>
      <c r="D31" s="239"/>
      <c r="E31" s="239"/>
      <c r="F31" s="239"/>
      <c r="G31" s="238"/>
      <c r="H31" s="238"/>
      <c r="I31" s="239"/>
      <c r="J31" s="239"/>
      <c r="K31" s="244"/>
      <c r="L31" s="239"/>
      <c r="M31" s="239"/>
      <c r="N31" s="239"/>
      <c r="O31" s="239"/>
    </row>
    <row r="32" spans="2:61" ht="15" customHeight="1">
      <c r="B32" s="239"/>
      <c r="C32" s="239"/>
      <c r="D32" s="239"/>
      <c r="E32" s="239"/>
      <c r="F32" s="239"/>
      <c r="G32" s="238"/>
      <c r="H32" s="238"/>
      <c r="I32" s="1694"/>
      <c r="J32" s="1694"/>
      <c r="K32" s="1694"/>
      <c r="L32" s="1694"/>
      <c r="M32" s="243"/>
      <c r="N32" s="243"/>
      <c r="O32" s="243"/>
    </row>
    <row r="33" spans="2:15" ht="15" customHeight="1">
      <c r="B33" s="239"/>
      <c r="C33" s="239"/>
      <c r="D33" s="239"/>
      <c r="E33" s="239"/>
      <c r="F33" s="239"/>
      <c r="G33" s="238"/>
      <c r="H33" s="238"/>
      <c r="I33" s="239"/>
      <c r="J33" s="239"/>
      <c r="K33" s="244"/>
      <c r="L33" s="239"/>
      <c r="M33" s="239"/>
      <c r="N33" s="239"/>
      <c r="O33" s="239"/>
    </row>
    <row r="34" spans="2:15" ht="15" customHeight="1">
      <c r="B34" s="239"/>
      <c r="C34" s="239"/>
      <c r="D34" s="239"/>
      <c r="E34" s="239"/>
      <c r="F34" s="239"/>
      <c r="G34" s="238"/>
      <c r="H34" s="238"/>
      <c r="I34" s="1694"/>
      <c r="J34" s="1694"/>
      <c r="K34" s="1694"/>
      <c r="L34" s="1694"/>
      <c r="M34" s="243"/>
      <c r="N34" s="243"/>
      <c r="O34" s="243"/>
    </row>
  </sheetData>
  <sheetProtection algorithmName="SHA-512" hashValue="id4EwCP8ItMLYlIhqbiAN6uEPxR3j6NI50MMYxeMD1m5vcvWwnJ+U/CGcnszU98TWsYwxiWHYORuvFSpxNXhhw==" saltValue="I8utkrzqE/ZYCVWCo9tWJQ==" spinCount="100000" sheet="1" objects="1" scenarios="1"/>
  <mergeCells count="73">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E23:BH23"/>
    <mergeCell ref="I30:L30"/>
    <mergeCell ref="I32:L32"/>
    <mergeCell ref="I34:L34"/>
    <mergeCell ref="B24:G24"/>
    <mergeCell ref="B23:AW23"/>
    <mergeCell ref="AX23:AZ23"/>
    <mergeCell ref="D25:O25"/>
    <mergeCell ref="E26:E27"/>
    <mergeCell ref="L26:O26"/>
    <mergeCell ref="F26:J27"/>
  </mergeCells>
  <conditionalFormatting sqref="BA16:BD22">
    <cfRule type="cellIs" dxfId="46" priority="2" operator="between">
      <formula>0.8</formula>
      <formula>1</formula>
    </cfRule>
    <cfRule type="cellIs" dxfId="45" priority="3" operator="between">
      <formula>0.61</formula>
      <formula>0.79</formula>
    </cfRule>
    <cfRule type="cellIs" dxfId="44" priority="4" operator="between">
      <formula>0</formula>
      <formula>0.6</formula>
    </cfRule>
  </conditionalFormatting>
  <conditionalFormatting sqref="BA16:BD23">
    <cfRule type="cellIs" dxfId="43" priority="1" operator="greaterThan">
      <formula>1</formula>
    </cfRule>
  </conditionalFormatting>
  <dataValidations disablePrompts="1"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66FF33"/>
  </sheetPr>
  <dimension ref="B1:BH35"/>
  <sheetViews>
    <sheetView showGridLines="0" topLeftCell="T1" zoomScale="55" zoomScaleNormal="55" workbookViewId="0">
      <selection activeCell="D19" sqref="D19"/>
    </sheetView>
  </sheetViews>
  <sheetFormatPr baseColWidth="10" defaultColWidth="17.28515625" defaultRowHeight="15" customHeight="1"/>
  <cols>
    <col min="1" max="1" width="4.28515625" style="135" customWidth="1"/>
    <col min="2" max="2" width="50.42578125" style="133" customWidth="1"/>
    <col min="3" max="3" width="31.42578125" style="133" customWidth="1"/>
    <col min="4" max="4" width="49.7109375" style="133" customWidth="1"/>
    <col min="5" max="6" width="27.5703125" style="133" customWidth="1"/>
    <col min="7" max="8" width="29.28515625" style="134" customWidth="1"/>
    <col min="9" max="9" width="36.42578125" style="133" customWidth="1"/>
    <col min="10" max="10" width="31.85546875" style="133" customWidth="1"/>
    <col min="11" max="11" width="55.85546875" style="133" customWidth="1"/>
    <col min="12" max="12" width="48.42578125" style="133" customWidth="1"/>
    <col min="13" max="14" width="28.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0" ht="18" thickBot="1"/>
    <row r="2" spans="2:60" ht="15.6" customHeight="1">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0" ht="15.6" customHeight="1">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0"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5.6" customHeight="1">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0" ht="23.25">
      <c r="B8" s="213" t="s">
        <v>45</v>
      </c>
      <c r="C8" s="1772" t="s">
        <v>90</v>
      </c>
      <c r="D8" s="1772"/>
      <c r="E8" s="214"/>
      <c r="F8" s="214"/>
      <c r="G8" s="214"/>
      <c r="H8" s="214"/>
      <c r="I8" s="214"/>
      <c r="J8" s="214"/>
      <c r="K8" s="214"/>
      <c r="L8" s="214"/>
      <c r="M8" s="214"/>
      <c r="N8" s="214"/>
      <c r="O8" s="214"/>
      <c r="AW8" s="231"/>
      <c r="AX8" s="231"/>
      <c r="AY8" s="231"/>
      <c r="AZ8" s="231"/>
      <c r="BA8" s="231"/>
      <c r="BB8" s="231"/>
      <c r="BC8" s="231"/>
      <c r="BD8" s="231"/>
    </row>
    <row r="9" spans="2:60" ht="69.75" customHeight="1">
      <c r="B9" s="213" t="s">
        <v>34</v>
      </c>
      <c r="C9" s="1672" t="s">
        <v>320</v>
      </c>
      <c r="D9" s="1673"/>
      <c r="E9" s="214"/>
      <c r="F9" s="214"/>
      <c r="G9" s="214"/>
      <c r="H9" s="214"/>
      <c r="I9" s="214"/>
      <c r="J9" s="214"/>
      <c r="K9" s="214"/>
      <c r="L9" s="214"/>
      <c r="M9" s="214"/>
      <c r="N9" s="214"/>
      <c r="O9" s="214"/>
      <c r="AW9" s="231"/>
      <c r="AX9" s="231"/>
      <c r="AY9" s="231"/>
      <c r="AZ9" s="231"/>
      <c r="BA9" s="231"/>
      <c r="BB9" s="231"/>
      <c r="BC9" s="231"/>
      <c r="BD9" s="231"/>
    </row>
    <row r="10" spans="2:60" ht="25.5">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2:60"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0" ht="21.6"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0"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314</v>
      </c>
      <c r="AZ13" s="1659" t="s">
        <v>315</v>
      </c>
      <c r="BA13" s="1648" t="s">
        <v>119</v>
      </c>
      <c r="BB13" s="1648" t="s">
        <v>122</v>
      </c>
      <c r="BC13" s="1648" t="s">
        <v>123</v>
      </c>
      <c r="BD13" s="1648" t="s">
        <v>124</v>
      </c>
      <c r="BE13" s="1642" t="s">
        <v>21</v>
      </c>
      <c r="BF13" s="1642" t="s">
        <v>22</v>
      </c>
      <c r="BG13" s="1642" t="s">
        <v>23</v>
      </c>
      <c r="BH13" s="1642" t="s">
        <v>24</v>
      </c>
    </row>
    <row r="14" spans="2:60"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0" ht="13.1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0" ht="90">
      <c r="B16" s="1678" t="str">
        <f>+'01-FR-03 POA INSTITUCIONAL'!B40</f>
        <v>3. Vigilar la conducta oficial de los(as) servidores(as) públicos(as) del Distrito Capital, mediante acciones preventivas y correctivas, que permitan un adecuado cumplimiento de los principios de la Función Pública</v>
      </c>
      <c r="C16" s="1678" t="str">
        <f>+'01-FR-03 POA INSTITUCIONAL'!C40</f>
        <v>3.1. Descongestionar 6.700 procesos disciplinarios con criterios de calidad, efectividad y garantía del debido proceso.</v>
      </c>
      <c r="D16" s="31" t="str">
        <f>+'01-FR-03 POA INSTITUCIONAL'!D40</f>
        <v xml:space="preserve">3.1.1 Identificar y decidir de fondo 6,700  procesos, priorizando aquellos que se encuentren con riesgo de prescripción y/o vencidos en su etapa procesal (indagación, investigación y juzgamiento). </v>
      </c>
      <c r="E16" s="52">
        <f>+'01-FR-03 POA INSTITUCIONAL'!E40</f>
        <v>0.8</v>
      </c>
      <c r="F16" s="255">
        <f>+'01-FR-03 POA INSTITUCIONAL'!F40</f>
        <v>6700</v>
      </c>
      <c r="G16" s="255">
        <f>+'01-FR-03 POA INSTITUCIONAL'!L40</f>
        <v>1800</v>
      </c>
      <c r="H16" s="255">
        <f>+'01-FR-03 POA INSTITUCIONAL'!G40</f>
        <v>6287</v>
      </c>
      <c r="I16" s="140" t="str">
        <f>+'01-FR-03 POA INSTITUCIONAL'!H40</f>
        <v>Procesos priorizados identificados y decididos de fondo</v>
      </c>
      <c r="J16" s="215" t="s">
        <v>304</v>
      </c>
      <c r="K16" s="442" t="s">
        <v>316</v>
      </c>
      <c r="L16" s="217" t="s">
        <v>293</v>
      </c>
      <c r="M16" s="217" t="s">
        <v>321</v>
      </c>
      <c r="N16" s="217" t="s">
        <v>311</v>
      </c>
      <c r="O16" s="82" t="str">
        <f>+'01-FR-03 POA INSTITUCIONAL'!J40</f>
        <v>Personería Delegada para la Coordinación de Potestad Disciplinaria</v>
      </c>
      <c r="P16" s="912">
        <v>80</v>
      </c>
      <c r="Q16" s="912">
        <v>78</v>
      </c>
      <c r="R16" s="912">
        <v>100</v>
      </c>
      <c r="S16" s="912">
        <v>81</v>
      </c>
      <c r="T16" s="912">
        <v>120</v>
      </c>
      <c r="U16" s="912">
        <v>159</v>
      </c>
      <c r="V16" s="67">
        <f>P16+R16+T16</f>
        <v>300</v>
      </c>
      <c r="W16" s="67">
        <f>Q16+S16+U16</f>
        <v>318</v>
      </c>
      <c r="X16" s="912">
        <v>150</v>
      </c>
      <c r="Y16" s="912">
        <v>81</v>
      </c>
      <c r="Z16" s="912">
        <v>170</v>
      </c>
      <c r="AA16" s="912">
        <v>110</v>
      </c>
      <c r="AB16" s="912">
        <v>170</v>
      </c>
      <c r="AC16" s="912">
        <v>175</v>
      </c>
      <c r="AD16" s="67">
        <f>X16+Z16+AB16</f>
        <v>490</v>
      </c>
      <c r="AE16" s="67">
        <f>Y16+AA16+AC16</f>
        <v>366</v>
      </c>
      <c r="AF16" s="912">
        <v>210</v>
      </c>
      <c r="AG16" s="912">
        <v>113</v>
      </c>
      <c r="AH16" s="912">
        <v>210</v>
      </c>
      <c r="AI16" s="912">
        <v>164</v>
      </c>
      <c r="AJ16" s="990">
        <v>210</v>
      </c>
      <c r="AK16" s="990">
        <v>173</v>
      </c>
      <c r="AL16" s="67">
        <f>AF16+AH16+AJ16</f>
        <v>630</v>
      </c>
      <c r="AM16" s="67">
        <f>AG16+AI16+AK16</f>
        <v>450</v>
      </c>
      <c r="AN16" s="912">
        <v>150</v>
      </c>
      <c r="AO16" s="912"/>
      <c r="AP16" s="912">
        <v>140</v>
      </c>
      <c r="AQ16" s="912"/>
      <c r="AR16" s="912">
        <v>90</v>
      </c>
      <c r="AS16" s="912"/>
      <c r="AT16" s="67">
        <f>AN16+AP16+AR16</f>
        <v>380</v>
      </c>
      <c r="AU16" s="67">
        <f>AO16+AQ16+AS16</f>
        <v>0</v>
      </c>
      <c r="AV16" s="236">
        <f>V16+AD16+AL16+AT16</f>
        <v>1800</v>
      </c>
      <c r="AW16" s="81">
        <f>+W16</f>
        <v>318</v>
      </c>
      <c r="AX16" s="81">
        <f>+W16+AE16</f>
        <v>684</v>
      </c>
      <c r="AY16" s="81">
        <f>+W16+AE16+AM16</f>
        <v>1134</v>
      </c>
      <c r="AZ16" s="1029">
        <f>+W16+AE16+AM16+AU16</f>
        <v>1134</v>
      </c>
      <c r="BA16" s="318">
        <f>IF(AND(AW16&gt;0,$AV16&gt;0),AW16/$AV16,0)</f>
        <v>0.17666666666666667</v>
      </c>
      <c r="BB16" s="318">
        <f t="shared" ref="BB16:BD23" si="0">IF(AND(AX16&gt;0,$AV16&gt;0),AX16/$AV16,0)</f>
        <v>0.38</v>
      </c>
      <c r="BC16" s="318">
        <f t="shared" si="0"/>
        <v>0.63</v>
      </c>
      <c r="BD16" s="318">
        <f t="shared" si="0"/>
        <v>0.63</v>
      </c>
      <c r="BE16" s="345">
        <f>(IF(AND(AW16&gt;0,$F16&gt;0),AW16/$F16,0))</f>
        <v>4.7462686567164181E-2</v>
      </c>
      <c r="BF16" s="345">
        <f t="shared" ref="BF16:BH16" si="1">(IF(AND(AX16&gt;0,$F16&gt;0),AX16/$F16,0))</f>
        <v>0.10208955223880598</v>
      </c>
      <c r="BG16" s="345">
        <f t="shared" ref="BG16:BG18" si="2">(IF(AND(AY16&gt;0,$F16&gt;0),AY16/$F16,0))</f>
        <v>0.16925373134328359</v>
      </c>
      <c r="BH16" s="1032">
        <f t="shared" si="1"/>
        <v>0.16925373134328359</v>
      </c>
    </row>
    <row r="17" spans="2:60" ht="90" customHeight="1">
      <c r="B17" s="1679"/>
      <c r="C17" s="1705"/>
      <c r="D17" s="31" t="str">
        <f>+'01-FR-03 POA INSTITUCIONAL'!D41</f>
        <v>3.1.2 Evaluar y dar impulso procesal al 100% las noticias disciplinarias (quejas) puestas en conocimiento de la Entidad.</v>
      </c>
      <c r="E17" s="52">
        <f>+'01-FR-03 POA INSTITUCIONAL'!E41</f>
        <v>0.2</v>
      </c>
      <c r="F17" s="174">
        <f>+'01-FR-03 POA INSTITUCIONAL'!F41</f>
        <v>1</v>
      </c>
      <c r="G17" s="174">
        <f>+'01-FR-03 POA INSTITUCIONAL'!L41</f>
        <v>1</v>
      </c>
      <c r="H17" s="174">
        <f>+'01-FR-03 POA INSTITUCIONAL'!G41</f>
        <v>0.98</v>
      </c>
      <c r="I17" s="140" t="str">
        <f>+'01-FR-03 POA INSTITUCIONAL'!H41</f>
        <v>Noticias disciplinarias  evaluadas y con impulso procesal</v>
      </c>
      <c r="J17" s="215" t="s">
        <v>312</v>
      </c>
      <c r="K17" s="442" t="s">
        <v>294</v>
      </c>
      <c r="L17" s="217" t="s">
        <v>295</v>
      </c>
      <c r="M17" s="217" t="s">
        <v>321</v>
      </c>
      <c r="N17" s="217" t="s">
        <v>311</v>
      </c>
      <c r="O17" s="82" t="str">
        <f>+'01-FR-03 POA INSTITUCIONAL'!J41</f>
        <v>Personería Delegada para la Coordinación de Potestad Disciplinaria</v>
      </c>
      <c r="P17" s="985">
        <v>1</v>
      </c>
      <c r="Q17" s="988">
        <v>0.88900000000000001</v>
      </c>
      <c r="R17" s="985">
        <v>1</v>
      </c>
      <c r="S17" s="988">
        <v>0.753</v>
      </c>
      <c r="T17" s="985">
        <v>1</v>
      </c>
      <c r="U17" s="988">
        <v>0.73</v>
      </c>
      <c r="V17" s="89">
        <f>AVERAGE(P17,R17,T17)</f>
        <v>1</v>
      </c>
      <c r="W17" s="1025">
        <f>IFERROR(AVERAGE(Q17,S17,U17),0)</f>
        <v>0.79066666666666663</v>
      </c>
      <c r="X17" s="985">
        <v>1</v>
      </c>
      <c r="Y17" s="989">
        <v>0.97299999999999998</v>
      </c>
      <c r="Z17" s="985">
        <v>1</v>
      </c>
      <c r="AA17" s="989">
        <v>0.94799999999999995</v>
      </c>
      <c r="AB17" s="985">
        <v>1</v>
      </c>
      <c r="AC17" s="989">
        <v>0.82799999999999996</v>
      </c>
      <c r="AD17" s="89">
        <f>AVERAGE(X17,Z17,AB17)</f>
        <v>1</v>
      </c>
      <c r="AE17" s="317">
        <f>IFERROR(AVERAGE(Y17,AA17,AC17),0)</f>
        <v>0.91633333333333322</v>
      </c>
      <c r="AF17" s="985">
        <v>1</v>
      </c>
      <c r="AG17" s="989">
        <v>0.75600000000000001</v>
      </c>
      <c r="AH17" s="985">
        <v>1</v>
      </c>
      <c r="AI17" s="989">
        <v>0.94299999999999995</v>
      </c>
      <c r="AJ17" s="985">
        <v>1</v>
      </c>
      <c r="AK17" s="989">
        <v>1.0529999999999999</v>
      </c>
      <c r="AL17" s="89">
        <f>AVERAGE(AF17,AH17,AJ17)</f>
        <v>1</v>
      </c>
      <c r="AM17" s="89">
        <f>IFERROR(AVERAGE(AG17,AI17,AK17),0)</f>
        <v>0.91733333333333322</v>
      </c>
      <c r="AN17" s="985">
        <v>1</v>
      </c>
      <c r="AO17" s="1044">
        <v>0</v>
      </c>
      <c r="AP17" s="985">
        <v>1</v>
      </c>
      <c r="AQ17" s="1044">
        <v>0</v>
      </c>
      <c r="AR17" s="985">
        <v>1</v>
      </c>
      <c r="AS17" s="1044">
        <v>0</v>
      </c>
      <c r="AT17" s="89">
        <f>AVERAGE(AN17,AP17,AR17)</f>
        <v>1</v>
      </c>
      <c r="AU17" s="89">
        <f>IFERROR(AVERAGE(AO17,AQ17,AS17),0)</f>
        <v>0</v>
      </c>
      <c r="AV17" s="89">
        <f>AVERAGE(P17,R17,T17,X17,Z17,AB17,AF17,AH17,AJ17,AN17,AP17,AR17)</f>
        <v>1</v>
      </c>
      <c r="AW17" s="306">
        <f>IFERROR(IF(OR($AV$17="",$AV$17=0),0,ROUNDDOWN(AVERAGE($Q17,$S17,$U17),3)),0)</f>
        <v>0.79</v>
      </c>
      <c r="AX17" s="306">
        <f>IFERROR(IF(OR($AV$17="",$AV$17=0),0,ROUNDDOWN(AVERAGE($Q17,$S17,$U17,$Y17,$AA17,$AC17),3)),0)</f>
        <v>0.85299999999999998</v>
      </c>
      <c r="AY17" s="306">
        <f>IFERROR(IF(OR($AV$17="",$AV$17=0),0,ROUNDDOWN(AVERAGE($Q17,$S17,$U17,$Y17,$AA17,$AC17,$AG17,$AI17,$AK17),3)),0)</f>
        <v>0.874</v>
      </c>
      <c r="AZ17" s="1033">
        <f>IFERROR(IF(OR($AV$17="",$AV$17=0),0,ROUNDDOWN(AVERAGE($Q17,$S17,$U17,$Y17,$AA17,$AC17,$AG17,$AI17,$AK17,$AO17,$AQ17,$AS17),3)),0)</f>
        <v>0.65600000000000003</v>
      </c>
      <c r="BA17" s="318">
        <f>IF(AND(AW17&gt;0,AV17&gt;0),AW17/AV17,0)*0.25</f>
        <v>0.19750000000000001</v>
      </c>
      <c r="BB17" s="318">
        <f>IF(AND(AX17&gt;0,$AV17&gt;0),AX17/$AV17,0)*0.5</f>
        <v>0.42649999999999999</v>
      </c>
      <c r="BC17" s="318">
        <f>IF(AND(AY17&gt;0,$AV17&gt;0),AY17/$AV17,0)*0.75</f>
        <v>0.65549999999999997</v>
      </c>
      <c r="BD17" s="318">
        <f>IF(AND(AZ17&gt;0,$AV17&gt;0),AZ17/$AV17,0)*1</f>
        <v>0.65600000000000003</v>
      </c>
      <c r="BE17" s="345">
        <f>((IF(AND(AW17&gt;0,$F17&gt;0),AW17/$F17,0))/4)*0.25</f>
        <v>4.9375000000000002E-2</v>
      </c>
      <c r="BF17" s="345">
        <f>((IF(AND(AX17&gt;0,$F17&gt;0),AX17/$F17,0))/4)*0.5</f>
        <v>0.106625</v>
      </c>
      <c r="BG17" s="345">
        <f>((IF(AND(AY17&gt;0,$F17&gt;0),AY17/$F17,0))/4)*0.75</f>
        <v>0.16387499999999999</v>
      </c>
      <c r="BH17" s="1032">
        <f>((IF(AND(AZ17&gt;0,$F17&gt;0),AZ17/$F17,0))/4)</f>
        <v>0.16400000000000001</v>
      </c>
    </row>
    <row r="18" spans="2:60" ht="90" customHeight="1">
      <c r="B18" s="1679"/>
      <c r="C18" s="1678" t="str">
        <f>+'01-FR-03 POA INSTITUCIONAL'!C42</f>
        <v xml:space="preserve">3.2. Identificar el 100% de los hechos constitutivos de faltas disciplinarias para ejercer el poder preferente en las Oficinas de Control Interno Disciplinario, en temas de interés e impacto para el Distrito Capital. </v>
      </c>
      <c r="D18" s="31" t="str">
        <f>+'01-FR-03 POA INSTITUCIONAL'!D42</f>
        <v>3.2.1 Realizar una visita de seguimiento a las 51 Oficinas de Control Interno Disciplinario del Distrito e identificar hechos constitutivos de faltas relevantes en temas de interés e impacto en cada anualidad.</v>
      </c>
      <c r="E18" s="52">
        <f>+'01-FR-03 POA INSTITUCIONAL'!E42</f>
        <v>0.5</v>
      </c>
      <c r="F18" s="255">
        <f>+'01-FR-03 POA INSTITUCIONAL'!F42</f>
        <v>204</v>
      </c>
      <c r="G18" s="255">
        <f>+'01-FR-03 POA INSTITUCIONAL'!L42</f>
        <v>51</v>
      </c>
      <c r="H18" s="255">
        <f>+'01-FR-03 POA INSTITUCIONAL'!G42</f>
        <v>204</v>
      </c>
      <c r="I18" s="140" t="str">
        <f>+'01-FR-03 POA INSTITUCIONAL'!H42</f>
        <v>Visitas de seguimiento a Oficinas de Control Interno Disciplinario realizadas</v>
      </c>
      <c r="J18" s="215" t="s">
        <v>296</v>
      </c>
      <c r="K18" s="442" t="s">
        <v>317</v>
      </c>
      <c r="L18" s="217" t="s">
        <v>297</v>
      </c>
      <c r="M18" s="217" t="s">
        <v>321</v>
      </c>
      <c r="N18" s="217" t="s">
        <v>311</v>
      </c>
      <c r="O18" s="82" t="str">
        <f>+'01-FR-03 POA INSTITUCIONAL'!J42</f>
        <v>Personería Delegada para la Coordinación de Potestad Disciplinaria</v>
      </c>
      <c r="P18" s="912">
        <v>0</v>
      </c>
      <c r="Q18" s="912">
        <v>0</v>
      </c>
      <c r="R18" s="912">
        <v>0</v>
      </c>
      <c r="S18" s="912">
        <v>0</v>
      </c>
      <c r="T18" s="912">
        <v>0</v>
      </c>
      <c r="U18" s="912">
        <v>0</v>
      </c>
      <c r="V18" s="67">
        <f t="shared" ref="V18:W23" si="3">P18+R18+T18</f>
        <v>0</v>
      </c>
      <c r="W18" s="67">
        <f t="shared" si="3"/>
        <v>0</v>
      </c>
      <c r="X18" s="912">
        <v>10</v>
      </c>
      <c r="Y18" s="912">
        <v>0</v>
      </c>
      <c r="Z18" s="912">
        <v>10</v>
      </c>
      <c r="AA18" s="912">
        <v>0</v>
      </c>
      <c r="AB18" s="912">
        <v>10</v>
      </c>
      <c r="AC18" s="912">
        <v>0</v>
      </c>
      <c r="AD18" s="67">
        <f t="shared" ref="AD18:AE23" si="4">X18+Z18+AB18</f>
        <v>30</v>
      </c>
      <c r="AE18" s="67">
        <f t="shared" si="4"/>
        <v>0</v>
      </c>
      <c r="AF18" s="912">
        <v>10</v>
      </c>
      <c r="AG18" s="912">
        <v>1</v>
      </c>
      <c r="AH18" s="912">
        <v>11</v>
      </c>
      <c r="AI18" s="912">
        <v>3</v>
      </c>
      <c r="AJ18" s="990">
        <v>0</v>
      </c>
      <c r="AK18" s="912">
        <v>5</v>
      </c>
      <c r="AL18" s="67">
        <f t="shared" ref="AL18:AM23" si="5">AF18+AH18+AJ18</f>
        <v>21</v>
      </c>
      <c r="AM18" s="67">
        <f t="shared" si="5"/>
        <v>9</v>
      </c>
      <c r="AN18" s="912">
        <v>0</v>
      </c>
      <c r="AO18" s="1045"/>
      <c r="AP18" s="912">
        <v>0</v>
      </c>
      <c r="AQ18" s="1045"/>
      <c r="AR18" s="912">
        <v>0</v>
      </c>
      <c r="AS18" s="1045"/>
      <c r="AT18" s="67">
        <f t="shared" ref="AT18:AU23" si="6">AN18+AP18+AR18</f>
        <v>0</v>
      </c>
      <c r="AU18" s="67">
        <f t="shared" si="6"/>
        <v>0</v>
      </c>
      <c r="AV18" s="236">
        <f t="shared" ref="AV18:AV23" si="7">V18+AD18+AL18+AT18</f>
        <v>51</v>
      </c>
      <c r="AW18" s="81">
        <f t="shared" ref="AW18:AW23" si="8">+W18</f>
        <v>0</v>
      </c>
      <c r="AX18" s="81">
        <f t="shared" ref="AX18:AX23" si="9">+W18+AE18</f>
        <v>0</v>
      </c>
      <c r="AY18" s="81">
        <f t="shared" ref="AY18:AY23" si="10">+W18+AE18+AM18</f>
        <v>9</v>
      </c>
      <c r="AZ18" s="1029">
        <f t="shared" ref="AZ18:AZ23" si="11">+W18+AE18+AM18+AU18</f>
        <v>9</v>
      </c>
      <c r="BA18" s="318">
        <f t="shared" ref="BA18:BA22" si="12">IF(AND(AW18&gt;0,AV18&gt;0),AW18/AV18,0)</f>
        <v>0</v>
      </c>
      <c r="BB18" s="318">
        <f t="shared" si="0"/>
        <v>0</v>
      </c>
      <c r="BC18" s="318">
        <f t="shared" si="0"/>
        <v>0.17647058823529413</v>
      </c>
      <c r="BD18" s="318">
        <f t="shared" si="0"/>
        <v>0.17647058823529413</v>
      </c>
      <c r="BE18" s="345">
        <f>(IF(AND(AW18&gt;0,$F18&gt;0),AW18/$F18,0))</f>
        <v>0</v>
      </c>
      <c r="BF18" s="345">
        <f t="shared" ref="BF18" si="13">(IF(AND(AX18&gt;0,$F18&gt;0),AX18/$F18,0))</f>
        <v>0</v>
      </c>
      <c r="BG18" s="345">
        <f t="shared" si="2"/>
        <v>4.4117647058823532E-2</v>
      </c>
      <c r="BH18" s="1032">
        <f t="shared" ref="BH18" si="14">(IF(AND(AZ18&gt;0,$F18&gt;0),AZ18/$F18,0))</f>
        <v>4.4117647058823532E-2</v>
      </c>
    </row>
    <row r="19" spans="2:60" ht="102" customHeight="1">
      <c r="B19" s="1679"/>
      <c r="C19" s="1705"/>
      <c r="D19" s="31" t="str">
        <f>+'01-FR-03 POA INSTITUCIONAL'!D43</f>
        <v>3.2.2 Asumir por competencia preferente el 100% de los procesos cuyos temas sean considerados de interés e impacto el Distrito Capital.</v>
      </c>
      <c r="E19" s="52">
        <f>+'01-FR-03 POA INSTITUCIONAL'!E43</f>
        <v>0.5</v>
      </c>
      <c r="F19" s="174">
        <f>+'01-FR-03 POA INSTITUCIONAL'!F43</f>
        <v>1</v>
      </c>
      <c r="G19" s="174">
        <f>+'01-FR-03 POA INSTITUCIONAL'!L43</f>
        <v>1</v>
      </c>
      <c r="H19" s="174">
        <f>+'01-FR-03 POA INSTITUCIONAL'!G43</f>
        <v>1</v>
      </c>
      <c r="I19" s="140" t="str">
        <f>+'01-FR-03 POA INSTITUCIONAL'!H43</f>
        <v>Procesos de interés e impacto asumidos por competencia</v>
      </c>
      <c r="J19" s="215" t="s">
        <v>664</v>
      </c>
      <c r="K19" s="442" t="s">
        <v>308</v>
      </c>
      <c r="L19" s="217" t="s">
        <v>313</v>
      </c>
      <c r="M19" s="217" t="s">
        <v>321</v>
      </c>
      <c r="N19" s="217" t="s">
        <v>311</v>
      </c>
      <c r="O19" s="82" t="str">
        <f>+'01-FR-03 POA INSTITUCIONAL'!J43</f>
        <v>Personería Delegada para la Coordinación de Potestad Disciplinaria</v>
      </c>
      <c r="P19" s="985">
        <v>1</v>
      </c>
      <c r="Q19" s="975">
        <v>1</v>
      </c>
      <c r="R19" s="985">
        <v>1</v>
      </c>
      <c r="S19" s="975">
        <v>1</v>
      </c>
      <c r="T19" s="985">
        <v>1</v>
      </c>
      <c r="U19" s="985">
        <v>1</v>
      </c>
      <c r="V19" s="89">
        <f>AVERAGE(P19,R19,T19)</f>
        <v>1</v>
      </c>
      <c r="W19" s="89">
        <f>IFERROR(AVERAGE(S19,U19),0)</f>
        <v>1</v>
      </c>
      <c r="X19" s="985">
        <v>1</v>
      </c>
      <c r="Y19" s="975">
        <v>1</v>
      </c>
      <c r="Z19" s="985">
        <v>1</v>
      </c>
      <c r="AA19" s="975">
        <v>1</v>
      </c>
      <c r="AB19" s="985">
        <v>1</v>
      </c>
      <c r="AC19" s="975">
        <v>1</v>
      </c>
      <c r="AD19" s="89">
        <f>AVERAGE(X19,Z19,AB19)</f>
        <v>1</v>
      </c>
      <c r="AE19" s="89">
        <f>IFERROR(AVERAGE(Y19,AA19,AC19),0)</f>
        <v>1</v>
      </c>
      <c r="AF19" s="985">
        <v>1</v>
      </c>
      <c r="AG19" s="975">
        <v>1</v>
      </c>
      <c r="AH19" s="985">
        <v>1</v>
      </c>
      <c r="AI19" s="989">
        <v>0.875</v>
      </c>
      <c r="AJ19" s="985">
        <v>1</v>
      </c>
      <c r="AK19" s="989">
        <v>0.91400000000000003</v>
      </c>
      <c r="AL19" s="89">
        <f>AVERAGE(AF19,AH19,AJ19)</f>
        <v>1</v>
      </c>
      <c r="AM19" s="317">
        <f>IFERROR(AVERAGE(AG19,AI19,AK19),0)</f>
        <v>0.92966666666666675</v>
      </c>
      <c r="AN19" s="985">
        <v>1</v>
      </c>
      <c r="AO19" s="992">
        <v>0</v>
      </c>
      <c r="AP19" s="985">
        <v>1</v>
      </c>
      <c r="AQ19" s="992">
        <v>0</v>
      </c>
      <c r="AR19" s="985">
        <v>1</v>
      </c>
      <c r="AS19" s="992">
        <v>0</v>
      </c>
      <c r="AT19" s="89">
        <f>AVERAGE(AN19,AP19,AR19)</f>
        <v>1</v>
      </c>
      <c r="AU19" s="89">
        <f>IFERROR(AVERAGE(AO19,AQ19,AS19),0)</f>
        <v>0</v>
      </c>
      <c r="AV19" s="89">
        <f>AVERAGE(X19,Z19,AB19,AF19,AH19,AJ19,AN19,AP19,AR19)</f>
        <v>1</v>
      </c>
      <c r="AW19" s="306">
        <f>IFERROR(IF(OR($AV$19="",$AV$19=0),0,ROUNDDOWN(AVERAGE($S19,$U19),3)),0)</f>
        <v>1</v>
      </c>
      <c r="AX19" s="306">
        <f>IFERROR(IF(OR($AV$19="",$AV$19=0),0,ROUNDDOWN(AVERAGE($S19,$U19,$Y19,$AA19,$AC19),3)),0)</f>
        <v>1</v>
      </c>
      <c r="AY19" s="306">
        <f>IFERROR(IF(OR($AV$19="",$AV$19=0),0,ROUNDDOWN(AVERAGE($S19,$U19,$Y19,$AA19,$AC19,$AG19,$AI19,$AK19),3)),0)</f>
        <v>0.97299999999999998</v>
      </c>
      <c r="AZ19" s="1033">
        <f>IFERROR(IF(OR($AV$19="",$AV$19=0),0,ROUNDDOWN(AVERAGE($S19,$U19,$Y19,$AA19,$AC19,$AG19,$AI19,$AK19,$AO19,$AQ19,$AS19),3)),0)</f>
        <v>0.70799999999999996</v>
      </c>
      <c r="BA19" s="318">
        <f>IF(AND(AW19&gt;0,AV19&gt;0),AW19/AV19,0)*0.25</f>
        <v>0.25</v>
      </c>
      <c r="BB19" s="318">
        <f>IF(AND(AX19&gt;0,$AV19&gt;0),AX19/$AV19,0)*0.5</f>
        <v>0.5</v>
      </c>
      <c r="BC19" s="318">
        <f>IF(AND(AY19&gt;0,$AV19&gt;0),AY19/$AV19,0)*0.75</f>
        <v>0.72975000000000001</v>
      </c>
      <c r="BD19" s="318">
        <f>IF(AND(AZ19&gt;0,$AV19&gt;0),AZ19/$AV19,0)*1</f>
        <v>0.70799999999999996</v>
      </c>
      <c r="BE19" s="345">
        <f>((IF(AND(AW19&gt;0,$F19&gt;0),AW19/$F19,0))/4)*0.25</f>
        <v>6.25E-2</v>
      </c>
      <c r="BF19" s="345">
        <f>((IF(AND(AX19&gt;0,$F19&gt;0),AX19/$F19,0))/4)*0.5</f>
        <v>0.125</v>
      </c>
      <c r="BG19" s="345">
        <f>((IF(AND(AY19&gt;0,$F19&gt;0),AY19/$F19,0))/4)*0.75</f>
        <v>0.1824375</v>
      </c>
      <c r="BH19" s="1032">
        <f>((IF(AND(AZ19&gt;0,$F19&gt;0),AZ19/$F19,0))/4)</f>
        <v>0.17699999999999999</v>
      </c>
    </row>
    <row r="20" spans="2:60" ht="161.44999999999999" customHeight="1">
      <c r="B20" s="1679"/>
      <c r="C20" s="31" t="str">
        <f>+'01-FR-03 POA INSTITUCIONAL'!C44</f>
        <v>3.3. Generar 8 escenarios que fortalezcan el conocimiento y las competencias del operador disciplinario, que apoya el cumplimiento de la labor misional, extendiendo el alcance a los jueces naturales en el Distrito Capital.</v>
      </c>
      <c r="D20" s="31" t="str">
        <f>+'01-FR-03 POA INSTITUCIONAL'!D44</f>
        <v>3.3.1 Generar 8 escenarios de intercambio de conocimiento con los(as) servidores(as) públicos(as) para fortalecer el conocimiento en la sustanciación de procesos disciplinarios en el Distrito Capital.</v>
      </c>
      <c r="E20" s="52">
        <f>+'01-FR-03 POA INSTITUCIONAL'!E44</f>
        <v>1</v>
      </c>
      <c r="F20" s="255">
        <f>+'01-FR-03 POA INSTITUCIONAL'!F44</f>
        <v>8</v>
      </c>
      <c r="G20" s="255">
        <f>+'01-FR-03 POA INSTITUCIONAL'!L44</f>
        <v>2</v>
      </c>
      <c r="H20" s="255">
        <f>+'01-FR-03 POA INSTITUCIONAL'!G44</f>
        <v>8</v>
      </c>
      <c r="I20" s="140" t="str">
        <f>+'01-FR-03 POA INSTITUCIONAL'!H44</f>
        <v>Escenarios de intercambio de conocimiento generados</v>
      </c>
      <c r="J20" s="215" t="s">
        <v>298</v>
      </c>
      <c r="K20" s="442" t="s">
        <v>309</v>
      </c>
      <c r="L20" s="217" t="s">
        <v>299</v>
      </c>
      <c r="M20" s="217" t="s">
        <v>321</v>
      </c>
      <c r="N20" s="217" t="s">
        <v>311</v>
      </c>
      <c r="O20" s="82" t="str">
        <f>+'01-FR-03 POA INSTITUCIONAL'!J44</f>
        <v>Personería Delegada para la Coordinación de Potestad Disciplinaria</v>
      </c>
      <c r="P20" s="912">
        <v>0</v>
      </c>
      <c r="Q20" s="912">
        <v>0</v>
      </c>
      <c r="R20" s="912">
        <v>0</v>
      </c>
      <c r="S20" s="912">
        <v>0</v>
      </c>
      <c r="T20" s="912">
        <v>0</v>
      </c>
      <c r="U20" s="912">
        <v>0</v>
      </c>
      <c r="V20" s="67">
        <f t="shared" si="3"/>
        <v>0</v>
      </c>
      <c r="W20" s="67">
        <f t="shared" si="3"/>
        <v>0</v>
      </c>
      <c r="X20" s="912">
        <v>0</v>
      </c>
      <c r="Y20" s="912">
        <v>1</v>
      </c>
      <c r="Z20" s="912">
        <v>0</v>
      </c>
      <c r="AA20" s="912">
        <v>0</v>
      </c>
      <c r="AB20" s="912">
        <v>0</v>
      </c>
      <c r="AC20" s="912">
        <v>0</v>
      </c>
      <c r="AD20" s="67">
        <f t="shared" si="4"/>
        <v>0</v>
      </c>
      <c r="AE20" s="67">
        <f t="shared" si="4"/>
        <v>1</v>
      </c>
      <c r="AF20" s="912">
        <v>0</v>
      </c>
      <c r="AG20" s="912">
        <v>0</v>
      </c>
      <c r="AH20" s="912">
        <v>1</v>
      </c>
      <c r="AI20" s="912">
        <v>0</v>
      </c>
      <c r="AJ20" s="990">
        <v>0</v>
      </c>
      <c r="AK20" s="990">
        <v>0</v>
      </c>
      <c r="AL20" s="67">
        <f t="shared" si="5"/>
        <v>1</v>
      </c>
      <c r="AM20" s="67">
        <f t="shared" si="5"/>
        <v>0</v>
      </c>
      <c r="AN20" s="912">
        <v>0</v>
      </c>
      <c r="AO20" s="912"/>
      <c r="AP20" s="912">
        <v>1</v>
      </c>
      <c r="AQ20" s="912"/>
      <c r="AR20" s="912">
        <v>0</v>
      </c>
      <c r="AS20" s="912"/>
      <c r="AT20" s="67">
        <f t="shared" si="6"/>
        <v>1</v>
      </c>
      <c r="AU20" s="67">
        <f t="shared" si="6"/>
        <v>0</v>
      </c>
      <c r="AV20" s="236">
        <f>V20+AD20+AL20+AT20</f>
        <v>2</v>
      </c>
      <c r="AW20" s="81">
        <f t="shared" si="8"/>
        <v>0</v>
      </c>
      <c r="AX20" s="81">
        <f t="shared" si="9"/>
        <v>1</v>
      </c>
      <c r="AY20" s="81">
        <f t="shared" si="10"/>
        <v>1</v>
      </c>
      <c r="AZ20" s="1029">
        <f t="shared" si="11"/>
        <v>1</v>
      </c>
      <c r="BA20" s="318">
        <f t="shared" si="12"/>
        <v>0</v>
      </c>
      <c r="BB20" s="318">
        <f t="shared" si="0"/>
        <v>0.5</v>
      </c>
      <c r="BC20" s="318">
        <f t="shared" si="0"/>
        <v>0.5</v>
      </c>
      <c r="BD20" s="318">
        <f t="shared" si="0"/>
        <v>0.5</v>
      </c>
      <c r="BE20" s="345">
        <f>(IF(AND(AW20&gt;0,$F20&gt;0),AW20/$F20,0))</f>
        <v>0</v>
      </c>
      <c r="BF20" s="345">
        <f t="shared" ref="BF20:BF23" si="15">(IF(AND(AX20&gt;0,$F20&gt;0),AX20/$F20,0))</f>
        <v>0.125</v>
      </c>
      <c r="BG20" s="345">
        <f t="shared" ref="BG20:BG23" si="16">(IF(AND(AY20&gt;0,$F20&gt;0),AY20/$F20,0))</f>
        <v>0.125</v>
      </c>
      <c r="BH20" s="1032">
        <f t="shared" ref="BH20:BH23" si="17">(IF(AND(AZ20&gt;0,$F20&gt;0),AZ20/$F20,0))</f>
        <v>0.125</v>
      </c>
    </row>
    <row r="21" spans="2:60" ht="90">
      <c r="B21" s="1679"/>
      <c r="C21" s="1678" t="str">
        <f>+'01-FR-03 POA INSTITUCIONAL'!C45</f>
        <v>3.4. Implementar al 100% tres soluciones informáticas propias para la ejecución y gestión de la Potestad Disciplinaria.</v>
      </c>
      <c r="D21" s="31" t="str">
        <f>+'01-FR-03 POA INSTITUCIONAL'!D45</f>
        <v>3.4.1 Implementar un sistema de comunicación efectiva y eficiente con las Oficinas de Control Interno del Distrito Capital.</v>
      </c>
      <c r="E21" s="52">
        <f>+'01-FR-03 POA INSTITUCIONAL'!E45</f>
        <v>0.2</v>
      </c>
      <c r="F21" s="255">
        <f>+'01-FR-03 POA INSTITUCIONAL'!F45</f>
        <v>1</v>
      </c>
      <c r="G21" s="256">
        <f>+'01-FR-03 POA INSTITUCIONAL'!L45</f>
        <v>0.5</v>
      </c>
      <c r="H21" s="255" t="str">
        <f>+'01-FR-03 POA INSTITUCIONAL'!G45</f>
        <v>S.I.</v>
      </c>
      <c r="I21" s="140" t="str">
        <f>+'01-FR-03 POA INSTITUCIONAL'!H45</f>
        <v xml:space="preserve">Sistema de Comunicación con las Oficinas de Control Interno Disciplinario implementado </v>
      </c>
      <c r="J21" s="215" t="s">
        <v>305</v>
      </c>
      <c r="K21" s="442" t="s">
        <v>310</v>
      </c>
      <c r="L21" s="217" t="s">
        <v>300</v>
      </c>
      <c r="M21" s="217" t="s">
        <v>321</v>
      </c>
      <c r="N21" s="217" t="s">
        <v>311</v>
      </c>
      <c r="O21" s="82" t="str">
        <f>+'01-FR-03 POA INSTITUCIONAL'!J45</f>
        <v>Personería Delegada para la Coordinación de Potestad Disciplinaria</v>
      </c>
      <c r="P21" s="986">
        <v>0.05</v>
      </c>
      <c r="Q21" s="986">
        <v>0.05</v>
      </c>
      <c r="R21" s="986">
        <v>0.05</v>
      </c>
      <c r="S21" s="986">
        <v>0.05</v>
      </c>
      <c r="T21" s="986">
        <v>0.05</v>
      </c>
      <c r="U21" s="986">
        <v>0.05</v>
      </c>
      <c r="V21" s="254">
        <f t="shared" si="3"/>
        <v>0.15000000000000002</v>
      </c>
      <c r="W21" s="254">
        <f t="shared" si="3"/>
        <v>0.15000000000000002</v>
      </c>
      <c r="X21" s="986">
        <v>0.05</v>
      </c>
      <c r="Y21" s="986">
        <v>0.05</v>
      </c>
      <c r="Z21" s="986">
        <v>0.05</v>
      </c>
      <c r="AA21" s="986">
        <v>0.05</v>
      </c>
      <c r="AB21" s="986">
        <v>0.05</v>
      </c>
      <c r="AC21" s="986">
        <v>0.05</v>
      </c>
      <c r="AD21" s="254">
        <f t="shared" si="4"/>
        <v>0.15000000000000002</v>
      </c>
      <c r="AE21" s="254">
        <f t="shared" si="4"/>
        <v>0.15000000000000002</v>
      </c>
      <c r="AF21" s="986">
        <v>0.05</v>
      </c>
      <c r="AG21" s="986">
        <v>0.05</v>
      </c>
      <c r="AH21" s="986">
        <v>0.05</v>
      </c>
      <c r="AI21" s="986">
        <v>0.05</v>
      </c>
      <c r="AJ21" s="986">
        <v>0.05</v>
      </c>
      <c r="AK21" s="991">
        <v>0.05</v>
      </c>
      <c r="AL21" s="254">
        <f t="shared" si="5"/>
        <v>0.15000000000000002</v>
      </c>
      <c r="AM21" s="254">
        <f t="shared" si="5"/>
        <v>0.15000000000000002</v>
      </c>
      <c r="AN21" s="986">
        <v>0.05</v>
      </c>
      <c r="AO21" s="986"/>
      <c r="AP21" s="986">
        <v>0</v>
      </c>
      <c r="AQ21" s="986"/>
      <c r="AR21" s="986">
        <v>0</v>
      </c>
      <c r="AS21" s="986"/>
      <c r="AT21" s="254">
        <f t="shared" si="6"/>
        <v>0.05</v>
      </c>
      <c r="AU21" s="254">
        <f t="shared" si="6"/>
        <v>0</v>
      </c>
      <c r="AV21" s="257">
        <f t="shared" si="7"/>
        <v>0.50000000000000011</v>
      </c>
      <c r="AW21" s="319">
        <f t="shared" si="8"/>
        <v>0.15000000000000002</v>
      </c>
      <c r="AX21" s="319">
        <f t="shared" si="9"/>
        <v>0.30000000000000004</v>
      </c>
      <c r="AY21" s="319">
        <f t="shared" si="10"/>
        <v>0.45000000000000007</v>
      </c>
      <c r="AZ21" s="1028">
        <f t="shared" si="11"/>
        <v>0.45000000000000007</v>
      </c>
      <c r="BA21" s="318">
        <f t="shared" si="12"/>
        <v>0.3</v>
      </c>
      <c r="BB21" s="318">
        <f t="shared" si="0"/>
        <v>0.6</v>
      </c>
      <c r="BC21" s="318">
        <f t="shared" si="0"/>
        <v>0.89999999999999991</v>
      </c>
      <c r="BD21" s="318">
        <f t="shared" si="0"/>
        <v>0.89999999999999991</v>
      </c>
      <c r="BE21" s="345">
        <f>(IF(AND(AW21&gt;0,$F21&gt;0),AW21/$F21,0))</f>
        <v>0.15000000000000002</v>
      </c>
      <c r="BF21" s="345">
        <f t="shared" si="15"/>
        <v>0.30000000000000004</v>
      </c>
      <c r="BG21" s="345">
        <f t="shared" si="16"/>
        <v>0.45000000000000007</v>
      </c>
      <c r="BH21" s="1032">
        <f t="shared" si="17"/>
        <v>0.45000000000000007</v>
      </c>
    </row>
    <row r="22" spans="2:60" ht="90">
      <c r="B22" s="1679"/>
      <c r="C22" s="1679"/>
      <c r="D22" s="31" t="str">
        <f>+'01-FR-03 POA INSTITUCIONAL'!D46</f>
        <v xml:space="preserve">3.4.2 Diseñar e implementar un sistema de información misional que generé el expediente electrónico  </v>
      </c>
      <c r="E22" s="52">
        <f>+'01-FR-03 POA INSTITUCIONAL'!E46</f>
        <v>0.7</v>
      </c>
      <c r="F22" s="255">
        <f>+'01-FR-03 POA INSTITUCIONAL'!F46</f>
        <v>1</v>
      </c>
      <c r="G22" s="256">
        <f>+'01-FR-03 POA INSTITUCIONAL'!L46</f>
        <v>0.4</v>
      </c>
      <c r="H22" s="255" t="str">
        <f>+'01-FR-03 POA INSTITUCIONAL'!G46</f>
        <v>S.I.</v>
      </c>
      <c r="I22" s="140" t="str">
        <f>+'01-FR-03 POA INSTITUCIONAL'!H46</f>
        <v xml:space="preserve">Sistema de información misional implementado </v>
      </c>
      <c r="J22" s="215" t="s">
        <v>306</v>
      </c>
      <c r="K22" s="442" t="s">
        <v>318</v>
      </c>
      <c r="L22" s="217" t="s">
        <v>300</v>
      </c>
      <c r="M22" s="217" t="s">
        <v>321</v>
      </c>
      <c r="N22" s="217" t="s">
        <v>311</v>
      </c>
      <c r="O22" s="82" t="str">
        <f>+'01-FR-03 POA INSTITUCIONAL'!J46</f>
        <v>Personería Delegada para la Coordinación de Potestad Disciplinaria</v>
      </c>
      <c r="P22" s="987">
        <v>0</v>
      </c>
      <c r="Q22" s="987">
        <v>0</v>
      </c>
      <c r="R22" s="987">
        <v>0.02</v>
      </c>
      <c r="S22" s="987">
        <v>0</v>
      </c>
      <c r="T22" s="987">
        <v>0.03</v>
      </c>
      <c r="U22" s="986">
        <v>0</v>
      </c>
      <c r="V22" s="254">
        <f t="shared" si="3"/>
        <v>0.05</v>
      </c>
      <c r="W22" s="254">
        <f t="shared" si="3"/>
        <v>0</v>
      </c>
      <c r="X22" s="987">
        <v>0.03</v>
      </c>
      <c r="Y22" s="986">
        <v>0.03</v>
      </c>
      <c r="Z22" s="987">
        <v>0.03</v>
      </c>
      <c r="AA22" s="986">
        <v>0.03</v>
      </c>
      <c r="AB22" s="987">
        <v>0.05</v>
      </c>
      <c r="AC22" s="986">
        <v>0.05</v>
      </c>
      <c r="AD22" s="254">
        <f t="shared" si="4"/>
        <v>0.11</v>
      </c>
      <c r="AE22" s="254">
        <f t="shared" si="4"/>
        <v>0.11</v>
      </c>
      <c r="AF22" s="987">
        <v>0.05</v>
      </c>
      <c r="AG22" s="986">
        <v>0.05</v>
      </c>
      <c r="AH22" s="987">
        <v>0.05</v>
      </c>
      <c r="AI22" s="986">
        <v>0.05</v>
      </c>
      <c r="AJ22" s="987">
        <v>0.05</v>
      </c>
      <c r="AK22" s="991">
        <v>0.1</v>
      </c>
      <c r="AL22" s="254">
        <f t="shared" si="5"/>
        <v>0.15000000000000002</v>
      </c>
      <c r="AM22" s="254">
        <f t="shared" si="5"/>
        <v>0.2</v>
      </c>
      <c r="AN22" s="987">
        <v>0.05</v>
      </c>
      <c r="AO22" s="986"/>
      <c r="AP22" s="987">
        <v>0.04</v>
      </c>
      <c r="AQ22" s="986"/>
      <c r="AR22" s="986">
        <v>0</v>
      </c>
      <c r="AS22" s="986"/>
      <c r="AT22" s="254">
        <f>AN22+AP22+AR22</f>
        <v>0.09</v>
      </c>
      <c r="AU22" s="254">
        <f t="shared" si="6"/>
        <v>0</v>
      </c>
      <c r="AV22" s="258">
        <f t="shared" si="7"/>
        <v>0.4</v>
      </c>
      <c r="AW22" s="319">
        <f t="shared" si="8"/>
        <v>0</v>
      </c>
      <c r="AX22" s="319">
        <f t="shared" si="9"/>
        <v>0.11</v>
      </c>
      <c r="AY22" s="319">
        <f t="shared" si="10"/>
        <v>0.31</v>
      </c>
      <c r="AZ22" s="1028">
        <f t="shared" si="11"/>
        <v>0.31</v>
      </c>
      <c r="BA22" s="318">
        <f t="shared" si="12"/>
        <v>0</v>
      </c>
      <c r="BB22" s="318">
        <f t="shared" si="0"/>
        <v>0.27499999999999997</v>
      </c>
      <c r="BC22" s="318">
        <f t="shared" si="0"/>
        <v>0.77499999999999991</v>
      </c>
      <c r="BD22" s="318">
        <f t="shared" si="0"/>
        <v>0.77499999999999991</v>
      </c>
      <c r="BE22" s="345">
        <f>(IF(AND(AW22&gt;0,$F22&gt;0),AW22/$F22,0))</f>
        <v>0</v>
      </c>
      <c r="BF22" s="345">
        <f t="shared" si="15"/>
        <v>0.11</v>
      </c>
      <c r="BG22" s="345">
        <f t="shared" si="16"/>
        <v>0.31</v>
      </c>
      <c r="BH22" s="1032">
        <f t="shared" si="17"/>
        <v>0.31</v>
      </c>
    </row>
    <row r="23" spans="2:60" ht="90">
      <c r="B23" s="1679"/>
      <c r="C23" s="1705"/>
      <c r="D23" s="31" t="str">
        <f>+'01-FR-03 POA INSTITUCIONAL'!D47</f>
        <v xml:space="preserve">3.4.3 Diseñar e implementar una relatoría de las decisiones de fondo adoptadas en ejercicio de la potestad disciplinaria  </v>
      </c>
      <c r="E23" s="52">
        <f>+'01-FR-03 POA INSTITUCIONAL'!E47</f>
        <v>0.1</v>
      </c>
      <c r="F23" s="255">
        <f>+'01-FR-03 POA INSTITUCIONAL'!F47</f>
        <v>1</v>
      </c>
      <c r="G23" s="256">
        <f>+'01-FR-03 POA INSTITUCIONAL'!L47</f>
        <v>0.3</v>
      </c>
      <c r="H23" s="255" t="str">
        <f>+'01-FR-03 POA INSTITUCIONAL'!G47</f>
        <v>S.I.</v>
      </c>
      <c r="I23" s="140" t="str">
        <f>+'01-FR-03 POA INSTITUCIONAL'!H47</f>
        <v>Relatoría diseñada e implementada</v>
      </c>
      <c r="J23" s="215" t="s">
        <v>307</v>
      </c>
      <c r="K23" s="442" t="s">
        <v>319</v>
      </c>
      <c r="L23" s="217" t="s">
        <v>301</v>
      </c>
      <c r="M23" s="217" t="s">
        <v>321</v>
      </c>
      <c r="N23" s="217" t="s">
        <v>311</v>
      </c>
      <c r="O23" s="82" t="str">
        <f>+'01-FR-03 POA INSTITUCIONAL'!J47</f>
        <v>Personería Delegada para la Coordinación de Potestad Disciplinaria</v>
      </c>
      <c r="P23" s="986">
        <v>0</v>
      </c>
      <c r="Q23" s="986">
        <v>0</v>
      </c>
      <c r="R23" s="987">
        <v>0.03</v>
      </c>
      <c r="S23" s="986">
        <v>0.03</v>
      </c>
      <c r="T23" s="987">
        <v>0.03</v>
      </c>
      <c r="U23" s="986">
        <v>0.03</v>
      </c>
      <c r="V23" s="254">
        <f t="shared" si="3"/>
        <v>0.06</v>
      </c>
      <c r="W23" s="254">
        <f t="shared" si="3"/>
        <v>0.06</v>
      </c>
      <c r="X23" s="987">
        <v>0.03</v>
      </c>
      <c r="Y23" s="986">
        <v>0.03</v>
      </c>
      <c r="Z23" s="987">
        <v>0.03</v>
      </c>
      <c r="AA23" s="986">
        <v>0.03</v>
      </c>
      <c r="AB23" s="987">
        <v>0.03</v>
      </c>
      <c r="AC23" s="986">
        <v>0.03</v>
      </c>
      <c r="AD23" s="254">
        <f t="shared" si="4"/>
        <v>0.09</v>
      </c>
      <c r="AE23" s="254">
        <f t="shared" si="4"/>
        <v>0.09</v>
      </c>
      <c r="AF23" s="987">
        <v>0.03</v>
      </c>
      <c r="AG23" s="986">
        <v>0.03</v>
      </c>
      <c r="AH23" s="987">
        <v>0.03</v>
      </c>
      <c r="AI23" s="986">
        <v>0.03</v>
      </c>
      <c r="AJ23" s="987">
        <v>0.03</v>
      </c>
      <c r="AK23" s="991">
        <v>0.03</v>
      </c>
      <c r="AL23" s="254">
        <f t="shared" si="5"/>
        <v>0.09</v>
      </c>
      <c r="AM23" s="254">
        <f t="shared" si="5"/>
        <v>0.09</v>
      </c>
      <c r="AN23" s="987">
        <v>0.03</v>
      </c>
      <c r="AO23" s="986"/>
      <c r="AP23" s="987">
        <v>0.03</v>
      </c>
      <c r="AQ23" s="986"/>
      <c r="AR23" s="987">
        <v>0</v>
      </c>
      <c r="AS23" s="986"/>
      <c r="AT23" s="254">
        <f t="shared" si="6"/>
        <v>0.06</v>
      </c>
      <c r="AU23" s="254">
        <f t="shared" si="6"/>
        <v>0</v>
      </c>
      <c r="AV23" s="258">
        <f t="shared" si="7"/>
        <v>0.3</v>
      </c>
      <c r="AW23" s="319">
        <f t="shared" si="8"/>
        <v>0.06</v>
      </c>
      <c r="AX23" s="319">
        <f t="shared" si="9"/>
        <v>0.15</v>
      </c>
      <c r="AY23" s="319">
        <f t="shared" si="10"/>
        <v>0.24</v>
      </c>
      <c r="AZ23" s="1028">
        <f t="shared" si="11"/>
        <v>0.24</v>
      </c>
      <c r="BA23" s="318">
        <f>IF(AND(AW23&gt;0,AV23&gt;0),AW23/AV23,0)</f>
        <v>0.2</v>
      </c>
      <c r="BB23" s="318">
        <f t="shared" si="0"/>
        <v>0.5</v>
      </c>
      <c r="BC23" s="318">
        <f t="shared" si="0"/>
        <v>0.8</v>
      </c>
      <c r="BD23" s="318">
        <f t="shared" si="0"/>
        <v>0.8</v>
      </c>
      <c r="BE23" s="345">
        <f>(IF(AND(AW23&gt;0,$F23&gt;0),AW23/$F23,0))</f>
        <v>0.06</v>
      </c>
      <c r="BF23" s="345">
        <f t="shared" si="15"/>
        <v>0.15</v>
      </c>
      <c r="BG23" s="345">
        <f t="shared" si="16"/>
        <v>0.24</v>
      </c>
      <c r="BH23" s="1032">
        <f t="shared" si="17"/>
        <v>0.24</v>
      </c>
    </row>
    <row r="24" spans="2:60" ht="23.25">
      <c r="B24" s="1537"/>
      <c r="C24" s="1538"/>
      <c r="D24" s="1538"/>
      <c r="E24" s="1538"/>
      <c r="F24" s="1538"/>
      <c r="G24" s="1538"/>
      <c r="H24" s="1538"/>
      <c r="I24" s="1538"/>
      <c r="J24" s="1538"/>
      <c r="K24" s="1538"/>
      <c r="L24" s="1538"/>
      <c r="M24" s="1538"/>
      <c r="N24" s="1538"/>
      <c r="O24" s="1538"/>
      <c r="P24" s="1538"/>
      <c r="Q24" s="1538"/>
      <c r="R24" s="1538"/>
      <c r="S24" s="1538"/>
      <c r="T24" s="1538"/>
      <c r="U24" s="1538"/>
      <c r="V24" s="1538"/>
      <c r="W24" s="1538"/>
      <c r="X24" s="1538"/>
      <c r="Y24" s="1538"/>
      <c r="Z24" s="1538"/>
      <c r="AA24" s="1538"/>
      <c r="AB24" s="1538"/>
      <c r="AC24" s="1538"/>
      <c r="AD24" s="1538"/>
      <c r="AE24" s="1538"/>
      <c r="AF24" s="1538"/>
      <c r="AG24" s="1538"/>
      <c r="AH24" s="1538"/>
      <c r="AI24" s="1538"/>
      <c r="AJ24" s="1538"/>
      <c r="AK24" s="1538"/>
      <c r="AL24" s="1538"/>
      <c r="AM24" s="1538"/>
      <c r="AN24" s="1538"/>
      <c r="AO24" s="1538"/>
      <c r="AP24" s="1538"/>
      <c r="AQ24" s="1538"/>
      <c r="AR24" s="1538"/>
      <c r="AS24" s="1538"/>
      <c r="AT24" s="1538"/>
      <c r="AU24" s="1538"/>
      <c r="AV24" s="1538"/>
      <c r="AW24" s="1706"/>
      <c r="AX24" s="1676" t="s">
        <v>19</v>
      </c>
      <c r="AY24" s="1704"/>
      <c r="AZ24" s="1704"/>
      <c r="BA24" s="70">
        <f t="shared" ref="BA24:BD24" si="18">AVERAGE(BA16:BA23)</f>
        <v>0.14052083333333332</v>
      </c>
      <c r="BB24" s="70">
        <f t="shared" si="18"/>
        <v>0.39768749999999997</v>
      </c>
      <c r="BC24" s="70">
        <f t="shared" si="18"/>
        <v>0.64584007352941175</v>
      </c>
      <c r="BD24" s="70">
        <f t="shared" si="18"/>
        <v>0.64318382352941172</v>
      </c>
      <c r="BE24" s="1714"/>
      <c r="BF24" s="1715"/>
      <c r="BG24" s="1715"/>
      <c r="BH24" s="1716"/>
    </row>
    <row r="25" spans="2:60" ht="17.25">
      <c r="B25" s="1516"/>
      <c r="C25" s="1516"/>
      <c r="D25" s="1516"/>
      <c r="E25" s="1516"/>
      <c r="F25" s="1516"/>
      <c r="G25" s="1516"/>
      <c r="H25" s="238"/>
      <c r="I25" s="239"/>
      <c r="J25" s="239"/>
      <c r="K25" s="239"/>
      <c r="L25" s="239"/>
      <c r="M25" s="239"/>
      <c r="N25" s="239"/>
      <c r="O25" s="239"/>
    </row>
    <row r="26" spans="2:60" ht="17.25">
      <c r="B26" s="239"/>
      <c r="C26" s="239"/>
      <c r="D26" s="1686"/>
      <c r="E26" s="1686"/>
      <c r="F26" s="1686"/>
      <c r="G26" s="1686"/>
      <c r="H26" s="1686"/>
      <c r="I26" s="1686"/>
      <c r="J26" s="1686"/>
      <c r="K26" s="1686"/>
      <c r="L26" s="1686"/>
      <c r="M26" s="1686"/>
      <c r="N26" s="1686"/>
      <c r="O26" s="1686"/>
    </row>
    <row r="27" spans="2:60" ht="15.6" customHeight="1">
      <c r="B27" s="77" t="s">
        <v>26</v>
      </c>
      <c r="C27" s="240">
        <v>44224</v>
      </c>
      <c r="D27" s="241"/>
      <c r="E27" s="1687" t="s">
        <v>50</v>
      </c>
      <c r="F27" s="1763" t="s">
        <v>676</v>
      </c>
      <c r="G27" s="1764"/>
      <c r="H27" s="1764"/>
      <c r="I27" s="1764"/>
      <c r="J27" s="1765"/>
      <c r="K27" s="242"/>
      <c r="L27" s="1695"/>
      <c r="M27" s="1695"/>
      <c r="N27" s="1695"/>
      <c r="O27" s="1696"/>
    </row>
    <row r="28" spans="2:60" ht="33" customHeight="1">
      <c r="B28" s="239"/>
      <c r="C28" s="239"/>
      <c r="D28" s="242"/>
      <c r="E28" s="1687"/>
      <c r="F28" s="1766"/>
      <c r="G28" s="1767"/>
      <c r="H28" s="1767"/>
      <c r="I28" s="1767"/>
      <c r="J28" s="1768"/>
      <c r="K28" s="239"/>
      <c r="L28" s="239"/>
      <c r="M28" s="239"/>
      <c r="N28" s="239"/>
      <c r="O28" s="239"/>
    </row>
    <row r="29" spans="2:60" ht="17.25">
      <c r="B29" s="77" t="s">
        <v>49</v>
      </c>
      <c r="C29" s="80">
        <v>44581</v>
      </c>
      <c r="D29" s="239"/>
      <c r="E29" s="239"/>
      <c r="F29" s="239"/>
      <c r="K29" s="239"/>
      <c r="L29" s="239"/>
      <c r="M29" s="239"/>
      <c r="N29" s="239"/>
      <c r="O29" s="239"/>
    </row>
    <row r="30" spans="2:60" ht="17.25">
      <c r="B30" s="239"/>
      <c r="C30" s="239"/>
      <c r="D30" s="239"/>
      <c r="E30" s="239"/>
      <c r="F30" s="239"/>
      <c r="K30" s="239"/>
      <c r="L30" s="239"/>
      <c r="M30" s="239"/>
      <c r="N30" s="239"/>
      <c r="O30" s="239"/>
    </row>
    <row r="31" spans="2:60" ht="17.25">
      <c r="B31" s="605" t="s">
        <v>922</v>
      </c>
      <c r="C31" s="239"/>
      <c r="D31" s="239"/>
      <c r="E31" s="239"/>
      <c r="F31" s="239"/>
      <c r="G31" s="238"/>
      <c r="H31" s="238"/>
      <c r="I31" s="1694"/>
      <c r="J31" s="1694"/>
      <c r="K31" s="1694"/>
      <c r="L31" s="1694"/>
      <c r="M31" s="243"/>
      <c r="N31" s="243"/>
      <c r="O31" s="243"/>
    </row>
    <row r="32" spans="2:60" ht="17.25">
      <c r="B32" s="239"/>
      <c r="C32" s="239"/>
      <c r="D32" s="239"/>
      <c r="E32" s="239"/>
      <c r="F32" s="239"/>
      <c r="G32" s="238"/>
      <c r="H32" s="238"/>
      <c r="I32" s="239"/>
      <c r="J32" s="239"/>
      <c r="K32" s="244"/>
      <c r="L32" s="239"/>
      <c r="M32" s="239"/>
      <c r="N32" s="239"/>
      <c r="O32" s="239"/>
    </row>
    <row r="33" spans="2:15" ht="17.25">
      <c r="B33" s="239"/>
      <c r="C33" s="239"/>
      <c r="D33" s="239"/>
      <c r="E33" s="239"/>
      <c r="F33" s="239"/>
      <c r="G33" s="238"/>
      <c r="H33" s="238"/>
      <c r="I33" s="1694"/>
      <c r="J33" s="1694"/>
      <c r="K33" s="1694"/>
      <c r="L33" s="1694"/>
      <c r="M33" s="243"/>
      <c r="N33" s="243"/>
      <c r="O33" s="243"/>
    </row>
    <row r="34" spans="2:15" ht="17.25">
      <c r="B34" s="239"/>
      <c r="C34" s="239"/>
      <c r="D34" s="239"/>
      <c r="E34" s="239"/>
      <c r="F34" s="239"/>
      <c r="G34" s="238"/>
      <c r="H34" s="238"/>
      <c r="I34" s="239"/>
      <c r="J34" s="239"/>
      <c r="K34" s="244"/>
      <c r="L34" s="239"/>
      <c r="M34" s="239"/>
      <c r="N34" s="239"/>
      <c r="O34" s="239"/>
    </row>
    <row r="35" spans="2:15" ht="17.25">
      <c r="B35" s="239"/>
      <c r="C35" s="239"/>
      <c r="D35" s="239"/>
      <c r="E35" s="239"/>
      <c r="F35" s="239"/>
      <c r="G35" s="238"/>
      <c r="H35" s="238"/>
      <c r="I35" s="1694"/>
      <c r="J35" s="1694"/>
      <c r="K35" s="1694"/>
      <c r="L35" s="1694"/>
      <c r="M35" s="243"/>
      <c r="N35" s="243"/>
      <c r="O35" s="243"/>
    </row>
  </sheetData>
  <sheetProtection algorithmName="SHA-512" hashValue="VHfRzD32xFVtQNraih+c2fI28HZ84I2cYjLS57rhqWfG4WbAHY8ykMLiUwfR81Qm7V41SDWvvuZCQqtKsduz8w==" saltValue="u+4RW6tBVz8JUOgrdoFINA==" spinCount="100000" sheet="1" objects="1" scenarios="1"/>
  <mergeCells count="73">
    <mergeCell ref="BE24:BH24"/>
    <mergeCell ref="I12:I15"/>
    <mergeCell ref="J12:J15"/>
    <mergeCell ref="K12:K15"/>
    <mergeCell ref="L12:L15"/>
    <mergeCell ref="AV12:AV15"/>
    <mergeCell ref="AW12:AZ12"/>
    <mergeCell ref="BA12:BD12"/>
    <mergeCell ref="BB13:BB15"/>
    <mergeCell ref="AX24:AZ24"/>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I33:L33"/>
    <mergeCell ref="I35:L35"/>
    <mergeCell ref="B25:G25"/>
    <mergeCell ref="B24:AW24"/>
    <mergeCell ref="D26:O26"/>
    <mergeCell ref="E27:E28"/>
    <mergeCell ref="L27:O27"/>
    <mergeCell ref="F27:J28"/>
    <mergeCell ref="I31:L31"/>
  </mergeCells>
  <conditionalFormatting sqref="BA16:BD23">
    <cfRule type="cellIs" dxfId="42" priority="1" operator="greaterThan">
      <formula>1</formula>
    </cfRule>
    <cfRule type="cellIs" dxfId="41" priority="2" operator="between">
      <formula>0.8</formula>
      <formula>1</formula>
    </cfRule>
    <cfRule type="cellIs" dxfId="40" priority="3" operator="between">
      <formula>0.61</formula>
      <formula>0.79</formula>
    </cfRule>
    <cfRule type="cellIs" dxfId="3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ignoredErrors>
    <ignoredError sqref="W17"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66FF33"/>
  </sheetPr>
  <dimension ref="B1:BH35"/>
  <sheetViews>
    <sheetView showGridLines="0" zoomScale="50" zoomScaleNormal="50" workbookViewId="0">
      <selection activeCell="K16" sqref="K16"/>
    </sheetView>
  </sheetViews>
  <sheetFormatPr baseColWidth="10" defaultColWidth="17.28515625" defaultRowHeight="15"/>
  <cols>
    <col min="1" max="1" width="4.28515625" style="259" customWidth="1"/>
    <col min="2" max="2" width="50.42578125" style="259" customWidth="1"/>
    <col min="3" max="3" width="31.42578125" style="259" customWidth="1"/>
    <col min="4" max="4" width="49.7109375" style="259" customWidth="1"/>
    <col min="5" max="6" width="27.5703125" style="259" customWidth="1"/>
    <col min="7" max="8" width="29.28515625" style="260" customWidth="1"/>
    <col min="9" max="9" width="36.28515625" style="259" customWidth="1"/>
    <col min="10" max="10" width="31.85546875" style="259" customWidth="1"/>
    <col min="11" max="11" width="63.85546875" style="259" customWidth="1"/>
    <col min="12" max="12" width="48.42578125" style="259" customWidth="1"/>
    <col min="13" max="14" width="28.5703125" style="259" customWidth="1"/>
    <col min="15" max="15" width="50" style="259" customWidth="1"/>
    <col min="16" max="47" width="15.85546875" style="259" customWidth="1"/>
    <col min="48" max="48" width="24.5703125" style="259" customWidth="1"/>
    <col min="49" max="49" width="22.85546875" style="259" customWidth="1"/>
    <col min="50" max="50" width="19.28515625" style="259" customWidth="1"/>
    <col min="51" max="51" width="18.42578125" style="259" customWidth="1"/>
    <col min="52" max="52" width="19.42578125" style="259" customWidth="1"/>
    <col min="53" max="53" width="23.28515625" style="259" customWidth="1"/>
    <col min="54" max="55" width="25.140625" style="259" customWidth="1"/>
    <col min="56" max="56" width="26.7109375" style="259" customWidth="1"/>
    <col min="57" max="57" width="26.28515625" style="259" customWidth="1"/>
    <col min="58" max="58" width="26.5703125" style="259" customWidth="1"/>
    <col min="59" max="59" width="26.28515625" style="259" customWidth="1"/>
    <col min="60" max="60" width="27.28515625" style="259" customWidth="1"/>
    <col min="61" max="16384" width="17.28515625" style="259"/>
  </cols>
  <sheetData>
    <row r="1" spans="2:60" ht="15.75" thickBot="1"/>
    <row r="2" spans="2:60" ht="15.6" customHeight="1">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61" t="s">
        <v>403</v>
      </c>
      <c r="BH2" s="262"/>
    </row>
    <row r="3" spans="2:60" ht="15.6" customHeight="1">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63" t="s">
        <v>28</v>
      </c>
      <c r="BH3" s="264" t="s">
        <v>29</v>
      </c>
    </row>
    <row r="4" spans="2:60"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5.6" customHeight="1">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c r="B7" s="214"/>
      <c r="C7" s="214"/>
      <c r="D7" s="214"/>
      <c r="E7" s="214"/>
      <c r="F7" s="214"/>
      <c r="G7" s="265"/>
      <c r="H7" s="265"/>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1651"/>
      <c r="AX7" s="1695"/>
      <c r="AY7" s="1695"/>
      <c r="AZ7" s="1695"/>
      <c r="BA7" s="1653"/>
      <c r="BB7" s="231"/>
      <c r="BC7" s="231"/>
      <c r="BD7" s="231"/>
      <c r="BE7" s="214"/>
      <c r="BF7" s="214"/>
    </row>
    <row r="8" spans="2:60" ht="15.75">
      <c r="B8" s="266" t="s">
        <v>45</v>
      </c>
      <c r="C8" s="1795" t="s">
        <v>91</v>
      </c>
      <c r="D8" s="1795"/>
      <c r="E8" s="214"/>
      <c r="F8" s="214"/>
      <c r="G8" s="214"/>
      <c r="H8" s="214"/>
      <c r="I8" s="214"/>
      <c r="J8" s="214"/>
      <c r="K8" s="214"/>
      <c r="L8" s="214"/>
      <c r="M8" s="214"/>
      <c r="N8" s="214"/>
      <c r="O8" s="214"/>
      <c r="AW8" s="231"/>
      <c r="AX8" s="231"/>
      <c r="AY8" s="231"/>
      <c r="AZ8" s="231"/>
      <c r="BA8" s="231"/>
      <c r="BB8" s="231"/>
      <c r="BC8" s="231"/>
      <c r="BD8" s="231"/>
    </row>
    <row r="9" spans="2:60" ht="95.25" customHeight="1">
      <c r="B9" s="266" t="s">
        <v>34</v>
      </c>
      <c r="C9" s="1794" t="s">
        <v>427</v>
      </c>
      <c r="D9" s="1673"/>
      <c r="E9" s="214"/>
      <c r="F9" s="214"/>
      <c r="G9" s="214"/>
      <c r="H9" s="214"/>
      <c r="I9" s="214"/>
      <c r="J9" s="214"/>
      <c r="K9" s="214"/>
      <c r="L9" s="214"/>
      <c r="M9" s="214"/>
      <c r="N9" s="214"/>
      <c r="O9" s="214"/>
      <c r="AW9" s="231"/>
      <c r="AX9" s="231"/>
      <c r="AY9" s="231"/>
      <c r="AZ9" s="231"/>
      <c r="BA9" s="231"/>
      <c r="BB9" s="231"/>
      <c r="BC9" s="231"/>
      <c r="BD9" s="231"/>
    </row>
    <row r="10" spans="2:60" ht="15.75">
      <c r="B10" s="266" t="s">
        <v>101</v>
      </c>
      <c r="C10" s="1786">
        <v>2022</v>
      </c>
      <c r="D10" s="1787"/>
      <c r="E10" s="214"/>
      <c r="F10" s="214"/>
      <c r="G10" s="214"/>
      <c r="H10" s="214"/>
      <c r="I10" s="214"/>
      <c r="J10" s="214"/>
      <c r="K10" s="214"/>
      <c r="L10" s="214"/>
      <c r="M10" s="214"/>
      <c r="N10" s="214"/>
      <c r="O10" s="214"/>
      <c r="AW10" s="231"/>
      <c r="AX10" s="231"/>
      <c r="AY10" s="231"/>
      <c r="AZ10" s="231"/>
      <c r="BA10" s="231"/>
      <c r="BB10" s="231"/>
      <c r="BC10" s="231"/>
      <c r="BD10" s="231"/>
    </row>
    <row r="11" spans="2:60">
      <c r="B11" s="214"/>
      <c r="C11" s="214"/>
      <c r="D11" s="214"/>
      <c r="E11" s="214"/>
      <c r="F11" s="214"/>
      <c r="G11" s="265"/>
      <c r="H11" s="265"/>
      <c r="I11" s="214"/>
      <c r="J11" s="214"/>
      <c r="K11" s="214"/>
      <c r="L11" s="214"/>
      <c r="M11" s="214"/>
      <c r="N11" s="214"/>
      <c r="O11" s="214"/>
      <c r="AW11" s="231"/>
      <c r="AX11" s="231"/>
      <c r="AY11" s="231"/>
      <c r="AZ11" s="231"/>
      <c r="BA11" s="231"/>
      <c r="BB11" s="231"/>
      <c r="BC11" s="231"/>
      <c r="BD11" s="231"/>
    </row>
    <row r="12" spans="2:60" ht="31.9" customHeight="1">
      <c r="B12" s="1558" t="s">
        <v>0</v>
      </c>
      <c r="C12" s="1558" t="s">
        <v>52</v>
      </c>
      <c r="D12" s="1558" t="s">
        <v>53</v>
      </c>
      <c r="E12" s="1558" t="s">
        <v>61</v>
      </c>
      <c r="F12" s="1366" t="s">
        <v>681</v>
      </c>
      <c r="G12" s="1558" t="s">
        <v>58</v>
      </c>
      <c r="H12" s="1558" t="s">
        <v>25</v>
      </c>
      <c r="I12" s="1558" t="s">
        <v>60</v>
      </c>
      <c r="J12" s="1558" t="s">
        <v>39</v>
      </c>
      <c r="K12" s="1558" t="s">
        <v>36</v>
      </c>
      <c r="L12" s="1558" t="s">
        <v>20</v>
      </c>
      <c r="M12" s="1558" t="s">
        <v>51</v>
      </c>
      <c r="N12" s="1558" t="s">
        <v>40</v>
      </c>
      <c r="O12" s="1558" t="s">
        <v>42</v>
      </c>
      <c r="P12" s="1774" t="s">
        <v>112</v>
      </c>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1774"/>
      <c r="AN12" s="1774"/>
      <c r="AO12" s="1774"/>
      <c r="AP12" s="1774"/>
      <c r="AQ12" s="1774"/>
      <c r="AR12" s="1774"/>
      <c r="AS12" s="1774"/>
      <c r="AT12" s="1774"/>
      <c r="AU12" s="1774"/>
      <c r="AV12" s="1781" t="s">
        <v>62</v>
      </c>
      <c r="AW12" s="1656" t="s">
        <v>682</v>
      </c>
      <c r="AX12" s="1657"/>
      <c r="AY12" s="1657"/>
      <c r="AZ12" s="1658"/>
      <c r="BA12" s="1645" t="s">
        <v>683</v>
      </c>
      <c r="BB12" s="1646"/>
      <c r="BC12" s="1646"/>
      <c r="BD12" s="1647"/>
      <c r="BE12" s="1680" t="s">
        <v>684</v>
      </c>
      <c r="BF12" s="1681"/>
      <c r="BG12" s="1681"/>
      <c r="BH12" s="1682"/>
    </row>
    <row r="13" spans="2:60" ht="15.75">
      <c r="B13" s="1558"/>
      <c r="C13" s="1558"/>
      <c r="D13" s="1558"/>
      <c r="E13" s="1558"/>
      <c r="F13" s="1366"/>
      <c r="G13" s="1558"/>
      <c r="H13" s="1558"/>
      <c r="I13" s="1558"/>
      <c r="J13" s="1558"/>
      <c r="K13" s="1558"/>
      <c r="L13" s="1558"/>
      <c r="M13" s="1558"/>
      <c r="N13" s="1558"/>
      <c r="O13" s="1558"/>
      <c r="P13" s="1687" t="s">
        <v>21</v>
      </c>
      <c r="Q13" s="1687"/>
      <c r="R13" s="1687"/>
      <c r="S13" s="1687"/>
      <c r="T13" s="1687"/>
      <c r="U13" s="1687"/>
      <c r="V13" s="1687"/>
      <c r="W13" s="1687"/>
      <c r="X13" s="1687" t="s">
        <v>22</v>
      </c>
      <c r="Y13" s="1687"/>
      <c r="Z13" s="1687"/>
      <c r="AA13" s="1687"/>
      <c r="AB13" s="1687"/>
      <c r="AC13" s="1687"/>
      <c r="AD13" s="1687"/>
      <c r="AE13" s="1687"/>
      <c r="AF13" s="1687" t="s">
        <v>23</v>
      </c>
      <c r="AG13" s="1687"/>
      <c r="AH13" s="1687"/>
      <c r="AI13" s="1687"/>
      <c r="AJ13" s="1687"/>
      <c r="AK13" s="1687"/>
      <c r="AL13" s="1687"/>
      <c r="AM13" s="1687"/>
      <c r="AN13" s="1687" t="s">
        <v>24</v>
      </c>
      <c r="AO13" s="1687"/>
      <c r="AP13" s="1687"/>
      <c r="AQ13" s="1687"/>
      <c r="AR13" s="1687"/>
      <c r="AS13" s="1687"/>
      <c r="AT13" s="1687"/>
      <c r="AU13" s="1687"/>
      <c r="AV13" s="1781"/>
      <c r="AW13" s="1791" t="s">
        <v>119</v>
      </c>
      <c r="AX13" s="1791" t="s">
        <v>22</v>
      </c>
      <c r="AY13" s="1791" t="s">
        <v>120</v>
      </c>
      <c r="AZ13" s="1791" t="s">
        <v>121</v>
      </c>
      <c r="BA13" s="1778" t="s">
        <v>119</v>
      </c>
      <c r="BB13" s="1778" t="s">
        <v>122</v>
      </c>
      <c r="BC13" s="1778" t="s">
        <v>123</v>
      </c>
      <c r="BD13" s="1778" t="s">
        <v>124</v>
      </c>
      <c r="BE13" s="1788" t="s">
        <v>21</v>
      </c>
      <c r="BF13" s="1788" t="s">
        <v>22</v>
      </c>
      <c r="BG13" s="1788" t="s">
        <v>23</v>
      </c>
      <c r="BH13" s="1788" t="s">
        <v>24</v>
      </c>
    </row>
    <row r="14" spans="2:60" ht="15.75">
      <c r="B14" s="1558"/>
      <c r="C14" s="1558"/>
      <c r="D14" s="1558"/>
      <c r="E14" s="1558"/>
      <c r="F14" s="1366"/>
      <c r="G14" s="1558"/>
      <c r="H14" s="1558"/>
      <c r="I14" s="1558"/>
      <c r="J14" s="1558"/>
      <c r="K14" s="1558"/>
      <c r="L14" s="1558"/>
      <c r="M14" s="1558"/>
      <c r="N14" s="1558"/>
      <c r="O14" s="1558"/>
      <c r="P14" s="1773" t="s">
        <v>5</v>
      </c>
      <c r="Q14" s="1773"/>
      <c r="R14" s="1773" t="s">
        <v>6</v>
      </c>
      <c r="S14" s="1773"/>
      <c r="T14" s="1773" t="s">
        <v>7</v>
      </c>
      <c r="U14" s="1773"/>
      <c r="V14" s="1774" t="s">
        <v>8</v>
      </c>
      <c r="W14" s="1774"/>
      <c r="X14" s="1773" t="s">
        <v>27</v>
      </c>
      <c r="Y14" s="1773"/>
      <c r="Z14" s="1773" t="s">
        <v>9</v>
      </c>
      <c r="AA14" s="1773"/>
      <c r="AB14" s="1773" t="s">
        <v>10</v>
      </c>
      <c r="AC14" s="1773"/>
      <c r="AD14" s="1774" t="s">
        <v>8</v>
      </c>
      <c r="AE14" s="1774"/>
      <c r="AF14" s="1773" t="s">
        <v>11</v>
      </c>
      <c r="AG14" s="1773"/>
      <c r="AH14" s="1773" t="s">
        <v>12</v>
      </c>
      <c r="AI14" s="1773"/>
      <c r="AJ14" s="1773" t="s">
        <v>13</v>
      </c>
      <c r="AK14" s="1773"/>
      <c r="AL14" s="1774" t="s">
        <v>8</v>
      </c>
      <c r="AM14" s="1774"/>
      <c r="AN14" s="1773" t="s">
        <v>14</v>
      </c>
      <c r="AO14" s="1773"/>
      <c r="AP14" s="1773" t="s">
        <v>15</v>
      </c>
      <c r="AQ14" s="1773"/>
      <c r="AR14" s="1773" t="s">
        <v>16</v>
      </c>
      <c r="AS14" s="1773"/>
      <c r="AT14" s="1774" t="s">
        <v>8</v>
      </c>
      <c r="AU14" s="1774"/>
      <c r="AV14" s="1781"/>
      <c r="AW14" s="1792"/>
      <c r="AX14" s="1792"/>
      <c r="AY14" s="1792"/>
      <c r="AZ14" s="1792"/>
      <c r="BA14" s="1779"/>
      <c r="BB14" s="1779"/>
      <c r="BC14" s="1779"/>
      <c r="BD14" s="1779"/>
      <c r="BE14" s="1789"/>
      <c r="BF14" s="1789"/>
      <c r="BG14" s="1789"/>
      <c r="BH14" s="1789"/>
    </row>
    <row r="15" spans="2:60" ht="16.5" thickBot="1">
      <c r="B15" s="1558"/>
      <c r="C15" s="1558"/>
      <c r="D15" s="1558"/>
      <c r="E15" s="1558"/>
      <c r="F15" s="1366"/>
      <c r="G15" s="1558"/>
      <c r="H15" s="1558"/>
      <c r="I15" s="1558"/>
      <c r="J15" s="1558"/>
      <c r="K15" s="1558"/>
      <c r="L15" s="1558"/>
      <c r="M15" s="1558"/>
      <c r="N15" s="1558"/>
      <c r="O15" s="1558"/>
      <c r="P15" s="267" t="s">
        <v>17</v>
      </c>
      <c r="Q15" s="267" t="s">
        <v>18</v>
      </c>
      <c r="R15" s="267" t="s">
        <v>17</v>
      </c>
      <c r="S15" s="267" t="s">
        <v>18</v>
      </c>
      <c r="T15" s="267" t="s">
        <v>17</v>
      </c>
      <c r="U15" s="267" t="s">
        <v>18</v>
      </c>
      <c r="V15" s="268" t="s">
        <v>17</v>
      </c>
      <c r="W15" s="268" t="s">
        <v>18</v>
      </c>
      <c r="X15" s="267" t="s">
        <v>17</v>
      </c>
      <c r="Y15" s="267" t="s">
        <v>18</v>
      </c>
      <c r="Z15" s="267" t="s">
        <v>17</v>
      </c>
      <c r="AA15" s="267" t="s">
        <v>18</v>
      </c>
      <c r="AB15" s="267" t="s">
        <v>17</v>
      </c>
      <c r="AC15" s="267" t="s">
        <v>18</v>
      </c>
      <c r="AD15" s="268" t="s">
        <v>17</v>
      </c>
      <c r="AE15" s="268" t="s">
        <v>18</v>
      </c>
      <c r="AF15" s="267" t="s">
        <v>17</v>
      </c>
      <c r="AG15" s="267" t="s">
        <v>18</v>
      </c>
      <c r="AH15" s="267" t="s">
        <v>17</v>
      </c>
      <c r="AI15" s="267" t="s">
        <v>18</v>
      </c>
      <c r="AJ15" s="267" t="s">
        <v>17</v>
      </c>
      <c r="AK15" s="267" t="s">
        <v>18</v>
      </c>
      <c r="AL15" s="268" t="s">
        <v>17</v>
      </c>
      <c r="AM15" s="268" t="s">
        <v>18</v>
      </c>
      <c r="AN15" s="267" t="s">
        <v>17</v>
      </c>
      <c r="AO15" s="267" t="s">
        <v>18</v>
      </c>
      <c r="AP15" s="267" t="s">
        <v>17</v>
      </c>
      <c r="AQ15" s="267" t="s">
        <v>18</v>
      </c>
      <c r="AR15" s="267" t="s">
        <v>17</v>
      </c>
      <c r="AS15" s="267" t="s">
        <v>18</v>
      </c>
      <c r="AT15" s="268" t="s">
        <v>17</v>
      </c>
      <c r="AU15" s="268" t="s">
        <v>18</v>
      </c>
      <c r="AV15" s="1781"/>
      <c r="AW15" s="1793"/>
      <c r="AX15" s="1793"/>
      <c r="AY15" s="1793"/>
      <c r="AZ15" s="1793"/>
      <c r="BA15" s="1780"/>
      <c r="BB15" s="1780"/>
      <c r="BC15" s="1780"/>
      <c r="BD15" s="1780"/>
      <c r="BE15" s="1790"/>
      <c r="BF15" s="1790"/>
      <c r="BG15" s="1790"/>
      <c r="BH15" s="1790"/>
    </row>
    <row r="16" spans="2:60" ht="397.9" customHeight="1">
      <c r="B16" s="178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783" t="str">
        <f>+'01-FR-03 POA INSTITUCIONAL'!C61</f>
        <v xml:space="preserve">4.3. Realizar el 100% de las actividades relacionadas con la Gestión del Talento Humano, que permita su fortalecimiento y el desarrollo de sus conocimientos, su competencia y bienestar. </v>
      </c>
      <c r="D16" s="31" t="str">
        <f>+'01-FR-03 POA INSTITUCIONAL'!D61</f>
        <v xml:space="preserve">4.3.1 Gestionar el 100% de las novedades y situaciones administrativas de los servidores públicos de la Entidad.
</v>
      </c>
      <c r="E16" s="52">
        <f>+'01-FR-03 POA INSTITUCIONAL'!E61</f>
        <v>0.1</v>
      </c>
      <c r="F16" s="52">
        <f>+'01-FR-03 POA INSTITUCIONAL'!F61</f>
        <v>1</v>
      </c>
      <c r="G16" s="52">
        <f>+'01-FR-03 POA INSTITUCIONAL'!L61</f>
        <v>1</v>
      </c>
      <c r="H16" s="52">
        <f>+'01-FR-03 POA INSTITUCIONAL'!G61</f>
        <v>1</v>
      </c>
      <c r="I16" s="140" t="str">
        <f>+'01-FR-03 POA INSTITUCIONAL'!H61</f>
        <v>Porcentaje de novedades y situaciones administrativas gestionadas</v>
      </c>
      <c r="J16" s="269" t="s">
        <v>404</v>
      </c>
      <c r="K16" s="270" t="s">
        <v>405</v>
      </c>
      <c r="L16" s="271" t="s">
        <v>406</v>
      </c>
      <c r="M16" s="217" t="s">
        <v>407</v>
      </c>
      <c r="N16" s="217" t="s">
        <v>408</v>
      </c>
      <c r="O16" s="234" t="str">
        <f>+'01-FR-03 POA INSTITUCIONAL'!J61</f>
        <v xml:space="preserve">
Dirección de Talento Humano
</v>
      </c>
      <c r="P16" s="985">
        <v>1</v>
      </c>
      <c r="Q16" s="985">
        <v>1</v>
      </c>
      <c r="R16" s="985">
        <v>1</v>
      </c>
      <c r="S16" s="985">
        <v>1</v>
      </c>
      <c r="T16" s="985">
        <v>1</v>
      </c>
      <c r="U16" s="985">
        <v>1</v>
      </c>
      <c r="V16" s="89">
        <f>AVERAGE(P16,R16,T16)</f>
        <v>1</v>
      </c>
      <c r="W16" s="89">
        <f>IFERROR(AVERAGE(Q16,S16,U16),0)</f>
        <v>1</v>
      </c>
      <c r="X16" s="985">
        <v>1</v>
      </c>
      <c r="Y16" s="770">
        <v>1</v>
      </c>
      <c r="Z16" s="985">
        <v>1</v>
      </c>
      <c r="AA16" s="770">
        <v>1</v>
      </c>
      <c r="AB16" s="985">
        <v>1</v>
      </c>
      <c r="AC16" s="770">
        <v>1</v>
      </c>
      <c r="AD16" s="89">
        <f>AVERAGE(X16,Z16,AB16)</f>
        <v>1</v>
      </c>
      <c r="AE16" s="89">
        <f>IFERROR(AVERAGE(Y16,AA16,AC16),0)</f>
        <v>1</v>
      </c>
      <c r="AF16" s="985">
        <v>1</v>
      </c>
      <c r="AG16" s="770">
        <v>1</v>
      </c>
      <c r="AH16" s="985">
        <v>1</v>
      </c>
      <c r="AI16" s="770">
        <v>1</v>
      </c>
      <c r="AJ16" s="985">
        <v>1</v>
      </c>
      <c r="AK16" s="770">
        <v>1</v>
      </c>
      <c r="AL16" s="89">
        <f>AVERAGE(AF16,AH16,AJ16)</f>
        <v>1</v>
      </c>
      <c r="AM16" s="89">
        <f>IFERROR(AVERAGE(AG16,AI16,AK16),0)</f>
        <v>1</v>
      </c>
      <c r="AN16" s="985">
        <v>1</v>
      </c>
      <c r="AO16" s="1040">
        <v>0</v>
      </c>
      <c r="AP16" s="985">
        <v>1</v>
      </c>
      <c r="AQ16" s="1040">
        <v>0</v>
      </c>
      <c r="AR16" s="985">
        <v>1</v>
      </c>
      <c r="AS16" s="1040">
        <v>0</v>
      </c>
      <c r="AT16" s="89">
        <f>AVERAGE(AN16,AP16,AR16)</f>
        <v>1</v>
      </c>
      <c r="AU16" s="89">
        <f>IFERROR(AVERAGE(AO16,AQ16,AS16),0)</f>
        <v>0</v>
      </c>
      <c r="AV16" s="89">
        <f>AVERAGE(P16,R16,T16,X16,Z16,AB16,AF16,AH16,AJ16,AN16,AP16,AR16)</f>
        <v>1</v>
      </c>
      <c r="AW16" s="306">
        <f>IFERROR(IF(OR($AV$16="",$AV$16=0),0,ROUNDDOWN(AVERAGE($Q16,$S16,$U16),3)),0)</f>
        <v>1</v>
      </c>
      <c r="AX16" s="306">
        <f>IFERROR(IF(OR($AV$17="",$AV$17=0),0,ROUNDDOWN(AVERAGE($Q16,$S16,$U16,$Y16,$AA16,$AC16),3)),0)</f>
        <v>1</v>
      </c>
      <c r="AY16" s="306">
        <f>IFERROR(IF(OR($AV$16="",$AV$16=0),0,ROUNDDOWN(AVERAGE($Q16,$S16,$U16,$Y16,$AA16,$AC16,$AG16,$AI16,$AK16),3)),0)</f>
        <v>1</v>
      </c>
      <c r="AZ16" s="1033">
        <f t="shared" ref="AZ16:AZ17" si="0">IFERROR(IF(OR($AV$16="",$AV$16=0),0,ROUNDDOWN(AVERAGE($Q16,$S16,$U16,$Y16,$AA16,$AC16,$AG16,$AI16,$AK16,$AO16,$AQ16,$AS16),3)),0)</f>
        <v>0.75</v>
      </c>
      <c r="BA16" s="340">
        <f>(IF(AND(AW16&gt;0,$AV16&gt;0),AW16/$AV16,0))*0.25</f>
        <v>0.25</v>
      </c>
      <c r="BB16" s="340">
        <f>(IF(AND(AX16&gt;0,$AV16&gt;0),AX16/$AV16,0))*0.5</f>
        <v>0.5</v>
      </c>
      <c r="BC16" s="340">
        <f>(IF(AND(AY16&gt;0,$AV16&gt;0),AY16/$AV16,0))*0.75</f>
        <v>0.75</v>
      </c>
      <c r="BD16" s="340">
        <f>(IF(AND(AZ16&gt;0,$AV16&gt;0),AZ16/$AV16,0))*1</f>
        <v>0.75</v>
      </c>
      <c r="BE16" s="345">
        <f t="shared" ref="BE16:BE18" si="1">((IF(AND(AW16&gt;0,$F16&gt;0),AW16/$F16,0))/4)*0.25</f>
        <v>6.25E-2</v>
      </c>
      <c r="BF16" s="345">
        <f t="shared" ref="BF16:BF18" si="2">((IF(AND(AX16&gt;0,$F16&gt;0),AX16/$F16,0))/4)*0.5</f>
        <v>0.125</v>
      </c>
      <c r="BG16" s="345">
        <f t="shared" ref="BG16:BG18" si="3">((IF(AND(AY16&gt;0,$F16&gt;0),AY16/$F16,0))/4)*0.75</f>
        <v>0.1875</v>
      </c>
      <c r="BH16" s="1032">
        <f t="shared" ref="BH16:BH19" si="4">((IF(AND(AZ16&gt;0,$F16&gt;0),AZ16/$F16,0))/4)</f>
        <v>0.1875</v>
      </c>
    </row>
    <row r="17" spans="2:60" ht="367.15" customHeight="1">
      <c r="B17" s="1784"/>
      <c r="C17" s="1784"/>
      <c r="D17" s="31" t="str">
        <f>+'01-FR-03 POA INSTITUCIONAL'!D62</f>
        <v xml:space="preserve">4.3.2 Incluir el 97,8% de las Novedades en la nómina oportunamente, para liquidación y pago </v>
      </c>
      <c r="E17" s="52">
        <f>+'01-FR-03 POA INSTITUCIONAL'!E62</f>
        <v>0.1</v>
      </c>
      <c r="F17" s="699">
        <f>+'01-FR-03 POA INSTITUCIONAL'!F62</f>
        <v>0.97799999999999998</v>
      </c>
      <c r="G17" s="699">
        <f>+'01-FR-03 POA INSTITUCIONAL'!L62</f>
        <v>0.98</v>
      </c>
      <c r="H17" s="52">
        <f>+'01-FR-03 POA INSTITUCIONAL'!G62</f>
        <v>0.97</v>
      </c>
      <c r="I17" s="140" t="str">
        <f>+'01-FR-03 POA INSTITUCIONAL'!H62</f>
        <v xml:space="preserve">Novedades incluidas en la nómina  oportunamente  </v>
      </c>
      <c r="J17" s="272" t="s">
        <v>409</v>
      </c>
      <c r="K17" s="273" t="s">
        <v>410</v>
      </c>
      <c r="L17" s="274" t="s">
        <v>411</v>
      </c>
      <c r="M17" s="217" t="s">
        <v>407</v>
      </c>
      <c r="N17" s="217" t="s">
        <v>412</v>
      </c>
      <c r="O17" s="442" t="str">
        <f>+'01-FR-03 POA INSTITUCIONAL'!J62</f>
        <v>Dependencia Líder: 
Dirección de Talento Humano
Dependencia Operativa:
Subdirección de Gestión del Talento Humano</v>
      </c>
      <c r="P17" s="985">
        <v>0.98</v>
      </c>
      <c r="Q17" s="988">
        <v>0.995</v>
      </c>
      <c r="R17" s="985">
        <v>0.98</v>
      </c>
      <c r="S17" s="988">
        <v>0.97</v>
      </c>
      <c r="T17" s="985">
        <v>0.98</v>
      </c>
      <c r="U17" s="988">
        <v>0.998</v>
      </c>
      <c r="V17" s="66">
        <f>AVERAGE(P17,R17,T17)</f>
        <v>0.98</v>
      </c>
      <c r="W17" s="320">
        <f>IFERROR(AVERAGE(Q17,S17,U17),0)</f>
        <v>0.98766666666666669</v>
      </c>
      <c r="X17" s="985">
        <v>0.98</v>
      </c>
      <c r="Y17" s="770">
        <v>0.93</v>
      </c>
      <c r="Z17" s="985">
        <v>0.98</v>
      </c>
      <c r="AA17" s="1088">
        <v>0.96299999999999997</v>
      </c>
      <c r="AB17" s="985">
        <v>0.98</v>
      </c>
      <c r="AC17" s="1088">
        <v>0.97799999999999998</v>
      </c>
      <c r="AD17" s="66">
        <f>AVERAGE(X17,Z17,AB17)</f>
        <v>0.98</v>
      </c>
      <c r="AE17" s="320">
        <f>IFERROR(AVERAGE(Y17,AA17,AC17),0)</f>
        <v>0.95699999999999996</v>
      </c>
      <c r="AF17" s="985">
        <v>0.98</v>
      </c>
      <c r="AG17" s="770">
        <v>0.99</v>
      </c>
      <c r="AH17" s="985">
        <v>0.98</v>
      </c>
      <c r="AI17" s="1088">
        <v>0.98099999999999998</v>
      </c>
      <c r="AJ17" s="985">
        <v>0.98</v>
      </c>
      <c r="AK17" s="770">
        <v>1</v>
      </c>
      <c r="AL17" s="320">
        <f>AVERAGE(AF17,AH17,AJ17)</f>
        <v>0.98</v>
      </c>
      <c r="AM17" s="320">
        <f>IFERROR(AVERAGE(AG17,AI17,AK17),0)</f>
        <v>0.9903333333333334</v>
      </c>
      <c r="AN17" s="985">
        <v>0.98</v>
      </c>
      <c r="AO17" s="1040">
        <v>0</v>
      </c>
      <c r="AP17" s="985">
        <v>0.98</v>
      </c>
      <c r="AQ17" s="1040">
        <v>0</v>
      </c>
      <c r="AR17" s="985">
        <v>0.98</v>
      </c>
      <c r="AS17" s="1040">
        <v>0</v>
      </c>
      <c r="AT17" s="66">
        <f>AVERAGE(AN17,AP17,AR17)</f>
        <v>0.98</v>
      </c>
      <c r="AU17" s="66">
        <f>IFERROR(AVERAGE(AO17,AQ17,AS17),0)</f>
        <v>0</v>
      </c>
      <c r="AV17" s="320">
        <f>AVERAGE(P17,R17,T17,X17,Z17,AB17,AF17,AH17,AJ17,AN17,AP17,AR17)</f>
        <v>0.98000000000000032</v>
      </c>
      <c r="AW17" s="306">
        <f>IFERROR(IF(OR($AV$16="",$AV$16=0),0,ROUNDDOWN(AVERAGE($Q17,$S17,$U17),3)),0)</f>
        <v>0.98699999999999999</v>
      </c>
      <c r="AX17" s="306">
        <f>IFERROR(IF(OR($AV$17="",$AV$17=0),0,ROUNDDOWN(AVERAGE($Q17,$S17,$U17,$Y17,$AA17,$AC17),3)),0)</f>
        <v>0.97199999999999998</v>
      </c>
      <c r="AY17" s="306">
        <f>IFERROR(IF(OR($AV$16="",$AV$16=0),0,ROUNDDOWN(AVERAGE($Q17,$S17,$U17,$Y17,$AA17,$AC17,$AG17,$AI17,$AK17),3)),0)</f>
        <v>0.97799999999999998</v>
      </c>
      <c r="AZ17" s="1033">
        <f t="shared" si="0"/>
        <v>0.73299999999999998</v>
      </c>
      <c r="BA17" s="340">
        <f t="shared" ref="BA17" si="5">(IF(AND(AW17&gt;0,$AV17&gt;0),AW17/$AV17,0))*0.25</f>
        <v>0.25178571428571422</v>
      </c>
      <c r="BB17" s="340">
        <f t="shared" ref="BB17" si="6">(IF(AND(AX17&gt;0,$AV17&gt;0),AX17/$AV17,0))*0.5</f>
        <v>0.49591836734693862</v>
      </c>
      <c r="BC17" s="340">
        <f t="shared" ref="BC17" si="7">(IF(AND(AY17&gt;0,$AV17&gt;0),AY17/$AV17,0))*0.75</f>
        <v>0.74846938775510174</v>
      </c>
      <c r="BD17" s="340">
        <f t="shared" ref="BD17" si="8">(IF(AND(AZ17&gt;0,$AV17&gt;0),AZ17/$AV17,0))*1</f>
        <v>0.74795918367346914</v>
      </c>
      <c r="BE17" s="345">
        <f t="shared" si="1"/>
        <v>6.3075153374233126E-2</v>
      </c>
      <c r="BF17" s="345">
        <f t="shared" si="2"/>
        <v>0.12423312883435583</v>
      </c>
      <c r="BG17" s="345">
        <f t="shared" si="3"/>
        <v>0.1875</v>
      </c>
      <c r="BH17" s="1032">
        <f t="shared" si="4"/>
        <v>0.18737218813905931</v>
      </c>
    </row>
    <row r="18" spans="2:60" ht="178.5">
      <c r="B18" s="1784"/>
      <c r="C18" s="1784"/>
      <c r="D18" s="31" t="str">
        <f>+'01-FR-03 POA INSTITUCIONAL'!D63</f>
        <v xml:space="preserve">4.3.3 Lograr el 94,5 % de usuarios internos  satisfechos con las solicitudes de servicios atendidas de la SGTH (Certificaciones laborales, bonos pensionales y autorizaciones de retiro de cesantías). </v>
      </c>
      <c r="E18" s="52">
        <f>+'01-FR-03 POA INSTITUCIONAL'!E63</f>
        <v>0.1</v>
      </c>
      <c r="F18" s="699">
        <f>+'01-FR-03 POA INSTITUCIONAL'!F63</f>
        <v>0.94499999999999995</v>
      </c>
      <c r="G18" s="699">
        <f>+'01-FR-03 POA INSTITUCIONAL'!L63</f>
        <v>0.96</v>
      </c>
      <c r="H18" s="52" t="str">
        <f>+'01-FR-03 POA INSTITUCIONAL'!G63</f>
        <v>S.I.</v>
      </c>
      <c r="I18" s="140" t="str">
        <f>+'01-FR-03 POA INSTITUCIONAL'!H63</f>
        <v>Porcentaje de Usuarios internos satisfechos con las solicitudes de los servicios atendidas de la SGTH (Certificaciones laborales, bonos pensionales y autorizaciones de retiro de cesantías)</v>
      </c>
      <c r="J18" s="215" t="s">
        <v>413</v>
      </c>
      <c r="K18" s="273" t="s">
        <v>414</v>
      </c>
      <c r="L18" s="190" t="s">
        <v>415</v>
      </c>
      <c r="M18" s="217" t="s">
        <v>407</v>
      </c>
      <c r="N18" s="217" t="s">
        <v>408</v>
      </c>
      <c r="O18" s="442" t="str">
        <f>+'01-FR-03 POA INSTITUCIONAL'!J63</f>
        <v>Dependencia Líder: 
Dirección de Talento Humano
Dependencia Operativa:
Subdirección de Gestión del Talento Humano</v>
      </c>
      <c r="P18" s="985">
        <v>0.96</v>
      </c>
      <c r="Q18" s="988">
        <v>0.92</v>
      </c>
      <c r="R18" s="985">
        <v>0.96</v>
      </c>
      <c r="S18" s="988">
        <v>0.89300000000000002</v>
      </c>
      <c r="T18" s="985">
        <v>0.96</v>
      </c>
      <c r="U18" s="988">
        <v>0.97599999999999998</v>
      </c>
      <c r="V18" s="66">
        <f>IFERROR(AVERAGE(P18,R18,T18),0)</f>
        <v>0.96</v>
      </c>
      <c r="W18" s="320">
        <f>IFERROR(ROUNDDOWN(AVERAGE(Q18,S18,U18),3),0)</f>
        <v>0.92900000000000005</v>
      </c>
      <c r="X18" s="985">
        <v>0.96</v>
      </c>
      <c r="Y18" s="770">
        <v>1</v>
      </c>
      <c r="Z18" s="985">
        <v>0.96</v>
      </c>
      <c r="AA18" s="770">
        <v>1</v>
      </c>
      <c r="AB18" s="985">
        <v>0.96</v>
      </c>
      <c r="AC18" s="1088">
        <v>0.97699999999999998</v>
      </c>
      <c r="AD18" s="66">
        <f>AVERAGE(X18,Z18,AB18)</f>
        <v>0.96</v>
      </c>
      <c r="AE18" s="320">
        <f>IFERROR(ROUNDDOWN(AVERAGE(Y18,AA18,AC18),3),0)</f>
        <v>0.99199999999999999</v>
      </c>
      <c r="AF18" s="985">
        <v>0.96</v>
      </c>
      <c r="AG18" s="1145">
        <v>0.97099999999999997</v>
      </c>
      <c r="AH18" s="985">
        <v>0.96</v>
      </c>
      <c r="AI18" s="985">
        <v>0.94099999999999995</v>
      </c>
      <c r="AJ18" s="985">
        <v>0.96</v>
      </c>
      <c r="AK18" s="770">
        <v>1</v>
      </c>
      <c r="AL18" s="66">
        <f>AVERAGE(AF18,AH18,AJ18)</f>
        <v>0.96</v>
      </c>
      <c r="AM18" s="320">
        <f>IFERROR(ROUNDDOWN(AVERAGE(AG18,AI18,AK18),3),0)</f>
        <v>0.97</v>
      </c>
      <c r="AN18" s="985">
        <v>0.96</v>
      </c>
      <c r="AO18" s="912"/>
      <c r="AP18" s="985">
        <v>0.96</v>
      </c>
      <c r="AQ18" s="912"/>
      <c r="AR18" s="985">
        <v>0.96</v>
      </c>
      <c r="AS18" s="912"/>
      <c r="AT18" s="66">
        <f>AVERAGE(AN18,AP18,AR18)</f>
        <v>0.96</v>
      </c>
      <c r="AU18" s="320">
        <f>IFERROR(ROUNDDOWN(AVERAGE(AO18,AQ18,AS18),3),0)</f>
        <v>0</v>
      </c>
      <c r="AV18" s="320">
        <f>AVERAGE(X18,Z18,AB18,AF18,AH18,AJ18,AN18,AP18,AR18)</f>
        <v>0.96000000000000008</v>
      </c>
      <c r="AW18" s="306">
        <f>IFERROR(IF(OR($AV$16="",$AV$16=0),0,ROUNDDOWN(AVERAGE($Q18,$S18,$U18),3)),0)</f>
        <v>0.92900000000000005</v>
      </c>
      <c r="AX18" s="306">
        <f>IFERROR(IF(OR($AV$17="",$AV$17=0),0,ROUNDDOWN(AVERAGE($Q18,$S18,$U18,$Y18,$AA18,$AC18),3)),0)</f>
        <v>0.96099999999999997</v>
      </c>
      <c r="AY18" s="306">
        <f>IFERROR(IF(OR($AV$16="",$AV$16=0),0,ROUNDDOWN(AVERAGE($Q18,$S18,$U18,$Y18,$AA18,$AC18,$AG18,$AI18,$AK18),3)),0)</f>
        <v>0.96399999999999997</v>
      </c>
      <c r="AZ18" s="1033">
        <f>IFERROR(IF(OR($AV$16="",$AV$16=0),0,ROUNDDOWN(AVERAGE($Y18,$AA18,$AC18,$AG18,$AI18,$AK18,$AO18,$AQ18,$AS18),3)),0)</f>
        <v>0.98099999999999998</v>
      </c>
      <c r="BA18" s="340">
        <f t="shared" ref="BA18" si="9">(IF(AND(AW18&gt;0,$AV18&gt;0),AW18/$AV18,0))*0.25</f>
        <v>0.24192708333333332</v>
      </c>
      <c r="BB18" s="340">
        <f t="shared" ref="BB18" si="10">(IF(AND(AX18&gt;0,$AV18&gt;0),AX18/$AV18,0))*0.5</f>
        <v>0.5005208333333333</v>
      </c>
      <c r="BC18" s="340">
        <f t="shared" ref="BC18" si="11">(IF(AND(AY18&gt;0,$AV18&gt;0),AY18/$AV18,0))*0.75</f>
        <v>0.75312500000000004</v>
      </c>
      <c r="BD18" s="340">
        <f t="shared" ref="BD18" si="12">(IF(AND(AZ18&gt;0,$AV18&gt;0),AZ18/$AV18,0))*1</f>
        <v>1.0218749999999999</v>
      </c>
      <c r="BE18" s="345">
        <f t="shared" si="1"/>
        <v>6.144179894179895E-2</v>
      </c>
      <c r="BF18" s="345">
        <f t="shared" si="2"/>
        <v>0.12711640211640213</v>
      </c>
      <c r="BG18" s="345">
        <f t="shared" si="3"/>
        <v>0.19126984126984128</v>
      </c>
      <c r="BH18" s="1032">
        <f t="shared" si="4"/>
        <v>0.25952380952380955</v>
      </c>
    </row>
    <row r="19" spans="2:60" ht="199.15" customHeight="1">
      <c r="B19" s="1784"/>
      <c r="C19" s="1784"/>
      <c r="D19" s="31" t="str">
        <f>+'01-FR-03 POA INSTITUCIONAL'!D64</f>
        <v xml:space="preserve">4.3.4 Formular e implementar el 100% del Plan Institucional de Capacitación de la vigencia.
</v>
      </c>
      <c r="E19" s="52">
        <f>+'01-FR-03 POA INSTITUCIONAL'!E64</f>
        <v>0.15</v>
      </c>
      <c r="F19" s="52">
        <f>+'01-FR-03 POA INSTITUCIONAL'!F64</f>
        <v>1</v>
      </c>
      <c r="G19" s="52">
        <f>+'01-FR-03 POA INSTITUCIONAL'!L64</f>
        <v>1</v>
      </c>
      <c r="H19" s="52">
        <f>+'01-FR-03 POA INSTITUCIONAL'!G64</f>
        <v>1</v>
      </c>
      <c r="I19" s="140" t="str">
        <f>+'01-FR-03 POA INSTITUCIONAL'!H64</f>
        <v>Plan Institucional de Capacitación formulado y ejecutado</v>
      </c>
      <c r="J19" s="275" t="s">
        <v>428</v>
      </c>
      <c r="K19" s="276" t="s">
        <v>416</v>
      </c>
      <c r="L19" s="442" t="s">
        <v>417</v>
      </c>
      <c r="M19" s="217" t="s">
        <v>433</v>
      </c>
      <c r="N19" s="217" t="s">
        <v>418</v>
      </c>
      <c r="O19" s="442" t="str">
        <f>+'01-FR-03 POA INSTITUCIONAL'!J64</f>
        <v>Dependencia Líder: 
Dirección de Talento Humano
Dependencia Operativa:
Subdirección de Desarrollo del Talento Humano</v>
      </c>
      <c r="P19" s="993">
        <v>0.1</v>
      </c>
      <c r="Q19" s="993">
        <v>0.1</v>
      </c>
      <c r="R19" s="993">
        <f>10%+5%</f>
        <v>0.15000000000000002</v>
      </c>
      <c r="S19" s="994">
        <v>0.15</v>
      </c>
      <c r="T19" s="994">
        <v>0.05</v>
      </c>
      <c r="U19" s="994">
        <v>0.05</v>
      </c>
      <c r="V19" s="321">
        <f>+P19+R19+T19</f>
        <v>0.3</v>
      </c>
      <c r="W19" s="321">
        <f>+Q19+S19+U19</f>
        <v>0.3</v>
      </c>
      <c r="X19" s="994">
        <v>0.05</v>
      </c>
      <c r="Y19" s="1089">
        <v>0.05</v>
      </c>
      <c r="Z19" s="994">
        <v>0.05</v>
      </c>
      <c r="AA19" s="1089">
        <v>0.05</v>
      </c>
      <c r="AB19" s="994">
        <v>0.05</v>
      </c>
      <c r="AC19" s="1089">
        <v>0.05</v>
      </c>
      <c r="AD19" s="320">
        <f>+X19+Z19+AB19</f>
        <v>0.15000000000000002</v>
      </c>
      <c r="AE19" s="320">
        <f>+Y19+AA19+AC19</f>
        <v>0.15000000000000002</v>
      </c>
      <c r="AF19" s="994">
        <v>0</v>
      </c>
      <c r="AG19" s="994">
        <v>0</v>
      </c>
      <c r="AH19" s="994">
        <v>0.1</v>
      </c>
      <c r="AI19" s="994">
        <v>0.05</v>
      </c>
      <c r="AJ19" s="998">
        <v>0.1</v>
      </c>
      <c r="AK19" s="998">
        <v>0.05</v>
      </c>
      <c r="AL19" s="321">
        <f>+AF19+AH19+AJ19</f>
        <v>0.2</v>
      </c>
      <c r="AM19" s="321">
        <f>+AG19+AI19+AK19</f>
        <v>0.1</v>
      </c>
      <c r="AN19" s="994">
        <v>0.1</v>
      </c>
      <c r="AO19" s="994"/>
      <c r="AP19" s="994">
        <v>0.1</v>
      </c>
      <c r="AQ19" s="994"/>
      <c r="AR19" s="994">
        <f>5%+10%</f>
        <v>0.15000000000000002</v>
      </c>
      <c r="AS19" s="994"/>
      <c r="AT19" s="320">
        <f>+AN19+AP19+AR19</f>
        <v>0.35000000000000003</v>
      </c>
      <c r="AU19" s="320">
        <f>+AO19+AQ19+AS19</f>
        <v>0</v>
      </c>
      <c r="AV19" s="321">
        <f t="shared" ref="AV19:AV23" si="13">V19+AD19+AL19+AT19</f>
        <v>1</v>
      </c>
      <c r="AW19" s="306">
        <f t="shared" ref="AW19:AW22" si="14">+W19</f>
        <v>0.3</v>
      </c>
      <c r="AX19" s="325">
        <f t="shared" ref="AX19:AX22" si="15">+W19+AE19</f>
        <v>0.45</v>
      </c>
      <c r="AY19" s="306">
        <f t="shared" ref="AY19:AY22" si="16">+W19+AE19+AM19</f>
        <v>0.55000000000000004</v>
      </c>
      <c r="AZ19" s="1041">
        <f t="shared" ref="AZ19:AZ22" si="17">+W19+AE19+AM19+AU19</f>
        <v>0.55000000000000004</v>
      </c>
      <c r="BA19" s="340">
        <f t="shared" ref="BA19:BA23" si="18">IF(AND(AW19&gt;0,AV19&gt;0),AW19/AV19,0)</f>
        <v>0.3</v>
      </c>
      <c r="BB19" s="340">
        <f t="shared" ref="BB19:BD23" si="19">IF(AND(AX19&gt;0,$AV19&gt;0),AX19/$AV19,0)</f>
        <v>0.45</v>
      </c>
      <c r="BC19" s="340">
        <f t="shared" si="19"/>
        <v>0.55000000000000004</v>
      </c>
      <c r="BD19" s="378">
        <f t="shared" si="19"/>
        <v>0.55000000000000004</v>
      </c>
      <c r="BE19" s="345">
        <f>((IF(AND(AW19&gt;0,$F19&gt;0),AW19/$F19,0))/4)</f>
        <v>7.4999999999999997E-2</v>
      </c>
      <c r="BF19" s="345">
        <f t="shared" ref="BF19:BG19" si="20">((IF(AND(AX19&gt;0,$F19&gt;0),AX19/$F19,0))/4)</f>
        <v>0.1125</v>
      </c>
      <c r="BG19" s="345">
        <f t="shared" si="20"/>
        <v>0.13750000000000001</v>
      </c>
      <c r="BH19" s="1032">
        <f t="shared" si="4"/>
        <v>0.13750000000000001</v>
      </c>
    </row>
    <row r="20" spans="2:60" ht="153">
      <c r="B20" s="1784"/>
      <c r="C20" s="1784"/>
      <c r="D20" s="31" t="str">
        <f>+'01-FR-03 POA INSTITUCIONAL'!D65</f>
        <v>4.3.5 Formular e implementar el 100% del Plan Institucional de Bienestar de la vigencia .</v>
      </c>
      <c r="E20" s="52">
        <f>+'01-FR-03 POA INSTITUCIONAL'!E65</f>
        <v>0.15</v>
      </c>
      <c r="F20" s="52">
        <f>+'01-FR-03 POA INSTITUCIONAL'!F65</f>
        <v>1</v>
      </c>
      <c r="G20" s="52">
        <f>+'01-FR-03 POA INSTITUCIONAL'!L65</f>
        <v>1</v>
      </c>
      <c r="H20" s="52">
        <f>+'01-FR-03 POA INSTITUCIONAL'!G65</f>
        <v>1</v>
      </c>
      <c r="I20" s="140" t="str">
        <f>+'01-FR-03 POA INSTITUCIONAL'!H65</f>
        <v>Plan Institucional de Bienestar formulado y ejecutado</v>
      </c>
      <c r="J20" s="275" t="s">
        <v>429</v>
      </c>
      <c r="K20" s="277" t="s">
        <v>419</v>
      </c>
      <c r="L20" s="442" t="s">
        <v>420</v>
      </c>
      <c r="M20" s="217" t="s">
        <v>433</v>
      </c>
      <c r="N20" s="217" t="s">
        <v>418</v>
      </c>
      <c r="O20" s="442" t="str">
        <f>+'01-FR-03 POA INSTITUCIONAL'!J65</f>
        <v>Dependencia Líder: 
Dirección de Talento Humano
Dependencia Operativa:
Subdirección de Desarrollo del Talento Humano</v>
      </c>
      <c r="P20" s="993">
        <f>10%+0.97%</f>
        <v>0.10970000000000001</v>
      </c>
      <c r="Q20" s="993">
        <f>10%+0.97%</f>
        <v>0.10970000000000001</v>
      </c>
      <c r="R20" s="993">
        <f>10%+0.97%</f>
        <v>0.10970000000000001</v>
      </c>
      <c r="S20" s="993">
        <f>10%+0.97%</f>
        <v>0.10970000000000001</v>
      </c>
      <c r="T20" s="994">
        <v>3.8899999999999997E-2</v>
      </c>
      <c r="U20" s="994">
        <v>3.8899999999999997E-2</v>
      </c>
      <c r="V20" s="321">
        <f t="shared" ref="V20:V22" si="21">+P20+R20+T20</f>
        <v>0.25830000000000003</v>
      </c>
      <c r="W20" s="321">
        <f t="shared" ref="W20:W22" si="22">+Q20+S20+U20</f>
        <v>0.25830000000000003</v>
      </c>
      <c r="X20" s="994">
        <v>4.8599999999999997E-2</v>
      </c>
      <c r="Y20" s="1089">
        <v>3.8899999999999997E-2</v>
      </c>
      <c r="Z20" s="994">
        <v>5.8299999999999998E-2</v>
      </c>
      <c r="AA20" s="1089">
        <v>4.8599999999999997E-2</v>
      </c>
      <c r="AB20" s="994">
        <v>6.8099999999999994E-2</v>
      </c>
      <c r="AC20" s="994">
        <v>4.8599999999999997E-2</v>
      </c>
      <c r="AD20" s="321">
        <f t="shared" ref="AD20:AD22" si="23">+X20+Z20+AB20</f>
        <v>0.17499999999999999</v>
      </c>
      <c r="AE20" s="321">
        <f t="shared" ref="AE20:AE22" si="24">+Y20+AA20+AC20</f>
        <v>0.1361</v>
      </c>
      <c r="AF20" s="994">
        <v>6.8099999999999994E-2</v>
      </c>
      <c r="AG20" s="994">
        <v>7.7799999999999994E-2</v>
      </c>
      <c r="AH20" s="994">
        <v>7.7799999999999994E-2</v>
      </c>
      <c r="AI20" s="994">
        <v>7.7799999999999994E-2</v>
      </c>
      <c r="AJ20" s="994">
        <v>7.7799999999999994E-2</v>
      </c>
      <c r="AK20" s="994">
        <v>8.7499999999999994E-2</v>
      </c>
      <c r="AL20" s="321">
        <f t="shared" ref="AL20:AL22" si="25">+AF20+AH20+AJ20</f>
        <v>0.22369999999999995</v>
      </c>
      <c r="AM20" s="321">
        <f t="shared" ref="AM20:AM22" si="26">+AG20+AI20+AK20</f>
        <v>0.24309999999999998</v>
      </c>
      <c r="AN20" s="994">
        <v>0.1167</v>
      </c>
      <c r="AO20" s="994"/>
      <c r="AP20" s="994">
        <v>6.8099999999999994E-2</v>
      </c>
      <c r="AQ20" s="994"/>
      <c r="AR20" s="994">
        <f>5.82%+10%</f>
        <v>0.15820000000000001</v>
      </c>
      <c r="AS20" s="994"/>
      <c r="AT20" s="321">
        <f t="shared" ref="AT20:AT22" si="27">+AN20+AP20+AR20</f>
        <v>0.34299999999999997</v>
      </c>
      <c r="AU20" s="321">
        <f t="shared" ref="AU20:AU22" si="28">+AO20+AQ20+AS20</f>
        <v>0</v>
      </c>
      <c r="AV20" s="321">
        <f t="shared" si="13"/>
        <v>1</v>
      </c>
      <c r="AW20" s="306">
        <f t="shared" si="14"/>
        <v>0.25830000000000003</v>
      </c>
      <c r="AX20" s="325">
        <f t="shared" si="15"/>
        <v>0.39440000000000003</v>
      </c>
      <c r="AY20" s="325">
        <f t="shared" si="16"/>
        <v>0.63749999999999996</v>
      </c>
      <c r="AZ20" s="1041">
        <f t="shared" si="17"/>
        <v>0.63749999999999996</v>
      </c>
      <c r="BA20" s="340">
        <f t="shared" si="18"/>
        <v>0.25830000000000003</v>
      </c>
      <c r="BB20" s="340">
        <f t="shared" si="19"/>
        <v>0.39440000000000003</v>
      </c>
      <c r="BC20" s="340">
        <f t="shared" si="19"/>
        <v>0.63749999999999996</v>
      </c>
      <c r="BD20" s="340">
        <f t="shared" si="19"/>
        <v>0.63749999999999996</v>
      </c>
      <c r="BE20" s="345">
        <f t="shared" ref="BE20:BE22" si="29">((IF(AND(AW20&gt;0,$F20&gt;0),AW20/$F20,0))/4)</f>
        <v>6.4575000000000007E-2</v>
      </c>
      <c r="BF20" s="345">
        <f t="shared" ref="BF20:BF22" si="30">((IF(AND(AX20&gt;0,$F20&gt;0),AX20/$F20,0))/4)</f>
        <v>9.8600000000000007E-2</v>
      </c>
      <c r="BG20" s="345">
        <f t="shared" ref="BG20:BG22" si="31">((IF(AND(AY20&gt;0,$F20&gt;0),AY20/$F20,0))/4)</f>
        <v>0.15937499999999999</v>
      </c>
      <c r="BH20" s="1032">
        <f t="shared" ref="BH20:BH22" si="32">((IF(AND(AZ20&gt;0,$F20&gt;0),AZ20/$F20,0))/4)</f>
        <v>0.15937499999999999</v>
      </c>
    </row>
    <row r="21" spans="2:60" ht="156.6" customHeight="1">
      <c r="B21" s="1784"/>
      <c r="C21" s="1784"/>
      <c r="D21" s="31" t="str">
        <f>+'01-FR-03 POA INSTITUCIONAL'!D66</f>
        <v>4.3.6 Formular e implementar el 100% del Plan Institucional de Incentivos de la vigencia.</v>
      </c>
      <c r="E21" s="52">
        <f>+'01-FR-03 POA INSTITUCIONAL'!E66</f>
        <v>0.15</v>
      </c>
      <c r="F21" s="52">
        <f>+'01-FR-03 POA INSTITUCIONAL'!F66</f>
        <v>1</v>
      </c>
      <c r="G21" s="52">
        <f>+'01-FR-03 POA INSTITUCIONAL'!L66</f>
        <v>1</v>
      </c>
      <c r="H21" s="52">
        <f>+'01-FR-03 POA INSTITUCIONAL'!G66</f>
        <v>1</v>
      </c>
      <c r="I21" s="140" t="str">
        <f>+'01-FR-03 POA INSTITUCIONAL'!H66</f>
        <v>Plan Institucional de Incentivos formulado y ejecutado</v>
      </c>
      <c r="J21" s="275" t="s">
        <v>430</v>
      </c>
      <c r="K21" s="277" t="s">
        <v>421</v>
      </c>
      <c r="L21" s="442" t="s">
        <v>420</v>
      </c>
      <c r="M21" s="217" t="s">
        <v>433</v>
      </c>
      <c r="N21" s="217" t="s">
        <v>418</v>
      </c>
      <c r="O21" s="442" t="str">
        <f>+'01-FR-03 POA INSTITUCIONAL'!J66</f>
        <v>Dependencia Líder: 
Dirección de Talento Humano
Dependencia Operativa:
Subdirección de Desarrollo del Talento Humano</v>
      </c>
      <c r="P21" s="993">
        <v>0.1</v>
      </c>
      <c r="Q21" s="993">
        <v>0.1</v>
      </c>
      <c r="R21" s="993">
        <v>0.1</v>
      </c>
      <c r="S21" s="993">
        <v>0.1</v>
      </c>
      <c r="T21" s="995">
        <v>0.05</v>
      </c>
      <c r="U21" s="995">
        <v>0.05</v>
      </c>
      <c r="V21" s="321">
        <f t="shared" si="21"/>
        <v>0.25</v>
      </c>
      <c r="W21" s="321">
        <f t="shared" si="22"/>
        <v>0.25</v>
      </c>
      <c r="X21" s="995">
        <v>0.1</v>
      </c>
      <c r="Y21" s="1089">
        <v>0.1</v>
      </c>
      <c r="Z21" s="994">
        <v>0</v>
      </c>
      <c r="AA21" s="1089">
        <v>0</v>
      </c>
      <c r="AB21" s="994">
        <v>0</v>
      </c>
      <c r="AC21" s="994">
        <v>0</v>
      </c>
      <c r="AD21" s="321">
        <f t="shared" si="23"/>
        <v>0.1</v>
      </c>
      <c r="AE21" s="321">
        <f t="shared" si="24"/>
        <v>0.1</v>
      </c>
      <c r="AF21" s="995">
        <v>0</v>
      </c>
      <c r="AG21" s="994">
        <v>0</v>
      </c>
      <c r="AH21" s="995">
        <v>0.1</v>
      </c>
      <c r="AI21" s="994">
        <v>0.1</v>
      </c>
      <c r="AJ21" s="995">
        <v>0</v>
      </c>
      <c r="AK21" s="995">
        <v>0</v>
      </c>
      <c r="AL21" s="321">
        <f t="shared" si="25"/>
        <v>0.1</v>
      </c>
      <c r="AM21" s="321">
        <f t="shared" si="26"/>
        <v>0.1</v>
      </c>
      <c r="AN21" s="994">
        <v>0</v>
      </c>
      <c r="AO21" s="994"/>
      <c r="AP21" s="995">
        <v>0.1</v>
      </c>
      <c r="AQ21" s="994"/>
      <c r="AR21" s="994">
        <f>35%+10%</f>
        <v>0.44999999999999996</v>
      </c>
      <c r="AS21" s="994"/>
      <c r="AT21" s="321">
        <f t="shared" si="27"/>
        <v>0.54999999999999993</v>
      </c>
      <c r="AU21" s="321">
        <f t="shared" si="28"/>
        <v>0</v>
      </c>
      <c r="AV21" s="321">
        <f t="shared" si="13"/>
        <v>0.99999999999999989</v>
      </c>
      <c r="AW21" s="306">
        <f t="shared" si="14"/>
        <v>0.25</v>
      </c>
      <c r="AX21" s="325">
        <f t="shared" si="15"/>
        <v>0.35</v>
      </c>
      <c r="AY21" s="306">
        <f t="shared" si="16"/>
        <v>0.44999999999999996</v>
      </c>
      <c r="AZ21" s="1041">
        <f t="shared" si="17"/>
        <v>0.44999999999999996</v>
      </c>
      <c r="BA21" s="340">
        <f t="shared" si="18"/>
        <v>0.25</v>
      </c>
      <c r="BB21" s="378">
        <f t="shared" si="19"/>
        <v>0.35000000000000003</v>
      </c>
      <c r="BC21" s="378">
        <f t="shared" si="19"/>
        <v>0.45</v>
      </c>
      <c r="BD21" s="378">
        <f t="shared" si="19"/>
        <v>0.45</v>
      </c>
      <c r="BE21" s="345">
        <f t="shared" si="29"/>
        <v>6.25E-2</v>
      </c>
      <c r="BF21" s="345">
        <f t="shared" si="30"/>
        <v>8.7499999999999994E-2</v>
      </c>
      <c r="BG21" s="345">
        <f t="shared" si="31"/>
        <v>0.11249999999999999</v>
      </c>
      <c r="BH21" s="1032">
        <f t="shared" si="32"/>
        <v>0.11249999999999999</v>
      </c>
    </row>
    <row r="22" spans="2:60" ht="174" customHeight="1">
      <c r="B22" s="1784"/>
      <c r="C22" s="1784"/>
      <c r="D22" s="31" t="str">
        <f>+'01-FR-03 POA INSTITUCIONAL'!D67</f>
        <v>4.3.7 Diseñar e implementar el 100 % del Plan Anual de Trabajo del Sistema de Gestión de Seguridad y Salud en el Trabajo SG-SST de la vigencia.</v>
      </c>
      <c r="E22" s="52">
        <f>+'01-FR-03 POA INSTITUCIONAL'!E67</f>
        <v>0.15</v>
      </c>
      <c r="F22" s="52">
        <f>+'01-FR-03 POA INSTITUCIONAL'!F67</f>
        <v>1</v>
      </c>
      <c r="G22" s="52">
        <f>+'01-FR-03 POA INSTITUCIONAL'!L67</f>
        <v>1</v>
      </c>
      <c r="H22" s="52">
        <f>+'01-FR-03 POA INSTITUCIONAL'!G67</f>
        <v>0.99</v>
      </c>
      <c r="I22" s="140" t="str">
        <f>+'01-FR-03 POA INSTITUCIONAL'!H67</f>
        <v>Plan Anual de Trabajo del Sistema de Gestión de Seguridad y Salud en el Trabajo SG-SST diseñado y ejecutado</v>
      </c>
      <c r="J22" s="275" t="s">
        <v>431</v>
      </c>
      <c r="K22" s="277" t="s">
        <v>422</v>
      </c>
      <c r="L22" s="442" t="s">
        <v>423</v>
      </c>
      <c r="M22" s="217" t="s">
        <v>433</v>
      </c>
      <c r="N22" s="217" t="s">
        <v>418</v>
      </c>
      <c r="O22" s="442" t="str">
        <f>+'01-FR-03 POA INSTITUCIONAL'!J67</f>
        <v>Dependencia Líder: 
Dirección de Talento Humano
Dependencia Operativa:
Subdirección de Desarrollo del Talento Humano</v>
      </c>
      <c r="P22" s="993">
        <f>10%+1.68%</f>
        <v>0.1168</v>
      </c>
      <c r="Q22" s="993">
        <f>10%+1.68%</f>
        <v>0.1168</v>
      </c>
      <c r="R22" s="993">
        <f>10%+7.84%</f>
        <v>0.1784</v>
      </c>
      <c r="S22" s="994">
        <v>0.17280000000000001</v>
      </c>
      <c r="T22" s="994">
        <v>0.10639999999999999</v>
      </c>
      <c r="U22" s="994">
        <v>0.112</v>
      </c>
      <c r="V22" s="321">
        <f t="shared" si="21"/>
        <v>0.40160000000000001</v>
      </c>
      <c r="W22" s="321">
        <f t="shared" si="22"/>
        <v>0.40160000000000001</v>
      </c>
      <c r="X22" s="994">
        <v>5.04E-2</v>
      </c>
      <c r="Y22" s="994">
        <v>5.04E-2</v>
      </c>
      <c r="Z22" s="994">
        <v>3.9199999999999999E-2</v>
      </c>
      <c r="AA22" s="994">
        <v>3.9199999999999999E-2</v>
      </c>
      <c r="AB22" s="994">
        <v>0.10639999999999999</v>
      </c>
      <c r="AC22" s="994">
        <v>0.10639999999999999</v>
      </c>
      <c r="AD22" s="321">
        <f t="shared" si="23"/>
        <v>0.19600000000000001</v>
      </c>
      <c r="AE22" s="321">
        <f t="shared" si="24"/>
        <v>0.19600000000000001</v>
      </c>
      <c r="AF22" s="994">
        <v>2.24E-2</v>
      </c>
      <c r="AG22" s="994">
        <v>2.24E-2</v>
      </c>
      <c r="AH22" s="994">
        <v>3.9199999999999999E-2</v>
      </c>
      <c r="AI22" s="994">
        <v>3.9199999999999999E-2</v>
      </c>
      <c r="AJ22" s="998">
        <v>6.1600000000000002E-2</v>
      </c>
      <c r="AK22" s="998">
        <v>6.7199999999999996E-2</v>
      </c>
      <c r="AL22" s="321">
        <f t="shared" si="25"/>
        <v>0.1232</v>
      </c>
      <c r="AM22" s="321">
        <f t="shared" si="26"/>
        <v>0.1288</v>
      </c>
      <c r="AN22" s="994">
        <v>2.24E-2</v>
      </c>
      <c r="AO22" s="994"/>
      <c r="AP22" s="994">
        <v>3.9199999999999999E-2</v>
      </c>
      <c r="AQ22" s="994"/>
      <c r="AR22" s="994">
        <f>11.76%+10%</f>
        <v>0.21760000000000002</v>
      </c>
      <c r="AS22" s="994"/>
      <c r="AT22" s="321">
        <f t="shared" si="27"/>
        <v>0.2792</v>
      </c>
      <c r="AU22" s="321">
        <f t="shared" si="28"/>
        <v>0</v>
      </c>
      <c r="AV22" s="321">
        <f t="shared" si="13"/>
        <v>1</v>
      </c>
      <c r="AW22" s="306">
        <f t="shared" si="14"/>
        <v>0.40160000000000001</v>
      </c>
      <c r="AX22" s="325">
        <f t="shared" si="15"/>
        <v>0.59760000000000002</v>
      </c>
      <c r="AY22" s="325">
        <f t="shared" si="16"/>
        <v>0.72640000000000005</v>
      </c>
      <c r="AZ22" s="1041">
        <f t="shared" si="17"/>
        <v>0.72640000000000005</v>
      </c>
      <c r="BA22" s="340">
        <f t="shared" si="18"/>
        <v>0.40160000000000001</v>
      </c>
      <c r="BB22" s="378">
        <f t="shared" si="19"/>
        <v>0.59760000000000002</v>
      </c>
      <c r="BC22" s="378">
        <f t="shared" si="19"/>
        <v>0.72640000000000005</v>
      </c>
      <c r="BD22" s="378">
        <f t="shared" si="19"/>
        <v>0.72640000000000005</v>
      </c>
      <c r="BE22" s="345">
        <f t="shared" si="29"/>
        <v>0.1004</v>
      </c>
      <c r="BF22" s="345">
        <f t="shared" si="30"/>
        <v>0.14940000000000001</v>
      </c>
      <c r="BG22" s="345">
        <f t="shared" si="31"/>
        <v>0.18160000000000001</v>
      </c>
      <c r="BH22" s="1032">
        <f t="shared" si="32"/>
        <v>0.18160000000000001</v>
      </c>
    </row>
    <row r="23" spans="2:60" ht="127.5">
      <c r="B23" s="1785"/>
      <c r="C23" s="1785"/>
      <c r="D23" s="31" t="str">
        <f>+'01-FR-03 POA INSTITUCIONAL'!D68</f>
        <v>4.3.8 Realizar 21 capacitaciones sobre los Sistemas de Gestión y Evaluación del Desempeño Laboral de la Entidad.</v>
      </c>
      <c r="E23" s="52">
        <f>+'01-FR-03 POA INSTITUCIONAL'!E68</f>
        <v>0.1</v>
      </c>
      <c r="F23" s="88">
        <f>+'01-FR-03 POA INSTITUCIONAL'!F68</f>
        <v>21</v>
      </c>
      <c r="G23" s="88">
        <f>+'01-FR-03 POA INSTITUCIONAL'!L68</f>
        <v>4</v>
      </c>
      <c r="H23" s="52" t="str">
        <f>+'01-FR-03 POA INSTITUCIONAL'!G68</f>
        <v>S.I.</v>
      </c>
      <c r="I23" s="140" t="str">
        <f>+'01-FR-03 POA INSTITUCIONAL'!H68</f>
        <v>Capacitaciones realizadas sobre los Sistemas de Gestión y Evaluación del Desempeño Laboral de la Personería de Bogotá, D.C.</v>
      </c>
      <c r="J23" s="215" t="s">
        <v>432</v>
      </c>
      <c r="K23" s="277" t="s">
        <v>424</v>
      </c>
      <c r="L23" s="442" t="s">
        <v>425</v>
      </c>
      <c r="M23" s="217" t="s">
        <v>434</v>
      </c>
      <c r="N23" s="217" t="s">
        <v>426</v>
      </c>
      <c r="O23" s="442" t="str">
        <f>+'01-FR-03 POA INSTITUCIONAL'!J68</f>
        <v>Dirección de Talento Humano</v>
      </c>
      <c r="P23" s="996">
        <v>1</v>
      </c>
      <c r="Q23" s="996">
        <v>1</v>
      </c>
      <c r="R23" s="996">
        <v>1</v>
      </c>
      <c r="S23" s="996">
        <v>1</v>
      </c>
      <c r="T23" s="996">
        <v>0</v>
      </c>
      <c r="U23" s="996">
        <v>0</v>
      </c>
      <c r="V23" s="90">
        <f>+P23+R23+T23</f>
        <v>2</v>
      </c>
      <c r="W23" s="90">
        <f>+Q23+S23+U23</f>
        <v>2</v>
      </c>
      <c r="X23" s="997">
        <v>0</v>
      </c>
      <c r="Y23" s="997">
        <v>0</v>
      </c>
      <c r="Z23" s="997">
        <v>0</v>
      </c>
      <c r="AA23" s="997">
        <v>0</v>
      </c>
      <c r="AB23" s="997">
        <v>1</v>
      </c>
      <c r="AC23" s="997">
        <v>1</v>
      </c>
      <c r="AD23" s="90">
        <f>+X23+Z23+AB23</f>
        <v>1</v>
      </c>
      <c r="AE23" s="90">
        <f>+Y23+AA23+AC23</f>
        <v>1</v>
      </c>
      <c r="AF23" s="999">
        <v>1</v>
      </c>
      <c r="AG23" s="999">
        <v>1</v>
      </c>
      <c r="AH23" s="999">
        <v>0</v>
      </c>
      <c r="AI23" s="999">
        <v>0</v>
      </c>
      <c r="AJ23" s="1000">
        <v>0</v>
      </c>
      <c r="AK23" s="1000">
        <v>0</v>
      </c>
      <c r="AL23" s="90">
        <f>+AF23+AH23+AJ23</f>
        <v>1</v>
      </c>
      <c r="AM23" s="90">
        <f>+AG23+AI23+AK23</f>
        <v>1</v>
      </c>
      <c r="AN23" s="1001">
        <v>0</v>
      </c>
      <c r="AO23" s="1001"/>
      <c r="AP23" s="1001">
        <v>0</v>
      </c>
      <c r="AQ23" s="1001"/>
      <c r="AR23" s="1001">
        <v>0</v>
      </c>
      <c r="AS23" s="1001"/>
      <c r="AT23" s="90">
        <f>+AN23+AP23+AR23</f>
        <v>0</v>
      </c>
      <c r="AU23" s="90">
        <f>+AO23+AQ23+AS23</f>
        <v>0</v>
      </c>
      <c r="AV23" s="1002">
        <f t="shared" si="13"/>
        <v>4</v>
      </c>
      <c r="AW23" s="81">
        <f>+W23</f>
        <v>2</v>
      </c>
      <c r="AX23" s="81">
        <f t="shared" ref="AX23" si="33">+W23+AE23</f>
        <v>3</v>
      </c>
      <c r="AY23" s="81">
        <f t="shared" ref="AY23" si="34">+W23+AE23+AM23</f>
        <v>4</v>
      </c>
      <c r="AZ23" s="1029">
        <f t="shared" ref="AZ23" si="35">+W23+AE23+AM23+AU23</f>
        <v>4</v>
      </c>
      <c r="BA23" s="341">
        <f t="shared" si="18"/>
        <v>0.5</v>
      </c>
      <c r="BB23" s="378">
        <f t="shared" si="19"/>
        <v>0.75</v>
      </c>
      <c r="BC23" s="378">
        <f t="shared" si="19"/>
        <v>1</v>
      </c>
      <c r="BD23" s="378">
        <f t="shared" si="19"/>
        <v>1</v>
      </c>
      <c r="BE23" s="345">
        <f>(IF(AND(AW23&gt;0,$F23&gt;0),AW23/$F23,0))</f>
        <v>9.5238095238095233E-2</v>
      </c>
      <c r="BF23" s="345">
        <f t="shared" ref="BF23:BH23" si="36">(IF(AND(AX23&gt;0,$F23&gt;0),AX23/$F23,0))</f>
        <v>0.14285714285714285</v>
      </c>
      <c r="BG23" s="307">
        <f t="shared" si="36"/>
        <v>0.19047619047619047</v>
      </c>
      <c r="BH23" s="1031">
        <f t="shared" si="36"/>
        <v>0.19047619047619047</v>
      </c>
    </row>
    <row r="24" spans="2:60" ht="15.75">
      <c r="B24" s="1775"/>
      <c r="C24" s="1776"/>
      <c r="D24" s="1776"/>
      <c r="E24" s="1776"/>
      <c r="F24" s="1776"/>
      <c r="G24" s="1776"/>
      <c r="H24" s="1776"/>
      <c r="I24" s="1776"/>
      <c r="J24" s="1776"/>
      <c r="K24" s="1776"/>
      <c r="L24" s="1776"/>
      <c r="M24" s="1776"/>
      <c r="N24" s="1776"/>
      <c r="O24" s="1776"/>
      <c r="P24" s="1776"/>
      <c r="Q24" s="1776"/>
      <c r="R24" s="1776"/>
      <c r="S24" s="1776"/>
      <c r="T24" s="1776"/>
      <c r="U24" s="1776"/>
      <c r="V24" s="1776"/>
      <c r="W24" s="1776"/>
      <c r="X24" s="1776"/>
      <c r="Y24" s="1776"/>
      <c r="Z24" s="1776"/>
      <c r="AA24" s="1776"/>
      <c r="AB24" s="1776"/>
      <c r="AC24" s="1776"/>
      <c r="AD24" s="1776"/>
      <c r="AE24" s="1776"/>
      <c r="AF24" s="1776"/>
      <c r="AG24" s="1776"/>
      <c r="AH24" s="1776"/>
      <c r="AI24" s="1776"/>
      <c r="AJ24" s="1776"/>
      <c r="AK24" s="1776"/>
      <c r="AL24" s="1776"/>
      <c r="AM24" s="1776"/>
      <c r="AN24" s="1776"/>
      <c r="AO24" s="1776"/>
      <c r="AP24" s="1776"/>
      <c r="AQ24" s="1776"/>
      <c r="AR24" s="1776"/>
      <c r="AS24" s="1776"/>
      <c r="AT24" s="1776"/>
      <c r="AU24" s="1776"/>
      <c r="AV24" s="1776"/>
      <c r="AW24" s="1777"/>
      <c r="AX24" s="1799" t="s">
        <v>19</v>
      </c>
      <c r="AY24" s="1800"/>
      <c r="AZ24" s="1800"/>
      <c r="BA24" s="87">
        <f t="shared" ref="BA24:BD24" si="37">AVERAGE(BA17:BA23)</f>
        <v>0.31480182823129249</v>
      </c>
      <c r="BB24" s="87">
        <f t="shared" si="37"/>
        <v>0.50549131438289596</v>
      </c>
      <c r="BC24" s="87">
        <f t="shared" si="37"/>
        <v>0.69507062682215737</v>
      </c>
      <c r="BD24" s="87">
        <f t="shared" si="37"/>
        <v>0.73339059766763837</v>
      </c>
      <c r="BE24" s="1796"/>
      <c r="BF24" s="1797"/>
      <c r="BG24" s="1797"/>
      <c r="BH24" s="1798"/>
    </row>
    <row r="25" spans="2:60" ht="17.25">
      <c r="B25" s="1516"/>
      <c r="C25" s="1516"/>
      <c r="D25" s="1516"/>
      <c r="E25" s="1516"/>
      <c r="F25" s="1516"/>
      <c r="G25" s="1516"/>
      <c r="H25" s="278"/>
      <c r="I25" s="279"/>
      <c r="J25" s="279"/>
      <c r="K25" s="279"/>
      <c r="L25" s="279"/>
      <c r="M25" s="279"/>
      <c r="N25" s="279"/>
      <c r="O25" s="279"/>
    </row>
    <row r="26" spans="2:60">
      <c r="B26" s="279"/>
      <c r="C26" s="279"/>
      <c r="D26" s="1782"/>
      <c r="E26" s="1782"/>
      <c r="F26" s="1782"/>
      <c r="G26" s="1782"/>
      <c r="H26" s="1782"/>
      <c r="I26" s="1782"/>
      <c r="J26" s="1782"/>
      <c r="K26" s="1782"/>
      <c r="L26" s="1782"/>
      <c r="M26" s="1782"/>
      <c r="N26" s="1782"/>
      <c r="O26" s="1782"/>
    </row>
    <row r="27" spans="2:60" ht="15.6" customHeight="1">
      <c r="B27" s="77" t="s">
        <v>26</v>
      </c>
      <c r="C27" s="240">
        <v>44224</v>
      </c>
      <c r="D27" s="241"/>
      <c r="E27" s="1687" t="s">
        <v>50</v>
      </c>
      <c r="F27" s="1763" t="s">
        <v>671</v>
      </c>
      <c r="G27" s="1764"/>
      <c r="H27" s="1764"/>
      <c r="I27" s="1764"/>
      <c r="J27" s="1765"/>
      <c r="K27" s="242"/>
      <c r="L27" s="1695"/>
      <c r="M27" s="1695"/>
      <c r="N27" s="1695"/>
      <c r="O27" s="1696"/>
    </row>
    <row r="28" spans="2:60" ht="15.75">
      <c r="B28" s="279"/>
      <c r="C28" s="279"/>
      <c r="D28" s="242"/>
      <c r="E28" s="1687"/>
      <c r="F28" s="1766"/>
      <c r="G28" s="1767"/>
      <c r="H28" s="1767"/>
      <c r="I28" s="1767"/>
      <c r="J28" s="1768"/>
      <c r="K28" s="279"/>
      <c r="L28" s="279"/>
      <c r="M28" s="279"/>
      <c r="N28" s="279"/>
      <c r="O28" s="279"/>
    </row>
    <row r="29" spans="2:60" ht="15.75">
      <c r="B29" s="77" t="s">
        <v>49</v>
      </c>
      <c r="C29" s="80">
        <v>44581</v>
      </c>
      <c r="D29" s="279"/>
      <c r="E29" s="279"/>
      <c r="F29" s="331"/>
      <c r="K29" s="279"/>
      <c r="L29" s="279"/>
      <c r="M29" s="279"/>
      <c r="N29" s="279"/>
      <c r="O29" s="279"/>
    </row>
    <row r="30" spans="2:60">
      <c r="B30" s="279"/>
      <c r="C30" s="279"/>
      <c r="D30" s="279"/>
      <c r="E30" s="279"/>
      <c r="F30" s="331"/>
      <c r="K30" s="279"/>
      <c r="L30" s="279"/>
      <c r="M30" s="279"/>
      <c r="N30" s="279"/>
      <c r="O30" s="279"/>
    </row>
    <row r="31" spans="2:60">
      <c r="B31" s="605" t="s">
        <v>922</v>
      </c>
      <c r="C31" s="279"/>
      <c r="D31" s="279"/>
      <c r="E31" s="279"/>
      <c r="F31" s="331"/>
      <c r="G31" s="278"/>
      <c r="H31" s="278"/>
      <c r="I31" s="1695"/>
      <c r="J31" s="1695"/>
      <c r="K31" s="1695"/>
      <c r="L31" s="1695"/>
      <c r="M31" s="231"/>
      <c r="N31" s="231"/>
      <c r="O31" s="231"/>
    </row>
    <row r="32" spans="2:60">
      <c r="B32" s="279"/>
      <c r="C32" s="279"/>
      <c r="D32" s="279"/>
      <c r="E32" s="279"/>
      <c r="F32" s="331"/>
      <c r="G32" s="278"/>
      <c r="H32" s="278"/>
      <c r="I32" s="279"/>
      <c r="J32" s="279"/>
      <c r="K32" s="280"/>
      <c r="L32" s="279"/>
      <c r="M32" s="279"/>
      <c r="N32" s="279"/>
      <c r="O32" s="279"/>
    </row>
    <row r="33" spans="2:15">
      <c r="B33" s="279"/>
      <c r="C33" s="279"/>
      <c r="D33" s="279"/>
      <c r="E33" s="279"/>
      <c r="F33" s="331"/>
      <c r="G33" s="278"/>
      <c r="H33" s="278"/>
      <c r="I33" s="1695"/>
      <c r="J33" s="1695"/>
      <c r="K33" s="1695"/>
      <c r="L33" s="1695"/>
      <c r="M33" s="231"/>
      <c r="N33" s="231"/>
      <c r="O33" s="231"/>
    </row>
    <row r="34" spans="2:15">
      <c r="B34" s="279"/>
      <c r="C34" s="279"/>
      <c r="D34" s="279"/>
      <c r="E34" s="279"/>
      <c r="F34" s="331"/>
      <c r="G34" s="278"/>
      <c r="H34" s="278"/>
      <c r="I34" s="279"/>
      <c r="J34" s="279"/>
      <c r="K34" s="280"/>
      <c r="L34" s="279"/>
      <c r="M34" s="279"/>
      <c r="N34" s="279"/>
      <c r="O34" s="279"/>
    </row>
    <row r="35" spans="2:15">
      <c r="B35" s="279"/>
      <c r="C35" s="279"/>
      <c r="D35" s="279"/>
      <c r="E35" s="279"/>
      <c r="F35" s="331"/>
      <c r="G35" s="278"/>
      <c r="H35" s="278"/>
      <c r="I35" s="1695"/>
      <c r="J35" s="1695"/>
      <c r="K35" s="1695"/>
      <c r="L35" s="1695"/>
      <c r="M35" s="231"/>
      <c r="N35" s="231"/>
      <c r="O35" s="231"/>
    </row>
  </sheetData>
  <sheetProtection algorithmName="SHA-512" hashValue="3bwYZbZonvtw+ZF7B9OwInf8L1dcKTyrZ30Ti3NuyzDNMI7XXVY3P6LrZPD4MhPHwhL0cTnigRTK2VDblP80iw==" saltValue="7BvS8DeyJDKnJt2BjtH1oA==" spinCount="100000" sheet="1" objects="1" scenarios="1"/>
  <mergeCells count="71">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 ref="X14:Y14"/>
    <mergeCell ref="C9:D9"/>
    <mergeCell ref="B2:B6"/>
    <mergeCell ref="C2:BF6"/>
    <mergeCell ref="BG6:BH6"/>
    <mergeCell ref="AW7:BA7"/>
    <mergeCell ref="C8:D8"/>
    <mergeCell ref="C10:D10"/>
    <mergeCell ref="B12:B15"/>
    <mergeCell ref="C12:C15"/>
    <mergeCell ref="D12:D15"/>
    <mergeCell ref="BE13:BE15"/>
    <mergeCell ref="F12:F15"/>
    <mergeCell ref="BE12:BH12"/>
    <mergeCell ref="P13:W13"/>
    <mergeCell ref="X13:AE13"/>
    <mergeCell ref="AF13:AM13"/>
    <mergeCell ref="AN13:AU13"/>
    <mergeCell ref="AW13:AW15"/>
    <mergeCell ref="AX13:AX15"/>
    <mergeCell ref="AY13:AY15"/>
    <mergeCell ref="AZ13:AZ15"/>
    <mergeCell ref="BA13:BA15"/>
    <mergeCell ref="D26:O26"/>
    <mergeCell ref="B25:G25"/>
    <mergeCell ref="B16:B23"/>
    <mergeCell ref="C16:C23"/>
    <mergeCell ref="P14:Q14"/>
    <mergeCell ref="E12:E15"/>
    <mergeCell ref="G12:G15"/>
    <mergeCell ref="BC13:BC15"/>
    <mergeCell ref="AV12:AV15"/>
    <mergeCell ref="AW12:AZ12"/>
    <mergeCell ref="BA12:BD12"/>
    <mergeCell ref="BB13:BB15"/>
    <mergeCell ref="I35:L35"/>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E27:E28"/>
    <mergeCell ref="L27:O27"/>
    <mergeCell ref="I31:L31"/>
    <mergeCell ref="I33:L33"/>
    <mergeCell ref="F27:J28"/>
  </mergeCells>
  <conditionalFormatting sqref="BA16:BD23">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66FF33"/>
  </sheetPr>
  <dimension ref="B1:BI29"/>
  <sheetViews>
    <sheetView showGridLines="0" topLeftCell="P1" zoomScale="70" zoomScaleNormal="70" workbookViewId="0">
      <selection activeCell="AT20" sqref="AT20"/>
    </sheetView>
  </sheetViews>
  <sheetFormatPr baseColWidth="10" defaultColWidth="17.28515625" defaultRowHeight="15" customHeight="1"/>
  <cols>
    <col min="1" max="1" width="4.28515625" style="135" customWidth="1"/>
    <col min="2" max="2" width="50.42578125" style="133" customWidth="1"/>
    <col min="3" max="3" width="31.42578125" style="133" customWidth="1"/>
    <col min="4" max="4" width="49.7109375" style="133" customWidth="1"/>
    <col min="5" max="6" width="27.5703125" style="133" customWidth="1"/>
    <col min="7" max="8" width="29.28515625" style="134" customWidth="1"/>
    <col min="9" max="9" width="21.42578125" style="133" customWidth="1"/>
    <col min="10" max="10" width="31.85546875" style="133" customWidth="1"/>
    <col min="11" max="11" width="55.85546875" style="133" customWidth="1"/>
    <col min="12" max="12" width="48.42578125" style="133" customWidth="1"/>
    <col min="13" max="13" width="28.5703125" style="133" customWidth="1"/>
    <col min="14" max="14" width="33.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1" ht="18" thickBot="1"/>
    <row r="2" spans="2:61" ht="15.75">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1" ht="15.75">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1"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1" ht="15.75">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1"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1"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1" ht="20.25">
      <c r="B8" s="213" t="s">
        <v>45</v>
      </c>
      <c r="C8" s="1713" t="s">
        <v>92</v>
      </c>
      <c r="D8" s="1713"/>
      <c r="E8" s="214"/>
      <c r="F8" s="214"/>
      <c r="G8" s="214"/>
      <c r="H8" s="214"/>
      <c r="I8" s="214"/>
      <c r="J8" s="214"/>
      <c r="K8" s="214"/>
      <c r="L8" s="214"/>
      <c r="M8" s="214"/>
      <c r="N8" s="214"/>
      <c r="O8" s="214"/>
      <c r="AW8" s="231"/>
      <c r="AX8" s="231"/>
      <c r="AY8" s="231"/>
      <c r="AZ8" s="231"/>
      <c r="BA8" s="231"/>
      <c r="BB8" s="231"/>
      <c r="BC8" s="231"/>
      <c r="BD8" s="231"/>
    </row>
    <row r="9" spans="2:61" ht="63" customHeight="1">
      <c r="B9" s="213" t="s">
        <v>34</v>
      </c>
      <c r="C9" s="1794" t="s">
        <v>439</v>
      </c>
      <c r="D9" s="1673"/>
      <c r="E9" s="1803"/>
      <c r="F9" s="1804"/>
      <c r="G9" s="1804"/>
      <c r="H9" s="214"/>
      <c r="I9" s="214"/>
      <c r="J9" s="214"/>
      <c r="K9" s="214"/>
      <c r="L9" s="214"/>
      <c r="M9" s="214"/>
      <c r="N9" s="214"/>
      <c r="O9" s="214"/>
      <c r="AW9" s="231"/>
      <c r="AX9" s="231"/>
      <c r="AY9" s="231"/>
      <c r="AZ9" s="231"/>
      <c r="BA9" s="231"/>
      <c r="BB9" s="231"/>
      <c r="BC9" s="231"/>
      <c r="BD9" s="231"/>
    </row>
    <row r="10" spans="2:61" ht="25.5">
      <c r="B10" s="213" t="s">
        <v>101</v>
      </c>
      <c r="C10" s="1674">
        <v>2022</v>
      </c>
      <c r="D10" s="1675"/>
      <c r="E10" s="281"/>
      <c r="F10" s="281"/>
      <c r="G10" s="214"/>
      <c r="H10" s="214"/>
      <c r="I10" s="214"/>
      <c r="J10" s="214"/>
      <c r="K10" s="214"/>
      <c r="L10" s="214"/>
      <c r="M10" s="214"/>
      <c r="N10" s="214"/>
      <c r="O10" s="214"/>
      <c r="AW10" s="231"/>
      <c r="AX10" s="231"/>
      <c r="AY10" s="231"/>
      <c r="AZ10" s="231"/>
      <c r="BA10" s="231"/>
      <c r="BB10" s="231"/>
      <c r="BC10" s="231"/>
      <c r="BD10" s="231"/>
    </row>
    <row r="11" spans="2:61"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1" ht="28.15"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1"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314</v>
      </c>
      <c r="AZ13" s="1659" t="s">
        <v>315</v>
      </c>
      <c r="BA13" s="1648" t="s">
        <v>119</v>
      </c>
      <c r="BB13" s="1648" t="s">
        <v>122</v>
      </c>
      <c r="BC13" s="1648" t="s">
        <v>123</v>
      </c>
      <c r="BD13" s="1648" t="s">
        <v>124</v>
      </c>
      <c r="BE13" s="1642" t="s">
        <v>21</v>
      </c>
      <c r="BF13" s="1642" t="s">
        <v>22</v>
      </c>
      <c r="BG13" s="1642" t="s">
        <v>23</v>
      </c>
      <c r="BH13" s="1642" t="s">
        <v>24</v>
      </c>
    </row>
    <row r="14" spans="2:61"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1" ht="13.1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1" ht="244.15" customHeight="1">
      <c r="B16" s="167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78" t="str">
        <f>+'01-FR-03 POA INSTITUCIONAL'!C69</f>
        <v>4.4. Implementar el 100% de las acciones necesarias para la modernización de la gestión institucional a través de los procesos de apoyo, que permita una mejor prestación del servicio.</v>
      </c>
      <c r="D16" s="246" t="str">
        <f>+'01-FR-03 POA INSTITUCIONAL'!D69</f>
        <v>4.4.1 Atender el 100% de los servicios de mantenimiento, almacén, transporte. Aseo y cafetería</v>
      </c>
      <c r="E16" s="52">
        <f>+'01-FR-03 POA INSTITUCIONAL'!E69</f>
        <v>0.1</v>
      </c>
      <c r="F16" s="52">
        <f>+'01-FR-03 POA INSTITUCIONAL'!F69</f>
        <v>1</v>
      </c>
      <c r="G16" s="160">
        <f>+'01-FR-03 POA INSTITUCIONAL'!L69</f>
        <v>1</v>
      </c>
      <c r="H16" s="282">
        <f>+'01-FR-03 POA INSTITUCIONAL'!G69</f>
        <v>0.99199999999999999</v>
      </c>
      <c r="I16" s="68" t="str">
        <f>+'[6]POA Anualizado (Pág 1 de 3)'!H13</f>
        <v>Porcentaje de servicios atendidos</v>
      </c>
      <c r="J16" s="215" t="s">
        <v>440</v>
      </c>
      <c r="K16" s="283" t="s">
        <v>441</v>
      </c>
      <c r="L16" s="235" t="s">
        <v>449</v>
      </c>
      <c r="M16" s="235" t="s">
        <v>442</v>
      </c>
      <c r="N16" s="235" t="s">
        <v>450</v>
      </c>
      <c r="O16" s="284" t="str">
        <f>+'01-FR-03 POA INSTITUCIONAL'!J69</f>
        <v>Subdirección de Gestión Documental y Recursos Físicos
Dirección Administrativa y Financiera</v>
      </c>
      <c r="P16" s="323">
        <v>1</v>
      </c>
      <c r="Q16" s="323">
        <v>1</v>
      </c>
      <c r="R16" s="324">
        <v>1</v>
      </c>
      <c r="S16" s="323">
        <v>1</v>
      </c>
      <c r="T16" s="324">
        <v>1</v>
      </c>
      <c r="U16" s="323">
        <v>1</v>
      </c>
      <c r="V16" s="320">
        <f>AVERAGE(P16,R16,T16)</f>
        <v>1</v>
      </c>
      <c r="W16" s="320">
        <f>IFERROR(AVERAGE(Q16,S16,U16),0)</f>
        <v>1</v>
      </c>
      <c r="X16" s="324">
        <v>1</v>
      </c>
      <c r="Y16" s="324">
        <v>1</v>
      </c>
      <c r="Z16" s="324">
        <v>1</v>
      </c>
      <c r="AA16" s="324">
        <v>1</v>
      </c>
      <c r="AB16" s="324">
        <v>1</v>
      </c>
      <c r="AC16" s="324">
        <v>1</v>
      </c>
      <c r="AD16" s="320">
        <f>AVERAGE(X16,Z16,AB16)</f>
        <v>1</v>
      </c>
      <c r="AE16" s="320">
        <f>IFERROR(AVERAGE(Y16,AA16,AC16),0)</f>
        <v>1</v>
      </c>
      <c r="AF16" s="324">
        <v>1</v>
      </c>
      <c r="AG16" s="324">
        <v>1</v>
      </c>
      <c r="AH16" s="324">
        <v>1</v>
      </c>
      <c r="AI16" s="324">
        <v>1</v>
      </c>
      <c r="AJ16" s="324">
        <v>1</v>
      </c>
      <c r="AK16" s="324">
        <v>1</v>
      </c>
      <c r="AL16" s="320">
        <f>AVERAGE(AF16,AH16,AJ16)</f>
        <v>1</v>
      </c>
      <c r="AM16" s="320">
        <f>IFERROR(AVERAGE(AG16,AI16,AK16),0)</f>
        <v>1</v>
      </c>
      <c r="AN16" s="324">
        <v>1</v>
      </c>
      <c r="AO16" s="1043">
        <v>0</v>
      </c>
      <c r="AP16" s="324">
        <v>1</v>
      </c>
      <c r="AQ16" s="1043">
        <v>0</v>
      </c>
      <c r="AR16" s="324">
        <v>1</v>
      </c>
      <c r="AS16" s="1043">
        <v>0</v>
      </c>
      <c r="AT16" s="320">
        <f>AVERAGE(AN16,AP16,AR16)</f>
        <v>1</v>
      </c>
      <c r="AU16" s="320">
        <f>IFERROR(AVERAGE(AO16,AQ16,AS16),0)</f>
        <v>0</v>
      </c>
      <c r="AV16" s="320">
        <f>AVERAGE(P16,R16,T16,X16,Z16,AB16,AF16,AH16,AJ16,AN16,AP16,AR16)</f>
        <v>1</v>
      </c>
      <c r="AW16" s="306">
        <f>IFERROR(IF(OR($AV$16="",$AV$16=0),0,ROUNDDOWN(AVERAGE($Q16,$S16,$U16),3)),0)</f>
        <v>1</v>
      </c>
      <c r="AX16" s="306">
        <f>IFERROR(IF(OR($AV$17="",$AV$17=0),0,ROUNDDOWN(AVERAGE($Q16,$S16,$U16,$Y16,$AA16,$AC16),3)),0)</f>
        <v>1</v>
      </c>
      <c r="AY16" s="306">
        <f>IFERROR(IF(OR($AV$17="",$AV$17=0),0,ROUNDDOWN(AVERAGE($Q16,$S16,$U16,$Y16,$AA16,$AC16,$AG16,$AI16,$AK16),3)),0)</f>
        <v>1</v>
      </c>
      <c r="AZ16" s="1033">
        <f>IFERROR(IF(OR($AV$17="",$AV$17=0),0,ROUNDDOWN(AVERAGE($Q16,$S16,$U16,$Y16,$AA16,$AC16,$AG16,$AI16,$AK16,$AO16,$AQ16,$AS16),3)),0)</f>
        <v>0.75</v>
      </c>
      <c r="BA16" s="340">
        <f>(IF(AND(AW16&gt;0,$AV16&gt;0),AW16/$AV16,0))*0.25</f>
        <v>0.25</v>
      </c>
      <c r="BB16" s="340">
        <f>(IF(AND(AX16&gt;0,$AV16&gt;0),AX16/$AV16,0))*0.5</f>
        <v>0.5</v>
      </c>
      <c r="BC16" s="340">
        <f>(IF(AND(AY16&gt;0,$AV16&gt;0),AY16/$AV16,0))*0.75</f>
        <v>0.75</v>
      </c>
      <c r="BD16" s="340">
        <f>(IF(AND(AZ16&gt;0,$AV16&gt;0),AZ16/$AV16,0))*1</f>
        <v>0.75</v>
      </c>
      <c r="BE16" s="345">
        <f>((IF(AND(AW16&gt;0,$F16&gt;0),AW16/$F16,0))/4)*0.25</f>
        <v>6.25E-2</v>
      </c>
      <c r="BF16" s="1090">
        <f>((IF(AND(AX16&gt;0,$F16&gt;0),AX16/$F16,0))/4)*0.5</f>
        <v>0.125</v>
      </c>
      <c r="BG16" s="1090">
        <f>((IF(AND(AY16&gt;0,$F16&gt;0),AY16/$F16,0))/4)*0.75</f>
        <v>0.1875</v>
      </c>
      <c r="BH16" s="1042">
        <f>((IF(AND(AZ16&gt;0,$F16&gt;0),AZ16/$F16,0))/4)</f>
        <v>0.1875</v>
      </c>
      <c r="BI16" s="285"/>
    </row>
    <row r="17" spans="2:60" ht="75">
      <c r="B17" s="1705"/>
      <c r="C17" s="1705"/>
      <c r="D17" s="246" t="str">
        <f>+'01-FR-03 POA INSTITUCIONAL'!D70</f>
        <v>4.4.2 Ejecutar el 97% de las actividades del Plan Estratégico de Seguridad Vial (PESV)</v>
      </c>
      <c r="E17" s="52">
        <f>+'01-FR-03 POA INSTITUCIONAL'!E70</f>
        <v>0.1</v>
      </c>
      <c r="F17" s="52">
        <f>+'01-FR-03 POA INSTITUCIONAL'!F70</f>
        <v>0.97</v>
      </c>
      <c r="G17" s="160">
        <f>+'01-FR-03 POA INSTITUCIONAL'!L70</f>
        <v>0.97</v>
      </c>
      <c r="H17" s="282">
        <f>+'01-FR-03 POA INSTITUCIONAL'!G70</f>
        <v>0.96599999999999997</v>
      </c>
      <c r="I17" s="68" t="str">
        <f>+'[6]POA Anualizado (Pág 1 de 3)'!H14</f>
        <v>Porcentaje de actividades del PESV ejecutadas</v>
      </c>
      <c r="J17" s="286" t="s">
        <v>443</v>
      </c>
      <c r="K17" s="283" t="s">
        <v>444</v>
      </c>
      <c r="L17" s="235" t="s">
        <v>445</v>
      </c>
      <c r="M17" s="235" t="s">
        <v>446</v>
      </c>
      <c r="N17" s="235" t="s">
        <v>447</v>
      </c>
      <c r="O17" s="284" t="str">
        <f>+'01-FR-03 POA INSTITUCIONAL'!J70</f>
        <v>Subdirección de Gestión Documental y Recursos Físicos
Dirección Administrativa y Financiera</v>
      </c>
      <c r="P17" s="323">
        <v>0.97</v>
      </c>
      <c r="Q17" s="323">
        <v>1.111</v>
      </c>
      <c r="R17" s="323">
        <v>0.97</v>
      </c>
      <c r="S17" s="324">
        <v>1.1659999999999999</v>
      </c>
      <c r="T17" s="323">
        <v>0.97</v>
      </c>
      <c r="U17" s="324">
        <v>1</v>
      </c>
      <c r="V17" s="320">
        <f>AVERAGE(P17,R17,T17)</f>
        <v>0.97000000000000008</v>
      </c>
      <c r="W17" s="320">
        <f>IFERROR(AVERAGE(Q17,S17,U17),0)</f>
        <v>1.0923333333333334</v>
      </c>
      <c r="X17" s="323">
        <v>0.97</v>
      </c>
      <c r="Y17" s="324">
        <v>1</v>
      </c>
      <c r="Z17" s="323">
        <v>0.97</v>
      </c>
      <c r="AA17" s="324">
        <v>1.1419999999999999</v>
      </c>
      <c r="AB17" s="323">
        <v>0.97</v>
      </c>
      <c r="AC17" s="324">
        <v>1.1419999999999999</v>
      </c>
      <c r="AD17" s="320">
        <f>AVERAGE(X17,Z17,AB17)</f>
        <v>0.97000000000000008</v>
      </c>
      <c r="AE17" s="320">
        <f>IFERROR(AVERAGE(Y17,AA17,AC17),0)</f>
        <v>1.0946666666666667</v>
      </c>
      <c r="AF17" s="323">
        <v>0.97</v>
      </c>
      <c r="AG17" s="324">
        <v>1.4</v>
      </c>
      <c r="AH17" s="323">
        <v>0.97</v>
      </c>
      <c r="AI17" s="324">
        <v>1.333</v>
      </c>
      <c r="AJ17" s="323">
        <v>0.97</v>
      </c>
      <c r="AK17" s="324">
        <v>1.083</v>
      </c>
      <c r="AL17" s="320">
        <f>AVERAGE(AF17,AH17,AJ17)</f>
        <v>0.97000000000000008</v>
      </c>
      <c r="AM17" s="320">
        <f>IFERROR(AVERAGE(AG17,AI17,AK17),0)</f>
        <v>1.272</v>
      </c>
      <c r="AN17" s="323">
        <v>0.97</v>
      </c>
      <c r="AO17" s="1043">
        <v>0</v>
      </c>
      <c r="AP17" s="323">
        <v>0.97</v>
      </c>
      <c r="AQ17" s="1043">
        <v>0</v>
      </c>
      <c r="AR17" s="323">
        <v>0.97</v>
      </c>
      <c r="AS17" s="1043">
        <v>0</v>
      </c>
      <c r="AT17" s="320">
        <f>AVERAGE(AN17,AP17,AR17)</f>
        <v>0.97000000000000008</v>
      </c>
      <c r="AU17" s="320">
        <f>IFERROR(AVERAGE(AO17,AQ17,AS17),0)</f>
        <v>0</v>
      </c>
      <c r="AV17" s="320">
        <f>AVERAGE(P17,R17,T17,X17,Z17,AB17,AF17,AH17,AJ17,AN17,AP17,AR17)</f>
        <v>0.97000000000000008</v>
      </c>
      <c r="AW17" s="306">
        <f>IFERROR(IF(OR($AV$17="",$AV$17=0),0,ROUNDDOWN(AVERAGE($Q17,$S17,$U17),3)),0)</f>
        <v>1.0920000000000001</v>
      </c>
      <c r="AX17" s="306">
        <f>IFERROR(IF(OR($AV$17="",$AV$17=0),0,ROUNDDOWN(AVERAGE($Q17,$S17,$U17,$Y17,$AA17,$AC17),3)),0)</f>
        <v>1.093</v>
      </c>
      <c r="AY17" s="306">
        <f>IFERROR(IF(OR($AV$17="",$AV$17=0),0,ROUNDDOWN(AVERAGE($Q17,$S17,$U17,$Y17,$AA17,$AC17,$AG17,$AI17,$AK17),3)),0)</f>
        <v>1.153</v>
      </c>
      <c r="AZ17" s="1033">
        <f>IFERROR(IF(OR($AV$17="",$AV$17=0),0,ROUNDDOWN(AVERAGE($Q17,$S17,$U17,$Y17,$AA17,$AC17,$AG17,$AI17,$AK17,$AO17,$AQ17,$AS17),3)),0)</f>
        <v>0.86399999999999999</v>
      </c>
      <c r="BA17" s="340">
        <f>(IF(AND(AW17&gt;0,$AV17&gt;0),AW17/$AV17,0))*0.25</f>
        <v>0.28144329896907216</v>
      </c>
      <c r="BB17" s="340">
        <f>(IF(AND(AX17&gt;0,$AV17&gt;0),AX17/$AV17,0))*0.5</f>
        <v>0.56340206185566999</v>
      </c>
      <c r="BC17" s="340">
        <f>(IF(AND(AY17&gt;0,$AV17&gt;0),AY17/$AV17,0))*0.75</f>
        <v>0.89149484536082468</v>
      </c>
      <c r="BD17" s="349">
        <f>(IF(AND(AZ17&gt;0,$AV17&gt;0),AZ17/$AV17,0))*1</f>
        <v>0.89072164948453603</v>
      </c>
      <c r="BE17" s="345">
        <f>((IF(AND(AW17&gt;0,$F17&gt;0),AW17/$F17,0))*0.25)*0.25</f>
        <v>7.0360824742268055E-2</v>
      </c>
      <c r="BF17" s="1090">
        <f>((IF(AND(AX17&gt;0,$F17&gt;0),AX17/$F17,0))/4)*0.5</f>
        <v>0.14085051546391752</v>
      </c>
      <c r="BG17" s="1090">
        <f>((IF(AND(AY17&gt;0,$F17&gt;0),AY17/$F17,0))/4)*0.75</f>
        <v>0.22287371134020617</v>
      </c>
      <c r="BH17" s="1042">
        <f>((IF(AND(AZ17&gt;0,$F17&gt;0),AZ17/$F17,0))/4)</f>
        <v>0.22268041237113403</v>
      </c>
    </row>
    <row r="18" spans="2:60" ht="23.25">
      <c r="B18" s="1537"/>
      <c r="C18" s="1538"/>
      <c r="D18" s="1538"/>
      <c r="E18" s="1538"/>
      <c r="F18" s="1538"/>
      <c r="G18" s="1538"/>
      <c r="H18" s="1538"/>
      <c r="I18" s="1538"/>
      <c r="J18" s="1538"/>
      <c r="K18" s="1538"/>
      <c r="L18" s="1538"/>
      <c r="M18" s="1538"/>
      <c r="N18" s="1538"/>
      <c r="O18" s="1538"/>
      <c r="P18" s="1538"/>
      <c r="Q18" s="1538"/>
      <c r="R18" s="1538"/>
      <c r="S18" s="1538"/>
      <c r="T18" s="1538"/>
      <c r="U18" s="1538"/>
      <c r="V18" s="1538"/>
      <c r="W18" s="1538"/>
      <c r="X18" s="1538"/>
      <c r="Y18" s="1538"/>
      <c r="Z18" s="1538"/>
      <c r="AA18" s="1538"/>
      <c r="AB18" s="1538"/>
      <c r="AC18" s="1538"/>
      <c r="AD18" s="1538"/>
      <c r="AE18" s="1538"/>
      <c r="AF18" s="1538"/>
      <c r="AG18" s="1538"/>
      <c r="AH18" s="1538"/>
      <c r="AI18" s="1538"/>
      <c r="AJ18" s="1538"/>
      <c r="AK18" s="1538"/>
      <c r="AL18" s="1538"/>
      <c r="AM18" s="1538"/>
      <c r="AN18" s="1538"/>
      <c r="AO18" s="1538"/>
      <c r="AP18" s="1538"/>
      <c r="AQ18" s="1538"/>
      <c r="AR18" s="1538"/>
      <c r="AS18" s="1538"/>
      <c r="AT18" s="1538"/>
      <c r="AU18" s="1538"/>
      <c r="AV18" s="1538"/>
      <c r="AW18" s="1706"/>
      <c r="AX18" s="1676" t="s">
        <v>19</v>
      </c>
      <c r="AY18" s="1704"/>
      <c r="AZ18" s="1704"/>
      <c r="BA18" s="70">
        <f t="shared" ref="BA18:BD18" si="0">AVERAGE(BA16:BA17)</f>
        <v>0.26572164948453608</v>
      </c>
      <c r="BB18" s="70">
        <f t="shared" si="0"/>
        <v>0.53170103092783494</v>
      </c>
      <c r="BC18" s="70">
        <f t="shared" si="0"/>
        <v>0.82074742268041234</v>
      </c>
      <c r="BD18" s="70">
        <f t="shared" si="0"/>
        <v>0.82036082474226801</v>
      </c>
      <c r="BE18" s="1714"/>
      <c r="BF18" s="1801"/>
      <c r="BG18" s="1801"/>
      <c r="BH18" s="1802"/>
    </row>
    <row r="19" spans="2:60" ht="17.25">
      <c r="B19" s="1516"/>
      <c r="C19" s="1516"/>
      <c r="D19" s="1516"/>
      <c r="E19" s="1516"/>
      <c r="F19" s="1516"/>
      <c r="G19" s="1516"/>
      <c r="H19" s="238"/>
      <c r="I19" s="239"/>
      <c r="J19" s="239"/>
      <c r="K19" s="239"/>
      <c r="L19" s="239"/>
      <c r="M19" s="239"/>
      <c r="N19" s="239"/>
      <c r="O19" s="239"/>
    </row>
    <row r="20" spans="2:60" ht="17.25">
      <c r="B20" s="239"/>
      <c r="C20" s="239"/>
      <c r="D20" s="1686"/>
      <c r="E20" s="1686"/>
      <c r="F20" s="1686"/>
      <c r="G20" s="1686"/>
      <c r="H20" s="1686"/>
      <c r="I20" s="1686"/>
      <c r="J20" s="1686"/>
      <c r="K20" s="1686"/>
      <c r="L20" s="1686"/>
      <c r="M20" s="1686"/>
      <c r="N20" s="1686"/>
      <c r="O20" s="1686"/>
    </row>
    <row r="21" spans="2:60" ht="15.75">
      <c r="B21" s="77" t="s">
        <v>26</v>
      </c>
      <c r="C21" s="240">
        <v>44224</v>
      </c>
      <c r="D21" s="241"/>
      <c r="E21" s="1687" t="s">
        <v>50</v>
      </c>
      <c r="F21" s="328"/>
      <c r="G21" s="1688" t="s">
        <v>448</v>
      </c>
      <c r="H21" s="1688"/>
      <c r="I21" s="1688"/>
      <c r="J21" s="1688"/>
      <c r="K21" s="242"/>
      <c r="L21" s="1695"/>
      <c r="M21" s="1695"/>
      <c r="N21" s="1695"/>
      <c r="O21" s="1696"/>
    </row>
    <row r="22" spans="2:60" ht="17.25">
      <c r="B22" s="239"/>
      <c r="C22" s="239"/>
      <c r="D22" s="242"/>
      <c r="E22" s="1687"/>
      <c r="F22" s="328"/>
      <c r="G22" s="1688"/>
      <c r="H22" s="1688"/>
      <c r="I22" s="1688"/>
      <c r="J22" s="1688"/>
      <c r="K22" s="239"/>
      <c r="L22" s="239"/>
      <c r="M22" s="239"/>
      <c r="N22" s="239"/>
      <c r="O22" s="239"/>
    </row>
    <row r="23" spans="2:60" ht="17.25">
      <c r="B23" s="77" t="s">
        <v>49</v>
      </c>
      <c r="C23" s="80">
        <v>44581</v>
      </c>
      <c r="D23" s="239"/>
      <c r="E23" s="239"/>
      <c r="F23" s="239"/>
      <c r="K23" s="239"/>
      <c r="L23" s="239"/>
      <c r="M23" s="239"/>
      <c r="N23" s="239"/>
      <c r="O23" s="239"/>
    </row>
    <row r="24" spans="2:60" ht="17.25">
      <c r="B24" s="239"/>
      <c r="C24" s="239"/>
      <c r="D24" s="239"/>
      <c r="E24" s="239"/>
      <c r="F24" s="239"/>
      <c r="K24" s="239"/>
      <c r="L24" s="239"/>
      <c r="M24" s="239"/>
      <c r="N24" s="239"/>
      <c r="O24" s="239"/>
    </row>
    <row r="25" spans="2:60" ht="17.25">
      <c r="B25" s="605" t="s">
        <v>922</v>
      </c>
      <c r="C25" s="239"/>
      <c r="D25" s="239"/>
      <c r="E25" s="239"/>
      <c r="F25" s="239"/>
      <c r="G25" s="238"/>
      <c r="H25" s="238"/>
      <c r="I25" s="1694"/>
      <c r="J25" s="1694"/>
      <c r="K25" s="1694"/>
      <c r="L25" s="1694"/>
      <c r="M25" s="243"/>
      <c r="N25" s="243"/>
      <c r="O25" s="243"/>
    </row>
    <row r="26" spans="2:60" ht="17.25">
      <c r="B26" s="239"/>
      <c r="C26" s="239"/>
      <c r="D26" s="239"/>
      <c r="E26" s="239"/>
      <c r="F26" s="239"/>
      <c r="G26" s="238"/>
      <c r="H26" s="238"/>
      <c r="I26" s="239"/>
      <c r="J26" s="239"/>
      <c r="K26" s="244"/>
      <c r="L26" s="239"/>
      <c r="M26" s="239"/>
      <c r="N26" s="239"/>
      <c r="O26" s="239"/>
    </row>
    <row r="27" spans="2:60" ht="17.25">
      <c r="B27" s="239"/>
      <c r="C27" s="239"/>
      <c r="D27" s="239"/>
      <c r="E27" s="239"/>
      <c r="F27" s="239"/>
      <c r="G27" s="238"/>
      <c r="H27" s="238"/>
      <c r="I27" s="1694"/>
      <c r="J27" s="1694"/>
      <c r="K27" s="1694"/>
      <c r="L27" s="1694"/>
      <c r="M27" s="243"/>
      <c r="N27" s="243"/>
      <c r="O27" s="243"/>
    </row>
    <row r="28" spans="2:60" ht="17.25">
      <c r="B28" s="239"/>
      <c r="C28" s="239"/>
      <c r="D28" s="239"/>
      <c r="E28" s="239"/>
      <c r="F28" s="239"/>
      <c r="G28" s="238"/>
      <c r="H28" s="238"/>
      <c r="I28" s="239"/>
      <c r="J28" s="239"/>
      <c r="K28" s="244"/>
      <c r="L28" s="239"/>
      <c r="M28" s="239"/>
      <c r="N28" s="239"/>
      <c r="O28" s="239"/>
    </row>
    <row r="29" spans="2:60" ht="17.25">
      <c r="B29" s="239"/>
      <c r="C29" s="239"/>
      <c r="D29" s="239"/>
      <c r="E29" s="239"/>
      <c r="F29" s="239"/>
      <c r="G29" s="238"/>
      <c r="H29" s="238"/>
      <c r="I29" s="1694"/>
      <c r="J29" s="1694"/>
      <c r="K29" s="1694"/>
      <c r="L29" s="1694"/>
      <c r="M29" s="243"/>
      <c r="N29" s="243"/>
      <c r="O29" s="243"/>
    </row>
  </sheetData>
  <sheetProtection algorithmName="SHA-512" hashValue="uofnyvYg5ojIOEfou8mnHyn94LZ6rk1SA8+L4Mc4vXTU1kW7LuWCgw5tKuPJEz2Wi1xcjdgaeoZrmdeA/5czdQ==" saltValue="8dZUUIiGSHT8qpllFinUFA==" spinCount="100000" sheet="1" objects="1" scenarios="1"/>
  <mergeCells count="72">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7:L27"/>
    <mergeCell ref="I29:L29"/>
    <mergeCell ref="B19:G19"/>
    <mergeCell ref="AX18:AZ18"/>
    <mergeCell ref="D20:O20"/>
    <mergeCell ref="E21:E22"/>
    <mergeCell ref="G21:J22"/>
    <mergeCell ref="L21:O21"/>
    <mergeCell ref="I25:L25"/>
    <mergeCell ref="B18:AW18"/>
  </mergeCells>
  <conditionalFormatting sqref="BA16:BD17">
    <cfRule type="cellIs" dxfId="34" priority="1" operator="greaterThan">
      <formula>1</formula>
    </cfRule>
    <cfRule type="cellIs" dxfId="33" priority="2" operator="between">
      <formula>0.8</formula>
      <formula>1</formula>
    </cfRule>
    <cfRule type="cellIs" dxfId="32" priority="3" operator="between">
      <formula>0.61</formula>
      <formula>0.79</formula>
    </cfRule>
    <cfRule type="cellIs" dxfId="31"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66FF33"/>
  </sheetPr>
  <dimension ref="B1:BH30"/>
  <sheetViews>
    <sheetView showGridLines="0" topLeftCell="AW12" zoomScale="70" zoomScaleNormal="70" workbookViewId="0">
      <selection activeCell="BG16" sqref="BG16:BG18"/>
    </sheetView>
  </sheetViews>
  <sheetFormatPr baseColWidth="10" defaultColWidth="17.28515625" defaultRowHeight="15" customHeight="1"/>
  <cols>
    <col min="1" max="1" width="4.28515625" style="135" customWidth="1"/>
    <col min="2" max="2" width="50.42578125" style="133" customWidth="1"/>
    <col min="3" max="3" width="31.42578125" style="133" customWidth="1"/>
    <col min="4" max="4" width="49.7109375" style="133" customWidth="1"/>
    <col min="5" max="6" width="27.5703125" style="133" customWidth="1"/>
    <col min="7" max="7" width="27" style="134" customWidth="1"/>
    <col min="8" max="8" width="23.85546875" style="134" customWidth="1"/>
    <col min="9" max="9" width="44" style="133" customWidth="1"/>
    <col min="10" max="10" width="31.85546875" style="133" customWidth="1"/>
    <col min="11" max="11" width="55.85546875" style="133" customWidth="1"/>
    <col min="12" max="12" width="33.5703125" style="133" customWidth="1"/>
    <col min="13" max="13" width="49.42578125" style="133" customWidth="1"/>
    <col min="14" max="14" width="28.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0" ht="18" thickBot="1"/>
    <row r="2" spans="2:60" ht="15.75">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0" ht="15.75">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0"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5.75">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0" ht="20.25">
      <c r="B8" s="213" t="s">
        <v>45</v>
      </c>
      <c r="C8" s="1713" t="s">
        <v>93</v>
      </c>
      <c r="D8" s="1713"/>
      <c r="E8" s="214"/>
      <c r="F8" s="214"/>
      <c r="G8" s="214"/>
      <c r="H8" s="214"/>
      <c r="I8" s="214"/>
      <c r="J8" s="214"/>
      <c r="K8" s="214"/>
      <c r="L8" s="214"/>
      <c r="M8" s="214"/>
      <c r="N8" s="214"/>
      <c r="O8" s="214"/>
      <c r="AW8" s="231"/>
      <c r="AX8" s="231"/>
      <c r="AY8" s="231"/>
      <c r="AZ8" s="231"/>
      <c r="BA8" s="231"/>
      <c r="BB8" s="231"/>
      <c r="BC8" s="231"/>
      <c r="BD8" s="231"/>
    </row>
    <row r="9" spans="2:60" ht="73.5" customHeight="1">
      <c r="B9" s="213" t="s">
        <v>34</v>
      </c>
      <c r="C9" s="1672" t="s">
        <v>470</v>
      </c>
      <c r="D9" s="1673"/>
      <c r="E9" s="214"/>
      <c r="F9" s="214"/>
      <c r="G9" s="214"/>
      <c r="H9" s="214"/>
      <c r="I9" s="214"/>
      <c r="J9" s="214"/>
      <c r="K9" s="214"/>
      <c r="L9" s="214"/>
      <c r="M9" s="214"/>
      <c r="N9" s="214"/>
      <c r="O9" s="214"/>
      <c r="AW9" s="231"/>
      <c r="AX9" s="231"/>
      <c r="AY9" s="231"/>
      <c r="AZ9" s="231"/>
      <c r="BA9" s="231"/>
      <c r="BB9" s="231"/>
      <c r="BC9" s="231"/>
      <c r="BD9" s="231"/>
    </row>
    <row r="10" spans="2:60" ht="25.5">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2:60"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0" ht="15.6"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0"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2:60"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0" ht="13.1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0" ht="159" customHeight="1">
      <c r="B16" s="153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1" t="str">
        <f>+'01-FR-03 POA INSTITUCIONAL'!C69</f>
        <v>4.4. Implementar el 100% de las acciones necesarias para la modernización de la gestión institucional a través de los procesos de apoyo, que permita una mejor prestación del servicio.</v>
      </c>
      <c r="D16" s="224" t="str">
        <f>+'01-FR-03 POA INSTITUCIONAL'!D71</f>
        <v>4.4.3 Ejecutar el 95% del presupuesto aprobado para la Entidad</v>
      </c>
      <c r="E16" s="59">
        <f>+'01-FR-03 POA INSTITUCIONAL'!E71</f>
        <v>7.0000000000000007E-2</v>
      </c>
      <c r="F16" s="327">
        <f>+'01-FR-03 POA INSTITUCIONAL'!F71</f>
        <v>0.95</v>
      </c>
      <c r="G16" s="59">
        <f>+'01-FR-03 POA INSTITUCIONAL'!L71</f>
        <v>0.95</v>
      </c>
      <c r="H16" s="140" t="str">
        <f>+'01-FR-03 POA INSTITUCIONAL'!G71</f>
        <v>S.I.</v>
      </c>
      <c r="I16" s="140" t="str">
        <f>+'01-FR-03 POA INSTITUCIONAL'!H71</f>
        <v>Porcentaje del presupuesto aprobado y ejecutado.</v>
      </c>
      <c r="J16" s="287" t="s">
        <v>471</v>
      </c>
      <c r="K16" s="274" t="s">
        <v>472</v>
      </c>
      <c r="L16" s="217" t="s">
        <v>473</v>
      </c>
      <c r="M16" s="235" t="s">
        <v>486</v>
      </c>
      <c r="N16" s="217" t="s">
        <v>474</v>
      </c>
      <c r="O16" s="288" t="str">
        <f>+'01-FR-03 POA INSTITUCIONAL'!J71</f>
        <v>Subdirección de Gestión Financiera
Dirección Administrativa y Financiera</v>
      </c>
      <c r="P16" s="989">
        <v>7.0000000000000007E-2</v>
      </c>
      <c r="Q16" s="989">
        <v>0.15</v>
      </c>
      <c r="R16" s="989">
        <v>7.0000000000000007E-2</v>
      </c>
      <c r="S16" s="989">
        <v>5.3999999999999999E-2</v>
      </c>
      <c r="T16" s="989">
        <v>0.08</v>
      </c>
      <c r="U16" s="989">
        <v>6.7000000000000004E-2</v>
      </c>
      <c r="V16" s="320">
        <f>P16+R16+T16</f>
        <v>0.22000000000000003</v>
      </c>
      <c r="W16" s="320">
        <f>Q16+S16+U16</f>
        <v>0.27100000000000002</v>
      </c>
      <c r="X16" s="989">
        <v>0.08</v>
      </c>
      <c r="Y16" s="989">
        <v>6.4000000000000001E-2</v>
      </c>
      <c r="Z16" s="989">
        <v>0.08</v>
      </c>
      <c r="AA16" s="989">
        <v>5.8999999999999997E-2</v>
      </c>
      <c r="AB16" s="989">
        <v>0.09</v>
      </c>
      <c r="AC16" s="989">
        <v>0.11600000000000001</v>
      </c>
      <c r="AD16" s="320">
        <f>X16+Z16+AB16</f>
        <v>0.25</v>
      </c>
      <c r="AE16" s="320">
        <f>Y16+AA16+AC16</f>
        <v>0.23899999999999999</v>
      </c>
      <c r="AF16" s="989">
        <v>0.08</v>
      </c>
      <c r="AG16" s="989">
        <v>7.2999999999999995E-2</v>
      </c>
      <c r="AH16" s="989">
        <v>0.08</v>
      </c>
      <c r="AI16" s="989">
        <v>6.4000000000000001E-2</v>
      </c>
      <c r="AJ16" s="1003">
        <v>0.09</v>
      </c>
      <c r="AK16" s="1003">
        <v>7.9000000000000001E-2</v>
      </c>
      <c r="AL16" s="320">
        <f>AF16+AH16+AJ16</f>
        <v>0.25</v>
      </c>
      <c r="AM16" s="320">
        <f>AG16+AI16+AK16</f>
        <v>0.21600000000000003</v>
      </c>
      <c r="AN16" s="989">
        <v>0.08</v>
      </c>
      <c r="AO16" s="989"/>
      <c r="AP16" s="989">
        <v>0.08</v>
      </c>
      <c r="AQ16" s="989"/>
      <c r="AR16" s="989">
        <v>7.0000000000000007E-2</v>
      </c>
      <c r="AS16" s="975"/>
      <c r="AT16" s="320">
        <f>AN16+AP16+AR16</f>
        <v>0.23</v>
      </c>
      <c r="AU16" s="320">
        <f>AO16+AQ16+AS16</f>
        <v>0</v>
      </c>
      <c r="AV16" s="320">
        <f>V16+AD16+AL16+AT16</f>
        <v>0.95</v>
      </c>
      <c r="AW16" s="306">
        <f>+W16</f>
        <v>0.27100000000000002</v>
      </c>
      <c r="AX16" s="306">
        <f>+W16+AE16</f>
        <v>0.51</v>
      </c>
      <c r="AY16" s="306">
        <f>+W16+AE16+AM16</f>
        <v>0.72599999999999998</v>
      </c>
      <c r="AZ16" s="1033">
        <f>+W16+AE16+AM16+AU16</f>
        <v>0.72599999999999998</v>
      </c>
      <c r="BA16" s="348">
        <f>IF(AND(AW16&gt;0,$AV16&gt;0),AW16/$AV16,0)</f>
        <v>0.28526315789473689</v>
      </c>
      <c r="BB16" s="340">
        <f t="shared" ref="BB16:BD16" si="0">IF(AND(AX16&gt;0,$AV16&gt;0),AX16/$AV16,0)</f>
        <v>0.5368421052631579</v>
      </c>
      <c r="BC16" s="340">
        <f t="shared" si="0"/>
        <v>0.76421052631578945</v>
      </c>
      <c r="BD16" s="340">
        <f t="shared" si="0"/>
        <v>0.76421052631578945</v>
      </c>
      <c r="BE16" s="345">
        <f>((IF(AND(AW16&gt;0,$F16&gt;0),AW16/$F16,0))/4)</f>
        <v>7.1315789473684221E-2</v>
      </c>
      <c r="BF16" s="345">
        <f>((IF(AND(AX16&gt;0,$F16&gt;0),AX16/$F16,0))/4)</f>
        <v>0.13421052631578947</v>
      </c>
      <c r="BG16" s="345">
        <f>((IF(AND(AY16&gt;0,$F16&gt;0),AY16/$F16,0))/4)</f>
        <v>0.19105263157894736</v>
      </c>
      <c r="BH16" s="1032">
        <f>((IF(AND(AZ16&gt;0,$F16&gt;0),AZ16/$F16,0))/4)</f>
        <v>0.19105263157894736</v>
      </c>
    </row>
    <row r="17" spans="2:60" ht="118.9" customHeight="1">
      <c r="B17" s="1604"/>
      <c r="C17" s="1604"/>
      <c r="D17" s="224" t="str">
        <f>+'01-FR-03 POA INSTITUCIONAL'!D72</f>
        <v>4.4.4 Programar y ejecutar el 95% de los compromisos de pago adquiridos por la Entidad</v>
      </c>
      <c r="E17" s="59">
        <f>+'01-FR-03 POA INSTITUCIONAL'!E72</f>
        <v>7.0000000000000007E-2</v>
      </c>
      <c r="F17" s="327">
        <f>+'01-FR-03 POA INSTITUCIONAL'!F72</f>
        <v>0.95</v>
      </c>
      <c r="G17" s="59">
        <f>+'01-FR-03 POA INSTITUCIONAL'!L72</f>
        <v>0.95</v>
      </c>
      <c r="H17" s="140" t="str">
        <f>+'01-FR-03 POA INSTITUCIONAL'!G72</f>
        <v>S.I.</v>
      </c>
      <c r="I17" s="140" t="str">
        <f>+'01-FR-03 POA INSTITUCIONAL'!H72</f>
        <v>Porcentaje de los compromisos de pago programados y ejecutados.</v>
      </c>
      <c r="J17" s="287" t="s">
        <v>475</v>
      </c>
      <c r="K17" s="274" t="s">
        <v>476</v>
      </c>
      <c r="L17" s="217" t="s">
        <v>477</v>
      </c>
      <c r="M17" s="235" t="s">
        <v>484</v>
      </c>
      <c r="N17" s="217" t="s">
        <v>478</v>
      </c>
      <c r="O17" s="288" t="str">
        <f>+'01-FR-03 POA INSTITUCIONAL'!J72</f>
        <v>Subdirección de Gestión Financiera
Dirección Administrativa y Financiera</v>
      </c>
      <c r="P17" s="995">
        <v>0.03</v>
      </c>
      <c r="Q17" s="995">
        <v>7.7000000000000002E-3</v>
      </c>
      <c r="R17" s="995">
        <v>0.05</v>
      </c>
      <c r="S17" s="995">
        <v>5.3800000000000001E-2</v>
      </c>
      <c r="T17" s="995">
        <v>0.06</v>
      </c>
      <c r="U17" s="995">
        <v>7.0099999999999996E-2</v>
      </c>
      <c r="V17" s="321">
        <f t="shared" ref="V17:W18" si="1">P17+R17+T17</f>
        <v>0.14000000000000001</v>
      </c>
      <c r="W17" s="321">
        <f t="shared" si="1"/>
        <v>0.13159999999999999</v>
      </c>
      <c r="X17" s="995">
        <v>7.0000000000000007E-2</v>
      </c>
      <c r="Y17" s="1093">
        <v>7.1199999999999999E-2</v>
      </c>
      <c r="Z17" s="995">
        <v>0.08</v>
      </c>
      <c r="AA17" s="995">
        <v>9.5899999999999999E-2</v>
      </c>
      <c r="AB17" s="995">
        <v>0.1</v>
      </c>
      <c r="AC17" s="995">
        <v>8.5699999999999998E-2</v>
      </c>
      <c r="AD17" s="321">
        <f t="shared" ref="AD17:AE18" si="2">X17+Z17+AB17</f>
        <v>0.25</v>
      </c>
      <c r="AE17" s="321">
        <f t="shared" si="2"/>
        <v>0.25280000000000002</v>
      </c>
      <c r="AF17" s="995">
        <v>7.0000000000000007E-2</v>
      </c>
      <c r="AG17" s="995">
        <v>7.5899999999999995E-2</v>
      </c>
      <c r="AH17" s="995">
        <v>0.08</v>
      </c>
      <c r="AI17" s="995">
        <v>8.3400000000000002E-2</v>
      </c>
      <c r="AJ17" s="995">
        <v>0.08</v>
      </c>
      <c r="AK17" s="995">
        <v>7.1099999999999997E-2</v>
      </c>
      <c r="AL17" s="321">
        <f t="shared" ref="AL17:AM18" si="3">AF17+AH17+AJ17</f>
        <v>0.23000000000000004</v>
      </c>
      <c r="AM17" s="321">
        <f t="shared" si="3"/>
        <v>0.23039999999999999</v>
      </c>
      <c r="AN17" s="995">
        <v>0.08</v>
      </c>
      <c r="AO17" s="995"/>
      <c r="AP17" s="995">
        <v>0.09</v>
      </c>
      <c r="AQ17" s="995"/>
      <c r="AR17" s="995">
        <v>0.16</v>
      </c>
      <c r="AS17" s="975"/>
      <c r="AT17" s="321">
        <f t="shared" ref="AT17:AU18" si="4">AN17+AP17+AR17</f>
        <v>0.32999999999999996</v>
      </c>
      <c r="AU17" s="321">
        <f t="shared" si="4"/>
        <v>0</v>
      </c>
      <c r="AV17" s="321">
        <f t="shared" ref="AV17:AV18" si="5">V17+AD17+AL17+AT17</f>
        <v>0.95000000000000007</v>
      </c>
      <c r="AW17" s="325">
        <f t="shared" ref="AW17:AW18" si="6">+W17</f>
        <v>0.13159999999999999</v>
      </c>
      <c r="AX17" s="325">
        <f t="shared" ref="AX17:AX18" si="7">+W17+AE17</f>
        <v>0.38440000000000002</v>
      </c>
      <c r="AY17" s="325">
        <f t="shared" ref="AY17:AY18" si="8">+W17+AE17+AM17</f>
        <v>0.61480000000000001</v>
      </c>
      <c r="AZ17" s="1041">
        <f t="shared" ref="AZ17:AZ18" si="9">+W17+AE17+AM17+AU17</f>
        <v>0.61480000000000001</v>
      </c>
      <c r="BA17" s="350">
        <f t="shared" ref="BA17:BA18" si="10">IF(AND(AW17&gt;0,$AV17&gt;0),AW17/$AV17,0)</f>
        <v>0.13852631578947366</v>
      </c>
      <c r="BB17" s="351">
        <f t="shared" ref="BB17:BB18" si="11">IF(AND(AX17&gt;0,$AV17&gt;0),AX17/$AV17,0)</f>
        <v>0.4046315789473684</v>
      </c>
      <c r="BC17" s="378">
        <f t="shared" ref="BC17:BC18" si="12">IF(AND(AY17&gt;0,$AV17&gt;0),AY17/$AV17,0)</f>
        <v>0.64715789473684204</v>
      </c>
      <c r="BD17" s="351">
        <f t="shared" ref="BD17:BD18" si="13">IF(AND(AZ17&gt;0,$AV17&gt;0),AZ17/$AV17,0)</f>
        <v>0.64715789473684204</v>
      </c>
      <c r="BE17" s="345">
        <f>((IF(AND(AW17&gt;0,$F17&gt;0),AW17/$F17,0))/4)</f>
        <v>3.4631578947368423E-2</v>
      </c>
      <c r="BF17" s="345">
        <f t="shared" ref="BF17:BH18" si="14">((IF(AND(AX17&gt;0,$F17&gt;0),AX17/$F17,0))/4)</f>
        <v>0.10115789473684211</v>
      </c>
      <c r="BG17" s="345">
        <f t="shared" si="14"/>
        <v>0.16178947368421054</v>
      </c>
      <c r="BH17" s="1032">
        <f t="shared" si="14"/>
        <v>0.16178947368421054</v>
      </c>
    </row>
    <row r="18" spans="2:60" ht="120.6" customHeight="1">
      <c r="B18" s="1604"/>
      <c r="C18" s="1604"/>
      <c r="D18" s="224" t="str">
        <f>+'01-FR-03 POA INSTITUCIONAL'!D73</f>
        <v>4.4.5 Elaborar y presentar el 100% de los estados financieros de la Entidad</v>
      </c>
      <c r="E18" s="59">
        <f>+'01-FR-03 POA INSTITUCIONAL'!E73</f>
        <v>0.06</v>
      </c>
      <c r="F18" s="327">
        <f>+'01-FR-03 POA INSTITUCIONAL'!F73</f>
        <v>1</v>
      </c>
      <c r="G18" s="59">
        <f>+'01-FR-03 POA INSTITUCIONAL'!L73</f>
        <v>1</v>
      </c>
      <c r="H18" s="140" t="str">
        <f>+'01-FR-03 POA INSTITUCIONAL'!G73</f>
        <v>S.I.</v>
      </c>
      <c r="I18" s="140" t="str">
        <f>+'01-FR-03 POA INSTITUCIONAL'!H73</f>
        <v>Porcentaje de estados financieros de la Entidad elaborados y presentados.</v>
      </c>
      <c r="J18" s="287" t="s">
        <v>479</v>
      </c>
      <c r="K18" s="274" t="s">
        <v>480</v>
      </c>
      <c r="L18" s="217" t="s">
        <v>481</v>
      </c>
      <c r="M18" s="235" t="s">
        <v>485</v>
      </c>
      <c r="N18" s="217" t="s">
        <v>482</v>
      </c>
      <c r="O18" s="288" t="str">
        <f>+'01-FR-03 POA INSTITUCIONAL'!J73</f>
        <v>Subdirección de Gestión Financiera
Dirección Administrativa y Financiera</v>
      </c>
      <c r="P18" s="989">
        <v>0.08</v>
      </c>
      <c r="Q18" s="989">
        <v>0.08</v>
      </c>
      <c r="R18" s="989">
        <v>0.08</v>
      </c>
      <c r="S18" s="989">
        <v>0.08</v>
      </c>
      <c r="T18" s="989">
        <v>0.09</v>
      </c>
      <c r="U18" s="975">
        <v>0.09</v>
      </c>
      <c r="V18" s="320">
        <f t="shared" si="1"/>
        <v>0.25</v>
      </c>
      <c r="W18" s="320">
        <f t="shared" si="1"/>
        <v>0.25</v>
      </c>
      <c r="X18" s="989">
        <v>0.08</v>
      </c>
      <c r="Y18" s="989">
        <v>0.08</v>
      </c>
      <c r="Z18" s="989">
        <v>0.08</v>
      </c>
      <c r="AA18" s="989">
        <v>0.08</v>
      </c>
      <c r="AB18" s="989">
        <v>0.09</v>
      </c>
      <c r="AC18" s="975">
        <v>0.09</v>
      </c>
      <c r="AD18" s="320">
        <f t="shared" si="2"/>
        <v>0.25</v>
      </c>
      <c r="AE18" s="320">
        <f t="shared" si="2"/>
        <v>0.25</v>
      </c>
      <c r="AF18" s="989">
        <v>0.08</v>
      </c>
      <c r="AG18" s="989">
        <v>0.08</v>
      </c>
      <c r="AH18" s="989">
        <v>0.08</v>
      </c>
      <c r="AI18" s="989">
        <v>0.08</v>
      </c>
      <c r="AJ18" s="989">
        <v>0.09</v>
      </c>
      <c r="AK18" s="995">
        <v>0.09</v>
      </c>
      <c r="AL18" s="320">
        <f t="shared" si="3"/>
        <v>0.25</v>
      </c>
      <c r="AM18" s="320">
        <f t="shared" si="3"/>
        <v>0.25</v>
      </c>
      <c r="AN18" s="989">
        <v>0.08</v>
      </c>
      <c r="AO18" s="989"/>
      <c r="AP18" s="989">
        <v>0.08</v>
      </c>
      <c r="AQ18" s="989"/>
      <c r="AR18" s="989">
        <v>0.09</v>
      </c>
      <c r="AS18" s="975"/>
      <c r="AT18" s="320">
        <f t="shared" si="4"/>
        <v>0.25</v>
      </c>
      <c r="AU18" s="320">
        <f t="shared" si="4"/>
        <v>0</v>
      </c>
      <c r="AV18" s="320">
        <f t="shared" si="5"/>
        <v>1</v>
      </c>
      <c r="AW18" s="306">
        <f t="shared" si="6"/>
        <v>0.25</v>
      </c>
      <c r="AX18" s="306">
        <f t="shared" si="7"/>
        <v>0.5</v>
      </c>
      <c r="AY18" s="306">
        <f t="shared" si="8"/>
        <v>0.75</v>
      </c>
      <c r="AZ18" s="1033">
        <f t="shared" si="9"/>
        <v>0.75</v>
      </c>
      <c r="BA18" s="348">
        <f t="shared" si="10"/>
        <v>0.25</v>
      </c>
      <c r="BB18" s="349">
        <f t="shared" si="11"/>
        <v>0.5</v>
      </c>
      <c r="BC18" s="340">
        <f t="shared" si="12"/>
        <v>0.75</v>
      </c>
      <c r="BD18" s="349">
        <f t="shared" si="13"/>
        <v>0.75</v>
      </c>
      <c r="BE18" s="345">
        <f>((IF(AND(AW18&gt;0,$F18&gt;0),AW18/$F18,0))/4)</f>
        <v>6.25E-2</v>
      </c>
      <c r="BF18" s="345">
        <f t="shared" si="14"/>
        <v>0.125</v>
      </c>
      <c r="BG18" s="345">
        <f t="shared" si="14"/>
        <v>0.1875</v>
      </c>
      <c r="BH18" s="1032">
        <f t="shared" si="14"/>
        <v>0.1875</v>
      </c>
    </row>
    <row r="19" spans="2:60" ht="23.25">
      <c r="B19" s="1537"/>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c r="AM19" s="1538"/>
      <c r="AN19" s="1538"/>
      <c r="AO19" s="1538"/>
      <c r="AP19" s="1538"/>
      <c r="AQ19" s="1538"/>
      <c r="AR19" s="1538"/>
      <c r="AS19" s="1538"/>
      <c r="AT19" s="1538"/>
      <c r="AU19" s="1538"/>
      <c r="AV19" s="1538"/>
      <c r="AW19" s="1706"/>
      <c r="AX19" s="1676" t="s">
        <v>19</v>
      </c>
      <c r="AY19" s="1704"/>
      <c r="AZ19" s="1704"/>
      <c r="BA19" s="70">
        <f t="shared" ref="BA19:BD19" si="15">AVERAGE(BA16:BA18)</f>
        <v>0.22459649122807016</v>
      </c>
      <c r="BB19" s="70">
        <f t="shared" si="15"/>
        <v>0.48049122807017541</v>
      </c>
      <c r="BC19" s="70">
        <f t="shared" si="15"/>
        <v>0.72045614035087713</v>
      </c>
      <c r="BD19" s="70">
        <f t="shared" si="15"/>
        <v>0.72045614035087713</v>
      </c>
      <c r="BE19" s="1714"/>
      <c r="BF19" s="1715"/>
      <c r="BG19" s="1715"/>
      <c r="BH19" s="1716"/>
    </row>
    <row r="20" spans="2:60" ht="17.25">
      <c r="B20" s="1516"/>
      <c r="C20" s="1516"/>
      <c r="D20" s="1516"/>
      <c r="E20" s="1516"/>
      <c r="F20" s="1516"/>
      <c r="G20" s="1516"/>
      <c r="H20" s="238"/>
      <c r="I20" s="239"/>
      <c r="J20" s="239"/>
      <c r="K20" s="239"/>
      <c r="L20" s="239"/>
      <c r="M20" s="239"/>
      <c r="N20" s="239"/>
      <c r="O20" s="239"/>
    </row>
    <row r="21" spans="2:60" ht="17.25">
      <c r="B21" s="239"/>
      <c r="C21" s="239"/>
      <c r="D21" s="1686"/>
      <c r="E21" s="1686"/>
      <c r="F21" s="1686"/>
      <c r="G21" s="1686"/>
      <c r="H21" s="1686"/>
      <c r="I21" s="1686"/>
      <c r="J21" s="1686"/>
      <c r="K21" s="1686"/>
      <c r="L21" s="1686"/>
      <c r="M21" s="1686"/>
      <c r="N21" s="1686"/>
      <c r="O21" s="1686"/>
    </row>
    <row r="22" spans="2:60" ht="15.6" customHeight="1">
      <c r="B22" s="77" t="s">
        <v>26</v>
      </c>
      <c r="C22" s="240">
        <v>44224</v>
      </c>
      <c r="D22" s="241"/>
      <c r="E22" s="1687" t="s">
        <v>50</v>
      </c>
      <c r="F22" s="1805" t="s">
        <v>483</v>
      </c>
      <c r="G22" s="1806"/>
      <c r="H22" s="1806"/>
      <c r="I22" s="1806"/>
      <c r="J22" s="1807"/>
      <c r="K22" s="242"/>
      <c r="L22" s="1695"/>
      <c r="M22" s="1695"/>
      <c r="N22" s="1695"/>
      <c r="O22" s="1696"/>
    </row>
    <row r="23" spans="2:60" ht="17.25">
      <c r="B23" s="239"/>
      <c r="C23" s="239"/>
      <c r="D23" s="242"/>
      <c r="E23" s="1687"/>
      <c r="F23" s="1808"/>
      <c r="G23" s="1809"/>
      <c r="H23" s="1809"/>
      <c r="I23" s="1809"/>
      <c r="J23" s="1810"/>
      <c r="K23" s="239"/>
      <c r="L23" s="239"/>
      <c r="M23" s="239"/>
      <c r="N23" s="239"/>
      <c r="O23" s="239"/>
    </row>
    <row r="24" spans="2:60" ht="17.25">
      <c r="B24" s="77" t="s">
        <v>49</v>
      </c>
      <c r="C24" s="80">
        <v>44581</v>
      </c>
      <c r="D24" s="239"/>
      <c r="E24" s="239"/>
      <c r="F24" s="239"/>
      <c r="K24" s="239"/>
      <c r="L24" s="239"/>
      <c r="M24" s="239"/>
      <c r="N24" s="239"/>
      <c r="O24" s="239"/>
    </row>
    <row r="25" spans="2:60" ht="17.25">
      <c r="B25" s="239"/>
      <c r="C25" s="239"/>
      <c r="D25" s="239"/>
      <c r="E25" s="239"/>
      <c r="F25" s="239"/>
      <c r="K25" s="239"/>
      <c r="L25" s="239"/>
      <c r="M25" s="239"/>
      <c r="N25" s="239"/>
      <c r="O25" s="239"/>
    </row>
    <row r="26" spans="2:60" ht="17.25">
      <c r="B26" s="605" t="s">
        <v>922</v>
      </c>
      <c r="C26" s="239"/>
      <c r="D26" s="239"/>
      <c r="E26" s="239"/>
      <c r="F26" s="239"/>
      <c r="G26" s="238"/>
      <c r="H26" s="238"/>
      <c r="I26" s="1694"/>
      <c r="J26" s="1694"/>
      <c r="K26" s="1694"/>
      <c r="L26" s="1694"/>
      <c r="M26" s="243"/>
      <c r="N26" s="243"/>
      <c r="O26" s="243"/>
    </row>
    <row r="27" spans="2:60" ht="17.25">
      <c r="B27" s="239"/>
      <c r="C27" s="239"/>
      <c r="D27" s="239"/>
      <c r="E27" s="239"/>
      <c r="F27" s="239"/>
      <c r="G27" s="238"/>
      <c r="H27" s="238"/>
      <c r="I27" s="239"/>
      <c r="J27" s="239"/>
      <c r="K27" s="244"/>
      <c r="L27" s="239"/>
      <c r="M27" s="239"/>
      <c r="N27" s="239"/>
      <c r="O27" s="239"/>
    </row>
    <row r="28" spans="2:60" ht="17.25">
      <c r="B28" s="239"/>
      <c r="C28" s="239"/>
      <c r="D28" s="239"/>
      <c r="E28" s="239"/>
      <c r="F28" s="239"/>
      <c r="G28" s="238"/>
      <c r="H28" s="238"/>
      <c r="I28" s="1694"/>
      <c r="J28" s="1694"/>
      <c r="K28" s="1694"/>
      <c r="L28" s="1694"/>
      <c r="M28" s="243"/>
      <c r="N28" s="243"/>
      <c r="O28" s="243"/>
    </row>
    <row r="29" spans="2:60" ht="17.25">
      <c r="B29" s="239"/>
      <c r="C29" s="239"/>
      <c r="D29" s="239"/>
      <c r="E29" s="239"/>
      <c r="F29" s="239"/>
      <c r="G29" s="238"/>
      <c r="H29" s="238"/>
      <c r="I29" s="239"/>
      <c r="J29" s="239"/>
      <c r="K29" s="244"/>
      <c r="L29" s="239"/>
      <c r="M29" s="239"/>
      <c r="N29" s="239"/>
      <c r="O29" s="239"/>
    </row>
    <row r="30" spans="2:60" ht="17.25">
      <c r="B30" s="239"/>
      <c r="C30" s="239"/>
      <c r="D30" s="239"/>
      <c r="E30" s="239"/>
      <c r="F30" s="239"/>
      <c r="G30" s="238"/>
      <c r="H30" s="238"/>
      <c r="I30" s="1694"/>
      <c r="J30" s="1694"/>
      <c r="K30" s="1694"/>
      <c r="L30" s="1694"/>
      <c r="M30" s="243"/>
      <c r="N30" s="243"/>
      <c r="O30" s="243"/>
    </row>
  </sheetData>
  <sheetProtection algorithmName="SHA-512" hashValue="r66DQxBg2bJVw3kboWHnldHpzNXo3jkymNMpNC/bE5Pv6CFvmEarbAmty5MdhkQEzBponblC0pOhpHax249WOg==" saltValue="qvN5hwEgE7xH8F+7wNF9/g==" spinCount="100000" sheet="1" objects="1" scenarios="1"/>
  <mergeCells count="71">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8:L28"/>
    <mergeCell ref="I30:L30"/>
    <mergeCell ref="B20:G20"/>
    <mergeCell ref="AX19:AZ19"/>
    <mergeCell ref="D21:O21"/>
    <mergeCell ref="E22:E23"/>
    <mergeCell ref="L22:O22"/>
    <mergeCell ref="I26:L26"/>
    <mergeCell ref="B19:AW19"/>
    <mergeCell ref="F22:J23"/>
  </mergeCells>
  <conditionalFormatting sqref="BA16:BD18">
    <cfRule type="cellIs" dxfId="30" priority="1" operator="greaterThan">
      <formula>1</formula>
    </cfRule>
    <cfRule type="cellIs" dxfId="29" priority="2" operator="between">
      <formula>0.8</formula>
      <formula>1</formula>
    </cfRule>
    <cfRule type="cellIs" dxfId="28" priority="3" operator="between">
      <formula>0.61</formula>
      <formula>0.79</formula>
    </cfRule>
    <cfRule type="cellIs" dxfId="2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66FF33"/>
  </sheetPr>
  <dimension ref="B1:BH37"/>
  <sheetViews>
    <sheetView showGridLines="0" zoomScale="55" zoomScaleNormal="55" workbookViewId="0">
      <selection activeCell="BG17" sqref="BG17:BG19"/>
    </sheetView>
  </sheetViews>
  <sheetFormatPr baseColWidth="10" defaultColWidth="17.28515625" defaultRowHeight="15" customHeight="1"/>
  <cols>
    <col min="1" max="1" width="4.28515625" style="135" customWidth="1"/>
    <col min="2" max="2" width="50.42578125" style="133" customWidth="1"/>
    <col min="3" max="3" width="31.42578125" style="133" customWidth="1"/>
    <col min="4" max="4" width="49.7109375" style="133" customWidth="1"/>
    <col min="5" max="6" width="27.5703125" style="133" customWidth="1"/>
    <col min="7" max="8" width="29.28515625" style="134" customWidth="1"/>
    <col min="9" max="9" width="26" style="133" customWidth="1"/>
    <col min="10" max="10" width="37" style="133" customWidth="1"/>
    <col min="11" max="11" width="55.85546875" style="133" customWidth="1"/>
    <col min="12" max="12" width="48.42578125" style="133" customWidth="1"/>
    <col min="13" max="14" width="28.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0" ht="18" thickBot="1"/>
    <row r="2" spans="2:60" ht="15.75">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0" ht="15.75">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0"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5.75">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0" ht="20.25">
      <c r="B8" s="213" t="s">
        <v>45</v>
      </c>
      <c r="C8" s="1713" t="s">
        <v>94</v>
      </c>
      <c r="D8" s="1713"/>
      <c r="E8" s="214"/>
      <c r="F8" s="214"/>
      <c r="G8" s="214"/>
      <c r="H8" s="214"/>
      <c r="I8" s="214"/>
      <c r="J8" s="214"/>
      <c r="K8" s="214"/>
      <c r="L8" s="214"/>
      <c r="M8" s="214"/>
      <c r="N8" s="214"/>
      <c r="O8" s="214"/>
      <c r="AW8" s="231"/>
      <c r="AX8" s="231"/>
      <c r="AY8" s="231"/>
      <c r="AZ8" s="231"/>
      <c r="BA8" s="231"/>
      <c r="BB8" s="231"/>
      <c r="BC8" s="231"/>
      <c r="BD8" s="231"/>
    </row>
    <row r="9" spans="2:60" ht="79.5" customHeight="1">
      <c r="B9" s="213" t="s">
        <v>34</v>
      </c>
      <c r="C9" s="1672" t="s">
        <v>454</v>
      </c>
      <c r="D9" s="1673"/>
      <c r="E9" s="214"/>
      <c r="F9" s="214"/>
      <c r="G9" s="214"/>
      <c r="H9" s="214"/>
      <c r="I9" s="214"/>
      <c r="J9" s="214"/>
      <c r="K9" s="214"/>
      <c r="L9" s="214"/>
      <c r="M9" s="214"/>
      <c r="N9" s="214"/>
      <c r="O9" s="214"/>
      <c r="AW9" s="231"/>
      <c r="AX9" s="231"/>
      <c r="AY9" s="231"/>
      <c r="AZ9" s="231"/>
      <c r="BA9" s="231"/>
      <c r="BB9" s="231"/>
      <c r="BC9" s="231"/>
      <c r="BD9" s="231"/>
    </row>
    <row r="10" spans="2:60" ht="25.5">
      <c r="B10" s="213" t="s">
        <v>101</v>
      </c>
      <c r="C10" s="1674">
        <v>2021</v>
      </c>
      <c r="D10" s="1675"/>
      <c r="E10" s="214"/>
      <c r="F10" s="214"/>
      <c r="G10" s="214"/>
      <c r="H10" s="214"/>
      <c r="I10" s="214"/>
      <c r="J10" s="214"/>
      <c r="K10" s="214"/>
      <c r="L10" s="214"/>
      <c r="M10" s="214"/>
      <c r="N10" s="214"/>
      <c r="O10" s="214"/>
      <c r="AW10" s="231"/>
      <c r="AX10" s="231"/>
      <c r="AY10" s="231"/>
      <c r="AZ10" s="231"/>
      <c r="BA10" s="231"/>
      <c r="BB10" s="231"/>
      <c r="BC10" s="231"/>
      <c r="BD10" s="231"/>
    </row>
    <row r="11" spans="2:60"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0" ht="15.6"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0"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2:60"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0" ht="13.1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0" ht="135">
      <c r="B16" s="167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78" t="str">
        <f>+'01-FR-03 POA INSTITUCIONAL'!C69</f>
        <v>4.4. Implementar el 100% de las acciones necesarias para la modernización de la gestión institucional a través de los procesos de apoyo, que permita una mejor prestación del servicio.</v>
      </c>
      <c r="D16" s="140" t="str">
        <f>+'01-FR-03 POA INSTITUCIONAL'!D74</f>
        <v>4.4.6 Ejecutar el 95% del Plan Anual de Adquisiciones respecto de gastos generales</v>
      </c>
      <c r="E16" s="174">
        <f>+'01-FR-03 POA INSTITUCIONAL'!E74</f>
        <v>0.1</v>
      </c>
      <c r="F16" s="327">
        <f>+'01-FR-03 POA INSTITUCIONAL'!F74</f>
        <v>0.95</v>
      </c>
      <c r="G16" s="289">
        <f>+'01-FR-03 POA INSTITUCIONAL'!L74</f>
        <v>0.95</v>
      </c>
      <c r="H16" s="140" t="str">
        <f>+'01-FR-03 POA INSTITUCIONAL'!G74</f>
        <v>S.I.</v>
      </c>
      <c r="I16" s="140" t="str">
        <f>+'01-FR-03 POA INSTITUCIONAL'!H74</f>
        <v xml:space="preserve">Porcentaje del Plan Anual de Adquisiciones ejecutado </v>
      </c>
      <c r="J16" s="287" t="s">
        <v>455</v>
      </c>
      <c r="K16" s="197" t="s">
        <v>456</v>
      </c>
      <c r="L16" s="591" t="s">
        <v>457</v>
      </c>
      <c r="M16" s="592" t="s">
        <v>458</v>
      </c>
      <c r="N16" s="592" t="s">
        <v>459</v>
      </c>
      <c r="O16" s="288" t="str">
        <f>+'01-FR-03 POA INSTITUCIONAL'!J74</f>
        <v>Subdirección de Gestión Contractual
Dirección Administrativa y Financiera</v>
      </c>
      <c r="P16" s="975">
        <v>0.2</v>
      </c>
      <c r="Q16" s="975">
        <v>0.26</v>
      </c>
      <c r="R16" s="975">
        <v>0.08</v>
      </c>
      <c r="S16" s="975">
        <v>0.04</v>
      </c>
      <c r="T16" s="975">
        <v>0.08</v>
      </c>
      <c r="U16" s="975">
        <v>0.08</v>
      </c>
      <c r="V16" s="66">
        <f>P16+R16+T16</f>
        <v>0.36000000000000004</v>
      </c>
      <c r="W16" s="66">
        <f>Q16+S16+U16</f>
        <v>0.38</v>
      </c>
      <c r="X16" s="975">
        <v>0.08</v>
      </c>
      <c r="Y16" s="975">
        <v>0.08</v>
      </c>
      <c r="Z16" s="975">
        <v>7.0000000000000007E-2</v>
      </c>
      <c r="AA16" s="1004">
        <v>0.05</v>
      </c>
      <c r="AB16" s="975">
        <v>7.0000000000000007E-2</v>
      </c>
      <c r="AC16" s="975">
        <v>0.03</v>
      </c>
      <c r="AD16" s="66">
        <f>X16+Z16+AB16</f>
        <v>0.22000000000000003</v>
      </c>
      <c r="AE16" s="66">
        <f>Y16+AA16+AC16</f>
        <v>0.16</v>
      </c>
      <c r="AF16" s="975">
        <v>0.12</v>
      </c>
      <c r="AG16" s="975">
        <v>0.04</v>
      </c>
      <c r="AH16" s="975">
        <v>0.05</v>
      </c>
      <c r="AI16" s="975">
        <v>0.09</v>
      </c>
      <c r="AJ16" s="1004">
        <v>0.05</v>
      </c>
      <c r="AK16" s="1004">
        <v>0.06</v>
      </c>
      <c r="AL16" s="66">
        <f>AF16+AH16+AJ16</f>
        <v>0.21999999999999997</v>
      </c>
      <c r="AM16" s="66">
        <f>AG16+AI16+AK16</f>
        <v>0.19</v>
      </c>
      <c r="AN16" s="975">
        <v>0.05</v>
      </c>
      <c r="AO16" s="975"/>
      <c r="AP16" s="975">
        <v>0.05</v>
      </c>
      <c r="AQ16" s="975"/>
      <c r="AR16" s="975">
        <v>0.05</v>
      </c>
      <c r="AS16" s="975"/>
      <c r="AT16" s="66">
        <f>AN16+AP16+AR16</f>
        <v>0.15000000000000002</v>
      </c>
      <c r="AU16" s="66">
        <f>AO16+AQ16+AS16</f>
        <v>0</v>
      </c>
      <c r="AV16" s="1005">
        <f>V16+AD16+AL16+AT16</f>
        <v>0.95000000000000007</v>
      </c>
      <c r="AW16" s="306">
        <f>+W16</f>
        <v>0.38</v>
      </c>
      <c r="AX16" s="306">
        <f>+W16+AE16</f>
        <v>0.54</v>
      </c>
      <c r="AY16" s="306">
        <f>+W16+AE16+AM16</f>
        <v>0.73</v>
      </c>
      <c r="AZ16" s="1033">
        <f>+W16+AE16+AM16+AU16</f>
        <v>0.73</v>
      </c>
      <c r="BA16" s="348">
        <f>IF(AND(AW16&gt;0,$AV16&gt;0),AW16/$AV16,0)</f>
        <v>0.39999999999999997</v>
      </c>
      <c r="BB16" s="349">
        <f t="shared" ref="BB16:BD16" si="0">IF(AND(AX16&gt;0,$AV16&gt;0),AX16/$AV16,0)</f>
        <v>0.56842105263157894</v>
      </c>
      <c r="BC16" s="340">
        <f t="shared" si="0"/>
        <v>0.76842105263157889</v>
      </c>
      <c r="BD16" s="340">
        <f t="shared" si="0"/>
        <v>0.76842105263157889</v>
      </c>
      <c r="BE16" s="345">
        <f>((IF(AND(AW16&gt;0,$F16&gt;0),AW16/$F16,0))/4)</f>
        <v>0.1</v>
      </c>
      <c r="BF16" s="345">
        <f>((IF(AND(AX16&gt;0,$F16&gt;0),AX16/$F16,0))/4)</f>
        <v>0.14210526315789476</v>
      </c>
      <c r="BG16" s="345">
        <f>((IF(AND(AY16&gt;0,$F16&gt;0),AY16/$F16,0))/4)</f>
        <v>0.19210526315789475</v>
      </c>
      <c r="BH16" s="1032">
        <f>((IF(AND(AZ16&gt;0,$F16&gt;0),AZ16/$F16,0))/4)</f>
        <v>0.19210526315789475</v>
      </c>
    </row>
    <row r="17" spans="2:60" ht="111.6" customHeight="1">
      <c r="B17" s="1679"/>
      <c r="C17" s="1679"/>
      <c r="D17" s="1678" t="str">
        <f>+'01-FR-03 POA INSTITUCIONAL'!D84</f>
        <v>4.4.15 Elaborar el 95% de los contratos en cada una de las modalidades de selección en los tiempos óptimos</v>
      </c>
      <c r="E17" s="1530">
        <f>+'01-FR-03 POA INSTITUCIONAL'!E84</f>
        <v>0.1</v>
      </c>
      <c r="F17" s="52">
        <f>+'01-FR-03 POA INSTITUCIONAL'!F84</f>
        <v>0.95</v>
      </c>
      <c r="G17" s="593">
        <f>+'01-FR-03 POA INSTITUCIONAL'!L84</f>
        <v>0.8</v>
      </c>
      <c r="H17" s="593" t="str">
        <f>+'01-FR-03 POA INSTITUCIONAL'!G84</f>
        <v>S.I.</v>
      </c>
      <c r="I17" s="593" t="str">
        <f>+'01-FR-03 POA INSTITUCIONAL'!H84</f>
        <v xml:space="preserve">Porcentaje de contratos en la modalidad de contratacion directa elaborados en los tiempos óptimos </v>
      </c>
      <c r="J17" s="598" t="s">
        <v>912</v>
      </c>
      <c r="K17" s="599" t="s">
        <v>913</v>
      </c>
      <c r="L17" s="600" t="s">
        <v>914</v>
      </c>
      <c r="M17" s="601" t="s">
        <v>458</v>
      </c>
      <c r="N17" s="601" t="s">
        <v>915</v>
      </c>
      <c r="O17" s="602" t="s">
        <v>916</v>
      </c>
      <c r="P17" s="1004">
        <v>0.8</v>
      </c>
      <c r="Q17" s="975">
        <v>1</v>
      </c>
      <c r="R17" s="1004">
        <v>0</v>
      </c>
      <c r="S17" s="975">
        <v>0</v>
      </c>
      <c r="T17" s="1004">
        <v>0</v>
      </c>
      <c r="U17" s="975">
        <v>0</v>
      </c>
      <c r="V17" s="317">
        <f>IFERROR(ROUNDDOWN(AVERAGE($P17),3),0)</f>
        <v>0.8</v>
      </c>
      <c r="W17" s="317">
        <f>IFERROR(ROUNDDOWN(AVERAGE($Q17),3),0)</f>
        <v>1</v>
      </c>
      <c r="X17" s="1004">
        <v>0</v>
      </c>
      <c r="Y17" s="975">
        <v>0</v>
      </c>
      <c r="Z17" s="1004">
        <v>0</v>
      </c>
      <c r="AA17" s="975">
        <v>0</v>
      </c>
      <c r="AB17" s="1004">
        <v>0</v>
      </c>
      <c r="AC17" s="975">
        <v>1</v>
      </c>
      <c r="AD17" s="317">
        <f>IFERROR(ROUNDDOWN(AVERAGE($X17,Z17,$AB17),3),0)</f>
        <v>0</v>
      </c>
      <c r="AE17" s="317">
        <f>IFERROR(ROUNDDOWN(AVERAGE($AC17),3),0)</f>
        <v>1</v>
      </c>
      <c r="AF17" s="1004">
        <v>0.8</v>
      </c>
      <c r="AG17" s="975">
        <v>1</v>
      </c>
      <c r="AH17" s="1004">
        <v>0.8</v>
      </c>
      <c r="AI17" s="989">
        <v>0.96199999999999997</v>
      </c>
      <c r="AJ17" s="1004">
        <v>0.8</v>
      </c>
      <c r="AK17" s="1003">
        <v>0.88700000000000001</v>
      </c>
      <c r="AL17" s="89">
        <f>AVERAGE(AF17,AH17,AJ17)</f>
        <v>0.80000000000000016</v>
      </c>
      <c r="AM17" s="317">
        <f>IFERROR(ROUNDDOWN(AVERAGE($AG17,$AI17,$AK17),3),0)</f>
        <v>0.94899999999999995</v>
      </c>
      <c r="AN17" s="1004">
        <v>0.8</v>
      </c>
      <c r="AO17" s="992">
        <v>0</v>
      </c>
      <c r="AP17" s="1004">
        <v>0.8</v>
      </c>
      <c r="AQ17" s="992">
        <v>0</v>
      </c>
      <c r="AR17" s="1004">
        <v>0.8</v>
      </c>
      <c r="AS17" s="992">
        <v>0</v>
      </c>
      <c r="AT17" s="89">
        <f>AVERAGE(AN17,AP17,AR17)</f>
        <v>0.80000000000000016</v>
      </c>
      <c r="AU17" s="89">
        <f>IFERROR(ROUNDDOWN(AVERAGE(AO17,AQ17,AS17),3),0)</f>
        <v>0</v>
      </c>
      <c r="AV17" s="1005">
        <f>IFERROR(AVERAGE(P17,AF17,AH17,AJ17,AN17,AP17,AR17),0)</f>
        <v>0.79999999999999993</v>
      </c>
      <c r="AW17" s="306">
        <f>IFERROR(IF(OR($AV$17="",$AV$17=0),0,ROUNDDOWN(AVERAGE($Q17),3)),0)</f>
        <v>1</v>
      </c>
      <c r="AX17" s="306">
        <f>IFERROR(IF(OR($AV$17="",$AV$17=0),0,ROUNDDOWN(AVERAGE($Q17,$Y17,$AA17,$AC17),3)),0)</f>
        <v>0.5</v>
      </c>
      <c r="AY17" s="306">
        <f>IFERROR(IF(OR($AV$17="",$AV$17=0),0,ROUNDDOWN(AVERAGE($Q17,$AG17,$AI17,$AK17),3)),0)</f>
        <v>0.96199999999999997</v>
      </c>
      <c r="AZ17" s="1033">
        <f>IFERROR(IF(OR($AV$17="",$AV$17=0),0,ROUNDDOWN(AVERAGE($Q17,$AG17,$AI17,$AK17,$AO17,$AQ17,$AS17),3)),0)</f>
        <v>0.54900000000000004</v>
      </c>
      <c r="BA17" s="340">
        <f>(IF(AND(AW17&gt;0,$AV17&gt;0),AW17/$AV17,0))*0.25</f>
        <v>0.3125</v>
      </c>
      <c r="BB17" s="340">
        <f>(IF(AND(AX17&gt;0,$AV17&gt;0),AX17/$AV17,0))*0.5</f>
        <v>0.3125</v>
      </c>
      <c r="BC17" s="340">
        <f>(IF(AND(AY17&gt;0,$AV17&gt;0),AY17/$AV17,0))*0.75</f>
        <v>0.90187500000000009</v>
      </c>
      <c r="BD17" s="340">
        <f>(IF(AND(AZ17&gt;0,$AV17&gt;0),AZ17/$AV17,0))*1</f>
        <v>0.68625000000000014</v>
      </c>
      <c r="BE17" s="345">
        <f>((IF(AND(AW17&gt;0,$AV17&gt;0),AW17/$AV17,0))/4)*0.25</f>
        <v>7.8125E-2</v>
      </c>
      <c r="BF17" s="345">
        <f>((IF(AND(AX17&gt;0,$AV17&gt;0),AX17/$AV17,0))/4)*0.5</f>
        <v>7.8125E-2</v>
      </c>
      <c r="BG17" s="345">
        <f>((IF(AND(AY17&gt;0,$F17&gt;0),AY17/$F17,0))/4)*0.75</f>
        <v>0.18986842105263158</v>
      </c>
      <c r="BH17" s="1032">
        <f t="shared" ref="BH17:BH19" si="1">((IF(AND(AZ17&gt;0,$F17&gt;0),AZ17/$F17,0))/4)</f>
        <v>0.14447368421052634</v>
      </c>
    </row>
    <row r="18" spans="2:60" ht="163.15" customHeight="1">
      <c r="B18" s="1679"/>
      <c r="C18" s="1679"/>
      <c r="D18" s="1679"/>
      <c r="E18" s="1353"/>
      <c r="F18" s="52">
        <f>+'01-FR-03 POA INSTITUCIONAL'!F85</f>
        <v>0.95</v>
      </c>
      <c r="G18" s="593">
        <f>+'01-FR-03 POA INSTITUCIONAL'!L85</f>
        <v>0.8</v>
      </c>
      <c r="H18" s="593" t="str">
        <f>+'01-FR-03 POA INSTITUCIONAL'!G85</f>
        <v>S.I.</v>
      </c>
      <c r="I18" s="593" t="str">
        <f>+'01-FR-03 POA INSTITUCIONAL'!H85</f>
        <v xml:space="preserve">Porcentaje de contratos en la modalidad de selección abreviada de menor cuantía elaborados en los tiempos óptimos </v>
      </c>
      <c r="J18" s="598" t="s">
        <v>918</v>
      </c>
      <c r="K18" s="599" t="s">
        <v>913</v>
      </c>
      <c r="L18" s="600" t="s">
        <v>914</v>
      </c>
      <c r="M18" s="601" t="s">
        <v>458</v>
      </c>
      <c r="N18" s="601" t="s">
        <v>915</v>
      </c>
      <c r="O18" s="602" t="s">
        <v>916</v>
      </c>
      <c r="P18" s="975">
        <v>0</v>
      </c>
      <c r="Q18" s="975">
        <v>0</v>
      </c>
      <c r="R18" s="975">
        <v>0</v>
      </c>
      <c r="S18" s="975">
        <v>0</v>
      </c>
      <c r="T18" s="975">
        <v>0</v>
      </c>
      <c r="U18" s="975">
        <v>1</v>
      </c>
      <c r="V18" s="317">
        <f>IFERROR(ROUNDDOWN(AVERAGE($P18,$R18,$T18),3),0)</f>
        <v>0</v>
      </c>
      <c r="W18" s="317">
        <f>IFERROR(ROUNDDOWN(AVERAGE($U18),3),0)</f>
        <v>1</v>
      </c>
      <c r="X18" s="975">
        <v>0</v>
      </c>
      <c r="Y18" s="975">
        <v>0</v>
      </c>
      <c r="Z18" s="975">
        <v>0.8</v>
      </c>
      <c r="AA18" s="975">
        <v>0.8</v>
      </c>
      <c r="AB18" s="975">
        <v>0.8</v>
      </c>
      <c r="AC18" s="975">
        <v>0.8</v>
      </c>
      <c r="AD18" s="317">
        <f>IFERROR(ROUNDDOWN(AVERAGE($Z18,$AB18),3),0)</f>
        <v>0.8</v>
      </c>
      <c r="AE18" s="317">
        <f>IFERROR(ROUNDDOWN(AVERAGE($AA18,$AC18),3),0)</f>
        <v>0.8</v>
      </c>
      <c r="AF18" s="975">
        <v>0.8</v>
      </c>
      <c r="AG18" s="975">
        <v>0.8</v>
      </c>
      <c r="AH18" s="975">
        <v>0.8</v>
      </c>
      <c r="AI18" s="975">
        <v>0.8</v>
      </c>
      <c r="AJ18" s="975">
        <v>0.8</v>
      </c>
      <c r="AK18" s="975">
        <v>1</v>
      </c>
      <c r="AL18" s="89">
        <f t="shared" ref="AL18:AL19" si="2">AVERAGE(AF18,AH18,AJ18)</f>
        <v>0.80000000000000016</v>
      </c>
      <c r="AM18" s="317">
        <f>IFERROR(ROUNDDOWN(AVERAGE($AG18,$AI18,$AK18),3),0)</f>
        <v>0.86599999999999999</v>
      </c>
      <c r="AN18" s="975">
        <v>0.8</v>
      </c>
      <c r="AO18" s="992">
        <v>0</v>
      </c>
      <c r="AP18" s="975">
        <v>0.8</v>
      </c>
      <c r="AQ18" s="992">
        <v>0</v>
      </c>
      <c r="AR18" s="975">
        <v>0</v>
      </c>
      <c r="AS18" s="992">
        <v>0</v>
      </c>
      <c r="AT18" s="89">
        <f t="shared" ref="AT18:AT19" si="3">AVERAGE(AN18,AP18,AR18)</f>
        <v>0.53333333333333333</v>
      </c>
      <c r="AU18" s="89">
        <f t="shared" ref="AU18:AU19" si="4">IFERROR(ROUNDDOWN(AVERAGE(AO18,AQ18,AS18),3),0)</f>
        <v>0</v>
      </c>
      <c r="AV18" s="1005">
        <f>IFERROR(AVERAGE(Z18,AB18,AF18,AH18,AJ18,AN18,AP18),0)</f>
        <v>0.79999999999999993</v>
      </c>
      <c r="AW18" s="306">
        <f>IFERROR(IF(OR($AV$18="",$AV$18=0),0,ROUNDDOWN(AVERAGE($Q18,$S18,$U18),3)),0)</f>
        <v>0.33300000000000002</v>
      </c>
      <c r="AX18" s="306">
        <f>IFERROR(IF(OR($AV$18="",$AV$18=0),0,ROUNDDOWN(AVERAGE($Q18,$S18,$U18,$Y18,$AA18,$AC18),3)),0)</f>
        <v>0.433</v>
      </c>
      <c r="AY18" s="306">
        <f>IFERROR(IF(OR($AV$17="",$AV$17=0),0,ROUNDDOWN(AVERAGE($AG18,$AI18,$AK18),3)),0)</f>
        <v>0.86599999999999999</v>
      </c>
      <c r="AZ18" s="1033">
        <f>IFERROR(IF(OR($AV$16="",$AV$16=0),0,ROUNDDOWN(AVERAGE($AG18,$AI18,$AK18,$AO18,$AQ18,$AS18),3)),0)</f>
        <v>0.433</v>
      </c>
      <c r="BA18" s="340">
        <f>(IF(AND(AW18&gt;0,$AV18&gt;0),AW18/$AV18,0))*0.25</f>
        <v>0.10406250000000002</v>
      </c>
      <c r="BB18" s="340">
        <f>(IF(AND(AX18&gt;0,$AV18&gt;0),AX18/$AV18,0))*0.5</f>
        <v>0.270625</v>
      </c>
      <c r="BC18" s="340">
        <f>(IF(AND(AY18&gt;0,$AV18&gt;0),AY18/$AV18,0))*0.75</f>
        <v>0.81187500000000001</v>
      </c>
      <c r="BD18" s="340">
        <f>(IF(AND(AZ18&gt;0,$AV18&gt;0),AZ18/$AV18,0))*1</f>
        <v>0.54125000000000001</v>
      </c>
      <c r="BE18" s="345">
        <f>((IF(AND(AW18&gt;0,$AV18&gt;0),AW18/$AV18,0))/4)*0.25</f>
        <v>2.6015625000000004E-2</v>
      </c>
      <c r="BF18" s="345">
        <f>((IF(AND(AX18&gt;0,$AV18&gt;0),AX18/$AV18,0))/4)*0.5</f>
        <v>6.7656250000000001E-2</v>
      </c>
      <c r="BG18" s="345">
        <f>((IF(AND(AY18&gt;0,$F18&gt;0),AY18/$F18,0))/4)*0.75</f>
        <v>0.17092105263157895</v>
      </c>
      <c r="BH18" s="1032">
        <f t="shared" si="1"/>
        <v>0.11394736842105263</v>
      </c>
    </row>
    <row r="19" spans="2:60" ht="168.6" customHeight="1">
      <c r="B19" s="1705"/>
      <c r="C19" s="1705"/>
      <c r="D19" s="1705"/>
      <c r="E19" s="1344"/>
      <c r="F19" s="52">
        <f>+'01-FR-03 POA INSTITUCIONAL'!F86</f>
        <v>0.95</v>
      </c>
      <c r="G19" s="593">
        <f>+'01-FR-03 POA INSTITUCIONAL'!L86</f>
        <v>0.8</v>
      </c>
      <c r="H19" s="593" t="str">
        <f>+'01-FR-03 POA INSTITUCIONAL'!G86</f>
        <v>S.I.</v>
      </c>
      <c r="I19" s="593" t="str">
        <f>+'01-FR-03 POA INSTITUCIONAL'!H86</f>
        <v xml:space="preserve">Porcentaje de contratos en la modalidad de selección abreviada de subasta inversa, licitación pública y concurso de méritos elaborados en los tiempos óptimos </v>
      </c>
      <c r="J19" s="598" t="s">
        <v>917</v>
      </c>
      <c r="K19" s="599" t="s">
        <v>913</v>
      </c>
      <c r="L19" s="600" t="s">
        <v>914</v>
      </c>
      <c r="M19" s="601" t="s">
        <v>458</v>
      </c>
      <c r="N19" s="601" t="s">
        <v>915</v>
      </c>
      <c r="O19" s="602" t="s">
        <v>916</v>
      </c>
      <c r="P19" s="975">
        <v>0</v>
      </c>
      <c r="Q19" s="975">
        <v>0</v>
      </c>
      <c r="R19" s="975">
        <v>0.8</v>
      </c>
      <c r="S19" s="975">
        <v>0.8</v>
      </c>
      <c r="T19" s="975">
        <v>0</v>
      </c>
      <c r="U19" s="975">
        <v>0</v>
      </c>
      <c r="V19" s="317">
        <f>IFERROR(ROUNDDOWN(AVERAGE(R19),3),0)</f>
        <v>0.8</v>
      </c>
      <c r="W19" s="317">
        <f>IFERROR(ROUNDDOWN(AVERAGE($S19),3),0)</f>
        <v>0.8</v>
      </c>
      <c r="X19" s="975">
        <v>0.8</v>
      </c>
      <c r="Y19" s="975">
        <v>1</v>
      </c>
      <c r="Z19" s="975">
        <v>0.8</v>
      </c>
      <c r="AA19" s="975">
        <v>0.8</v>
      </c>
      <c r="AB19" s="975">
        <v>0.8</v>
      </c>
      <c r="AC19" s="975">
        <v>0.8</v>
      </c>
      <c r="AD19" s="317">
        <f>IFERROR(ROUNDDOWN(AVERAGE($X19,$Z19,$AB19),3),0)</f>
        <v>0.8</v>
      </c>
      <c r="AE19" s="317">
        <f t="shared" ref="AE19" si="5">IFERROR(ROUNDDOWN(AVERAGE($Y19,$AA19,$AC19),3),0)</f>
        <v>0.86599999999999999</v>
      </c>
      <c r="AF19" s="975">
        <v>0.8</v>
      </c>
      <c r="AG19" s="975">
        <v>0.8</v>
      </c>
      <c r="AH19" s="975">
        <v>0.8</v>
      </c>
      <c r="AI19" s="975">
        <v>0.8</v>
      </c>
      <c r="AJ19" s="975">
        <v>0.8</v>
      </c>
      <c r="AK19" s="975">
        <v>0.8</v>
      </c>
      <c r="AL19" s="89">
        <f t="shared" si="2"/>
        <v>0.80000000000000016</v>
      </c>
      <c r="AM19" s="317">
        <f>IFERROR(ROUNDDOWN(AVERAGE($AG19,$AI19,$AK19),3),0)</f>
        <v>0.8</v>
      </c>
      <c r="AN19" s="975">
        <v>0.8</v>
      </c>
      <c r="AO19" s="992">
        <v>0</v>
      </c>
      <c r="AP19" s="975">
        <v>0.8</v>
      </c>
      <c r="AQ19" s="992">
        <v>0</v>
      </c>
      <c r="AR19" s="975">
        <v>0.8</v>
      </c>
      <c r="AS19" s="992">
        <v>0</v>
      </c>
      <c r="AT19" s="89">
        <f t="shared" si="3"/>
        <v>0.80000000000000016</v>
      </c>
      <c r="AU19" s="89">
        <f t="shared" si="4"/>
        <v>0</v>
      </c>
      <c r="AV19" s="1005">
        <f>IFERROR(AVERAGE(R19,X19,Z19,AB19,AF19,AH19,AJ19,AN19,AP19,AR19),0)</f>
        <v>0.79999999999999993</v>
      </c>
      <c r="AW19" s="306">
        <f>IFERROR(IF(OR($AV$19="",$AV$19=0),0,ROUNDDOWN(AVERAGE($Q19,$S19,$U19),3)),0)</f>
        <v>0.26600000000000001</v>
      </c>
      <c r="AX19" s="306">
        <f t="shared" ref="AX19" si="6">IFERROR(IF(OR($AV$17="",$AV$17=0),0,ROUNDDOWN(AVERAGE($Q19,$S19,$U19,$Y19,$AA19,$AC19),3)),0)</f>
        <v>0.56599999999999995</v>
      </c>
      <c r="AY19" s="306">
        <f>IFERROR(IF(OR($AV$17="",$AV$17=0),0,ROUNDDOWN(AVERAGE($AG19,$AI19,$AK19),3)),0)</f>
        <v>0.8</v>
      </c>
      <c r="AZ19" s="1033">
        <f>IFERROR(IF(OR($AV$16="",$AV$16=0),0,ROUNDDOWN(AVERAGE($AG19,$AI19,$AK19,$AO19,$AQ19,$AS19),3)),0)</f>
        <v>0.4</v>
      </c>
      <c r="BA19" s="340">
        <f>(IF(AND(AW19&gt;0,$AV19&gt;0),AW19/$AV19,0))*0.25</f>
        <v>8.3125000000000004E-2</v>
      </c>
      <c r="BB19" s="340">
        <f>(IF(AND(AX19&gt;0,$AV19&gt;0),AX19/$AV19,0))*0.5</f>
        <v>0.35375000000000001</v>
      </c>
      <c r="BC19" s="340">
        <f>(IF(AND(AY19&gt;0,$AV19&gt;0),AY19/$AV19,0))*0.75</f>
        <v>0.75000000000000022</v>
      </c>
      <c r="BD19" s="340">
        <f>(IF(AND(AZ19&gt;0,$AV19&gt;0),AZ19/$AV19,0))*1</f>
        <v>0.50000000000000011</v>
      </c>
      <c r="BE19" s="345">
        <f>((IF(AND(AW19&gt;0,$AV19&gt;0),AW19/$AV19,0))/4)*0.25</f>
        <v>2.0781250000000001E-2</v>
      </c>
      <c r="BF19" s="345">
        <f>((IF(AND(AX19&gt;0,$AV19&gt;0),AX19/$AV19,0))/4)*0.5</f>
        <v>8.8437500000000002E-2</v>
      </c>
      <c r="BG19" s="345">
        <f>((IF(AND(AY19&gt;0,$F19&gt;0),AY19/$F19,0))/4)*0.75</f>
        <v>0.15789473684210528</v>
      </c>
      <c r="BH19" s="1032">
        <f t="shared" si="1"/>
        <v>0.10526315789473685</v>
      </c>
    </row>
    <row r="20" spans="2:60" ht="23.25">
      <c r="B20" s="1537"/>
      <c r="C20" s="1812"/>
      <c r="D20" s="1812"/>
      <c r="E20" s="1812"/>
      <c r="F20" s="1812"/>
      <c r="G20" s="1812"/>
      <c r="H20" s="1812"/>
      <c r="I20" s="1812"/>
      <c r="J20" s="1812"/>
      <c r="K20" s="1812"/>
      <c r="L20" s="1812"/>
      <c r="M20" s="1812"/>
      <c r="N20" s="1812"/>
      <c r="O20" s="1812"/>
      <c r="P20" s="1812"/>
      <c r="Q20" s="1812"/>
      <c r="R20" s="1812"/>
      <c r="S20" s="1812"/>
      <c r="T20" s="1812"/>
      <c r="U20" s="1812"/>
      <c r="V20" s="1812"/>
      <c r="W20" s="1812"/>
      <c r="X20" s="1812"/>
      <c r="Y20" s="1812"/>
      <c r="Z20" s="1812"/>
      <c r="AA20" s="1812"/>
      <c r="AB20" s="1812"/>
      <c r="AC20" s="1812"/>
      <c r="AD20" s="1812"/>
      <c r="AE20" s="1812"/>
      <c r="AF20" s="1812"/>
      <c r="AG20" s="1812"/>
      <c r="AH20" s="1812"/>
      <c r="AI20" s="1812"/>
      <c r="AJ20" s="1812"/>
      <c r="AK20" s="1812"/>
      <c r="AL20" s="1812"/>
      <c r="AM20" s="1812"/>
      <c r="AN20" s="1812"/>
      <c r="AO20" s="1812"/>
      <c r="AP20" s="1812"/>
      <c r="AQ20" s="1812"/>
      <c r="AR20" s="1812"/>
      <c r="AS20" s="1812"/>
      <c r="AT20" s="1812"/>
      <c r="AU20" s="1812"/>
      <c r="AV20" s="1812"/>
      <c r="AW20" s="1813"/>
      <c r="AX20" s="1676" t="s">
        <v>19</v>
      </c>
      <c r="AY20" s="1704"/>
      <c r="AZ20" s="1704"/>
      <c r="BA20" s="586">
        <f>AVERAGE(BA16:BA19)</f>
        <v>0.22492187499999999</v>
      </c>
      <c r="BB20" s="586">
        <f t="shared" ref="BB20:BD20" si="7">AVERAGE(BB16:BB19)</f>
        <v>0.37632401315789471</v>
      </c>
      <c r="BC20" s="586">
        <f t="shared" si="7"/>
        <v>0.80804276315789481</v>
      </c>
      <c r="BD20" s="586">
        <f t="shared" si="7"/>
        <v>0.62398026315789479</v>
      </c>
      <c r="BE20" s="1815"/>
      <c r="BF20" s="1801"/>
      <c r="BG20" s="1801"/>
      <c r="BH20" s="1802"/>
    </row>
    <row r="21" spans="2:60" ht="17.25">
      <c r="B21" s="1516"/>
      <c r="C21" s="1516"/>
      <c r="D21" s="1516"/>
      <c r="E21" s="1516"/>
      <c r="F21" s="1516"/>
      <c r="G21" s="1516"/>
      <c r="H21" s="238"/>
      <c r="I21" s="239"/>
      <c r="J21" s="239"/>
      <c r="K21" s="239"/>
      <c r="L21" s="239"/>
      <c r="M21" s="239"/>
      <c r="N21" s="239"/>
      <c r="O21" s="239"/>
    </row>
    <row r="22" spans="2:60" ht="17.25">
      <c r="B22" s="239"/>
      <c r="C22" s="239"/>
      <c r="D22" s="1686"/>
      <c r="E22" s="1686"/>
      <c r="F22" s="1686"/>
      <c r="G22" s="1686"/>
      <c r="H22" s="1686"/>
      <c r="I22" s="1686"/>
      <c r="J22" s="1686"/>
      <c r="K22" s="1686"/>
      <c r="L22" s="1686"/>
      <c r="M22" s="1686"/>
      <c r="N22" s="1686"/>
      <c r="O22" s="1686"/>
    </row>
    <row r="23" spans="2:60" ht="15.6" customHeight="1">
      <c r="B23" s="77" t="s">
        <v>26</v>
      </c>
      <c r="C23" s="240">
        <v>44224</v>
      </c>
      <c r="D23" s="241"/>
      <c r="E23" s="1687" t="s">
        <v>50</v>
      </c>
      <c r="F23" s="1763" t="s">
        <v>677</v>
      </c>
      <c r="G23" s="1764"/>
      <c r="H23" s="1764"/>
      <c r="I23" s="1764"/>
      <c r="J23" s="1765"/>
      <c r="K23" s="242"/>
      <c r="L23" s="1695"/>
      <c r="M23" s="1695"/>
      <c r="N23" s="1695"/>
      <c r="O23" s="1696"/>
    </row>
    <row r="24" spans="2:60" ht="17.25">
      <c r="B24" s="239"/>
      <c r="C24" s="239"/>
      <c r="D24" s="242"/>
      <c r="E24" s="1687"/>
      <c r="F24" s="1766"/>
      <c r="G24" s="1767"/>
      <c r="H24" s="1767"/>
      <c r="I24" s="1767"/>
      <c r="J24" s="1768"/>
      <c r="K24" s="239"/>
      <c r="L24" s="239"/>
      <c r="M24" s="239"/>
      <c r="N24" s="239"/>
      <c r="O24" s="239"/>
    </row>
    <row r="25" spans="2:60" ht="17.25">
      <c r="B25" s="77" t="s">
        <v>49</v>
      </c>
      <c r="C25" s="240">
        <v>44369</v>
      </c>
      <c r="D25" s="239"/>
      <c r="E25" s="239"/>
      <c r="F25" s="239"/>
      <c r="I25" s="290"/>
      <c r="J25" s="290"/>
      <c r="K25" s="291"/>
      <c r="L25" s="291"/>
      <c r="M25" s="239"/>
      <c r="N25" s="239"/>
      <c r="O25" s="239"/>
    </row>
    <row r="26" spans="2:60" ht="17.25">
      <c r="B26" s="239"/>
      <c r="C26" s="239"/>
      <c r="D26" s="239"/>
      <c r="E26" s="239"/>
      <c r="F26" s="239"/>
      <c r="I26" s="290"/>
      <c r="J26" s="290"/>
      <c r="K26" s="291"/>
      <c r="L26" s="291"/>
      <c r="M26" s="239"/>
      <c r="N26" s="239"/>
      <c r="O26" s="239"/>
    </row>
    <row r="27" spans="2:60" ht="17.25">
      <c r="B27" s="77" t="s">
        <v>49</v>
      </c>
      <c r="C27" s="80">
        <v>44581</v>
      </c>
      <c r="D27" s="239"/>
      <c r="E27" s="239"/>
      <c r="F27" s="239"/>
      <c r="I27" s="290"/>
      <c r="J27" s="290"/>
      <c r="K27" s="291"/>
      <c r="L27" s="291"/>
      <c r="M27" s="239"/>
      <c r="N27" s="239"/>
      <c r="O27" s="239"/>
    </row>
    <row r="28" spans="2:60" ht="17.25">
      <c r="B28" s="239"/>
      <c r="C28" s="239"/>
      <c r="D28" s="239"/>
      <c r="E28" s="239"/>
      <c r="F28" s="239"/>
      <c r="I28" s="290"/>
      <c r="J28" s="290"/>
      <c r="K28" s="291"/>
      <c r="L28" s="291"/>
      <c r="M28" s="239"/>
      <c r="N28" s="239"/>
      <c r="O28" s="239"/>
    </row>
    <row r="29" spans="2:60" ht="17.25">
      <c r="B29" s="1814" t="s">
        <v>922</v>
      </c>
      <c r="C29" s="1814"/>
      <c r="D29" s="1814"/>
      <c r="E29" s="1814"/>
      <c r="F29" s="1814"/>
      <c r="G29" s="1814"/>
      <c r="H29" s="238"/>
      <c r="I29" s="1811"/>
      <c r="J29" s="1811"/>
      <c r="K29" s="1811"/>
      <c r="L29" s="1811"/>
      <c r="M29" s="243"/>
      <c r="N29" s="243"/>
      <c r="O29" s="243"/>
    </row>
    <row r="30" spans="2:60" ht="17.25">
      <c r="B30" s="239"/>
      <c r="C30" s="239"/>
      <c r="D30" s="239"/>
      <c r="E30" s="239"/>
      <c r="F30" s="239"/>
      <c r="G30" s="238"/>
      <c r="H30" s="238"/>
      <c r="I30" s="291"/>
      <c r="J30" s="291"/>
      <c r="K30" s="292"/>
      <c r="L30" s="291"/>
      <c r="M30" s="239"/>
      <c r="N30" s="239"/>
      <c r="O30" s="239"/>
    </row>
    <row r="31" spans="2:60" ht="17.25">
      <c r="B31" s="239"/>
      <c r="C31" s="239"/>
      <c r="D31" s="239"/>
      <c r="E31" s="239"/>
      <c r="F31" s="239"/>
      <c r="G31" s="238"/>
      <c r="H31" s="238"/>
      <c r="I31" s="1811"/>
      <c r="J31" s="1811"/>
      <c r="K31" s="1811"/>
      <c r="L31" s="1811"/>
      <c r="M31" s="243"/>
      <c r="N31" s="243"/>
      <c r="O31" s="243"/>
    </row>
    <row r="32" spans="2:60" ht="17.25">
      <c r="B32" s="239"/>
      <c r="C32" s="239"/>
      <c r="D32" s="239"/>
      <c r="E32" s="239"/>
      <c r="F32" s="239"/>
      <c r="G32" s="238"/>
      <c r="H32" s="238"/>
      <c r="I32" s="291"/>
      <c r="J32" s="291"/>
      <c r="K32" s="292"/>
      <c r="L32" s="291"/>
      <c r="M32" s="239"/>
      <c r="N32" s="239"/>
      <c r="O32" s="239"/>
    </row>
    <row r="33" spans="2:15" ht="17.25">
      <c r="B33" s="239"/>
      <c r="C33" s="239"/>
      <c r="D33" s="239"/>
      <c r="E33" s="239"/>
      <c r="F33" s="239"/>
      <c r="G33" s="238"/>
      <c r="H33" s="238"/>
      <c r="I33" s="1811"/>
      <c r="J33" s="1811"/>
      <c r="K33" s="1811"/>
      <c r="L33" s="1811"/>
      <c r="M33" s="243"/>
      <c r="N33" s="243"/>
      <c r="O33" s="243"/>
    </row>
    <row r="34" spans="2:15" ht="17.25">
      <c r="I34" s="290"/>
      <c r="J34" s="290"/>
      <c r="K34" s="290"/>
      <c r="L34" s="290"/>
    </row>
    <row r="35" spans="2:15" ht="17.25">
      <c r="I35" s="290"/>
      <c r="J35" s="290"/>
      <c r="K35" s="290"/>
      <c r="L35" s="290"/>
    </row>
    <row r="36" spans="2:15" ht="17.25">
      <c r="I36" s="290"/>
      <c r="J36" s="290"/>
      <c r="K36" s="290"/>
      <c r="L36" s="290"/>
    </row>
    <row r="37" spans="2:15" ht="17.25">
      <c r="I37" s="290"/>
      <c r="J37" s="290"/>
      <c r="K37" s="290"/>
      <c r="L37" s="290"/>
    </row>
  </sheetData>
  <sheetProtection algorithmName="SHA-512" hashValue="Hfkr/vSD4e2WmJhb11ew+Bm0J7s0ndfRB++jVtarX8E0+8siHHh1KkQUbVPBRBebP+/JgBQoky0uYAmjscw+Ug==" saltValue="AeJ+vvuZMytxZZ9f8oDcAQ==" spinCount="100000" sheet="1" objects="1" scenarios="1"/>
  <mergeCells count="74">
    <mergeCell ref="D17:D19"/>
    <mergeCell ref="E17:E19"/>
    <mergeCell ref="B29:G29"/>
    <mergeCell ref="BE20:BH20"/>
    <mergeCell ref="C9:D9"/>
    <mergeCell ref="C10:D10"/>
    <mergeCell ref="B12:B15"/>
    <mergeCell ref="C12:C15"/>
    <mergeCell ref="D12:D15"/>
    <mergeCell ref="E12:E15"/>
    <mergeCell ref="BE12:BH12"/>
    <mergeCell ref="P13:W13"/>
    <mergeCell ref="X13:AE13"/>
    <mergeCell ref="AF13:AM13"/>
    <mergeCell ref="BB13:BB15"/>
    <mergeCell ref="BC13:BC15"/>
    <mergeCell ref="B2:B6"/>
    <mergeCell ref="C2:BF6"/>
    <mergeCell ref="BG6:BH6"/>
    <mergeCell ref="AW7:BA7"/>
    <mergeCell ref="C8:D8"/>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X20:AZ20"/>
    <mergeCell ref="D22:O22"/>
    <mergeCell ref="B21:G21"/>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I33:L33"/>
    <mergeCell ref="AP14:AQ14"/>
    <mergeCell ref="AR14:AS14"/>
    <mergeCell ref="AT14:AU14"/>
    <mergeCell ref="B20:AW20"/>
    <mergeCell ref="M12:M15"/>
    <mergeCell ref="G12:G15"/>
    <mergeCell ref="E23:E24"/>
    <mergeCell ref="L23:O23"/>
    <mergeCell ref="I29:L29"/>
    <mergeCell ref="I31:L31"/>
    <mergeCell ref="F12:F15"/>
    <mergeCell ref="F23:J24"/>
    <mergeCell ref="P12:AU12"/>
    <mergeCell ref="B16:B19"/>
    <mergeCell ref="C16:C19"/>
  </mergeCells>
  <conditionalFormatting sqref="BA16:BD16">
    <cfRule type="cellIs" dxfId="26" priority="5" operator="greaterThan">
      <formula>1</formula>
    </cfRule>
    <cfRule type="cellIs" dxfId="25" priority="6" operator="between">
      <formula>0.8</formula>
      <formula>1</formula>
    </cfRule>
    <cfRule type="cellIs" dxfId="24" priority="7" operator="between">
      <formula>0.61</formula>
      <formula>0.79</formula>
    </cfRule>
    <cfRule type="cellIs" dxfId="23" priority="8" operator="between">
      <formula>0</formula>
      <formula>0.6</formula>
    </cfRule>
  </conditionalFormatting>
  <conditionalFormatting sqref="BA17:BD19">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66FF33"/>
  </sheetPr>
  <dimension ref="B1:BH31"/>
  <sheetViews>
    <sheetView showGridLines="0" zoomScale="55" zoomScaleNormal="55" workbookViewId="0">
      <selection activeCell="AY16" sqref="AY16:AY17"/>
    </sheetView>
  </sheetViews>
  <sheetFormatPr baseColWidth="10" defaultColWidth="17.28515625" defaultRowHeight="15" customHeight="1"/>
  <cols>
    <col min="1" max="1" width="4.28515625" style="135" customWidth="1"/>
    <col min="2" max="2" width="50.42578125" style="133" customWidth="1"/>
    <col min="3" max="3" width="33.28515625" style="133" customWidth="1"/>
    <col min="4" max="4" width="49.7109375" style="133" customWidth="1"/>
    <col min="5" max="6" width="28.28515625" style="133" customWidth="1"/>
    <col min="7" max="7" width="23.28515625" style="134" customWidth="1"/>
    <col min="8" max="8" width="29.28515625" style="134" customWidth="1"/>
    <col min="9" max="9" width="27.42578125" style="133" customWidth="1"/>
    <col min="10" max="10" width="31.85546875" style="133" customWidth="1"/>
    <col min="11" max="11" width="55.85546875" style="133" customWidth="1"/>
    <col min="12" max="12" width="48.42578125" style="133" customWidth="1"/>
    <col min="13" max="14" width="28.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0" ht="18" thickBot="1"/>
    <row r="2" spans="2:60" ht="15.75">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0" ht="15.75">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0"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5.75">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0" ht="20.25">
      <c r="B8" s="213" t="s">
        <v>45</v>
      </c>
      <c r="C8" s="1713" t="s">
        <v>95</v>
      </c>
      <c r="D8" s="1713"/>
      <c r="E8" s="214"/>
      <c r="F8" s="214"/>
      <c r="G8" s="214"/>
      <c r="H8" s="214"/>
      <c r="I8" s="214"/>
      <c r="J8" s="214"/>
      <c r="K8" s="214"/>
      <c r="L8" s="214"/>
      <c r="M8" s="214"/>
      <c r="N8" s="214"/>
      <c r="O8" s="214"/>
      <c r="AW8" s="231"/>
      <c r="AX8" s="231"/>
      <c r="AY8" s="231"/>
      <c r="AZ8" s="231"/>
      <c r="BA8" s="231"/>
      <c r="BB8" s="231"/>
      <c r="BC8" s="231"/>
      <c r="BD8" s="231"/>
    </row>
    <row r="9" spans="2:60" ht="83.25" customHeight="1">
      <c r="B9" s="213" t="s">
        <v>34</v>
      </c>
      <c r="C9" s="1672" t="s">
        <v>513</v>
      </c>
      <c r="D9" s="1673"/>
      <c r="E9" s="214"/>
      <c r="F9" s="214"/>
      <c r="G9" s="214"/>
      <c r="H9" s="214"/>
      <c r="I9" s="214"/>
      <c r="J9" s="214"/>
      <c r="K9" s="214"/>
      <c r="L9" s="214"/>
      <c r="M9" s="214"/>
      <c r="N9" s="214"/>
      <c r="O9" s="214"/>
      <c r="AW9" s="231"/>
      <c r="AX9" s="231"/>
      <c r="AY9" s="231"/>
      <c r="AZ9" s="231"/>
      <c r="BA9" s="231"/>
      <c r="BB9" s="231"/>
      <c r="BC9" s="231"/>
      <c r="BD9" s="231"/>
    </row>
    <row r="10" spans="2:60" ht="25.5">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2:60"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0" ht="30.6"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0"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2:60"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0" ht="13.1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0" ht="164.45" customHeight="1">
      <c r="B16" s="153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1" t="str">
        <f>+'01-FR-03 POA INSTITUCIONAL'!C69</f>
        <v>4.4. Implementar el 100% de las acciones necesarias para la modernización de la gestión institucional a través de los procesos de apoyo, que permita una mejor prestación del servicio.</v>
      </c>
      <c r="D16" s="31" t="str">
        <f>+'01-FR-03 POA INSTITUCIONAL'!D75</f>
        <v>4.4.7 Realizar el 95% del reparto, dentro de un término no superior a tres (3) días hábiles, de las comunicaciones oficiales institucionales recibidas por el Grupo de Correspondencia.</v>
      </c>
      <c r="E16" s="52">
        <f>+'01-FR-03 POA INSTITUCIONAL'!E75</f>
        <v>0.05</v>
      </c>
      <c r="F16" s="52">
        <f>+'01-FR-03 POA INSTITUCIONAL'!F75</f>
        <v>0.95</v>
      </c>
      <c r="G16" s="160">
        <f>+'01-FR-03 POA INSTITUCIONAL'!L75</f>
        <v>0.95</v>
      </c>
      <c r="H16" s="140" t="str">
        <f>+'01-FR-03 POA INSTITUCIONAL'!G75</f>
        <v>S.I.</v>
      </c>
      <c r="I16" s="140" t="str">
        <f>+'01-FR-03 POA INSTITUCIONAL'!H75</f>
        <v>Porcentaje de Comunicaciones oficiales con reparto realizado dentro de los 3 días hábiles desde su radicación</v>
      </c>
      <c r="J16" s="215" t="s">
        <v>678</v>
      </c>
      <c r="K16" s="245" t="s">
        <v>1126</v>
      </c>
      <c r="L16" s="1006" t="s">
        <v>679</v>
      </c>
      <c r="M16" s="217" t="s">
        <v>498</v>
      </c>
      <c r="N16" s="235" t="s">
        <v>499</v>
      </c>
      <c r="O16" s="82" t="str">
        <f>+'01-FR-03 POA INSTITUCIONAL'!J75</f>
        <v>Subdirección de Gestión Documental y Recursos Físicos - Grupo de Correspondencia</v>
      </c>
      <c r="P16" s="1007">
        <v>0.95</v>
      </c>
      <c r="Q16" s="994">
        <v>0.98380000000000001</v>
      </c>
      <c r="R16" s="1007">
        <v>0.95</v>
      </c>
      <c r="S16" s="994">
        <v>0.98470000000000002</v>
      </c>
      <c r="T16" s="1007">
        <v>0.95</v>
      </c>
      <c r="U16" s="994">
        <v>0.98719999999999997</v>
      </c>
      <c r="V16" s="320">
        <f>AVERAGE(P16,R16,T16)</f>
        <v>0.94999999999999984</v>
      </c>
      <c r="W16" s="321">
        <f>IFERROR(AVERAGE(Q16,S16,U16),0)</f>
        <v>0.98523333333333341</v>
      </c>
      <c r="X16" s="1007">
        <v>0.95</v>
      </c>
      <c r="Y16" s="994">
        <v>0.9899</v>
      </c>
      <c r="Z16" s="1007">
        <v>0.95</v>
      </c>
      <c r="AA16" s="994">
        <v>0.99619999999999997</v>
      </c>
      <c r="AB16" s="1007">
        <v>0.95</v>
      </c>
      <c r="AC16" s="994">
        <v>0.99609999999999999</v>
      </c>
      <c r="AD16" s="320">
        <f>AVERAGE(X16,Z16,AB16)</f>
        <v>0.94999999999999984</v>
      </c>
      <c r="AE16" s="320">
        <f>IFERROR(AVERAGE(Y16,AA16,AC16),0)</f>
        <v>0.99406666666666654</v>
      </c>
      <c r="AF16" s="1007">
        <v>0.95</v>
      </c>
      <c r="AG16" s="1089">
        <v>0.96819999999999995</v>
      </c>
      <c r="AH16" s="1007">
        <v>0.95</v>
      </c>
      <c r="AI16" s="1147">
        <v>0.98419999999999996</v>
      </c>
      <c r="AJ16" s="1007">
        <v>0.95</v>
      </c>
      <c r="AK16" s="1089">
        <v>0.98429999999999995</v>
      </c>
      <c r="AL16" s="320">
        <f>AVERAGE(AF16,AH16,AJ16)</f>
        <v>0.94999999999999984</v>
      </c>
      <c r="AM16" s="320">
        <f>IFERROR(AVERAGE(AG16,AI16,AK16),0)</f>
        <v>0.97889999999999999</v>
      </c>
      <c r="AN16" s="1007">
        <v>0.95</v>
      </c>
      <c r="AO16" s="1040">
        <v>0</v>
      </c>
      <c r="AP16" s="1007">
        <v>0.95</v>
      </c>
      <c r="AQ16" s="1040">
        <v>0</v>
      </c>
      <c r="AR16" s="1007">
        <v>0.95</v>
      </c>
      <c r="AS16" s="1040">
        <v>0</v>
      </c>
      <c r="AT16" s="320">
        <f>AVERAGE(AN16,AP16,AR16)</f>
        <v>0.94999999999999984</v>
      </c>
      <c r="AU16" s="320">
        <f>IFERROR(AVERAGE(AO16,AQ16,AS16),0)</f>
        <v>0</v>
      </c>
      <c r="AV16" s="320">
        <f>AVERAGE(P16,R16,T16,X16,Z16,AB16,AF16,AH16,AJ16,AN16,AP16,AR16)</f>
        <v>0.94999999999999984</v>
      </c>
      <c r="AW16" s="306">
        <f>IFERROR(IF(OR($AV$17="",$AV$17=0),0,ROUNDDOWN(AVERAGE($Q16,$S16,$U16),3)),0)</f>
        <v>0.98499999999999999</v>
      </c>
      <c r="AX16" s="306">
        <f>IFERROR(IF(OR($AV$17="",$AV$17=0),0,ROUNDDOWN(AVERAGE($Q16,$S16,$U16,$Y16,$AA16,$AC16),3)),0)</f>
        <v>0.98899999999999999</v>
      </c>
      <c r="AY16" s="306">
        <f>IFERROR(IF(OR($AV$17="",$AV$17=0),0,ROUNDDOWN(AVERAGE($Q16,$S16,$U16,$Y16,$AA16,$AC16,$AG16,$AI16,$AK16),3)),0)</f>
        <v>0.98599999999999999</v>
      </c>
      <c r="AZ16" s="1041">
        <f>IFERROR(IF(OR($AV$17="",$AV$17=0),0,ROUNDDOWN(AVERAGE($Q16,$S16,$U16,$Y16,$AA16,$AC16,$AG16,$AI16,$AK16,$AO16,$AQ16,$AS16),3)),0)</f>
        <v>0.73899999999999999</v>
      </c>
      <c r="BA16" s="340">
        <f>(IF(AND(AW16&gt;0,$AV16&gt;0),AW16/$AV16,0))*0.25</f>
        <v>0.2592105263157895</v>
      </c>
      <c r="BB16" s="340">
        <f>(IF(AND(AX16&gt;0,$AV16&gt;0),AX16/$AV16,0))*0.5</f>
        <v>0.52052631578947373</v>
      </c>
      <c r="BC16" s="340">
        <f>(IF(AND(AY16&gt;0,$AV16&gt;0),AY16/$AV16,0))*0.75</f>
        <v>0.77842105263157912</v>
      </c>
      <c r="BD16" s="340">
        <f>(IF(AND(AZ16&gt;0,$AV16&gt;0),AZ16/$AV16,0))*1</f>
        <v>0.77789473684210542</v>
      </c>
      <c r="BE16" s="345">
        <f>((IF(AND(AW16&gt;0,$F16&gt;0),AW16/$F16,0))*0.25)*0.25</f>
        <v>6.4802631578947376E-2</v>
      </c>
      <c r="BF16" s="345">
        <f>((IF(AND(AX16&gt;0,$F16&gt;0),AX16/$F16,0))*0.25)*0.5</f>
        <v>0.13013157894736843</v>
      </c>
      <c r="BG16" s="345">
        <f>((IF(AND(AY16&gt;0,$F16&gt;0),AY16/$F16,0))/4)*0.75</f>
        <v>0.19460526315789473</v>
      </c>
      <c r="BH16" s="1032">
        <f>((IF(AND(AZ16&gt;0,$F16&gt;0),AZ16/$F16,0))/4)*1</f>
        <v>0.19447368421052633</v>
      </c>
    </row>
    <row r="17" spans="2:60" ht="202.15" customHeight="1">
      <c r="B17" s="1604"/>
      <c r="C17" s="1604"/>
      <c r="D17" s="31" t="str">
        <f>+'01-FR-03 POA INSTITUCIONAL'!D76</f>
        <v>4.4.8 Incorporar el 80% al archivo central de las transferencias documentales provenientes de las dependencias, en razón a que cumplen los requisitos exigidos para ello.</v>
      </c>
      <c r="E17" s="52">
        <f>+'01-FR-03 POA INSTITUCIONAL'!E76</f>
        <v>0.05</v>
      </c>
      <c r="F17" s="52">
        <f>+'01-FR-03 POA INSTITUCIONAL'!F76</f>
        <v>0.8</v>
      </c>
      <c r="G17" s="160">
        <f>+'01-FR-03 POA INSTITUCIONAL'!L76</f>
        <v>0.8</v>
      </c>
      <c r="H17" s="140">
        <f>+'01-FR-03 POA INSTITUCIONAL'!G76</f>
        <v>264</v>
      </c>
      <c r="I17" s="140" t="str">
        <f>+'01-FR-03 POA INSTITUCIONAL'!H76</f>
        <v>Porcentaje de documentación incorporada en el archivo central durante la vigencia.</v>
      </c>
      <c r="J17" s="215" t="s">
        <v>515</v>
      </c>
      <c r="K17" s="245" t="s">
        <v>500</v>
      </c>
      <c r="L17" s="217" t="s">
        <v>501</v>
      </c>
      <c r="M17" s="217" t="s">
        <v>498</v>
      </c>
      <c r="N17" s="235" t="s">
        <v>502</v>
      </c>
      <c r="O17" s="82" t="str">
        <f>+'01-FR-03 POA INSTITUCIONAL'!J76</f>
        <v>Subdirección de Gestión Documental y Recursos Físicos - Archivo central</v>
      </c>
      <c r="P17" s="1007">
        <v>0.8</v>
      </c>
      <c r="Q17" s="1007">
        <v>0.8</v>
      </c>
      <c r="R17" s="1007">
        <v>0.8</v>
      </c>
      <c r="S17" s="1007">
        <v>1</v>
      </c>
      <c r="T17" s="1007">
        <v>0.8</v>
      </c>
      <c r="U17" s="1026">
        <v>0.82599999999999996</v>
      </c>
      <c r="V17" s="320">
        <f>AVERAGE(P17,R17,T17)</f>
        <v>0.80000000000000016</v>
      </c>
      <c r="W17" s="320">
        <f>IFERROR(AVERAGE(Q17,S17,U17),0)</f>
        <v>0.8753333333333333</v>
      </c>
      <c r="X17" s="1007">
        <v>0.8</v>
      </c>
      <c r="Y17" s="994">
        <v>0.76900000000000002</v>
      </c>
      <c r="Z17" s="1007">
        <v>0.8</v>
      </c>
      <c r="AA17" s="994">
        <v>0.90300000000000002</v>
      </c>
      <c r="AB17" s="1007">
        <v>0.8</v>
      </c>
      <c r="AC17" s="1026">
        <v>0.97499999999999998</v>
      </c>
      <c r="AD17" s="320">
        <f>AVERAGE(X17,Z17,AB17)</f>
        <v>0.80000000000000016</v>
      </c>
      <c r="AE17" s="320">
        <f>IFERROR(AVERAGE(Y17,AA17,AC17),0)</f>
        <v>0.88233333333333341</v>
      </c>
      <c r="AF17" s="1007">
        <v>0.8</v>
      </c>
      <c r="AG17" s="770">
        <v>0.8</v>
      </c>
      <c r="AH17" s="1007">
        <v>0.8</v>
      </c>
      <c r="AI17" s="1146">
        <v>0.8</v>
      </c>
      <c r="AJ17" s="1007">
        <v>0.8</v>
      </c>
      <c r="AK17" s="1088">
        <v>0.80500000000000005</v>
      </c>
      <c r="AL17" s="320">
        <f>AVERAGE(AF17,AH17,AJ17)</f>
        <v>0.80000000000000016</v>
      </c>
      <c r="AM17" s="320">
        <f>IFERROR(AVERAGE(AG17,AI17,AK17),0)</f>
        <v>0.80166666666666675</v>
      </c>
      <c r="AN17" s="1007">
        <v>0.8</v>
      </c>
      <c r="AO17" s="1040">
        <v>0</v>
      </c>
      <c r="AP17" s="1007">
        <v>0.8</v>
      </c>
      <c r="AQ17" s="1040">
        <v>0</v>
      </c>
      <c r="AR17" s="1007">
        <v>0.8</v>
      </c>
      <c r="AS17" s="1040">
        <v>0</v>
      </c>
      <c r="AT17" s="320">
        <f>AVERAGE(AN17,AP17,AR17)</f>
        <v>0.80000000000000016</v>
      </c>
      <c r="AU17" s="320">
        <f>IFERROR(AVERAGE(AO17,AQ17,AS17),0)</f>
        <v>0</v>
      </c>
      <c r="AV17" s="320">
        <f>AVERAGE(P17,R17,T17,X17,Z17,AB17,AF17,AH17,AJ17,AN17,AP17,AR17)</f>
        <v>0.79999999999999993</v>
      </c>
      <c r="AW17" s="306">
        <f>IFERROR(IF(OR($AV$17="",$AV$17=0),0,ROUNDDOWN(AVERAGE($Q17,$S17,$U17),3)),0)</f>
        <v>0.875</v>
      </c>
      <c r="AX17" s="306">
        <f>IFERROR(IF(OR($AV$17="",$AV$17=0),0,ROUNDDOWN(AVERAGE($Q17,$S17,$U17,$Y17,$AA17,$AC17),3)),0)</f>
        <v>0.878</v>
      </c>
      <c r="AY17" s="306">
        <f>IFERROR(IF(OR($AV$17="",$AV$17=0),0,ROUNDDOWN(AVERAGE($Q17,$S17,$U17,$Y17,$AA17,$AC17,$AG17,$AI17,$AK17),3)),0)</f>
        <v>0.85299999999999998</v>
      </c>
      <c r="AZ17" s="1041">
        <f>IFERROR(IF(OR($AV$17="",$AV$17=0),0,ROUNDDOWN(AVERAGE($Q17,$S17,$U17,$Y17,$AA17,$AC17,$AG17,$AI17,$AK17,$AO17,$AQ17,$AS17),3)),0)</f>
        <v>0.63900000000000001</v>
      </c>
      <c r="BA17" s="340">
        <f>(IF(AND(AW17&gt;0,$AV17&gt;0),AW17/$AV17,0))*0.25</f>
        <v>0.2734375</v>
      </c>
      <c r="BB17" s="340">
        <f>(IF(AND(AX17&gt;0,$AV17&gt;0),AX17/$AV17,0))*0.5</f>
        <v>0.54875000000000007</v>
      </c>
      <c r="BC17" s="340">
        <f>(IF(AND(AY17&gt;0,$AV17&gt;0),AY17/$AV17,0))*0.75</f>
        <v>0.79968750000000011</v>
      </c>
      <c r="BD17" s="340">
        <f>(IF(AND(AZ17&gt;0,$AV17&gt;0),AZ17/$AV17,0))*1</f>
        <v>0.79875000000000007</v>
      </c>
      <c r="BE17" s="345">
        <f>((IF(AND(AW17&gt;0,$F17&gt;0),AW17/$F17,0))*0.25)*0.25</f>
        <v>6.8359375E-2</v>
      </c>
      <c r="BF17" s="345">
        <f>((IF(AND(AX17&gt;0,$F17&gt;0),AX17/$F17,0))/4)*0.5</f>
        <v>0.13718749999999999</v>
      </c>
      <c r="BG17" s="345">
        <f>((IF(AND(AY17&gt;0,$F17&gt;0),AY17/$F17,0))/4)*0.75</f>
        <v>0.19992187499999997</v>
      </c>
      <c r="BH17" s="1032">
        <f>((IF(AND(AZ17&gt;0,$F17&gt;0),AZ17/$F17,0))/4)</f>
        <v>0.19968749999999999</v>
      </c>
    </row>
    <row r="18" spans="2:60" ht="171.6" customHeight="1">
      <c r="B18" s="1604"/>
      <c r="C18" s="1604"/>
      <c r="D18" s="31" t="str">
        <f>+'01-FR-03 POA INSTITUCIONAL'!D77</f>
        <v>4.4.9 Realizar 100 actividades de diseño, actualización o ajuste de los instrumentos archivísticos establecidos por norma.</v>
      </c>
      <c r="E18" s="52">
        <f>+'01-FR-03 POA INSTITUCIONAL'!E77</f>
        <v>0.05</v>
      </c>
      <c r="F18" s="329">
        <f>+'01-FR-03 POA INSTITUCIONAL'!F77</f>
        <v>100</v>
      </c>
      <c r="G18" s="295">
        <f>+'01-FR-03 POA INSTITUCIONAL'!L77</f>
        <v>25</v>
      </c>
      <c r="H18" s="140">
        <f>+'01-FR-03 POA INSTITUCIONAL'!G77</f>
        <v>32</v>
      </c>
      <c r="I18" s="140" t="str">
        <f>+'01-FR-03 POA INSTITUCIONAL'!H77</f>
        <v>Cantidad de actividades realizadas por año para el diseño, actualización o ajuste de los instrumentos archivísticos establecidos por norma</v>
      </c>
      <c r="J18" s="140" t="s">
        <v>503</v>
      </c>
      <c r="K18" s="245" t="s">
        <v>504</v>
      </c>
      <c r="L18" s="217" t="s">
        <v>505</v>
      </c>
      <c r="M18" s="217" t="s">
        <v>498</v>
      </c>
      <c r="N18" s="235" t="s">
        <v>506</v>
      </c>
      <c r="O18" s="82" t="str">
        <f>+'01-FR-03 POA INSTITUCIONAL'!J77</f>
        <v xml:space="preserve">Subdirección de Gestión Documental y Recursos Físicos </v>
      </c>
      <c r="P18" s="971">
        <v>1</v>
      </c>
      <c r="Q18" s="971">
        <v>2</v>
      </c>
      <c r="R18" s="971">
        <v>2</v>
      </c>
      <c r="S18" s="971">
        <v>2</v>
      </c>
      <c r="T18" s="971">
        <v>2</v>
      </c>
      <c r="U18" s="971">
        <v>2</v>
      </c>
      <c r="V18" s="91">
        <f t="shared" ref="V18:W19" si="0">P18+R18+T18</f>
        <v>5</v>
      </c>
      <c r="W18" s="91">
        <f t="shared" si="0"/>
        <v>6</v>
      </c>
      <c r="X18" s="971">
        <v>2</v>
      </c>
      <c r="Y18" s="971">
        <v>2</v>
      </c>
      <c r="Z18" s="971">
        <v>3</v>
      </c>
      <c r="AA18" s="971">
        <v>3.5</v>
      </c>
      <c r="AB18" s="971">
        <v>2</v>
      </c>
      <c r="AC18" s="971">
        <v>2.25</v>
      </c>
      <c r="AD18" s="91">
        <f t="shared" ref="AD18:AE19" si="1">X18+Z18+AB18</f>
        <v>7</v>
      </c>
      <c r="AE18" s="91">
        <f t="shared" si="1"/>
        <v>7.75</v>
      </c>
      <c r="AF18" s="971">
        <v>2</v>
      </c>
      <c r="AG18" s="971">
        <v>2</v>
      </c>
      <c r="AH18" s="971">
        <v>3</v>
      </c>
      <c r="AI18" s="974">
        <v>1.4</v>
      </c>
      <c r="AJ18" s="974">
        <v>2</v>
      </c>
      <c r="AK18" s="974">
        <v>2.2000000000000002</v>
      </c>
      <c r="AL18" s="91">
        <f t="shared" ref="AL18:AM19" si="2">AF18+AH18+AJ18</f>
        <v>7</v>
      </c>
      <c r="AM18" s="91">
        <f t="shared" si="2"/>
        <v>5.6</v>
      </c>
      <c r="AN18" s="971">
        <v>3</v>
      </c>
      <c r="AO18" s="971"/>
      <c r="AP18" s="971">
        <v>2</v>
      </c>
      <c r="AQ18" s="971"/>
      <c r="AR18" s="971">
        <v>1</v>
      </c>
      <c r="AS18" s="971"/>
      <c r="AT18" s="91">
        <f t="shared" ref="AT18:AU19" si="3">AN18+AP18+AR18</f>
        <v>6</v>
      </c>
      <c r="AU18" s="91">
        <f t="shared" si="3"/>
        <v>0</v>
      </c>
      <c r="AV18" s="236">
        <f t="shared" ref="AV18:AV19" si="4">V18+AD18+AL18+AT18</f>
        <v>25</v>
      </c>
      <c r="AW18" s="81">
        <f t="shared" ref="AW18:AW19" si="5">+W18</f>
        <v>6</v>
      </c>
      <c r="AX18" s="319">
        <f t="shared" ref="AX18:AX19" si="6">+W18+AE18</f>
        <v>13.75</v>
      </c>
      <c r="AY18" s="319">
        <f t="shared" ref="AY18:AY19" si="7">+W18+AE18+AM18</f>
        <v>19.350000000000001</v>
      </c>
      <c r="AZ18" s="1028">
        <f t="shared" ref="AZ18:AZ19" si="8">+W18+AE18+AM18+AU18</f>
        <v>19.350000000000001</v>
      </c>
      <c r="BA18" s="318">
        <f t="shared" ref="BA18:BA19" si="9">IF(AND(AW18&gt;0,AV18&gt;0),AW18/AV18,0)</f>
        <v>0.24</v>
      </c>
      <c r="BB18" s="318">
        <f t="shared" ref="BB18:BD19" si="10">IF(AND(AX18&gt;0,$AV18&gt;0),AX18/$AV18,0)</f>
        <v>0.55000000000000004</v>
      </c>
      <c r="BC18" s="318">
        <f t="shared" si="10"/>
        <v>0.77400000000000002</v>
      </c>
      <c r="BD18" s="318">
        <f t="shared" si="10"/>
        <v>0.77400000000000002</v>
      </c>
      <c r="BE18" s="345">
        <f>(IF(AND(AW18&gt;0,$F18&gt;0),AW18/$F18,0))</f>
        <v>0.06</v>
      </c>
      <c r="BF18" s="345">
        <f t="shared" ref="BF18:BH18" si="11">(IF(AND(AX18&gt;0,$F18&gt;0),AX18/$F18,0))</f>
        <v>0.13750000000000001</v>
      </c>
      <c r="BG18" s="345">
        <f t="shared" si="11"/>
        <v>0.19350000000000001</v>
      </c>
      <c r="BH18" s="1032">
        <f t="shared" si="11"/>
        <v>0.19350000000000001</v>
      </c>
    </row>
    <row r="19" spans="2:60" ht="240">
      <c r="B19" s="1532"/>
      <c r="C19" s="1532"/>
      <c r="D19" s="31" t="str">
        <f>+'01-FR-03 POA INSTITUCIONAL'!D78</f>
        <v>4.4.10 Realizar 100 actividades de implementación de los instrumentos archivísticos establecidos por norma, y de las herramientas de apoyo a la gestión documental.</v>
      </c>
      <c r="E19" s="52">
        <f>+'01-FR-03 POA INSTITUCIONAL'!E78</f>
        <v>0.05</v>
      </c>
      <c r="F19" s="329">
        <f>+'01-FR-03 POA INSTITUCIONAL'!F78</f>
        <v>100</v>
      </c>
      <c r="G19" s="295">
        <f>+'01-FR-03 POA INSTITUCIONAL'!L78</f>
        <v>25</v>
      </c>
      <c r="H19" s="140">
        <f>+'01-FR-03 POA INSTITUCIONAL'!G78</f>
        <v>26</v>
      </c>
      <c r="I19" s="140" t="str">
        <f>+'01-FR-03 POA INSTITUCIONAL'!H78</f>
        <v>Cantidad de actividades realizadas por año para implementación de los instrumentos archivísticos establecidos por norma, y de herramientas de apoyo a la gestión documental.</v>
      </c>
      <c r="J19" s="140" t="s">
        <v>507</v>
      </c>
      <c r="K19" s="245" t="s">
        <v>508</v>
      </c>
      <c r="L19" s="217" t="s">
        <v>509</v>
      </c>
      <c r="M19" s="217" t="s">
        <v>510</v>
      </c>
      <c r="N19" s="235" t="s">
        <v>511</v>
      </c>
      <c r="O19" s="82" t="str">
        <f>+'01-FR-03 POA INSTITUCIONAL'!J78</f>
        <v>Subdirección de Gestión Documental y Recursos Físicos
Dirección de Tecnologías de la Información y Comunicaciones</v>
      </c>
      <c r="P19" s="971">
        <v>1</v>
      </c>
      <c r="Q19" s="971">
        <v>1</v>
      </c>
      <c r="R19" s="971">
        <v>2</v>
      </c>
      <c r="S19" s="971">
        <v>2</v>
      </c>
      <c r="T19" s="971">
        <v>2</v>
      </c>
      <c r="U19" s="971">
        <v>2</v>
      </c>
      <c r="V19" s="91">
        <f t="shared" si="0"/>
        <v>5</v>
      </c>
      <c r="W19" s="91">
        <f t="shared" si="0"/>
        <v>5</v>
      </c>
      <c r="X19" s="971">
        <v>2</v>
      </c>
      <c r="Y19" s="971">
        <v>2</v>
      </c>
      <c r="Z19" s="971">
        <v>3</v>
      </c>
      <c r="AA19" s="971">
        <v>2.5</v>
      </c>
      <c r="AB19" s="971">
        <v>2</v>
      </c>
      <c r="AC19" s="971">
        <v>2.5</v>
      </c>
      <c r="AD19" s="91">
        <f t="shared" si="1"/>
        <v>7</v>
      </c>
      <c r="AE19" s="91">
        <f t="shared" si="1"/>
        <v>7</v>
      </c>
      <c r="AF19" s="971">
        <v>2</v>
      </c>
      <c r="AG19" s="971">
        <v>1.5</v>
      </c>
      <c r="AH19" s="971">
        <v>3</v>
      </c>
      <c r="AI19" s="974">
        <v>3.8</v>
      </c>
      <c r="AJ19" s="974">
        <v>2</v>
      </c>
      <c r="AK19" s="974">
        <v>2.1</v>
      </c>
      <c r="AL19" s="91">
        <f t="shared" si="2"/>
        <v>7</v>
      </c>
      <c r="AM19" s="91">
        <f t="shared" si="2"/>
        <v>7.4</v>
      </c>
      <c r="AN19" s="971">
        <v>3</v>
      </c>
      <c r="AO19" s="971"/>
      <c r="AP19" s="971">
        <v>2</v>
      </c>
      <c r="AQ19" s="971"/>
      <c r="AR19" s="971">
        <v>1</v>
      </c>
      <c r="AS19" s="971"/>
      <c r="AT19" s="91">
        <f t="shared" si="3"/>
        <v>6</v>
      </c>
      <c r="AU19" s="91">
        <f t="shared" si="3"/>
        <v>0</v>
      </c>
      <c r="AV19" s="236">
        <f t="shared" si="4"/>
        <v>25</v>
      </c>
      <c r="AW19" s="81">
        <f t="shared" si="5"/>
        <v>5</v>
      </c>
      <c r="AX19" s="319">
        <f t="shared" si="6"/>
        <v>12</v>
      </c>
      <c r="AY19" s="319">
        <f t="shared" si="7"/>
        <v>19.399999999999999</v>
      </c>
      <c r="AZ19" s="1028">
        <f t="shared" si="8"/>
        <v>19.399999999999999</v>
      </c>
      <c r="BA19" s="318">
        <f t="shared" si="9"/>
        <v>0.2</v>
      </c>
      <c r="BB19" s="318">
        <f t="shared" si="10"/>
        <v>0.48</v>
      </c>
      <c r="BC19" s="318">
        <f t="shared" si="10"/>
        <v>0.77599999999999991</v>
      </c>
      <c r="BD19" s="318">
        <f t="shared" si="10"/>
        <v>0.77599999999999991</v>
      </c>
      <c r="BE19" s="345">
        <f>(IF(AND(AW19&gt;0,$F19&gt;0),AW19/$F19,0))</f>
        <v>0.05</v>
      </c>
      <c r="BF19" s="345">
        <f t="shared" ref="BF19" si="12">(IF(AND(AX19&gt;0,$F19&gt;0),AX19/$F19,0))</f>
        <v>0.12</v>
      </c>
      <c r="BG19" s="345">
        <f t="shared" ref="BG19" si="13">(IF(AND(AY19&gt;0,$F19&gt;0),AY19/$F19,0))</f>
        <v>0.19399999999999998</v>
      </c>
      <c r="BH19" s="1032">
        <f t="shared" ref="BH19" si="14">(IF(AND(AZ19&gt;0,$F19&gt;0),AZ19/$F19,0))</f>
        <v>0.19399999999999998</v>
      </c>
    </row>
    <row r="20" spans="2:60" ht="23.25">
      <c r="B20" s="1537"/>
      <c r="C20" s="1538"/>
      <c r="D20" s="1538"/>
      <c r="E20" s="1538"/>
      <c r="F20" s="1538"/>
      <c r="G20" s="1538"/>
      <c r="H20" s="1538"/>
      <c r="I20" s="1538"/>
      <c r="J20" s="1538"/>
      <c r="K20" s="1538"/>
      <c r="L20" s="1538"/>
      <c r="M20" s="1538"/>
      <c r="N20" s="1538"/>
      <c r="O20" s="1538"/>
      <c r="P20" s="1538"/>
      <c r="Q20" s="1538"/>
      <c r="R20" s="1538"/>
      <c r="S20" s="1538"/>
      <c r="T20" s="1538"/>
      <c r="U20" s="1538"/>
      <c r="V20" s="1538"/>
      <c r="W20" s="1538"/>
      <c r="X20" s="1538"/>
      <c r="Y20" s="1538"/>
      <c r="Z20" s="1538"/>
      <c r="AA20" s="1538"/>
      <c r="AB20" s="1538"/>
      <c r="AC20" s="1538"/>
      <c r="AD20" s="1538"/>
      <c r="AE20" s="1538"/>
      <c r="AF20" s="1538"/>
      <c r="AG20" s="1538"/>
      <c r="AH20" s="1538"/>
      <c r="AI20" s="1538"/>
      <c r="AJ20" s="1538"/>
      <c r="AK20" s="1538"/>
      <c r="AL20" s="1538"/>
      <c r="AM20" s="1538"/>
      <c r="AN20" s="1538"/>
      <c r="AO20" s="1538"/>
      <c r="AP20" s="1538"/>
      <c r="AQ20" s="1538"/>
      <c r="AR20" s="1538"/>
      <c r="AS20" s="1538"/>
      <c r="AT20" s="1538"/>
      <c r="AU20" s="1538"/>
      <c r="AV20" s="1538"/>
      <c r="AW20" s="1706"/>
      <c r="AX20" s="1676" t="s">
        <v>19</v>
      </c>
      <c r="AY20" s="1704"/>
      <c r="AZ20" s="1704"/>
      <c r="BA20" s="70">
        <f t="shared" ref="BA20:BD20" si="15">AVERAGE(BA16:BA19)</f>
        <v>0.24316200657894738</v>
      </c>
      <c r="BB20" s="70">
        <f t="shared" si="15"/>
        <v>0.52481907894736846</v>
      </c>
      <c r="BC20" s="70">
        <f t="shared" si="15"/>
        <v>0.78202713815789471</v>
      </c>
      <c r="BD20" s="70">
        <f t="shared" si="15"/>
        <v>0.78166118421052633</v>
      </c>
      <c r="BE20" s="1714"/>
      <c r="BF20" s="1715"/>
      <c r="BG20" s="1715"/>
      <c r="BH20" s="1716"/>
    </row>
    <row r="21" spans="2:60" ht="17.25">
      <c r="B21" s="1516"/>
      <c r="C21" s="1516"/>
      <c r="D21" s="1516"/>
      <c r="E21" s="1516"/>
      <c r="F21" s="1516"/>
      <c r="G21" s="1516"/>
      <c r="H21" s="238"/>
      <c r="I21" s="239"/>
      <c r="J21" s="239"/>
      <c r="K21" s="239"/>
      <c r="L21" s="239"/>
      <c r="M21" s="239"/>
      <c r="N21" s="239"/>
      <c r="O21" s="239"/>
    </row>
    <row r="22" spans="2:60" ht="17.25">
      <c r="B22" s="239"/>
      <c r="C22" s="239"/>
      <c r="D22" s="1686"/>
      <c r="E22" s="1686"/>
      <c r="F22" s="1686"/>
      <c r="G22" s="1686"/>
      <c r="H22" s="1686"/>
      <c r="I22" s="1686"/>
      <c r="J22" s="1686"/>
      <c r="K22" s="1686"/>
      <c r="L22" s="1686"/>
      <c r="M22" s="1686"/>
      <c r="N22" s="1686"/>
      <c r="O22" s="1686"/>
    </row>
    <row r="23" spans="2:60" ht="15.75">
      <c r="B23" s="77" t="s">
        <v>26</v>
      </c>
      <c r="C23" s="240">
        <v>44224</v>
      </c>
      <c r="D23" s="241"/>
      <c r="E23" s="1687" t="s">
        <v>50</v>
      </c>
      <c r="F23" s="328"/>
      <c r="G23" s="1688" t="s">
        <v>512</v>
      </c>
      <c r="H23" s="1688"/>
      <c r="I23" s="1688"/>
      <c r="J23" s="1688"/>
      <c r="K23" s="242"/>
      <c r="L23" s="1695"/>
      <c r="M23" s="1695"/>
      <c r="N23" s="1695"/>
      <c r="O23" s="1696"/>
    </row>
    <row r="24" spans="2:60" ht="17.25">
      <c r="B24" s="239"/>
      <c r="C24" s="239"/>
      <c r="D24" s="242"/>
      <c r="E24" s="1687"/>
      <c r="F24" s="328"/>
      <c r="G24" s="1688"/>
      <c r="H24" s="1688"/>
      <c r="I24" s="1688"/>
      <c r="J24" s="1688"/>
      <c r="K24" s="239"/>
      <c r="L24" s="239"/>
      <c r="M24" s="239"/>
      <c r="N24" s="239"/>
      <c r="O24" s="239"/>
    </row>
    <row r="25" spans="2:60" ht="17.25">
      <c r="B25" s="77" t="s">
        <v>49</v>
      </c>
      <c r="C25" s="80">
        <v>44581</v>
      </c>
      <c r="D25" s="239"/>
      <c r="E25" s="239"/>
      <c r="F25" s="239"/>
      <c r="K25" s="239"/>
      <c r="L25" s="239"/>
      <c r="M25" s="239"/>
      <c r="N25" s="239"/>
      <c r="O25" s="239"/>
    </row>
    <row r="26" spans="2:60" ht="17.25">
      <c r="B26" s="239"/>
      <c r="C26" s="239"/>
      <c r="D26" s="239"/>
      <c r="E26" s="239"/>
      <c r="F26" s="239"/>
      <c r="K26" s="239"/>
      <c r="L26" s="239"/>
      <c r="M26" s="239"/>
      <c r="N26" s="239"/>
      <c r="O26" s="239"/>
    </row>
    <row r="27" spans="2:60" ht="17.25">
      <c r="B27" s="1814" t="s">
        <v>922</v>
      </c>
      <c r="C27" s="1814"/>
      <c r="D27" s="1814"/>
      <c r="E27" s="1814"/>
      <c r="F27" s="1814"/>
      <c r="G27" s="1814"/>
      <c r="H27" s="238"/>
      <c r="I27" s="1694"/>
      <c r="J27" s="1694"/>
      <c r="K27" s="1694"/>
      <c r="L27" s="1694"/>
      <c r="M27" s="243"/>
      <c r="N27" s="243"/>
      <c r="O27" s="243"/>
    </row>
    <row r="28" spans="2:60" ht="17.25">
      <c r="B28" s="239"/>
      <c r="C28" s="239"/>
      <c r="D28" s="239"/>
      <c r="E28" s="239"/>
      <c r="F28" s="239"/>
      <c r="G28" s="238"/>
      <c r="H28" s="238"/>
      <c r="I28" s="239"/>
      <c r="J28" s="239"/>
      <c r="K28" s="244"/>
      <c r="L28" s="239"/>
      <c r="M28" s="239"/>
      <c r="N28" s="239"/>
      <c r="O28" s="239"/>
    </row>
    <row r="29" spans="2:60" ht="17.25">
      <c r="B29" s="239"/>
      <c r="C29" s="239"/>
      <c r="D29" s="239"/>
      <c r="E29" s="239"/>
      <c r="F29" s="239"/>
      <c r="G29" s="238"/>
      <c r="H29" s="238"/>
      <c r="I29" s="1694"/>
      <c r="J29" s="1694"/>
      <c r="K29" s="1694"/>
      <c r="L29" s="1694"/>
      <c r="M29" s="243"/>
      <c r="N29" s="243"/>
      <c r="O29" s="243"/>
    </row>
    <row r="30" spans="2:60" ht="17.25">
      <c r="B30" s="239"/>
      <c r="C30" s="239"/>
      <c r="D30" s="239"/>
      <c r="E30" s="239"/>
      <c r="F30" s="239"/>
      <c r="G30" s="238"/>
      <c r="H30" s="238"/>
      <c r="I30" s="239"/>
      <c r="J30" s="239"/>
      <c r="K30" s="244"/>
      <c r="L30" s="239"/>
      <c r="M30" s="239"/>
      <c r="N30" s="239"/>
      <c r="O30" s="239"/>
    </row>
    <row r="31" spans="2:60" ht="17.25">
      <c r="B31" s="239"/>
      <c r="C31" s="239"/>
      <c r="D31" s="239"/>
      <c r="E31" s="239"/>
      <c r="F31" s="239"/>
      <c r="G31" s="238"/>
      <c r="H31" s="238"/>
      <c r="I31" s="1694"/>
      <c r="J31" s="1694"/>
      <c r="K31" s="1694"/>
      <c r="L31" s="1694"/>
      <c r="M31" s="243"/>
      <c r="N31" s="243"/>
      <c r="O31" s="243"/>
    </row>
  </sheetData>
  <sheetProtection algorithmName="SHA-512" hashValue="OHAv2u6A5Zr2+lqzzSp022NHDKHf3Z/H1WLOwJxGK+nW90xSyH8RycmExpFTtlXvP01VFfQuiwexKMfQrGz02A==" saltValue="UWV3uppw/g/0zK4OM6rIEg==" spinCount="100000" sheet="1" objects="1" scenarios="1"/>
  <mergeCells count="72">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 ref="AN14:AO14"/>
    <mergeCell ref="N12:N15"/>
    <mergeCell ref="O12:O15"/>
    <mergeCell ref="H12:H15"/>
    <mergeCell ref="I12:I15"/>
    <mergeCell ref="J12:J15"/>
    <mergeCell ref="AD14:AE14"/>
    <mergeCell ref="AF14:AG14"/>
    <mergeCell ref="AH14:AI14"/>
    <mergeCell ref="K12:K15"/>
    <mergeCell ref="L12:L15"/>
    <mergeCell ref="M12:M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E20:BH20"/>
    <mergeCell ref="I29:L29"/>
    <mergeCell ref="I31:L31"/>
    <mergeCell ref="B21:G21"/>
    <mergeCell ref="AX20:AZ20"/>
    <mergeCell ref="D22:O22"/>
    <mergeCell ref="E23:E24"/>
    <mergeCell ref="G23:J24"/>
    <mergeCell ref="L23:O23"/>
    <mergeCell ref="I27:L27"/>
    <mergeCell ref="B20:AW20"/>
    <mergeCell ref="B27:G27"/>
  </mergeCells>
  <conditionalFormatting sqref="BA16:BD19">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66FF33"/>
  </sheetPr>
  <dimension ref="A1:BH32"/>
  <sheetViews>
    <sheetView showGridLines="0" zoomScale="70" zoomScaleNormal="70" workbookViewId="0">
      <selection activeCell="BG19" sqref="BG19:BG20"/>
    </sheetView>
  </sheetViews>
  <sheetFormatPr baseColWidth="10" defaultColWidth="17.28515625" defaultRowHeight="15" customHeight="1"/>
  <cols>
    <col min="1" max="1" width="4.28515625" style="135" customWidth="1"/>
    <col min="2" max="2" width="50.42578125" style="133" customWidth="1"/>
    <col min="3" max="3" width="31.42578125" style="133" customWidth="1"/>
    <col min="4" max="4" width="49.7109375" style="133" customWidth="1"/>
    <col min="5" max="6" width="27.5703125" style="133" customWidth="1"/>
    <col min="7" max="8" width="29.28515625" style="134" customWidth="1"/>
    <col min="9" max="9" width="31" style="133" customWidth="1"/>
    <col min="10" max="10" width="46.42578125" style="133" customWidth="1"/>
    <col min="11" max="11" width="55.85546875" style="133" customWidth="1"/>
    <col min="12" max="12" width="48.42578125" style="133" customWidth="1"/>
    <col min="13" max="14" width="28.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1:60" ht="18" thickBot="1"/>
    <row r="2" spans="1:60" ht="15.6" customHeight="1">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1:60" ht="15.6" customHeight="1">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1:60"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1:60" ht="15.6" customHeight="1">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1:60"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1:60"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1:60" ht="20.25">
      <c r="B8" s="213" t="s">
        <v>45</v>
      </c>
      <c r="C8" s="1713" t="s">
        <v>96</v>
      </c>
      <c r="D8" s="1713"/>
      <c r="E8" s="214"/>
      <c r="F8" s="214"/>
      <c r="G8" s="214"/>
      <c r="H8" s="214"/>
      <c r="I8" s="214"/>
      <c r="J8" s="214"/>
      <c r="K8" s="214"/>
      <c r="L8" s="214"/>
      <c r="M8" s="214"/>
      <c r="N8" s="214"/>
      <c r="O8" s="214"/>
      <c r="AW8" s="231"/>
      <c r="AX8" s="231"/>
      <c r="AY8" s="231"/>
      <c r="AZ8" s="231"/>
      <c r="BA8" s="231"/>
      <c r="BB8" s="231"/>
      <c r="BC8" s="231"/>
      <c r="BD8" s="231"/>
    </row>
    <row r="9" spans="1:60" ht="75.75" customHeight="1">
      <c r="B9" s="213" t="s">
        <v>34</v>
      </c>
      <c r="C9" s="1794" t="s">
        <v>537</v>
      </c>
      <c r="D9" s="1673"/>
      <c r="E9" s="214"/>
      <c r="F9" s="214"/>
      <c r="G9" s="214"/>
      <c r="H9" s="214"/>
      <c r="I9" s="214"/>
      <c r="J9" s="214"/>
      <c r="K9" s="214"/>
      <c r="L9" s="214"/>
      <c r="M9" s="214"/>
      <c r="N9" s="214"/>
      <c r="O9" s="214"/>
      <c r="AW9" s="231"/>
      <c r="AX9" s="231"/>
      <c r="AY9" s="231"/>
      <c r="AZ9" s="231"/>
      <c r="BA9" s="231"/>
      <c r="BB9" s="231"/>
      <c r="BC9" s="231"/>
      <c r="BD9" s="231"/>
    </row>
    <row r="10" spans="1:60" ht="25.5">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1:60"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1:60" ht="24"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1:60"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1:60"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1:60" ht="13.1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1:60" ht="102.6" customHeight="1">
      <c r="A16" s="259"/>
      <c r="B16" s="167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78" t="str">
        <f>+'01-FR-03 POA INSTITUCIONAL'!C69</f>
        <v>4.4. Implementar el 100% de las acciones necesarias para la modernización de la gestión institucional a través de los procesos de apoyo, que permita una mejor prestación del servicio.</v>
      </c>
      <c r="D16" s="31" t="str">
        <f>+'01-FR-03 POA INSTITUCIONAL'!D79</f>
        <v>4.4.11  Representar a la Entidad en el 100% de los procesos judiciales en los cuales la sea vinculada o demandada.</v>
      </c>
      <c r="E16" s="52">
        <f>+'01-FR-03 POA INSTITUCIONAL'!E79</f>
        <v>0.05</v>
      </c>
      <c r="F16" s="52">
        <f>+'01-FR-03 POA INSTITUCIONAL'!F79</f>
        <v>1</v>
      </c>
      <c r="G16" s="160">
        <f>+'01-FR-03 POA INSTITUCIONAL'!L79</f>
        <v>1</v>
      </c>
      <c r="H16" s="33">
        <f>+'01-FR-03 POA INSTITUCIONAL'!G79</f>
        <v>1</v>
      </c>
      <c r="I16" s="140" t="str">
        <f>+'01-FR-03 POA INSTITUCIONAL'!H79</f>
        <v>Porcentaje de procesos judiciales en los que se vincule o demande a la Entidad, objeto de representación oportuna</v>
      </c>
      <c r="J16" s="293" t="s">
        <v>526</v>
      </c>
      <c r="K16" s="217" t="s">
        <v>527</v>
      </c>
      <c r="L16" s="217" t="s">
        <v>528</v>
      </c>
      <c r="M16" s="217" t="s">
        <v>529</v>
      </c>
      <c r="N16" s="217" t="s">
        <v>530</v>
      </c>
      <c r="O16" s="294" t="str">
        <f>+'01-FR-03 POA INSTITUCIONAL'!J79</f>
        <v>Oficina Asesora Jurídica</v>
      </c>
      <c r="P16" s="145">
        <v>1</v>
      </c>
      <c r="Q16" s="145">
        <v>1</v>
      </c>
      <c r="R16" s="145">
        <v>1</v>
      </c>
      <c r="S16" s="145">
        <v>1</v>
      </c>
      <c r="T16" s="145">
        <v>1</v>
      </c>
      <c r="U16" s="145">
        <v>1</v>
      </c>
      <c r="V16" s="66">
        <f>AVERAGE(P16,R16,T16)</f>
        <v>1</v>
      </c>
      <c r="W16" s="66">
        <f>IFERROR(AVERAGE(Q16,S16,U16),0)</f>
        <v>1</v>
      </c>
      <c r="X16" s="145">
        <v>1</v>
      </c>
      <c r="Y16" s="145">
        <v>1</v>
      </c>
      <c r="Z16" s="145">
        <v>1</v>
      </c>
      <c r="AA16" s="145">
        <v>1</v>
      </c>
      <c r="AB16" s="145">
        <v>1</v>
      </c>
      <c r="AC16" s="145">
        <v>1</v>
      </c>
      <c r="AD16" s="66">
        <f>AVERAGE(X16,Z16,AB16)</f>
        <v>1</v>
      </c>
      <c r="AE16" s="66">
        <f>IFERROR(AVERAGE(Y16,AA16,AC16),0)</f>
        <v>1</v>
      </c>
      <c r="AF16" s="145">
        <v>1</v>
      </c>
      <c r="AG16" s="145">
        <v>1</v>
      </c>
      <c r="AH16" s="145">
        <v>1</v>
      </c>
      <c r="AI16" s="145">
        <v>1</v>
      </c>
      <c r="AJ16" s="145">
        <v>1</v>
      </c>
      <c r="AK16" s="145">
        <v>1</v>
      </c>
      <c r="AL16" s="66">
        <f>AVERAGE(AF16,AH16,AJ16)</f>
        <v>1</v>
      </c>
      <c r="AM16" s="66">
        <f>IFERROR(AVERAGE(AG16,AI16,AK16),0)</f>
        <v>1</v>
      </c>
      <c r="AN16" s="145">
        <v>1</v>
      </c>
      <c r="AO16" s="1037">
        <v>0</v>
      </c>
      <c r="AP16" s="145">
        <v>1</v>
      </c>
      <c r="AQ16" s="1037">
        <v>0</v>
      </c>
      <c r="AR16" s="145">
        <v>1</v>
      </c>
      <c r="AS16" s="1037">
        <v>0</v>
      </c>
      <c r="AT16" s="66">
        <f>AVERAGE(AN16,AP16,AR16)</f>
        <v>1</v>
      </c>
      <c r="AU16" s="66">
        <f>IFERROR(AVERAGE(AO16,AQ16,AS16),0)</f>
        <v>0</v>
      </c>
      <c r="AV16" s="66">
        <f>AVERAGE(P16,R16,T16,X16,Z16,AB16,AF16,AH16,AJ16,AN16,AP16,AR16)</f>
        <v>1</v>
      </c>
      <c r="AW16" s="65">
        <f>IFERROR(IF(OR($AV$16="",$AV$16=0),0,ROUNDDOWN(AVERAGE($Q16,$S16,$U16),3)),0)</f>
        <v>1</v>
      </c>
      <c r="AX16" s="65">
        <f>IFERROR(IF(OR($AV$17="",$AV$17=0),0,ROUNDDOWN(AVERAGE($Q16,$S16,$U16,$Y16,$AA16,$AC16),3)),0)</f>
        <v>1</v>
      </c>
      <c r="AY16" s="65">
        <f>IFERROR(IF(OR($AV$16="",$AV$16=0),0,ROUNDDOWN(AVERAGE($Q16,$S16,$U16,$Y16,$AA16,$AC16,$AG16,$AI16,$AK16),3)),0)</f>
        <v>1</v>
      </c>
      <c r="AZ16" s="1038">
        <f t="shared" ref="AZ16:AZ20" si="0">IFERROR(IF(OR($AV$16="",$AV$16=0),0,ROUNDDOWN(AVERAGE($Q16,$S16,$U16,$Y16,$AA16,$AC16,$AG16,$AI16,$AK16,$AO16,$AQ16,$AS16),3)),0)</f>
        <v>0.75</v>
      </c>
      <c r="BA16" s="341">
        <f>(IF(AND(AW16&gt;0,$AV16&gt;0),AW16/$AV16,0))*0.25</f>
        <v>0.25</v>
      </c>
      <c r="BB16" s="341">
        <f>(IF(AND(AX16&gt;0,$AV16&gt;0),AX16/$AV16,0))*0.5</f>
        <v>0.5</v>
      </c>
      <c r="BC16" s="341">
        <f>(IF(AND(AY16&gt;0,$AV16&gt;0),AY16/$AV16,0))*0.75</f>
        <v>0.75</v>
      </c>
      <c r="BD16" s="341">
        <f>(IF(AND(AZ16&gt;0,$AV16&gt;0),AZ16/$AV16,0))*1</f>
        <v>0.75</v>
      </c>
      <c r="BE16" s="347">
        <f>((IF(AND(AW16&gt;0,$F16&gt;0),AW16/$F16,0))/4)*0.25</f>
        <v>6.25E-2</v>
      </c>
      <c r="BF16" s="345">
        <f>((IF(AND(AX16&gt;0,$F16&gt;0),AX16/$F16,0))/4)*0.5</f>
        <v>0.125</v>
      </c>
      <c r="BG16" s="345">
        <f>((IF(AND(AY16&gt;0,$F16&gt;0),AY16/$F16,0))/4)*0.75</f>
        <v>0.1875</v>
      </c>
      <c r="BH16" s="1039">
        <f>((IF(AND(AZ16&gt;0,$F16&gt;0),AZ16/$F16,0))/4)*1</f>
        <v>0.1875</v>
      </c>
    </row>
    <row r="17" spans="1:60" ht="150">
      <c r="A17" s="259"/>
      <c r="B17" s="1679"/>
      <c r="C17" s="1679"/>
      <c r="D17" s="31" t="str">
        <f>+'01-FR-03 POA INSTITUCIONAL'!D80</f>
        <v xml:space="preserve">4.4.12 Defender judicialmente a la Entidad en el 100% de las acciones de tutela en las cuales sea vinculada o accionada </v>
      </c>
      <c r="E17" s="52">
        <f>+'01-FR-03 POA INSTITUCIONAL'!E80</f>
        <v>0.05</v>
      </c>
      <c r="F17" s="52">
        <f>+'01-FR-03 POA INSTITUCIONAL'!F80</f>
        <v>1</v>
      </c>
      <c r="G17" s="160">
        <f>+'01-FR-03 POA INSTITUCIONAL'!L80</f>
        <v>1</v>
      </c>
      <c r="H17" s="33">
        <f>+'01-FR-03 POA INSTITUCIONAL'!G80</f>
        <v>1</v>
      </c>
      <c r="I17" s="140" t="str">
        <f>+'01-FR-03 POA INSTITUCIONAL'!H80</f>
        <v xml:space="preserve">Porcentaje de acciones de tutela en las cuales se defienda judicialmente a la Entidad oportunamente </v>
      </c>
      <c r="J17" s="293" t="s">
        <v>531</v>
      </c>
      <c r="K17" s="234" t="s">
        <v>532</v>
      </c>
      <c r="L17" s="217" t="s">
        <v>528</v>
      </c>
      <c r="M17" s="217" t="s">
        <v>529</v>
      </c>
      <c r="N17" s="217" t="s">
        <v>530</v>
      </c>
      <c r="O17" s="294" t="str">
        <f>+'01-FR-03 POA INSTITUCIONAL'!J80</f>
        <v>Oficina Asesora Jurídica</v>
      </c>
      <c r="P17" s="145">
        <v>1</v>
      </c>
      <c r="Q17" s="145">
        <v>1</v>
      </c>
      <c r="R17" s="145">
        <v>1</v>
      </c>
      <c r="S17" s="145">
        <v>1</v>
      </c>
      <c r="T17" s="145">
        <v>1</v>
      </c>
      <c r="U17" s="145">
        <v>1</v>
      </c>
      <c r="V17" s="66">
        <f t="shared" ref="V17:V19" si="1">AVERAGE(P17,R17,T17)</f>
        <v>1</v>
      </c>
      <c r="W17" s="66">
        <f t="shared" ref="W17:W18" si="2">IFERROR(AVERAGE(Q17,S17,U17),0)</f>
        <v>1</v>
      </c>
      <c r="X17" s="145">
        <v>1</v>
      </c>
      <c r="Y17" s="145">
        <v>1</v>
      </c>
      <c r="Z17" s="145">
        <v>1</v>
      </c>
      <c r="AA17" s="145">
        <v>1</v>
      </c>
      <c r="AB17" s="145">
        <v>1</v>
      </c>
      <c r="AC17" s="145">
        <v>1</v>
      </c>
      <c r="AD17" s="66">
        <f t="shared" ref="AD17:AD19" si="3">AVERAGE(X17,Z17,AB17)</f>
        <v>1</v>
      </c>
      <c r="AE17" s="66">
        <f t="shared" ref="AE17:AE19" si="4">IFERROR(AVERAGE(Y17,AA17,AC17),0)</f>
        <v>1</v>
      </c>
      <c r="AF17" s="145">
        <v>1</v>
      </c>
      <c r="AG17" s="145">
        <v>1</v>
      </c>
      <c r="AH17" s="145">
        <v>1</v>
      </c>
      <c r="AI17" s="145">
        <v>1</v>
      </c>
      <c r="AJ17" s="145">
        <v>1</v>
      </c>
      <c r="AK17" s="145">
        <v>1</v>
      </c>
      <c r="AL17" s="66">
        <f t="shared" ref="AL17:AL19" si="5">AVERAGE(AF17,AH17,AJ17)</f>
        <v>1</v>
      </c>
      <c r="AM17" s="66">
        <f t="shared" ref="AM17:AM19" si="6">IFERROR(AVERAGE(AG17,AI17,AK17),0)</f>
        <v>1</v>
      </c>
      <c r="AN17" s="145">
        <v>1</v>
      </c>
      <c r="AO17" s="1037">
        <v>0</v>
      </c>
      <c r="AP17" s="145">
        <v>1</v>
      </c>
      <c r="AQ17" s="1037">
        <v>0</v>
      </c>
      <c r="AR17" s="145">
        <v>1</v>
      </c>
      <c r="AS17" s="1037">
        <v>0</v>
      </c>
      <c r="AT17" s="66">
        <f t="shared" ref="AT17:AT19" si="7">AVERAGE(AN17,AP17,AR17)</f>
        <v>1</v>
      </c>
      <c r="AU17" s="66">
        <f t="shared" ref="AU17:AU19" si="8">IFERROR(AVERAGE(AO17,AQ17,AS17),0)</f>
        <v>0</v>
      </c>
      <c r="AV17" s="66">
        <f t="shared" ref="AV17:AV19" si="9">AVERAGE(P17,R17,T17,X17,Z17,AB17,AF17,AH17,AJ17,AN17,AP17,AR17)</f>
        <v>1</v>
      </c>
      <c r="AW17" s="65">
        <f t="shared" ref="AW17:AW20" si="10">IFERROR(IF(OR($AV$16="",$AV$16=0),0,ROUNDDOWN(AVERAGE($Q17,$S17,$U17),3)),0)</f>
        <v>1</v>
      </c>
      <c r="AX17" s="65">
        <f t="shared" ref="AX17:AX20" si="11">IFERROR(IF(OR($AV$17="",$AV$17=0),0,ROUNDDOWN(AVERAGE($Q17,$S17,$U17,$Y17,$AA17,$AC17),3)),0)</f>
        <v>1</v>
      </c>
      <c r="AY17" s="65">
        <f t="shared" ref="AY17:AY20" si="12">IFERROR(IF(OR($AV$16="",$AV$16=0),0,ROUNDDOWN(AVERAGE($Q17,$S17,$U17,$Y17,$AA17,$AC17,$AG17,$AI17,$AK17),3)),0)</f>
        <v>1</v>
      </c>
      <c r="AZ17" s="1038">
        <f t="shared" si="0"/>
        <v>0.75</v>
      </c>
      <c r="BA17" s="341">
        <f t="shared" ref="BA17:BA20" si="13">(IF(AND(AW17&gt;0,$AV17&gt;0),AW17/$AV17,0))*0.25</f>
        <v>0.25</v>
      </c>
      <c r="BB17" s="341">
        <f t="shared" ref="BB17:BB20" si="14">(IF(AND(AX17&gt;0,$AV17&gt;0),AX17/$AV17,0))*0.5</f>
        <v>0.5</v>
      </c>
      <c r="BC17" s="341">
        <f t="shared" ref="BC17:BC20" si="15">(IF(AND(AY17&gt;0,$AV17&gt;0),AY17/$AV17,0))*0.75</f>
        <v>0.75</v>
      </c>
      <c r="BD17" s="341">
        <f t="shared" ref="BD17:BD20" si="16">(IF(AND(AZ17&gt;0,$AV17&gt;0),AZ17/$AV17,0))*1</f>
        <v>0.75</v>
      </c>
      <c r="BE17" s="347">
        <f t="shared" ref="BE17:BE20" si="17">((IF(AND(AW17&gt;0,$F17&gt;0),AW17/$F17,0))/4)*0.25</f>
        <v>6.25E-2</v>
      </c>
      <c r="BF17" s="345">
        <f t="shared" ref="BF17:BF20" si="18">((IF(AND(AX17&gt;0,$F17&gt;0),AX17/$F17,0))/4)*0.5</f>
        <v>0.125</v>
      </c>
      <c r="BG17" s="345">
        <f t="shared" ref="BG17:BG20" si="19">((IF(AND(AY17&gt;0,$F17&gt;0),AY17/$F17,0))/4)*0.75</f>
        <v>0.1875</v>
      </c>
      <c r="BH17" s="1039">
        <f t="shared" ref="BH17:BH20" si="20">((IF(AND(AZ17&gt;0,$F17&gt;0),AZ17/$F17,0))/4)*1</f>
        <v>0.1875</v>
      </c>
    </row>
    <row r="18" spans="1:60" ht="75">
      <c r="A18" s="259"/>
      <c r="B18" s="1679"/>
      <c r="C18" s="1679"/>
      <c r="D18" s="31" t="str">
        <f>+'01-FR-03 POA INSTITUCIONAL'!D81</f>
        <v>4.4.13 Emitir oportunamente el 100% de los conceptos jurídicos solicitados por el Despacho del Personero de Bogotá o sus delegados.</v>
      </c>
      <c r="E18" s="52">
        <f>+'01-FR-03 POA INSTITUCIONAL'!E81</f>
        <v>0.05</v>
      </c>
      <c r="F18" s="52">
        <f>+'01-FR-03 POA INSTITUCIONAL'!F81</f>
        <v>1</v>
      </c>
      <c r="G18" s="160">
        <f>+'01-FR-03 POA INSTITUCIONAL'!L81</f>
        <v>1</v>
      </c>
      <c r="H18" s="33">
        <f>+'01-FR-03 POA INSTITUCIONAL'!G81</f>
        <v>1</v>
      </c>
      <c r="I18" s="140" t="str">
        <f>+'01-FR-03 POA INSTITUCIONAL'!H81</f>
        <v>Porcentaje de conceptos de competencia de la dependencia emitidos oportunamente</v>
      </c>
      <c r="J18" s="293" t="s">
        <v>533</v>
      </c>
      <c r="K18" s="234" t="s">
        <v>534</v>
      </c>
      <c r="L18" s="217" t="s">
        <v>535</v>
      </c>
      <c r="M18" s="217" t="s">
        <v>529</v>
      </c>
      <c r="N18" s="217" t="s">
        <v>530</v>
      </c>
      <c r="O18" s="294" t="str">
        <f>+'01-FR-03 POA INSTITUCIONAL'!J81</f>
        <v>Oficina Asesora Jurídica</v>
      </c>
      <c r="P18" s="145">
        <v>1</v>
      </c>
      <c r="Q18" s="145">
        <v>1</v>
      </c>
      <c r="R18" s="145">
        <v>1</v>
      </c>
      <c r="S18" s="145">
        <v>1</v>
      </c>
      <c r="T18" s="145">
        <v>1</v>
      </c>
      <c r="U18" s="145">
        <v>1</v>
      </c>
      <c r="V18" s="66">
        <f t="shared" si="1"/>
        <v>1</v>
      </c>
      <c r="W18" s="66">
        <f t="shared" si="2"/>
        <v>1</v>
      </c>
      <c r="X18" s="145">
        <v>1</v>
      </c>
      <c r="Y18" s="145">
        <v>1</v>
      </c>
      <c r="Z18" s="145">
        <v>1</v>
      </c>
      <c r="AA18" s="145">
        <v>1</v>
      </c>
      <c r="AB18" s="145">
        <v>1</v>
      </c>
      <c r="AC18" s="145">
        <v>1</v>
      </c>
      <c r="AD18" s="66">
        <f t="shared" si="3"/>
        <v>1</v>
      </c>
      <c r="AE18" s="66">
        <f t="shared" si="4"/>
        <v>1</v>
      </c>
      <c r="AF18" s="145">
        <v>1</v>
      </c>
      <c r="AG18" s="145">
        <v>1</v>
      </c>
      <c r="AH18" s="145">
        <v>1</v>
      </c>
      <c r="AI18" s="145">
        <v>1</v>
      </c>
      <c r="AJ18" s="145">
        <v>1</v>
      </c>
      <c r="AK18" s="145">
        <v>1</v>
      </c>
      <c r="AL18" s="66">
        <f t="shared" si="5"/>
        <v>1</v>
      </c>
      <c r="AM18" s="66">
        <f t="shared" si="6"/>
        <v>1</v>
      </c>
      <c r="AN18" s="145">
        <v>1</v>
      </c>
      <c r="AO18" s="1037">
        <v>0</v>
      </c>
      <c r="AP18" s="145">
        <v>1</v>
      </c>
      <c r="AQ18" s="1037">
        <v>0</v>
      </c>
      <c r="AR18" s="145">
        <v>1</v>
      </c>
      <c r="AS18" s="1037">
        <v>0</v>
      </c>
      <c r="AT18" s="66">
        <f t="shared" si="7"/>
        <v>1</v>
      </c>
      <c r="AU18" s="66">
        <f t="shared" si="8"/>
        <v>0</v>
      </c>
      <c r="AV18" s="66">
        <f t="shared" si="9"/>
        <v>1</v>
      </c>
      <c r="AW18" s="65">
        <f t="shared" si="10"/>
        <v>1</v>
      </c>
      <c r="AX18" s="65">
        <f t="shared" si="11"/>
        <v>1</v>
      </c>
      <c r="AY18" s="65">
        <f t="shared" si="12"/>
        <v>1</v>
      </c>
      <c r="AZ18" s="1038">
        <f t="shared" si="0"/>
        <v>0.75</v>
      </c>
      <c r="BA18" s="341">
        <f t="shared" si="13"/>
        <v>0.25</v>
      </c>
      <c r="BB18" s="341">
        <f t="shared" si="14"/>
        <v>0.5</v>
      </c>
      <c r="BC18" s="341">
        <f t="shared" si="15"/>
        <v>0.75</v>
      </c>
      <c r="BD18" s="341">
        <f t="shared" si="16"/>
        <v>0.75</v>
      </c>
      <c r="BE18" s="347">
        <f t="shared" si="17"/>
        <v>6.25E-2</v>
      </c>
      <c r="BF18" s="345">
        <f t="shared" si="18"/>
        <v>0.125</v>
      </c>
      <c r="BG18" s="345">
        <f t="shared" si="19"/>
        <v>0.1875</v>
      </c>
      <c r="BH18" s="1039">
        <f t="shared" si="20"/>
        <v>0.1875</v>
      </c>
    </row>
    <row r="19" spans="1:60" ht="90">
      <c r="A19" s="259"/>
      <c r="B19" s="1679"/>
      <c r="C19" s="1679"/>
      <c r="D19" s="1678" t="str">
        <f>+'01-FR-03 POA INSTITUCIONAL'!D82</f>
        <v>4.4.14 Registrar el 100% de los reportes de las sanciones disciplinarias de los servidores públicos distritales.</v>
      </c>
      <c r="E19" s="1530">
        <f>+'01-FR-03 POA INSTITUCIONAL'!E82</f>
        <v>0.05</v>
      </c>
      <c r="F19" s="52">
        <f>+'01-FR-03 POA INSTITUCIONAL'!F82</f>
        <v>1</v>
      </c>
      <c r="G19" s="160">
        <f>+'01-FR-03 POA INSTITUCIONAL'!L82</f>
        <v>1</v>
      </c>
      <c r="H19" s="33">
        <f>+'01-FR-03 POA INSTITUCIONAL'!G82</f>
        <v>1</v>
      </c>
      <c r="I19" s="140" t="str">
        <f>+'01-FR-03 POA INSTITUCIONAL'!H82</f>
        <v>Porcentaje de reportes de la base de datos de sanciones disciplinarias registrados</v>
      </c>
      <c r="J19" s="293" t="s">
        <v>539</v>
      </c>
      <c r="K19" s="217" t="s">
        <v>540</v>
      </c>
      <c r="L19" s="217" t="s">
        <v>536</v>
      </c>
      <c r="M19" s="217" t="s">
        <v>529</v>
      </c>
      <c r="N19" s="217" t="s">
        <v>530</v>
      </c>
      <c r="O19" s="294" t="str">
        <f>+'01-FR-03 POA INSTITUCIONAL'!J82</f>
        <v>Oficina Asesora Jurídica</v>
      </c>
      <c r="P19" s="145">
        <v>1</v>
      </c>
      <c r="Q19" s="145">
        <v>1</v>
      </c>
      <c r="R19" s="145">
        <v>1</v>
      </c>
      <c r="S19" s="145">
        <v>1</v>
      </c>
      <c r="T19" s="145">
        <v>1</v>
      </c>
      <c r="U19" s="145">
        <v>1</v>
      </c>
      <c r="V19" s="66">
        <f t="shared" si="1"/>
        <v>1</v>
      </c>
      <c r="W19" s="66">
        <f>IFERROR(AVERAGE(Q19,S19,U19),0)</f>
        <v>1</v>
      </c>
      <c r="X19" s="145">
        <v>1</v>
      </c>
      <c r="Y19" s="145">
        <v>1</v>
      </c>
      <c r="Z19" s="145">
        <v>1</v>
      </c>
      <c r="AA19" s="145">
        <v>1</v>
      </c>
      <c r="AB19" s="145">
        <v>1</v>
      </c>
      <c r="AC19" s="145">
        <v>1</v>
      </c>
      <c r="AD19" s="66">
        <f t="shared" si="3"/>
        <v>1</v>
      </c>
      <c r="AE19" s="66">
        <f t="shared" si="4"/>
        <v>1</v>
      </c>
      <c r="AF19" s="145">
        <v>1</v>
      </c>
      <c r="AG19" s="145">
        <v>1</v>
      </c>
      <c r="AH19" s="145">
        <v>1</v>
      </c>
      <c r="AI19" s="145">
        <v>1</v>
      </c>
      <c r="AJ19" s="145">
        <v>1</v>
      </c>
      <c r="AK19" s="145">
        <v>1</v>
      </c>
      <c r="AL19" s="66">
        <f t="shared" si="5"/>
        <v>1</v>
      </c>
      <c r="AM19" s="66">
        <f t="shared" si="6"/>
        <v>1</v>
      </c>
      <c r="AN19" s="145">
        <v>1</v>
      </c>
      <c r="AO19" s="1037">
        <v>0</v>
      </c>
      <c r="AP19" s="145">
        <v>1</v>
      </c>
      <c r="AQ19" s="1037">
        <v>0</v>
      </c>
      <c r="AR19" s="145">
        <v>1</v>
      </c>
      <c r="AS19" s="1037">
        <v>0</v>
      </c>
      <c r="AT19" s="66">
        <f t="shared" si="7"/>
        <v>1</v>
      </c>
      <c r="AU19" s="66">
        <f t="shared" si="8"/>
        <v>0</v>
      </c>
      <c r="AV19" s="66">
        <f t="shared" si="9"/>
        <v>1</v>
      </c>
      <c r="AW19" s="65">
        <f t="shared" si="10"/>
        <v>1</v>
      </c>
      <c r="AX19" s="65">
        <f t="shared" si="11"/>
        <v>1</v>
      </c>
      <c r="AY19" s="65">
        <f t="shared" si="12"/>
        <v>1</v>
      </c>
      <c r="AZ19" s="1038">
        <f t="shared" si="0"/>
        <v>0.75</v>
      </c>
      <c r="BA19" s="341">
        <f t="shared" si="13"/>
        <v>0.25</v>
      </c>
      <c r="BB19" s="341">
        <f t="shared" si="14"/>
        <v>0.5</v>
      </c>
      <c r="BC19" s="341">
        <f t="shared" si="15"/>
        <v>0.75</v>
      </c>
      <c r="BD19" s="341">
        <f t="shared" si="16"/>
        <v>0.75</v>
      </c>
      <c r="BE19" s="347">
        <f t="shared" si="17"/>
        <v>6.25E-2</v>
      </c>
      <c r="BF19" s="345">
        <f t="shared" si="18"/>
        <v>0.125</v>
      </c>
      <c r="BG19" s="345">
        <f t="shared" si="19"/>
        <v>0.1875</v>
      </c>
      <c r="BH19" s="1039">
        <f t="shared" si="20"/>
        <v>0.1875</v>
      </c>
    </row>
    <row r="20" spans="1:60" ht="62.25" customHeight="1">
      <c r="B20" s="1705"/>
      <c r="C20" s="1705"/>
      <c r="D20" s="1705"/>
      <c r="E20" s="1344"/>
      <c r="F20" s="52">
        <f>+'01-FR-03 POA INSTITUCIONAL'!F83</f>
        <v>1</v>
      </c>
      <c r="G20" s="160">
        <f>+'01-FR-03 POA INSTITUCIONAL'!L83</f>
        <v>1</v>
      </c>
      <c r="H20" s="33">
        <f>+'01-FR-03 POA INSTITUCIONAL'!G83</f>
        <v>1</v>
      </c>
      <c r="I20" s="140" t="str">
        <f>+'01-FR-03 POA INSTITUCIONAL'!H83</f>
        <v>Porcentaje de antecedentes disciplinarios expedidos</v>
      </c>
      <c r="J20" s="293" t="s">
        <v>662</v>
      </c>
      <c r="K20" s="217" t="s">
        <v>541</v>
      </c>
      <c r="L20" s="217" t="s">
        <v>542</v>
      </c>
      <c r="M20" s="217" t="s">
        <v>543</v>
      </c>
      <c r="N20" s="217" t="s">
        <v>530</v>
      </c>
      <c r="O20" s="294" t="str">
        <f>+'01-FR-03 POA INSTITUCIONAL'!J83</f>
        <v>Oficina Asesora Jurídica</v>
      </c>
      <c r="P20" s="145">
        <v>1</v>
      </c>
      <c r="Q20" s="145">
        <v>1</v>
      </c>
      <c r="R20" s="145">
        <v>1</v>
      </c>
      <c r="S20" s="145">
        <v>1</v>
      </c>
      <c r="T20" s="145">
        <v>1</v>
      </c>
      <c r="U20" s="145">
        <v>1</v>
      </c>
      <c r="V20" s="66">
        <f t="shared" ref="V20" si="21">AVERAGE(P20,R20,T20)</f>
        <v>1</v>
      </c>
      <c r="W20" s="66">
        <f>IFERROR(AVERAGE(Q20,S20,U20),0)</f>
        <v>1</v>
      </c>
      <c r="X20" s="145">
        <v>1</v>
      </c>
      <c r="Y20" s="145">
        <v>1</v>
      </c>
      <c r="Z20" s="145">
        <v>1</v>
      </c>
      <c r="AA20" s="145">
        <v>1</v>
      </c>
      <c r="AB20" s="145">
        <v>1</v>
      </c>
      <c r="AC20" s="145">
        <v>1</v>
      </c>
      <c r="AD20" s="66">
        <f t="shared" ref="AD20" si="22">AVERAGE(X20,Z20,AB20)</f>
        <v>1</v>
      </c>
      <c r="AE20" s="66">
        <f t="shared" ref="AE20" si="23">IFERROR(AVERAGE(Y20,AA20,AC20),0)</f>
        <v>1</v>
      </c>
      <c r="AF20" s="145">
        <v>1</v>
      </c>
      <c r="AG20" s="145">
        <v>1</v>
      </c>
      <c r="AH20" s="145">
        <v>1</v>
      </c>
      <c r="AI20" s="145">
        <v>1</v>
      </c>
      <c r="AJ20" s="145">
        <v>1</v>
      </c>
      <c r="AK20" s="145">
        <v>1</v>
      </c>
      <c r="AL20" s="66">
        <f t="shared" ref="AL20" si="24">AVERAGE(AF20,AH20,AJ20)</f>
        <v>1</v>
      </c>
      <c r="AM20" s="66">
        <f t="shared" ref="AM20" si="25">IFERROR(AVERAGE(AG20,AI20,AK20),0)</f>
        <v>1</v>
      </c>
      <c r="AN20" s="145">
        <v>1</v>
      </c>
      <c r="AO20" s="1037">
        <v>0</v>
      </c>
      <c r="AP20" s="145">
        <v>1</v>
      </c>
      <c r="AQ20" s="1037">
        <v>0</v>
      </c>
      <c r="AR20" s="145">
        <v>1</v>
      </c>
      <c r="AS20" s="1037">
        <v>0</v>
      </c>
      <c r="AT20" s="66">
        <f t="shared" ref="AT20" si="26">AVERAGE(AN20,AP20,AR20)</f>
        <v>1</v>
      </c>
      <c r="AU20" s="66">
        <f t="shared" ref="AU20" si="27">IFERROR(AVERAGE(AO20,AQ20,AS20),0)</f>
        <v>0</v>
      </c>
      <c r="AV20" s="66">
        <f t="shared" ref="AV20" si="28">AVERAGE(P20,R20,T20,X20,Z20,AB20,AF20,AH20,AJ20,AN20,AP20,AR20)</f>
        <v>1</v>
      </c>
      <c r="AW20" s="65">
        <f t="shared" si="10"/>
        <v>1</v>
      </c>
      <c r="AX20" s="65">
        <f t="shared" si="11"/>
        <v>1</v>
      </c>
      <c r="AY20" s="65">
        <f t="shared" si="12"/>
        <v>1</v>
      </c>
      <c r="AZ20" s="1038">
        <f t="shared" si="0"/>
        <v>0.75</v>
      </c>
      <c r="BA20" s="341">
        <f t="shared" si="13"/>
        <v>0.25</v>
      </c>
      <c r="BB20" s="341">
        <f t="shared" si="14"/>
        <v>0.5</v>
      </c>
      <c r="BC20" s="341">
        <f t="shared" si="15"/>
        <v>0.75</v>
      </c>
      <c r="BD20" s="341">
        <f t="shared" si="16"/>
        <v>0.75</v>
      </c>
      <c r="BE20" s="347">
        <f t="shared" si="17"/>
        <v>6.25E-2</v>
      </c>
      <c r="BF20" s="345">
        <f t="shared" si="18"/>
        <v>0.125</v>
      </c>
      <c r="BG20" s="345">
        <f t="shared" si="19"/>
        <v>0.1875</v>
      </c>
      <c r="BH20" s="1039">
        <f t="shared" si="20"/>
        <v>0.1875</v>
      </c>
    </row>
    <row r="21" spans="1:60" ht="23.25">
      <c r="B21" s="1537"/>
      <c r="C21" s="1538"/>
      <c r="D21" s="1538"/>
      <c r="E21" s="1538"/>
      <c r="F21" s="1538"/>
      <c r="G21" s="1538"/>
      <c r="H21" s="1538"/>
      <c r="I21" s="1538"/>
      <c r="J21" s="1538"/>
      <c r="K21" s="1538"/>
      <c r="L21" s="1538"/>
      <c r="M21" s="1538"/>
      <c r="N21" s="1538"/>
      <c r="O21" s="1538"/>
      <c r="P21" s="1538"/>
      <c r="Q21" s="1538"/>
      <c r="R21" s="1538"/>
      <c r="S21" s="1538"/>
      <c r="T21" s="1538"/>
      <c r="U21" s="1538"/>
      <c r="V21" s="1538"/>
      <c r="W21" s="1538"/>
      <c r="X21" s="1538"/>
      <c r="Y21" s="1538"/>
      <c r="Z21" s="1538"/>
      <c r="AA21" s="1538"/>
      <c r="AB21" s="1538"/>
      <c r="AC21" s="1538"/>
      <c r="AD21" s="1538"/>
      <c r="AE21" s="1538"/>
      <c r="AF21" s="1538"/>
      <c r="AG21" s="1538"/>
      <c r="AH21" s="1538"/>
      <c r="AI21" s="1538"/>
      <c r="AJ21" s="1538"/>
      <c r="AK21" s="1538"/>
      <c r="AL21" s="1538"/>
      <c r="AM21" s="1538"/>
      <c r="AN21" s="1538"/>
      <c r="AO21" s="1538"/>
      <c r="AP21" s="1538"/>
      <c r="AQ21" s="1538"/>
      <c r="AR21" s="1538"/>
      <c r="AS21" s="1538"/>
      <c r="AT21" s="1538"/>
      <c r="AU21" s="1538"/>
      <c r="AV21" s="1538"/>
      <c r="AW21" s="1706"/>
      <c r="AX21" s="1676" t="s">
        <v>19</v>
      </c>
      <c r="AY21" s="1704"/>
      <c r="AZ21" s="1704"/>
      <c r="BA21" s="70">
        <f t="shared" ref="BA21:BD21" si="29">AVERAGE(BA16:BA20)</f>
        <v>0.25</v>
      </c>
      <c r="BB21" s="70">
        <f t="shared" si="29"/>
        <v>0.5</v>
      </c>
      <c r="BC21" s="70">
        <f t="shared" si="29"/>
        <v>0.75</v>
      </c>
      <c r="BD21" s="70">
        <f t="shared" si="29"/>
        <v>0.75</v>
      </c>
      <c r="BE21" s="1714"/>
      <c r="BF21" s="1715"/>
      <c r="BG21" s="1715"/>
      <c r="BH21" s="1716"/>
    </row>
    <row r="22" spans="1:60" ht="17.25">
      <c r="B22" s="1516"/>
      <c r="C22" s="1516"/>
      <c r="D22" s="1516"/>
      <c r="E22" s="1516"/>
      <c r="F22" s="1516"/>
      <c r="G22" s="1516"/>
      <c r="H22" s="238"/>
      <c r="I22" s="239"/>
      <c r="J22" s="239"/>
      <c r="K22" s="239"/>
      <c r="L22" s="239"/>
      <c r="M22" s="239"/>
      <c r="N22" s="239"/>
      <c r="O22" s="239"/>
    </row>
    <row r="23" spans="1:60" ht="17.25">
      <c r="B23" s="239"/>
      <c r="C23" s="239"/>
      <c r="D23" s="1686"/>
      <c r="E23" s="1686"/>
      <c r="F23" s="1686"/>
      <c r="G23" s="1686"/>
      <c r="H23" s="1686"/>
      <c r="I23" s="1686"/>
      <c r="J23" s="1686"/>
      <c r="K23" s="1686"/>
      <c r="L23" s="1686"/>
      <c r="M23" s="1686"/>
      <c r="N23" s="1686"/>
      <c r="O23" s="1686"/>
    </row>
    <row r="24" spans="1:60" ht="15.75">
      <c r="B24" s="77" t="s">
        <v>26</v>
      </c>
      <c r="C24" s="240">
        <v>44224</v>
      </c>
      <c r="D24" s="241"/>
      <c r="E24" s="1687" t="s">
        <v>50</v>
      </c>
      <c r="F24" s="328"/>
      <c r="G24" s="1688" t="s">
        <v>538</v>
      </c>
      <c r="H24" s="1688"/>
      <c r="I24" s="1688"/>
      <c r="J24" s="1688"/>
      <c r="K24" s="242"/>
      <c r="L24" s="1695"/>
      <c r="M24" s="1695"/>
      <c r="N24" s="1695"/>
      <c r="O24" s="1696"/>
    </row>
    <row r="25" spans="1:60" ht="17.25">
      <c r="B25" s="239"/>
      <c r="C25" s="239"/>
      <c r="D25" s="242"/>
      <c r="E25" s="1687"/>
      <c r="F25" s="328"/>
      <c r="G25" s="1688"/>
      <c r="H25" s="1688"/>
      <c r="I25" s="1688"/>
      <c r="J25" s="1688"/>
      <c r="K25" s="239"/>
      <c r="L25" s="239"/>
      <c r="M25" s="239"/>
      <c r="N25" s="239"/>
      <c r="O25" s="239"/>
    </row>
    <row r="26" spans="1:60" ht="17.25">
      <c r="B26" s="77" t="s">
        <v>49</v>
      </c>
      <c r="C26" s="80">
        <v>44581</v>
      </c>
      <c r="D26" s="239"/>
      <c r="E26" s="239"/>
      <c r="F26" s="239"/>
      <c r="K26" s="239"/>
      <c r="L26" s="239"/>
      <c r="M26" s="239"/>
      <c r="N26" s="239"/>
      <c r="O26" s="239"/>
    </row>
    <row r="27" spans="1:60" ht="17.25">
      <c r="B27" s="239"/>
      <c r="C27" s="239"/>
      <c r="D27" s="239"/>
      <c r="E27" s="239"/>
      <c r="F27" s="239"/>
      <c r="K27" s="239"/>
      <c r="L27" s="239"/>
      <c r="M27" s="239"/>
      <c r="N27" s="239"/>
      <c r="O27" s="239"/>
    </row>
    <row r="28" spans="1:60" ht="17.25">
      <c r="B28" s="1814" t="s">
        <v>922</v>
      </c>
      <c r="C28" s="1814"/>
      <c r="D28" s="1814"/>
      <c r="E28" s="1814"/>
      <c r="F28" s="1814"/>
      <c r="G28" s="1814"/>
      <c r="H28" s="238"/>
      <c r="I28" s="1694"/>
      <c r="J28" s="1694"/>
      <c r="K28" s="1694"/>
      <c r="L28" s="1694"/>
      <c r="M28" s="243"/>
      <c r="N28" s="243"/>
      <c r="O28" s="243"/>
    </row>
    <row r="29" spans="1:60" ht="17.25">
      <c r="B29" s="239"/>
      <c r="C29" s="239"/>
      <c r="D29" s="239"/>
      <c r="E29" s="239"/>
      <c r="F29" s="239"/>
      <c r="G29" s="238"/>
      <c r="H29" s="238"/>
      <c r="I29" s="239"/>
      <c r="J29" s="239"/>
      <c r="K29" s="244"/>
      <c r="L29" s="239"/>
      <c r="M29" s="239"/>
      <c r="N29" s="239"/>
      <c r="O29" s="239"/>
    </row>
    <row r="30" spans="1:60" ht="17.25">
      <c r="B30" s="239"/>
      <c r="C30" s="239"/>
      <c r="D30" s="239"/>
      <c r="E30" s="239"/>
      <c r="F30" s="239"/>
      <c r="G30" s="238"/>
      <c r="H30" s="238"/>
      <c r="I30" s="1694"/>
      <c r="J30" s="1694"/>
      <c r="K30" s="1694"/>
      <c r="L30" s="1694"/>
      <c r="M30" s="243"/>
      <c r="N30" s="243"/>
      <c r="O30" s="243"/>
    </row>
    <row r="31" spans="1:60" ht="17.25">
      <c r="B31" s="239"/>
      <c r="C31" s="239"/>
      <c r="D31" s="239"/>
      <c r="E31" s="239"/>
      <c r="F31" s="239"/>
      <c r="G31" s="238"/>
      <c r="H31" s="238"/>
      <c r="I31" s="239"/>
      <c r="J31" s="239"/>
      <c r="K31" s="244"/>
      <c r="L31" s="239"/>
      <c r="M31" s="239"/>
      <c r="N31" s="239"/>
      <c r="O31" s="239"/>
    </row>
    <row r="32" spans="1:60" ht="17.25">
      <c r="B32" s="239"/>
      <c r="C32" s="239"/>
      <c r="D32" s="239"/>
      <c r="E32" s="239"/>
      <c r="F32" s="239"/>
      <c r="G32" s="238"/>
      <c r="H32" s="238"/>
      <c r="I32" s="1694"/>
      <c r="J32" s="1694"/>
      <c r="K32" s="1694"/>
      <c r="L32" s="1694"/>
      <c r="M32" s="243"/>
      <c r="N32" s="243"/>
      <c r="O32" s="243"/>
    </row>
  </sheetData>
  <sheetProtection algorithmName="SHA-512" hashValue="l0n7M8/q0SdWue9eaX0BDHJAsuY8Tj5IUMmY+WVhInIs/gK9vMjKhrV/Q+jupNmEw/bvr5do+iTgTjNHnjUi8A==" saltValue="pkLMX2OrSCN2RZVXjN4JaQ==" spinCount="100000" sheet="1" objects="1" scenarios="1"/>
  <mergeCells count="74">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AW13:AW15"/>
    <mergeCell ref="AX13:AX15"/>
    <mergeCell ref="N12:N15"/>
    <mergeCell ref="O12:O15"/>
    <mergeCell ref="H12:H15"/>
    <mergeCell ref="I12:I15"/>
    <mergeCell ref="J12:J15"/>
    <mergeCell ref="K12:K15"/>
    <mergeCell ref="L12:L15"/>
    <mergeCell ref="M12:M15"/>
    <mergeCell ref="BE21:BH21"/>
    <mergeCell ref="I30:L30"/>
    <mergeCell ref="I32:L32"/>
    <mergeCell ref="E19:E20"/>
    <mergeCell ref="D19:D20"/>
    <mergeCell ref="B22:G22"/>
    <mergeCell ref="B16:B20"/>
    <mergeCell ref="C16:C20"/>
    <mergeCell ref="I28:L28"/>
    <mergeCell ref="AX21:AZ21"/>
    <mergeCell ref="D23:O23"/>
    <mergeCell ref="E24:E25"/>
    <mergeCell ref="G24:J25"/>
    <mergeCell ref="L24:O24"/>
    <mergeCell ref="B21:AW21"/>
    <mergeCell ref="B28:G28"/>
  </mergeCells>
  <conditionalFormatting sqref="BA16:BD20">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66FF33"/>
  </sheetPr>
  <dimension ref="B1:BH30"/>
  <sheetViews>
    <sheetView showGridLines="0" zoomScale="70" zoomScaleNormal="70" workbookViewId="0">
      <selection activeCell="AK16" sqref="AK16"/>
    </sheetView>
  </sheetViews>
  <sheetFormatPr baseColWidth="10" defaultColWidth="17.28515625" defaultRowHeight="15" customHeight="1"/>
  <cols>
    <col min="1" max="1" width="4.28515625" style="135" customWidth="1"/>
    <col min="2" max="2" width="50.42578125" style="133" customWidth="1"/>
    <col min="3" max="3" width="31.42578125" style="133" customWidth="1"/>
    <col min="4" max="4" width="49.7109375" style="133" customWidth="1"/>
    <col min="5" max="5" width="23.42578125" style="133" customWidth="1"/>
    <col min="6" max="6" width="27.5703125" style="133" customWidth="1"/>
    <col min="7" max="8" width="29.28515625" style="134" customWidth="1"/>
    <col min="9" max="9" width="26.85546875" style="133" customWidth="1"/>
    <col min="10" max="10" width="31.85546875" style="133" customWidth="1"/>
    <col min="11" max="11" width="55.85546875" style="133" customWidth="1"/>
    <col min="12" max="12" width="48.42578125" style="133" customWidth="1"/>
    <col min="13" max="14" width="28.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0" ht="18" thickBot="1"/>
    <row r="2" spans="2:60" ht="15.6" customHeight="1">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0" ht="15.6" customHeight="1">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0"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5.6" customHeight="1">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0" ht="25.5">
      <c r="B8" s="213" t="s">
        <v>45</v>
      </c>
      <c r="C8" s="1671" t="s">
        <v>87</v>
      </c>
      <c r="D8" s="1671"/>
      <c r="E8" s="214"/>
      <c r="F8" s="214"/>
      <c r="G8" s="214"/>
      <c r="H8" s="214"/>
      <c r="I8" s="214"/>
      <c r="J8" s="214"/>
      <c r="K8" s="214"/>
      <c r="L8" s="214"/>
      <c r="M8" s="214"/>
      <c r="N8" s="214"/>
      <c r="O8" s="214"/>
      <c r="AW8" s="231"/>
      <c r="AX8" s="231"/>
      <c r="AY8" s="231"/>
      <c r="AZ8" s="231"/>
      <c r="BA8" s="231"/>
      <c r="BB8" s="231"/>
      <c r="BC8" s="231"/>
      <c r="BD8" s="231"/>
    </row>
    <row r="9" spans="2:60" ht="75" customHeight="1">
      <c r="B9" s="213" t="s">
        <v>34</v>
      </c>
      <c r="C9" s="1672" t="s">
        <v>379</v>
      </c>
      <c r="D9" s="1673"/>
      <c r="E9" s="214"/>
      <c r="F9" s="214"/>
      <c r="G9" s="214"/>
      <c r="H9" s="214"/>
      <c r="I9" s="214"/>
      <c r="J9" s="214"/>
      <c r="K9" s="214"/>
      <c r="L9" s="214"/>
      <c r="M9" s="214"/>
      <c r="N9" s="214"/>
      <c r="O9" s="214"/>
      <c r="AW9" s="231"/>
      <c r="AX9" s="231"/>
      <c r="AY9" s="231"/>
      <c r="AZ9" s="231"/>
      <c r="BA9" s="231"/>
      <c r="BB9" s="231"/>
      <c r="BC9" s="231"/>
      <c r="BD9" s="231"/>
    </row>
    <row r="10" spans="2:60" ht="25.5">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2:60"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0" ht="25.15"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0"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2:60"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0" ht="13.1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0" ht="128.25" customHeight="1">
      <c r="B16" s="153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1" t="str">
        <f>+'01-FR-03 POA INSTITUCIONAL'!C55</f>
        <v>4.2. Consolidar el 90% del Modelo Integrado de Planeación y Gestión –MIPG- y sus sistemas de gestión articulados, como compromiso con la Calidad, la Excelencia, la Responsabilidad Ambiental y la Mejora en la prestación del Servicio.</v>
      </c>
      <c r="D16" s="31" t="str">
        <f>+'01-FR-03 POA INSTITUCIONAL'!D59</f>
        <v>4.2.5 Incrementar al 90% la percepción de los usuarios que califican como excelente y bueno el servicio en la Personería de Bogotá</v>
      </c>
      <c r="E16" s="52">
        <f>+'01-FR-03 POA INSTITUCIONAL'!E59</f>
        <v>0.2</v>
      </c>
      <c r="F16" s="302">
        <f>+'01-FR-03 POA INSTITUCIONAL'!F59</f>
        <v>0.9</v>
      </c>
      <c r="G16" s="174">
        <f>+'01-FR-03 POA INSTITUCIONAL'!L59</f>
        <v>0.9</v>
      </c>
      <c r="H16" s="33">
        <f>+'01-FR-03 POA INSTITUCIONAL'!G59</f>
        <v>0.86</v>
      </c>
      <c r="I16" s="33" t="str">
        <f>+'01-FR-03 POA INSTITUCIONAL'!H59</f>
        <v>Porcentaje de Percepción de los usuarios en calificación excelente y bueno incrementado</v>
      </c>
      <c r="J16" s="215" t="s">
        <v>370</v>
      </c>
      <c r="K16" s="217" t="s">
        <v>371</v>
      </c>
      <c r="L16" s="217" t="s">
        <v>372</v>
      </c>
      <c r="M16" s="217" t="s">
        <v>373</v>
      </c>
      <c r="N16" s="217" t="s">
        <v>374</v>
      </c>
      <c r="O16" s="34" t="str">
        <f>+'01-FR-03 POA INSTITUCIONAL'!J59</f>
        <v>Secretaría General</v>
      </c>
      <c r="P16" s="1008">
        <v>0.9</v>
      </c>
      <c r="Q16" s="1027">
        <v>0.95899999999999996</v>
      </c>
      <c r="R16" s="1008">
        <v>0</v>
      </c>
      <c r="S16" s="1008">
        <v>0</v>
      </c>
      <c r="T16" s="1008">
        <v>0</v>
      </c>
      <c r="U16" s="1008">
        <v>0</v>
      </c>
      <c r="V16" s="314">
        <f>IFERROR(AVERAGE(P16),0)</f>
        <v>0.9</v>
      </c>
      <c r="W16" s="322">
        <f>IFERROR(AVERAGE(Q16),0)</f>
        <v>0.95899999999999996</v>
      </c>
      <c r="X16" s="1008">
        <v>0</v>
      </c>
      <c r="Y16" s="1008">
        <v>0</v>
      </c>
      <c r="Z16" s="1008">
        <v>0</v>
      </c>
      <c r="AA16" s="1008">
        <v>0</v>
      </c>
      <c r="AB16" s="1008">
        <v>0</v>
      </c>
      <c r="AC16" s="1008">
        <v>0</v>
      </c>
      <c r="AD16" s="314">
        <f>IFERROR(AVERAGE(X16),0)</f>
        <v>0</v>
      </c>
      <c r="AE16" s="314">
        <f>IFERROR(AVERAGE(Y16),0)</f>
        <v>0</v>
      </c>
      <c r="AF16" s="1008">
        <v>0.9</v>
      </c>
      <c r="AG16" s="1008">
        <v>0.96</v>
      </c>
      <c r="AH16" s="1008">
        <v>0</v>
      </c>
      <c r="AI16" s="1008">
        <v>0</v>
      </c>
      <c r="AJ16" s="1008">
        <v>0</v>
      </c>
      <c r="AK16" s="1008">
        <v>0</v>
      </c>
      <c r="AL16" s="314">
        <f>IFERROR(AVERAGE(AF16),0)</f>
        <v>0.9</v>
      </c>
      <c r="AM16" s="322">
        <f>IFERROR(AVERAGE(AG16),0)</f>
        <v>0.96</v>
      </c>
      <c r="AN16" s="1008">
        <v>0</v>
      </c>
      <c r="AO16" s="1009"/>
      <c r="AP16" s="1008">
        <v>0</v>
      </c>
      <c r="AQ16" s="1009"/>
      <c r="AR16" s="1008">
        <v>0</v>
      </c>
      <c r="AS16" s="1009"/>
      <c r="AT16" s="314">
        <f>IFERROR(AVERAGE(AN16),0)</f>
        <v>0</v>
      </c>
      <c r="AU16" s="314">
        <f>IFERROR(AVERAGE(AO16),0)</f>
        <v>0</v>
      </c>
      <c r="AV16" s="302">
        <f>(IFERROR(AVERAGE(V16,AL16),0))</f>
        <v>0.9</v>
      </c>
      <c r="AW16" s="306">
        <f>IFERROR(IF(OR($AV$16="",$AV$16=0),0,ROUNDDOWN(AVERAGE($Q16),3)),0)</f>
        <v>0.95899999999999996</v>
      </c>
      <c r="AX16" s="306">
        <f>IFERROR(IF(OR($AV$16="",$AV$16=0),0,ROUNDDOWN(AVERAGE($Q16),3)),0)</f>
        <v>0.95899999999999996</v>
      </c>
      <c r="AY16" s="306">
        <f>IFERROR(IF(OR($AV$16="",$AV$16=0),0,ROUNDDOWN(AVERAGE($AG16),3)),0)</f>
        <v>0.96</v>
      </c>
      <c r="AZ16" s="1033">
        <f>IFERROR(IF(OR($AV$16="",$AV$16=0),0,ROUNDDOWN(AVERAGE($AG16),3)),0)</f>
        <v>0.96</v>
      </c>
      <c r="BA16" s="340">
        <f>(IF(AND(AW16&gt;0,AV16&gt;0),AW16/AV16,0))*0.5</f>
        <v>0.53277777777777779</v>
      </c>
      <c r="BB16" s="340">
        <f>(IF(AND(AX16&gt;0,$AV16&gt;0),AX16/$AV16,0))*0.5</f>
        <v>0.53277777777777779</v>
      </c>
      <c r="BC16" s="379">
        <f>(IF(AND(AY16&gt;0,$AV16&gt;0),AY16/$AV16,0))*1</f>
        <v>1.0666666666666667</v>
      </c>
      <c r="BD16" s="379">
        <f>IF(AND(AZ16&gt;0,$AV16&gt;0),AZ16/$AV16,0)*1</f>
        <v>1.0666666666666667</v>
      </c>
      <c r="BE16" s="315">
        <f>(((IF(AND(AW16&gt;0,$F16&gt;0),AW16/$F16,0)))/4)*0.5</f>
        <v>0.13319444444444445</v>
      </c>
      <c r="BF16" s="315">
        <f>(((IF(AND(AX16&gt;0,$F16&gt;0),AX16/$F16,0)))/4)*0.5</f>
        <v>0.13319444444444445</v>
      </c>
      <c r="BG16" s="316">
        <f>(((IF(AND(AY16&gt;0,$F16&gt;0),AY16/$F16,0)))/4)*1</f>
        <v>0.26666666666666666</v>
      </c>
      <c r="BH16" s="1035">
        <f>(((IF(AND(AZ16&gt;0,$F16&gt;0),AZ16/$F16,0)))/4)*1</f>
        <v>0.26666666666666666</v>
      </c>
    </row>
    <row r="17" spans="2:60" ht="128.25" customHeight="1">
      <c r="B17" s="1604"/>
      <c r="C17" s="1532"/>
      <c r="D17" s="31" t="str">
        <f>+'01-FR-03 POA INSTITUCIONAL'!D60</f>
        <v xml:space="preserve">4.2.6 Implementar 7 lineamientos en compromiso con la calidad para satisfacer las necesidades y expectativas de los (as) usuarios(as) y partes interesadas </v>
      </c>
      <c r="E17" s="52">
        <f>+'01-FR-03 POA INSTITUCIONAL'!E60</f>
        <v>0.15</v>
      </c>
      <c r="F17" s="304">
        <f>+'01-FR-03 POA INSTITUCIONAL'!F60</f>
        <v>7</v>
      </c>
      <c r="G17" s="295">
        <f>+'01-FR-03 POA INSTITUCIONAL'!L60</f>
        <v>3</v>
      </c>
      <c r="H17" s="295">
        <f>+'01-FR-03 POA INSTITUCIONAL'!G60</f>
        <v>3</v>
      </c>
      <c r="I17" s="33" t="str">
        <f>+'01-FR-03 POA INSTITUCIONAL'!H60</f>
        <v>Lineamientos implementados</v>
      </c>
      <c r="J17" s="215" t="s">
        <v>375</v>
      </c>
      <c r="K17" s="217" t="s">
        <v>376</v>
      </c>
      <c r="L17" s="224" t="s">
        <v>1127</v>
      </c>
      <c r="M17" s="217" t="s">
        <v>377</v>
      </c>
      <c r="N17" s="217" t="s">
        <v>374</v>
      </c>
      <c r="O17" s="34" t="str">
        <f>+'01-FR-03 POA INSTITUCIONAL'!J60</f>
        <v>Secretaría General</v>
      </c>
      <c r="P17" s="1009">
        <v>1</v>
      </c>
      <c r="Q17" s="1009">
        <v>1</v>
      </c>
      <c r="R17" s="1009">
        <v>0</v>
      </c>
      <c r="S17" s="1009">
        <v>0</v>
      </c>
      <c r="T17" s="1009">
        <v>0</v>
      </c>
      <c r="U17" s="1009">
        <v>0</v>
      </c>
      <c r="V17" s="303">
        <f t="shared" ref="V17:W17" si="0">P17+R17+T17</f>
        <v>1</v>
      </c>
      <c r="W17" s="303">
        <f t="shared" si="0"/>
        <v>1</v>
      </c>
      <c r="X17" s="1009">
        <v>0</v>
      </c>
      <c r="Y17" s="1009">
        <v>0</v>
      </c>
      <c r="Z17" s="1009">
        <v>0</v>
      </c>
      <c r="AA17" s="1009">
        <v>0</v>
      </c>
      <c r="AB17" s="1009">
        <v>1</v>
      </c>
      <c r="AC17" s="1009">
        <v>1</v>
      </c>
      <c r="AD17" s="303">
        <f t="shared" ref="AD17:AE17" si="1">X17+Z17+AB17</f>
        <v>1</v>
      </c>
      <c r="AE17" s="303">
        <f t="shared" si="1"/>
        <v>1</v>
      </c>
      <c r="AF17" s="1009">
        <v>0</v>
      </c>
      <c r="AG17" s="1009">
        <v>0</v>
      </c>
      <c r="AH17" s="1009">
        <v>0</v>
      </c>
      <c r="AI17" s="1009">
        <v>0</v>
      </c>
      <c r="AJ17" s="1009">
        <v>0</v>
      </c>
      <c r="AK17" s="1010">
        <v>0</v>
      </c>
      <c r="AL17" s="303">
        <f t="shared" ref="AL17:AM17" si="2">AF17+AH17+AJ17</f>
        <v>0</v>
      </c>
      <c r="AM17" s="303">
        <f t="shared" si="2"/>
        <v>0</v>
      </c>
      <c r="AN17" s="1009">
        <v>0</v>
      </c>
      <c r="AO17" s="1009"/>
      <c r="AP17" s="1009">
        <v>1</v>
      </c>
      <c r="AQ17" s="1009"/>
      <c r="AR17" s="1009">
        <v>0</v>
      </c>
      <c r="AS17" s="1009"/>
      <c r="AT17" s="303">
        <f t="shared" ref="AT17:AU17" si="3">AN17+AP17+AR17</f>
        <v>1</v>
      </c>
      <c r="AU17" s="303">
        <f t="shared" si="3"/>
        <v>0</v>
      </c>
      <c r="AV17" s="304">
        <f t="shared" ref="AV17" si="4">V17+AD17+AL17+AT17</f>
        <v>3</v>
      </c>
      <c r="AW17" s="304">
        <f>+W17</f>
        <v>1</v>
      </c>
      <c r="AX17" s="304">
        <f>+W17+AE17</f>
        <v>2</v>
      </c>
      <c r="AY17" s="304">
        <f>+W17+AE17+AM17</f>
        <v>2</v>
      </c>
      <c r="AZ17" s="1034">
        <f>+W17+AE17+AM17+AU17</f>
        <v>2</v>
      </c>
      <c r="BA17" s="341">
        <f>IF(AND(AW17&gt;0,AV17&gt;0),AW17/AV17,0)</f>
        <v>0.33333333333333331</v>
      </c>
      <c r="BB17" s="341">
        <f t="shared" ref="BB17:BD18" si="5">IF(AND(AX17&gt;0,$AV17&gt;0),AX17/$AV17,0)</f>
        <v>0.66666666666666663</v>
      </c>
      <c r="BC17" s="341">
        <f t="shared" si="5"/>
        <v>0.66666666666666663</v>
      </c>
      <c r="BD17" s="341">
        <f t="shared" si="5"/>
        <v>0.66666666666666663</v>
      </c>
      <c r="BE17" s="316">
        <f t="shared" ref="BE17:BH18" si="6">(IF(AND(AW17&gt;0,$F17&gt;0),AW17/$F17,0))</f>
        <v>0.14285714285714285</v>
      </c>
      <c r="BF17" s="316">
        <f t="shared" si="6"/>
        <v>0.2857142857142857</v>
      </c>
      <c r="BG17" s="316">
        <f t="shared" si="6"/>
        <v>0.2857142857142857</v>
      </c>
      <c r="BH17" s="1036">
        <f t="shared" si="6"/>
        <v>0.2857142857142857</v>
      </c>
    </row>
    <row r="18" spans="2:60" ht="128.25" customHeight="1">
      <c r="B18" s="1532"/>
      <c r="C18" s="31" t="str">
        <f>+'01-FR-03 POA INSTITUCIONAL'!C95</f>
        <v>4.7. Articular el 100% de las acciones de trabajo interinstitucional y cooperación nacional e internacional que permita aunar esfuerzos para el cumplimiento de la misión institucional.</v>
      </c>
      <c r="D18" s="31" t="str">
        <f>+'01-FR-03 POA INSTITUCIONAL'!D95</f>
        <v>4.7.1 Gestionar 3 acuerdos interinstitucionales o de cooperación nacional y/o internacional para garantizar el enfoque social, en el marco de un estado pluralista, para el fortalecimiento de la prestación del servicio al usuario</v>
      </c>
      <c r="E18" s="52">
        <f>+'01-FR-03 POA INSTITUCIONAL'!E95</f>
        <v>1</v>
      </c>
      <c r="F18" s="236">
        <f>+'01-FR-03 POA INSTITUCIONAL'!F95</f>
        <v>3</v>
      </c>
      <c r="G18" s="295">
        <f>+'01-FR-03 POA INSTITUCIONAL'!L95</f>
        <v>1</v>
      </c>
      <c r="H18" s="140" t="str">
        <f>+'01-FR-03 POA INSTITUCIONAL'!G95</f>
        <v>S.I.</v>
      </c>
      <c r="I18" s="140" t="str">
        <f>+'01-FR-03 POA INSTITUCIONAL'!H95</f>
        <v>Acuerdos interinstitucionales gestionados</v>
      </c>
      <c r="J18" s="215" t="s">
        <v>380</v>
      </c>
      <c r="K18" s="217" t="s">
        <v>381</v>
      </c>
      <c r="L18" s="217" t="s">
        <v>382</v>
      </c>
      <c r="M18" s="217" t="s">
        <v>377</v>
      </c>
      <c r="N18" s="217" t="s">
        <v>374</v>
      </c>
      <c r="O18" s="34" t="str">
        <f>+'01-FR-03 POA INSTITUCIONAL'!J95</f>
        <v>Secretaría General</v>
      </c>
      <c r="P18" s="912">
        <v>0</v>
      </c>
      <c r="Q18" s="912">
        <v>0</v>
      </c>
      <c r="R18" s="912">
        <v>0</v>
      </c>
      <c r="S18" s="912">
        <v>0</v>
      </c>
      <c r="T18" s="912">
        <v>0</v>
      </c>
      <c r="U18" s="912">
        <v>0</v>
      </c>
      <c r="V18" s="67">
        <f t="shared" ref="V18:W18" si="7">P18+R18+T18</f>
        <v>0</v>
      </c>
      <c r="W18" s="67">
        <f t="shared" si="7"/>
        <v>0</v>
      </c>
      <c r="X18" s="912">
        <v>0</v>
      </c>
      <c r="Y18" s="912">
        <v>0</v>
      </c>
      <c r="Z18" s="912">
        <v>0</v>
      </c>
      <c r="AA18" s="912">
        <v>0</v>
      </c>
      <c r="AB18" s="912">
        <v>0</v>
      </c>
      <c r="AC18" s="912">
        <v>0</v>
      </c>
      <c r="AD18" s="67">
        <f t="shared" ref="AD18:AE18" si="8">X18+Z18+AB18</f>
        <v>0</v>
      </c>
      <c r="AE18" s="67">
        <f t="shared" si="8"/>
        <v>0</v>
      </c>
      <c r="AF18" s="912">
        <v>0</v>
      </c>
      <c r="AG18" s="912">
        <v>0</v>
      </c>
      <c r="AH18" s="912">
        <v>0</v>
      </c>
      <c r="AI18" s="912">
        <v>0</v>
      </c>
      <c r="AJ18" s="990">
        <v>0</v>
      </c>
      <c r="AK18" s="990">
        <v>0</v>
      </c>
      <c r="AL18" s="67">
        <f t="shared" ref="AL18:AM18" si="9">AF18+AH18+AJ18</f>
        <v>0</v>
      </c>
      <c r="AM18" s="67">
        <f t="shared" si="9"/>
        <v>0</v>
      </c>
      <c r="AN18" s="912">
        <v>0</v>
      </c>
      <c r="AO18" s="912"/>
      <c r="AP18" s="912">
        <v>1</v>
      </c>
      <c r="AQ18" s="912"/>
      <c r="AR18" s="912">
        <v>0</v>
      </c>
      <c r="AS18" s="912"/>
      <c r="AT18" s="67">
        <f t="shared" ref="AT18:AU18" si="10">AN18+AP18+AR18</f>
        <v>1</v>
      </c>
      <c r="AU18" s="67">
        <f t="shared" si="10"/>
        <v>0</v>
      </c>
      <c r="AV18" s="236">
        <f t="shared" ref="AV18" si="11">V18+AD18+AL18+AT18</f>
        <v>1</v>
      </c>
      <c r="AW18" s="304">
        <f>+W18</f>
        <v>0</v>
      </c>
      <c r="AX18" s="304">
        <f>+W18+AE18</f>
        <v>0</v>
      </c>
      <c r="AY18" s="304">
        <f>+W18+AE18+AM18</f>
        <v>0</v>
      </c>
      <c r="AZ18" s="1034">
        <f>+W18+AE18+AM18+AU18</f>
        <v>0</v>
      </c>
      <c r="BA18" s="341">
        <f>IF(AND(AW18&gt;0,AV18&gt;0),AW18/AV18,0)</f>
        <v>0</v>
      </c>
      <c r="BB18" s="341">
        <f t="shared" si="5"/>
        <v>0</v>
      </c>
      <c r="BC18" s="341">
        <f t="shared" si="5"/>
        <v>0</v>
      </c>
      <c r="BD18" s="341">
        <f t="shared" si="5"/>
        <v>0</v>
      </c>
      <c r="BE18" s="316">
        <f t="shared" si="6"/>
        <v>0</v>
      </c>
      <c r="BF18" s="316">
        <f t="shared" si="6"/>
        <v>0</v>
      </c>
      <c r="BG18" s="316">
        <f t="shared" si="6"/>
        <v>0</v>
      </c>
      <c r="BH18" s="1036">
        <f t="shared" si="6"/>
        <v>0</v>
      </c>
    </row>
    <row r="19" spans="2:60" ht="23.25">
      <c r="B19" s="1537" t="s">
        <v>680</v>
      </c>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c r="AM19" s="1538"/>
      <c r="AN19" s="1538"/>
      <c r="AO19" s="1538"/>
      <c r="AP19" s="1538"/>
      <c r="AQ19" s="1538"/>
      <c r="AR19" s="1538"/>
      <c r="AS19" s="1538"/>
      <c r="AT19" s="1538"/>
      <c r="AU19" s="1538"/>
      <c r="AV19" s="1538"/>
      <c r="AW19" s="1706"/>
      <c r="AX19" s="1676" t="s">
        <v>19</v>
      </c>
      <c r="AY19" s="1704"/>
      <c r="AZ19" s="1704"/>
      <c r="BA19" s="70">
        <f>AVERAGE(BA16:BA18)</f>
        <v>0.28870370370370368</v>
      </c>
      <c r="BB19" s="330">
        <f t="shared" ref="BB19:BD19" si="12">AVERAGE(BB16:BB18)</f>
        <v>0.39981481481481485</v>
      </c>
      <c r="BC19" s="330">
        <f t="shared" si="12"/>
        <v>0.57777777777777783</v>
      </c>
      <c r="BD19" s="330">
        <f t="shared" si="12"/>
        <v>0.57777777777777783</v>
      </c>
      <c r="BE19" s="1816"/>
      <c r="BF19" s="1817"/>
      <c r="BG19" s="1817"/>
      <c r="BH19" s="1818"/>
    </row>
    <row r="20" spans="2:60" ht="17.25">
      <c r="B20" s="1516"/>
      <c r="C20" s="1516"/>
      <c r="D20" s="1516"/>
      <c r="E20" s="1516"/>
      <c r="F20" s="1516"/>
      <c r="G20" s="1516"/>
      <c r="H20" s="238"/>
      <c r="I20" s="239"/>
      <c r="J20" s="239"/>
      <c r="K20" s="239"/>
      <c r="L20" s="239"/>
      <c r="M20" s="239"/>
      <c r="N20" s="239"/>
      <c r="O20" s="239"/>
    </row>
    <row r="21" spans="2:60" ht="17.25">
      <c r="B21" s="239"/>
      <c r="C21" s="239"/>
      <c r="D21" s="1686"/>
      <c r="E21" s="1686"/>
      <c r="F21" s="1686"/>
      <c r="G21" s="1686"/>
      <c r="H21" s="1686"/>
      <c r="I21" s="1686"/>
      <c r="J21" s="1686"/>
      <c r="K21" s="1686"/>
      <c r="L21" s="1686"/>
      <c r="M21" s="1686"/>
      <c r="N21" s="1686"/>
      <c r="O21" s="1686"/>
    </row>
    <row r="22" spans="2:60" ht="15.6" customHeight="1">
      <c r="B22" s="77" t="s">
        <v>26</v>
      </c>
      <c r="C22" s="240">
        <v>44224</v>
      </c>
      <c r="D22" s="241"/>
      <c r="E22" s="1687" t="s">
        <v>50</v>
      </c>
      <c r="F22" s="1763" t="s">
        <v>383</v>
      </c>
      <c r="G22" s="1764"/>
      <c r="H22" s="1764"/>
      <c r="I22" s="1764"/>
      <c r="J22" s="1765"/>
      <c r="K22" s="242"/>
      <c r="L22" s="1695"/>
      <c r="M22" s="1695"/>
      <c r="N22" s="1695"/>
      <c r="O22" s="1696"/>
    </row>
    <row r="23" spans="2:60" ht="17.25">
      <c r="B23" s="239"/>
      <c r="C23" s="239"/>
      <c r="D23" s="242"/>
      <c r="E23" s="1687"/>
      <c r="F23" s="1766"/>
      <c r="G23" s="1767"/>
      <c r="H23" s="1767"/>
      <c r="I23" s="1767"/>
      <c r="J23" s="1768"/>
      <c r="K23" s="239"/>
      <c r="L23" s="239"/>
      <c r="M23" s="239"/>
      <c r="N23" s="239"/>
      <c r="O23" s="239"/>
    </row>
    <row r="24" spans="2:60" ht="17.25">
      <c r="B24" s="77" t="s">
        <v>49</v>
      </c>
      <c r="C24" s="240">
        <v>44581</v>
      </c>
      <c r="D24" s="239"/>
      <c r="E24" s="239"/>
      <c r="F24" s="239"/>
      <c r="K24" s="239"/>
      <c r="L24" s="239"/>
      <c r="M24" s="239"/>
      <c r="N24" s="239"/>
      <c r="O24" s="239"/>
    </row>
    <row r="25" spans="2:60" ht="17.25">
      <c r="B25" s="239"/>
      <c r="C25" s="239"/>
      <c r="D25" s="239"/>
      <c r="E25" s="239"/>
      <c r="F25" s="239"/>
      <c r="K25" s="239"/>
      <c r="L25" s="239"/>
      <c r="M25" s="239"/>
      <c r="N25" s="239"/>
      <c r="O25" s="239"/>
    </row>
    <row r="26" spans="2:60" ht="17.25">
      <c r="B26" s="1814" t="s">
        <v>922</v>
      </c>
      <c r="C26" s="1814"/>
      <c r="D26" s="1814"/>
      <c r="E26" s="1814"/>
      <c r="F26" s="1814"/>
      <c r="G26" s="1814"/>
      <c r="H26" s="238"/>
      <c r="I26" s="1694"/>
      <c r="J26" s="1694"/>
      <c r="K26" s="1694"/>
      <c r="L26" s="1694"/>
      <c r="M26" s="243"/>
      <c r="N26" s="243"/>
      <c r="O26" s="243"/>
    </row>
    <row r="27" spans="2:60" ht="17.25">
      <c r="B27" s="239"/>
      <c r="C27" s="239"/>
      <c r="D27" s="239"/>
      <c r="E27" s="239"/>
      <c r="F27" s="239"/>
      <c r="G27" s="238"/>
      <c r="H27" s="238"/>
      <c r="I27" s="239"/>
      <c r="J27" s="239"/>
      <c r="K27" s="244"/>
      <c r="L27" s="239"/>
      <c r="M27" s="239"/>
      <c r="N27" s="239"/>
      <c r="O27" s="239"/>
    </row>
    <row r="28" spans="2:60" ht="17.25">
      <c r="B28" s="239"/>
      <c r="C28" s="239"/>
      <c r="D28" s="239"/>
      <c r="E28" s="239"/>
      <c r="F28" s="239"/>
      <c r="G28" s="238"/>
      <c r="H28" s="238"/>
      <c r="I28" s="1694"/>
      <c r="J28" s="1694"/>
      <c r="K28" s="1694"/>
      <c r="L28" s="1694"/>
      <c r="M28" s="243"/>
      <c r="N28" s="243"/>
      <c r="O28" s="243"/>
    </row>
    <row r="29" spans="2:60" ht="17.25">
      <c r="B29" s="239"/>
      <c r="C29" s="239"/>
      <c r="D29" s="239"/>
      <c r="E29" s="239"/>
      <c r="F29" s="239"/>
      <c r="G29" s="238"/>
      <c r="H29" s="238"/>
      <c r="I29" s="239"/>
      <c r="J29" s="239"/>
      <c r="K29" s="244"/>
      <c r="L29" s="239"/>
      <c r="M29" s="239"/>
      <c r="N29" s="239"/>
      <c r="O29" s="239"/>
    </row>
    <row r="30" spans="2:60" ht="17.25">
      <c r="B30" s="239"/>
      <c r="C30" s="239"/>
      <c r="D30" s="239"/>
      <c r="E30" s="239"/>
      <c r="F30" s="239"/>
      <c r="G30" s="238"/>
      <c r="H30" s="238"/>
      <c r="I30" s="1694"/>
      <c r="J30" s="1694"/>
      <c r="K30" s="1694"/>
      <c r="L30" s="1694"/>
      <c r="M30" s="243"/>
      <c r="N30" s="243"/>
      <c r="O30" s="243"/>
    </row>
  </sheetData>
  <sheetProtection algorithmName="SHA-512" hashValue="SwuZ9prjyyphBzAmXEQwVvoNUdgU14lfLRfbaK0h0tcdXnxRBPWzr5c9GIOwI0Z8zWV6Snqnh6afMP96RkkvIA==" saltValue="YS+q8iYNSHSAoDDBSFKQUQ==" spinCount="100000" sheet="1" objects="1" scenarios="1"/>
  <mergeCells count="72">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 ref="BH13:BH15"/>
    <mergeCell ref="BA13:BA15"/>
    <mergeCell ref="P12:AU12"/>
    <mergeCell ref="AV12:AV15"/>
    <mergeCell ref="AW12:AZ12"/>
    <mergeCell ref="P13:W13"/>
    <mergeCell ref="X13:AE13"/>
    <mergeCell ref="AF13:AM13"/>
    <mergeCell ref="AZ13:AZ15"/>
    <mergeCell ref="AW13:AW15"/>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I28:L28"/>
    <mergeCell ref="I30:L30"/>
    <mergeCell ref="B20:G20"/>
    <mergeCell ref="I26:L26"/>
    <mergeCell ref="H12:H15"/>
    <mergeCell ref="I12:I15"/>
    <mergeCell ref="J12:J15"/>
    <mergeCell ref="K12:K15"/>
    <mergeCell ref="L12:L15"/>
    <mergeCell ref="C16:C17"/>
    <mergeCell ref="E22:E23"/>
    <mergeCell ref="L22:O22"/>
    <mergeCell ref="B19:AW19"/>
    <mergeCell ref="R14:S14"/>
    <mergeCell ref="T14:U14"/>
    <mergeCell ref="N12:N15"/>
    <mergeCell ref="B26:G26"/>
    <mergeCell ref="B16:B18"/>
    <mergeCell ref="F12:F15"/>
    <mergeCell ref="AX19:AZ19"/>
    <mergeCell ref="D21:O21"/>
    <mergeCell ref="M12:M15"/>
    <mergeCell ref="AX13:AX15"/>
    <mergeCell ref="O12:O15"/>
    <mergeCell ref="B12:B15"/>
    <mergeCell ref="C12:C15"/>
    <mergeCell ref="D12:D15"/>
    <mergeCell ref="E12:E15"/>
    <mergeCell ref="G12:G15"/>
    <mergeCell ref="F22:J23"/>
  </mergeCells>
  <conditionalFormatting sqref="BA16:BD18">
    <cfRule type="cellIs" dxfId="10" priority="1" operator="greaterThan">
      <formula>1</formula>
    </cfRule>
    <cfRule type="cellIs" dxfId="9" priority="2" operator="between">
      <formula>0.8</formula>
      <formula>1</formula>
    </cfRule>
    <cfRule type="cellIs" dxfId="8" priority="3" operator="between">
      <formula>0.61</formula>
      <formula>0.79</formula>
    </cfRule>
    <cfRule type="cellIs" dxfId="7"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66FF33"/>
  </sheetPr>
  <dimension ref="B1:BH30"/>
  <sheetViews>
    <sheetView showGridLines="0" zoomScale="55" zoomScaleNormal="55" workbookViewId="0">
      <selection activeCell="BC17" sqref="BC17"/>
    </sheetView>
  </sheetViews>
  <sheetFormatPr baseColWidth="10" defaultColWidth="17.28515625" defaultRowHeight="15" customHeight="1"/>
  <cols>
    <col min="1" max="1" width="4.28515625" style="135" customWidth="1"/>
    <col min="2" max="2" width="50.42578125" style="133" customWidth="1"/>
    <col min="3" max="3" width="35.85546875" style="133" customWidth="1"/>
    <col min="4" max="4" width="49.7109375" style="133" customWidth="1"/>
    <col min="5" max="6" width="27.5703125" style="133" customWidth="1"/>
    <col min="7" max="8" width="29.28515625" style="134" customWidth="1"/>
    <col min="9" max="9" width="21.42578125" style="133" customWidth="1"/>
    <col min="10" max="10" width="31.85546875" style="133" customWidth="1"/>
    <col min="11" max="11" width="55.85546875" style="133" customWidth="1"/>
    <col min="12" max="12" width="48.42578125" style="133" customWidth="1"/>
    <col min="13" max="14" width="28.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0" ht="18" thickBot="1"/>
    <row r="2" spans="2:60" ht="15.75">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0" ht="15.75">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0"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5.75">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0" ht="20.25">
      <c r="B8" s="213" t="s">
        <v>45</v>
      </c>
      <c r="C8" s="1713" t="s">
        <v>97</v>
      </c>
      <c r="D8" s="1713"/>
      <c r="E8" s="214"/>
      <c r="F8" s="214"/>
      <c r="G8" s="214"/>
      <c r="H8" s="214"/>
      <c r="I8" s="214"/>
      <c r="J8" s="214"/>
      <c r="K8" s="214"/>
      <c r="L8" s="214"/>
      <c r="M8" s="214"/>
      <c r="N8" s="214"/>
      <c r="O8" s="214"/>
      <c r="AW8" s="231"/>
      <c r="AX8" s="231"/>
      <c r="AY8" s="231"/>
      <c r="AZ8" s="231"/>
      <c r="BA8" s="231"/>
      <c r="BB8" s="231"/>
      <c r="BC8" s="231"/>
      <c r="BD8" s="231"/>
    </row>
    <row r="9" spans="2:60" ht="92.25" customHeight="1">
      <c r="B9" s="213" t="s">
        <v>34</v>
      </c>
      <c r="C9" s="1794" t="s">
        <v>555</v>
      </c>
      <c r="D9" s="1673"/>
      <c r="E9" s="214"/>
      <c r="F9" s="214"/>
      <c r="G9" s="214"/>
      <c r="H9" s="214"/>
      <c r="I9" s="214"/>
      <c r="J9" s="214"/>
      <c r="K9" s="214"/>
      <c r="L9" s="214"/>
      <c r="M9" s="214"/>
      <c r="N9" s="214"/>
      <c r="O9" s="214"/>
      <c r="AW9" s="231"/>
      <c r="AX9" s="231"/>
      <c r="AY9" s="231"/>
      <c r="AZ9" s="231"/>
      <c r="BA9" s="231"/>
      <c r="BB9" s="231"/>
      <c r="BC9" s="231"/>
      <c r="BD9" s="231"/>
    </row>
    <row r="10" spans="2:60" ht="25.5">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2:60"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0" ht="31.15"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0"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2:60"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0" ht="13.1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0" ht="110.25" customHeight="1">
      <c r="B16" s="167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78" t="str">
        <f>+'01-FR-03 POA INSTITUCIONAL'!C87</f>
        <v>4.5. Desarrollar el 100% de las acciones relacionadas con el fomento de la Cultura del Autocontrol, la Autorregulación y la Autogestión institucional.</v>
      </c>
      <c r="D16" s="31" t="str">
        <f>+'01-FR-03 POA INSTITUCIONAL'!D87</f>
        <v xml:space="preserve">4.5.1 Emitir 96 solicitudes de aplicación de medidas de preservación del orden interno, con el fin de prevenir la materialización de conductas con alcance disciplinario. </v>
      </c>
      <c r="E16" s="52">
        <f>+'01-FR-03 POA INSTITUCIONAL'!E87</f>
        <v>0.05</v>
      </c>
      <c r="F16" s="296">
        <f>+'01-FR-03 POA INSTITUCIONAL'!O87</f>
        <v>148</v>
      </c>
      <c r="G16" s="296">
        <f>+'01-FR-03 POA INSTITUCIONAL'!L87</f>
        <v>52</v>
      </c>
      <c r="H16" s="140" t="str">
        <f>+'01-FR-03 POA INSTITUCIONAL'!G87</f>
        <v>S.I.</v>
      </c>
      <c r="I16" s="140" t="str">
        <f>+'01-FR-03 POA INSTITUCIONAL'!H87</f>
        <v>Medidas de preservación del orden interno emitidas</v>
      </c>
      <c r="J16" s="215" t="s">
        <v>550</v>
      </c>
      <c r="K16" s="442" t="s">
        <v>558</v>
      </c>
      <c r="L16" s="217" t="s">
        <v>551</v>
      </c>
      <c r="M16" s="235" t="s">
        <v>561</v>
      </c>
      <c r="N16" s="217" t="s">
        <v>562</v>
      </c>
      <c r="O16" s="297" t="str">
        <f>+'01-FR-03 POA INSTITUCIONAL'!J87</f>
        <v>Oficina Control Interno Disciplinario</v>
      </c>
      <c r="P16" s="971">
        <v>2</v>
      </c>
      <c r="Q16" s="971">
        <v>7</v>
      </c>
      <c r="R16" s="971">
        <v>2</v>
      </c>
      <c r="S16" s="971">
        <v>16</v>
      </c>
      <c r="T16" s="971">
        <v>2</v>
      </c>
      <c r="U16" s="971">
        <v>3</v>
      </c>
      <c r="V16" s="91">
        <f>P16+R16+T16</f>
        <v>6</v>
      </c>
      <c r="W16" s="91">
        <f>Q16+S16+U16</f>
        <v>26</v>
      </c>
      <c r="X16" s="971">
        <v>2</v>
      </c>
      <c r="Y16" s="971">
        <v>6</v>
      </c>
      <c r="Z16" s="971">
        <v>2</v>
      </c>
      <c r="AA16" s="971">
        <v>4</v>
      </c>
      <c r="AB16" s="971">
        <v>2</v>
      </c>
      <c r="AC16" s="971">
        <v>4</v>
      </c>
      <c r="AD16" s="91">
        <f>X16+Z16+AB16</f>
        <v>6</v>
      </c>
      <c r="AE16" s="91">
        <f>Y16+AA16+AC16</f>
        <v>14</v>
      </c>
      <c r="AF16" s="971">
        <v>7</v>
      </c>
      <c r="AG16" s="971">
        <v>5</v>
      </c>
      <c r="AH16" s="971">
        <v>7</v>
      </c>
      <c r="AI16" s="971">
        <v>10</v>
      </c>
      <c r="AJ16" s="974">
        <v>7</v>
      </c>
      <c r="AK16" s="974">
        <v>1</v>
      </c>
      <c r="AL16" s="91">
        <f>AF16+AH16+AJ16</f>
        <v>21</v>
      </c>
      <c r="AM16" s="91">
        <f>AG16+AI16+AK16</f>
        <v>16</v>
      </c>
      <c r="AN16" s="971">
        <v>7</v>
      </c>
      <c r="AO16" s="971"/>
      <c r="AP16" s="971">
        <v>6</v>
      </c>
      <c r="AQ16" s="971"/>
      <c r="AR16" s="971">
        <v>6</v>
      </c>
      <c r="AS16" s="971"/>
      <c r="AT16" s="91">
        <f>AN16+AP16+AR16</f>
        <v>19</v>
      </c>
      <c r="AU16" s="91">
        <f>AO16+AQ16+AS16</f>
        <v>0</v>
      </c>
      <c r="AV16" s="236">
        <f>V16+AD16+AL16+AT16</f>
        <v>52</v>
      </c>
      <c r="AW16" s="81">
        <f>+W16</f>
        <v>26</v>
      </c>
      <c r="AX16" s="81">
        <f>+W16+AE16</f>
        <v>40</v>
      </c>
      <c r="AY16" s="81">
        <f>+W16+AE16+AM16</f>
        <v>56</v>
      </c>
      <c r="AZ16" s="1029">
        <f>+W16+AE16+AM16+AU16</f>
        <v>56</v>
      </c>
      <c r="BA16" s="42">
        <f>IF(AND(AW16&gt;0,$AV16&gt;0),AW16/$AV16,0)</f>
        <v>0.5</v>
      </c>
      <c r="BB16" s="42">
        <f t="shared" ref="BB16:BD18" si="0">IF(AND(AX16&gt;0,$AV16&gt;0),AX16/$AV16,0)</f>
        <v>0.76923076923076927</v>
      </c>
      <c r="BC16" s="318">
        <f t="shared" si="0"/>
        <v>1.0769230769230769</v>
      </c>
      <c r="BD16" s="42">
        <f t="shared" si="0"/>
        <v>1.0769230769230769</v>
      </c>
      <c r="BE16" s="345">
        <f>(IF(AND(AW16&gt;0,$F16&gt;0),AW16/$F16,0))</f>
        <v>0.17567567567567569</v>
      </c>
      <c r="BF16" s="345">
        <f t="shared" ref="BF16:BH18" si="1">(IF(AND(AX16&gt;0,$F16&gt;0),AX16/$F16,0))</f>
        <v>0.27027027027027029</v>
      </c>
      <c r="BG16" s="345">
        <f t="shared" si="1"/>
        <v>0.3783783783783784</v>
      </c>
      <c r="BH16" s="1032">
        <f t="shared" si="1"/>
        <v>0.3783783783783784</v>
      </c>
    </row>
    <row r="17" spans="2:60" ht="152.25" customHeight="1">
      <c r="B17" s="1679"/>
      <c r="C17" s="1679"/>
      <c r="D17" s="31" t="str">
        <f>+'01-FR-03 POA INSTITUCIONAL'!D88</f>
        <v>4.5.2 Realizar 20 jornadas de sensibilización a funcionarios de la Personería de Bogotá D.C. sobre la prevención de las faltas disciplinarias más recurrentes en la Entidad.</v>
      </c>
      <c r="E17" s="52">
        <f>+'01-FR-03 POA INSTITUCIONAL'!E88</f>
        <v>0.05</v>
      </c>
      <c r="F17" s="296">
        <f>+'01-FR-03 POA INSTITUCIONAL'!F88</f>
        <v>20</v>
      </c>
      <c r="G17" s="296">
        <f>+'01-FR-03 POA INSTITUCIONAL'!L88</f>
        <v>6</v>
      </c>
      <c r="H17" s="140" t="str">
        <f>+'01-FR-03 POA INSTITUCIONAL'!G88</f>
        <v>S.I.</v>
      </c>
      <c r="I17" s="140" t="str">
        <f>+'01-FR-03 POA INSTITUCIONAL'!H88</f>
        <v>Jornadas de sensibilización realizadas</v>
      </c>
      <c r="J17" s="215" t="s">
        <v>552</v>
      </c>
      <c r="K17" s="442" t="s">
        <v>559</v>
      </c>
      <c r="L17" s="217" t="s">
        <v>1128</v>
      </c>
      <c r="M17" s="235" t="s">
        <v>561</v>
      </c>
      <c r="N17" s="217" t="s">
        <v>562</v>
      </c>
      <c r="O17" s="297" t="str">
        <f>+'01-FR-03 POA INSTITUCIONAL'!J88</f>
        <v>Oficina Control Interno Disciplinario</v>
      </c>
      <c r="P17" s="971">
        <v>0</v>
      </c>
      <c r="Q17" s="971">
        <v>0</v>
      </c>
      <c r="R17" s="971">
        <v>0</v>
      </c>
      <c r="S17" s="971">
        <v>0</v>
      </c>
      <c r="T17" s="971">
        <v>0</v>
      </c>
      <c r="U17" s="971">
        <v>1</v>
      </c>
      <c r="V17" s="91">
        <f t="shared" ref="V17:W18" si="2">P17+R17+T17</f>
        <v>0</v>
      </c>
      <c r="W17" s="91">
        <f t="shared" si="2"/>
        <v>1</v>
      </c>
      <c r="X17" s="971">
        <v>0</v>
      </c>
      <c r="Y17" s="971">
        <v>0</v>
      </c>
      <c r="Z17" s="971">
        <v>1</v>
      </c>
      <c r="AA17" s="971">
        <v>0</v>
      </c>
      <c r="AB17" s="971">
        <v>1</v>
      </c>
      <c r="AC17" s="971">
        <v>1</v>
      </c>
      <c r="AD17" s="91">
        <f t="shared" ref="AD17:AE18" si="3">X17+Z17+AB17</f>
        <v>2</v>
      </c>
      <c r="AE17" s="91">
        <f t="shared" si="3"/>
        <v>1</v>
      </c>
      <c r="AF17" s="971">
        <v>1</v>
      </c>
      <c r="AG17" s="971">
        <v>1</v>
      </c>
      <c r="AH17" s="971">
        <v>1</v>
      </c>
      <c r="AI17" s="971">
        <v>1</v>
      </c>
      <c r="AJ17" s="974">
        <v>1</v>
      </c>
      <c r="AK17" s="974">
        <v>0</v>
      </c>
      <c r="AL17" s="91">
        <f t="shared" ref="AL17:AM18" si="4">AF17+AH17+AJ17</f>
        <v>3</v>
      </c>
      <c r="AM17" s="91">
        <f t="shared" si="4"/>
        <v>2</v>
      </c>
      <c r="AN17" s="971">
        <v>1</v>
      </c>
      <c r="AO17" s="971"/>
      <c r="AP17" s="971">
        <v>0</v>
      </c>
      <c r="AQ17" s="971"/>
      <c r="AR17" s="971">
        <v>0</v>
      </c>
      <c r="AS17" s="971"/>
      <c r="AT17" s="91">
        <f t="shared" ref="AT17:AU18" si="5">AN17+AP17+AR17</f>
        <v>1</v>
      </c>
      <c r="AU17" s="91">
        <f t="shared" si="5"/>
        <v>0</v>
      </c>
      <c r="AV17" s="236">
        <f t="shared" ref="AV17:AV18" si="6">V17+AD17+AL17+AT17</f>
        <v>6</v>
      </c>
      <c r="AW17" s="81">
        <f t="shared" ref="AW17:AW18" si="7">+W17</f>
        <v>1</v>
      </c>
      <c r="AX17" s="81">
        <f t="shared" ref="AX17:AX18" si="8">+W17+AE17</f>
        <v>2</v>
      </c>
      <c r="AY17" s="81">
        <f t="shared" ref="AY17:AY18" si="9">+W17+AE17+AM17</f>
        <v>4</v>
      </c>
      <c r="AZ17" s="1029">
        <f t="shared" ref="AZ17:AZ18" si="10">+W17+AE17+AM17+AU17</f>
        <v>4</v>
      </c>
      <c r="BA17" s="42">
        <f>IF(AND(AW17&gt;0,AV17&gt;0),AW17/AV17,0)</f>
        <v>0.16666666666666666</v>
      </c>
      <c r="BB17" s="42">
        <f t="shared" si="0"/>
        <v>0.33333333333333331</v>
      </c>
      <c r="BC17" s="318">
        <f t="shared" si="0"/>
        <v>0.66666666666666663</v>
      </c>
      <c r="BD17" s="42">
        <f t="shared" si="0"/>
        <v>0.66666666666666663</v>
      </c>
      <c r="BE17" s="345">
        <f t="shared" ref="BE17:BE18" si="11">(IF(AND(AW17&gt;0,$F17&gt;0),AW17/$F17,0))</f>
        <v>0.05</v>
      </c>
      <c r="BF17" s="345">
        <f t="shared" si="1"/>
        <v>0.1</v>
      </c>
      <c r="BG17" s="345">
        <f t="shared" si="1"/>
        <v>0.2</v>
      </c>
      <c r="BH17" s="1032">
        <f t="shared" si="1"/>
        <v>0.2</v>
      </c>
    </row>
    <row r="18" spans="2:60" ht="142.5" customHeight="1">
      <c r="B18" s="1705"/>
      <c r="C18" s="1705"/>
      <c r="D18" s="31" t="str">
        <f>+'01-FR-03 POA INSTITUCIONAL'!D89</f>
        <v>4.5.3 Decidir de fondo 400 procesos disciplinarios que se encuentren en términos o con periodos vencidos, dando prelación a aquellos con mayor antigüedad o aquellos próximos a prescribir o caducar.</v>
      </c>
      <c r="E18" s="52">
        <f>+'01-FR-03 POA INSTITUCIONAL'!E89</f>
        <v>0.2</v>
      </c>
      <c r="F18" s="296">
        <f>+'01-FR-03 POA INSTITUCIONAL'!F89</f>
        <v>400</v>
      </c>
      <c r="G18" s="296">
        <f>+'01-FR-03 POA INSTITUCIONAL'!L89</f>
        <v>100</v>
      </c>
      <c r="H18" s="140" t="str">
        <f>+'01-FR-03 POA INSTITUCIONAL'!G89</f>
        <v>115 (en el último año)</v>
      </c>
      <c r="I18" s="140" t="str">
        <f>+'01-FR-03 POA INSTITUCIONAL'!H89</f>
        <v>Procesos disciplinarios con decisión de fondo proferida</v>
      </c>
      <c r="J18" s="215" t="s">
        <v>553</v>
      </c>
      <c r="K18" s="442" t="s">
        <v>560</v>
      </c>
      <c r="L18" s="217" t="s">
        <v>554</v>
      </c>
      <c r="M18" s="235" t="s">
        <v>561</v>
      </c>
      <c r="N18" s="217" t="s">
        <v>562</v>
      </c>
      <c r="O18" s="297" t="str">
        <f>+'01-FR-03 POA INSTITUCIONAL'!J89</f>
        <v>Oficina Control Interno Disciplinario</v>
      </c>
      <c r="P18" s="971">
        <v>7</v>
      </c>
      <c r="Q18" s="971">
        <v>8</v>
      </c>
      <c r="R18" s="971">
        <v>8</v>
      </c>
      <c r="S18" s="971">
        <v>9</v>
      </c>
      <c r="T18" s="971">
        <v>8</v>
      </c>
      <c r="U18" s="971">
        <v>13</v>
      </c>
      <c r="V18" s="91">
        <f t="shared" si="2"/>
        <v>23</v>
      </c>
      <c r="W18" s="91">
        <f t="shared" si="2"/>
        <v>30</v>
      </c>
      <c r="X18" s="971">
        <v>10</v>
      </c>
      <c r="Y18" s="971">
        <v>15</v>
      </c>
      <c r="Z18" s="971">
        <v>10</v>
      </c>
      <c r="AA18" s="971">
        <v>16</v>
      </c>
      <c r="AB18" s="971">
        <v>10</v>
      </c>
      <c r="AC18" s="971">
        <v>15</v>
      </c>
      <c r="AD18" s="91">
        <f t="shared" si="3"/>
        <v>30</v>
      </c>
      <c r="AE18" s="91">
        <f t="shared" si="3"/>
        <v>46</v>
      </c>
      <c r="AF18" s="971">
        <v>10</v>
      </c>
      <c r="AG18" s="971">
        <v>14</v>
      </c>
      <c r="AH18" s="971">
        <v>10</v>
      </c>
      <c r="AI18" s="971">
        <v>22</v>
      </c>
      <c r="AJ18" s="974">
        <v>10</v>
      </c>
      <c r="AK18" s="974">
        <v>15</v>
      </c>
      <c r="AL18" s="91">
        <f t="shared" si="4"/>
        <v>30</v>
      </c>
      <c r="AM18" s="91">
        <f t="shared" si="4"/>
        <v>51</v>
      </c>
      <c r="AN18" s="971">
        <v>6</v>
      </c>
      <c r="AO18" s="971"/>
      <c r="AP18" s="971">
        <v>6</v>
      </c>
      <c r="AQ18" s="971"/>
      <c r="AR18" s="971">
        <v>5</v>
      </c>
      <c r="AS18" s="971"/>
      <c r="AT18" s="91">
        <f t="shared" si="5"/>
        <v>17</v>
      </c>
      <c r="AU18" s="91">
        <f t="shared" si="5"/>
        <v>0</v>
      </c>
      <c r="AV18" s="236">
        <f t="shared" si="6"/>
        <v>100</v>
      </c>
      <c r="AW18" s="81">
        <f t="shared" si="7"/>
        <v>30</v>
      </c>
      <c r="AX18" s="81">
        <f t="shared" si="8"/>
        <v>76</v>
      </c>
      <c r="AY18" s="81">
        <f t="shared" si="9"/>
        <v>127</v>
      </c>
      <c r="AZ18" s="1029">
        <f t="shared" si="10"/>
        <v>127</v>
      </c>
      <c r="BA18" s="42">
        <f t="shared" ref="BA18" si="12">IF(AND(AW18&gt;0,AV18&gt;0),AW18/AV18,0)</f>
        <v>0.3</v>
      </c>
      <c r="BB18" s="42">
        <f t="shared" si="0"/>
        <v>0.76</v>
      </c>
      <c r="BC18" s="42">
        <f t="shared" si="0"/>
        <v>1.27</v>
      </c>
      <c r="BD18" s="42">
        <f t="shared" si="0"/>
        <v>1.27</v>
      </c>
      <c r="BE18" s="345">
        <f t="shared" si="11"/>
        <v>7.4999999999999997E-2</v>
      </c>
      <c r="BF18" s="345">
        <f t="shared" si="1"/>
        <v>0.19</v>
      </c>
      <c r="BG18" s="345">
        <f t="shared" si="1"/>
        <v>0.3175</v>
      </c>
      <c r="BH18" s="1032">
        <f t="shared" si="1"/>
        <v>0.3175</v>
      </c>
    </row>
    <row r="19" spans="2:60" ht="23.25">
      <c r="B19" s="1537"/>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c r="AM19" s="1538"/>
      <c r="AN19" s="1538"/>
      <c r="AO19" s="1538"/>
      <c r="AP19" s="1538"/>
      <c r="AQ19" s="1538"/>
      <c r="AR19" s="1538"/>
      <c r="AS19" s="1538"/>
      <c r="AT19" s="1538"/>
      <c r="AU19" s="1538"/>
      <c r="AV19" s="1538"/>
      <c r="AW19" s="1706"/>
      <c r="AX19" s="1676" t="s">
        <v>19</v>
      </c>
      <c r="AY19" s="1704"/>
      <c r="AZ19" s="1704"/>
      <c r="BA19" s="70">
        <f t="shared" ref="BA19:BD19" si="13">AVERAGE(BA16:BA18)</f>
        <v>0.32222222222222219</v>
      </c>
      <c r="BB19" s="70">
        <f t="shared" si="13"/>
        <v>0.62085470085470085</v>
      </c>
      <c r="BC19" s="70">
        <f t="shared" si="13"/>
        <v>1.0045299145299145</v>
      </c>
      <c r="BD19" s="70">
        <f t="shared" si="13"/>
        <v>1.0045299145299145</v>
      </c>
      <c r="BE19" s="1714"/>
      <c r="BF19" s="1715"/>
      <c r="BG19" s="1715"/>
      <c r="BH19" s="1716"/>
    </row>
    <row r="20" spans="2:60" ht="17.25">
      <c r="B20" s="1516"/>
      <c r="C20" s="1516"/>
      <c r="D20" s="1516"/>
      <c r="E20" s="1516"/>
      <c r="F20" s="1516"/>
      <c r="G20" s="1516"/>
      <c r="H20" s="238"/>
      <c r="I20" s="239"/>
      <c r="J20" s="239"/>
      <c r="K20" s="239"/>
      <c r="L20" s="239"/>
      <c r="M20" s="239"/>
      <c r="N20" s="239"/>
      <c r="O20" s="239"/>
    </row>
    <row r="21" spans="2:60" ht="17.25">
      <c r="B21" s="239"/>
      <c r="C21" s="239"/>
      <c r="D21" s="1686"/>
      <c r="E21" s="1686"/>
      <c r="F21" s="1686"/>
      <c r="G21" s="1686"/>
      <c r="H21" s="1686"/>
      <c r="I21" s="1686"/>
      <c r="J21" s="1686"/>
      <c r="K21" s="1686"/>
      <c r="L21" s="1686"/>
      <c r="M21" s="1686"/>
      <c r="N21" s="1686"/>
      <c r="O21" s="1686"/>
    </row>
    <row r="22" spans="2:60" ht="15.75">
      <c r="B22" s="77" t="s">
        <v>26</v>
      </c>
      <c r="C22" s="240">
        <v>44224</v>
      </c>
      <c r="D22" s="241"/>
      <c r="E22" s="1687" t="s">
        <v>50</v>
      </c>
      <c r="F22" s="328"/>
      <c r="G22" s="1688" t="s">
        <v>556</v>
      </c>
      <c r="H22" s="1688"/>
      <c r="I22" s="1688"/>
      <c r="J22" s="1688"/>
      <c r="K22" s="242"/>
      <c r="L22" s="1695"/>
      <c r="M22" s="1695"/>
      <c r="N22" s="1695"/>
      <c r="O22" s="1696"/>
    </row>
    <row r="23" spans="2:60" ht="17.25">
      <c r="B23" s="239"/>
      <c r="C23" s="239"/>
      <c r="D23" s="242"/>
      <c r="E23" s="1687"/>
      <c r="F23" s="328"/>
      <c r="G23" s="1688"/>
      <c r="H23" s="1688"/>
      <c r="I23" s="1688"/>
      <c r="J23" s="1688"/>
      <c r="K23" s="239"/>
      <c r="L23" s="239"/>
      <c r="M23" s="239"/>
      <c r="N23" s="239"/>
      <c r="O23" s="239"/>
    </row>
    <row r="24" spans="2:60" ht="17.25">
      <c r="B24" s="77" t="s">
        <v>49</v>
      </c>
      <c r="C24" s="240">
        <v>44581</v>
      </c>
      <c r="D24" s="239"/>
      <c r="E24" s="239"/>
      <c r="F24" s="239"/>
      <c r="K24" s="239"/>
      <c r="L24" s="239"/>
      <c r="M24" s="239"/>
      <c r="N24" s="239"/>
      <c r="O24" s="239"/>
    </row>
    <row r="25" spans="2:60" ht="17.25">
      <c r="B25" s="239"/>
      <c r="C25" s="239"/>
      <c r="D25" s="239"/>
      <c r="E25" s="239"/>
      <c r="F25" s="239"/>
      <c r="K25" s="239"/>
      <c r="L25" s="239"/>
      <c r="M25" s="239"/>
      <c r="N25" s="239"/>
      <c r="O25" s="239"/>
    </row>
    <row r="26" spans="2:60" ht="17.25">
      <c r="B26" s="1814" t="s">
        <v>922</v>
      </c>
      <c r="C26" s="1814"/>
      <c r="D26" s="1814"/>
      <c r="E26" s="1814"/>
      <c r="F26" s="1814"/>
      <c r="G26" s="1814"/>
      <c r="H26" s="238"/>
      <c r="I26" s="1694"/>
      <c r="J26" s="1694"/>
      <c r="K26" s="1694"/>
      <c r="L26" s="1694"/>
      <c r="M26" s="243"/>
      <c r="N26" s="243"/>
      <c r="O26" s="243"/>
    </row>
    <row r="27" spans="2:60" ht="17.25">
      <c r="B27" s="239"/>
      <c r="C27" s="239"/>
      <c r="D27" s="239"/>
      <c r="E27" s="239"/>
      <c r="F27" s="239"/>
      <c r="G27" s="238"/>
      <c r="H27" s="238"/>
      <c r="I27" s="239"/>
      <c r="J27" s="239"/>
      <c r="K27" s="244"/>
      <c r="L27" s="239"/>
      <c r="M27" s="239"/>
      <c r="N27" s="239"/>
      <c r="O27" s="239"/>
    </row>
    <row r="28" spans="2:60" ht="17.25">
      <c r="B28" s="239"/>
      <c r="C28" s="239"/>
      <c r="D28" s="239"/>
      <c r="E28" s="239"/>
      <c r="F28" s="239"/>
      <c r="G28" s="238"/>
      <c r="H28" s="238"/>
      <c r="I28" s="1694"/>
      <c r="J28" s="1694"/>
      <c r="K28" s="1694"/>
      <c r="L28" s="1694"/>
      <c r="M28" s="243"/>
      <c r="N28" s="243"/>
      <c r="O28" s="243"/>
    </row>
    <row r="29" spans="2:60" ht="17.25">
      <c r="B29" s="239"/>
      <c r="C29" s="239"/>
      <c r="D29" s="239"/>
      <c r="E29" s="239"/>
      <c r="F29" s="239"/>
      <c r="G29" s="238"/>
      <c r="H29" s="238"/>
      <c r="I29" s="239"/>
      <c r="J29" s="239"/>
      <c r="K29" s="244"/>
      <c r="L29" s="239"/>
      <c r="M29" s="239"/>
      <c r="N29" s="239"/>
      <c r="O29" s="239"/>
    </row>
    <row r="30" spans="2:60" ht="17.25">
      <c r="B30" s="239"/>
      <c r="C30" s="239"/>
      <c r="D30" s="239"/>
      <c r="E30" s="239"/>
      <c r="F30" s="239"/>
      <c r="G30" s="238"/>
      <c r="H30" s="238"/>
      <c r="I30" s="1694"/>
      <c r="J30" s="1694"/>
      <c r="K30" s="1694"/>
      <c r="L30" s="1694"/>
      <c r="M30" s="243"/>
      <c r="N30" s="243"/>
      <c r="O30" s="243"/>
    </row>
  </sheetData>
  <sheetProtection algorithmName="SHA-512" hashValue="CCIuS5kF05e1+GTcPyggPFJqbkDgW4Bbfa8RLT/Dc9ZJpzCWBdCVm9QDkYRSe4mwUoQ8UEzcL9sqgmuNwbBMNQ==" saltValue="tsv/m5k0qFptAWeb/ymZUg=="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J12:J15"/>
    <mergeCell ref="AX19:AZ19"/>
    <mergeCell ref="D21:O21"/>
    <mergeCell ref="B16:B18"/>
    <mergeCell ref="C16:C18"/>
    <mergeCell ref="B20:G20"/>
    <mergeCell ref="K12:K15"/>
    <mergeCell ref="L12:L15"/>
    <mergeCell ref="M12:M15"/>
    <mergeCell ref="G12:G15"/>
    <mergeCell ref="F12:F15"/>
    <mergeCell ref="I28:L28"/>
    <mergeCell ref="I30:L30"/>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BE19:BH19"/>
    <mergeCell ref="E22:E23"/>
    <mergeCell ref="G22:J23"/>
    <mergeCell ref="L22:O22"/>
    <mergeCell ref="I26:L26"/>
    <mergeCell ref="B26:G26"/>
  </mergeCells>
  <conditionalFormatting sqref="BA16:BD18">
    <cfRule type="cellIs" dxfId="6" priority="1" operator="greaterThan">
      <formula>1</formula>
    </cfRule>
    <cfRule type="cellIs" dxfId="5" priority="5" operator="between">
      <formula>0.8</formula>
      <formula>1</formula>
    </cfRule>
    <cfRule type="cellIs" dxfId="4" priority="6" operator="between">
      <formula>0.61</formula>
      <formula>0.99</formula>
    </cfRule>
    <cfRule type="cellIs" dxfId="3" priority="7" operator="between">
      <formula>0</formula>
      <formula>0.6</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66FF33"/>
  </sheetPr>
  <dimension ref="B1:BH30"/>
  <sheetViews>
    <sheetView showGridLines="0" zoomScale="70" zoomScaleNormal="70" workbookViewId="0">
      <selection activeCell="BG18" sqref="BG18"/>
    </sheetView>
  </sheetViews>
  <sheetFormatPr baseColWidth="10" defaultColWidth="17.28515625" defaultRowHeight="15" customHeight="1"/>
  <cols>
    <col min="1" max="1" width="4.28515625" style="135" customWidth="1"/>
    <col min="2" max="2" width="50.42578125" style="133" customWidth="1"/>
    <col min="3" max="3" width="31.42578125" style="133" customWidth="1"/>
    <col min="4" max="4" width="49.7109375" style="133" customWidth="1"/>
    <col min="5" max="6" width="27.5703125" style="133" customWidth="1"/>
    <col min="7" max="8" width="29.28515625" style="134" customWidth="1"/>
    <col min="9" max="9" width="21.42578125" style="133" customWidth="1"/>
    <col min="10" max="10" width="31.85546875" style="133" customWidth="1"/>
    <col min="11" max="11" width="55.85546875" style="133" customWidth="1"/>
    <col min="12" max="12" width="48.42578125" style="133" customWidth="1"/>
    <col min="13" max="14" width="28.5703125" style="133" customWidth="1"/>
    <col min="15" max="15" width="50" style="133" customWidth="1"/>
    <col min="16" max="47" width="15.85546875" style="135" customWidth="1"/>
    <col min="48" max="48" width="24.5703125" style="135" customWidth="1"/>
    <col min="49" max="49" width="22.85546875" style="135" customWidth="1"/>
    <col min="50" max="50" width="19.28515625" style="135" customWidth="1"/>
    <col min="51" max="51" width="18.42578125" style="135" customWidth="1"/>
    <col min="52" max="52" width="19.42578125" style="135" customWidth="1"/>
    <col min="53" max="53" width="23.28515625" style="135" customWidth="1"/>
    <col min="54" max="55" width="25.140625" style="135" customWidth="1"/>
    <col min="56" max="56" width="26.7109375" style="135" customWidth="1"/>
    <col min="57" max="57" width="26.28515625" style="135" customWidth="1"/>
    <col min="58" max="58" width="26.5703125" style="135" customWidth="1"/>
    <col min="59" max="59" width="26.28515625" style="135" customWidth="1"/>
    <col min="60" max="60" width="27.28515625" style="135" customWidth="1"/>
    <col min="61" max="16384" width="17.28515625" style="135"/>
  </cols>
  <sheetData>
    <row r="1" spans="2:60" ht="18" thickBot="1"/>
    <row r="2" spans="2:60" ht="15.75">
      <c r="B2" s="1559" t="s">
        <v>685</v>
      </c>
      <c r="C2" s="1662" t="s">
        <v>118</v>
      </c>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4"/>
      <c r="BG2" s="229" t="s">
        <v>31</v>
      </c>
      <c r="BH2" s="230"/>
    </row>
    <row r="3" spans="2:60" ht="15.75">
      <c r="B3" s="1560"/>
      <c r="C3" s="1665"/>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7"/>
      <c r="BG3" s="209" t="s">
        <v>28</v>
      </c>
      <c r="BH3" s="28" t="s">
        <v>29</v>
      </c>
    </row>
    <row r="4" spans="2:60" ht="15" customHeight="1">
      <c r="B4" s="1560"/>
      <c r="C4" s="1665"/>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7"/>
      <c r="BG4" s="210">
        <v>5</v>
      </c>
      <c r="BH4" s="30" t="s">
        <v>656</v>
      </c>
    </row>
    <row r="5" spans="2:60" ht="15.75">
      <c r="B5" s="1560"/>
      <c r="C5" s="1665"/>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7"/>
      <c r="BG5" s="211" t="s">
        <v>30</v>
      </c>
      <c r="BH5" s="212"/>
    </row>
    <row r="6" spans="2:60" ht="15.6" customHeight="1" thickBot="1">
      <c r="B6" s="1561"/>
      <c r="C6" s="1668"/>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70"/>
      <c r="BG6" s="1543">
        <v>44306</v>
      </c>
      <c r="BH6" s="1544"/>
    </row>
    <row r="7" spans="2:60" ht="17.25">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651"/>
      <c r="AX7" s="1695"/>
      <c r="AY7" s="1695"/>
      <c r="AZ7" s="1695"/>
      <c r="BA7" s="1653"/>
      <c r="BB7" s="231"/>
      <c r="BC7" s="231"/>
      <c r="BD7" s="231"/>
      <c r="BE7" s="138"/>
      <c r="BF7" s="138"/>
    </row>
    <row r="8" spans="2:60" ht="20.25">
      <c r="B8" s="213" t="s">
        <v>45</v>
      </c>
      <c r="C8" s="1713" t="s">
        <v>98</v>
      </c>
      <c r="D8" s="1713"/>
      <c r="E8" s="214"/>
      <c r="F8" s="214"/>
      <c r="G8" s="214"/>
      <c r="H8" s="214"/>
      <c r="I8" s="214"/>
      <c r="J8" s="214"/>
      <c r="K8" s="214"/>
      <c r="L8" s="214"/>
      <c r="M8" s="214"/>
      <c r="N8" s="214"/>
      <c r="O8" s="214"/>
      <c r="AW8" s="231"/>
      <c r="AX8" s="231"/>
      <c r="AY8" s="231"/>
      <c r="AZ8" s="231"/>
      <c r="BA8" s="231"/>
      <c r="BB8" s="231"/>
      <c r="BC8" s="231"/>
      <c r="BD8" s="231"/>
    </row>
    <row r="9" spans="2:60" ht="93" customHeight="1">
      <c r="B9" s="213" t="s">
        <v>34</v>
      </c>
      <c r="C9" s="1672" t="s">
        <v>567</v>
      </c>
      <c r="D9" s="1673"/>
      <c r="E9" s="214"/>
      <c r="F9" s="214"/>
      <c r="G9" s="214"/>
      <c r="H9" s="214"/>
      <c r="I9" s="214"/>
      <c r="J9" s="214"/>
      <c r="K9" s="214"/>
      <c r="L9" s="214"/>
      <c r="M9" s="214"/>
      <c r="N9" s="214"/>
      <c r="O9" s="214"/>
      <c r="AW9" s="231"/>
      <c r="AX9" s="231"/>
      <c r="AY9" s="231"/>
      <c r="AZ9" s="231"/>
      <c r="BA9" s="231"/>
      <c r="BB9" s="231"/>
      <c r="BC9" s="231"/>
      <c r="BD9" s="231"/>
    </row>
    <row r="10" spans="2:60" ht="25.5">
      <c r="B10" s="213" t="s">
        <v>101</v>
      </c>
      <c r="C10" s="1674">
        <v>2022</v>
      </c>
      <c r="D10" s="1675"/>
      <c r="E10" s="214"/>
      <c r="F10" s="214"/>
      <c r="G10" s="214"/>
      <c r="H10" s="214"/>
      <c r="I10" s="214"/>
      <c r="J10" s="214"/>
      <c r="K10" s="214"/>
      <c r="L10" s="214"/>
      <c r="M10" s="214"/>
      <c r="N10" s="214"/>
      <c r="O10" s="214"/>
      <c r="AW10" s="231"/>
      <c r="AX10" s="231"/>
      <c r="AY10" s="231"/>
      <c r="AZ10" s="231"/>
      <c r="BA10" s="231"/>
      <c r="BB10" s="231"/>
      <c r="BC10" s="231"/>
      <c r="BD10" s="231"/>
    </row>
    <row r="11" spans="2:60" ht="17.25">
      <c r="B11" s="136"/>
      <c r="C11" s="136"/>
      <c r="D11" s="136"/>
      <c r="E11" s="136"/>
      <c r="F11" s="136"/>
      <c r="G11" s="137"/>
      <c r="H11" s="137"/>
      <c r="I11" s="136"/>
      <c r="J11" s="136"/>
      <c r="K11" s="136"/>
      <c r="L11" s="136"/>
      <c r="M11" s="136"/>
      <c r="N11" s="136"/>
      <c r="O11" s="136"/>
      <c r="AW11" s="231"/>
      <c r="AX11" s="231"/>
      <c r="AY11" s="231"/>
      <c r="AZ11" s="231"/>
      <c r="BA11" s="231"/>
      <c r="BB11" s="231"/>
      <c r="BC11" s="231"/>
      <c r="BD11" s="231"/>
    </row>
    <row r="12" spans="2:60" ht="15.6" customHeight="1">
      <c r="B12" s="1558" t="s">
        <v>0</v>
      </c>
      <c r="C12" s="1558" t="s">
        <v>52</v>
      </c>
      <c r="D12" s="1366" t="s">
        <v>710</v>
      </c>
      <c r="E12" s="1558" t="s">
        <v>61</v>
      </c>
      <c r="F12" s="1366" t="s">
        <v>681</v>
      </c>
      <c r="G12" s="1558" t="s">
        <v>58</v>
      </c>
      <c r="H12" s="1558" t="s">
        <v>25</v>
      </c>
      <c r="I12" s="1558" t="s">
        <v>60</v>
      </c>
      <c r="J12" s="1558" t="s">
        <v>39</v>
      </c>
      <c r="K12" s="1558" t="s">
        <v>36</v>
      </c>
      <c r="L12" s="1558" t="s">
        <v>20</v>
      </c>
      <c r="M12" s="1558" t="s">
        <v>51</v>
      </c>
      <c r="N12" s="1558" t="s">
        <v>40</v>
      </c>
      <c r="O12" s="1558" t="s">
        <v>42</v>
      </c>
      <c r="P12" s="1563" t="s">
        <v>112</v>
      </c>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654" t="s">
        <v>62</v>
      </c>
      <c r="AW12" s="1656" t="s">
        <v>682</v>
      </c>
      <c r="AX12" s="1657"/>
      <c r="AY12" s="1657"/>
      <c r="AZ12" s="1658"/>
      <c r="BA12" s="1645" t="s">
        <v>683</v>
      </c>
      <c r="BB12" s="1646"/>
      <c r="BC12" s="1646"/>
      <c r="BD12" s="1647"/>
      <c r="BE12" s="1680" t="s">
        <v>684</v>
      </c>
      <c r="BF12" s="1681"/>
      <c r="BG12" s="1681"/>
      <c r="BH12" s="1682"/>
    </row>
    <row r="13" spans="2:60" ht="15.75">
      <c r="B13" s="1558"/>
      <c r="C13" s="1558"/>
      <c r="D13" s="1366"/>
      <c r="E13" s="1558"/>
      <c r="F13" s="1366"/>
      <c r="G13" s="1558"/>
      <c r="H13" s="1558"/>
      <c r="I13" s="1558"/>
      <c r="J13" s="1558"/>
      <c r="K13" s="1558"/>
      <c r="L13" s="1558"/>
      <c r="M13" s="1558"/>
      <c r="N13" s="1558"/>
      <c r="O13" s="1558"/>
      <c r="P13" s="1655" t="s">
        <v>21</v>
      </c>
      <c r="Q13" s="1655"/>
      <c r="R13" s="1655"/>
      <c r="S13" s="1655"/>
      <c r="T13" s="1655"/>
      <c r="U13" s="1655"/>
      <c r="V13" s="1655"/>
      <c r="W13" s="1655"/>
      <c r="X13" s="1655" t="s">
        <v>22</v>
      </c>
      <c r="Y13" s="1655"/>
      <c r="Z13" s="1655"/>
      <c r="AA13" s="1655"/>
      <c r="AB13" s="1655"/>
      <c r="AC13" s="1655"/>
      <c r="AD13" s="1655"/>
      <c r="AE13" s="1655"/>
      <c r="AF13" s="1655" t="s">
        <v>23</v>
      </c>
      <c r="AG13" s="1655"/>
      <c r="AH13" s="1655"/>
      <c r="AI13" s="1655"/>
      <c r="AJ13" s="1655"/>
      <c r="AK13" s="1655"/>
      <c r="AL13" s="1655"/>
      <c r="AM13" s="1655"/>
      <c r="AN13" s="1655" t="s">
        <v>24</v>
      </c>
      <c r="AO13" s="1655"/>
      <c r="AP13" s="1655"/>
      <c r="AQ13" s="1655"/>
      <c r="AR13" s="1655"/>
      <c r="AS13" s="1655"/>
      <c r="AT13" s="1655"/>
      <c r="AU13" s="1655"/>
      <c r="AV13" s="1654"/>
      <c r="AW13" s="1659" t="s">
        <v>119</v>
      </c>
      <c r="AX13" s="1659" t="s">
        <v>22</v>
      </c>
      <c r="AY13" s="1659" t="s">
        <v>120</v>
      </c>
      <c r="AZ13" s="1659" t="s">
        <v>121</v>
      </c>
      <c r="BA13" s="1648" t="s">
        <v>119</v>
      </c>
      <c r="BB13" s="1648" t="s">
        <v>122</v>
      </c>
      <c r="BC13" s="1648" t="s">
        <v>123</v>
      </c>
      <c r="BD13" s="1648" t="s">
        <v>124</v>
      </c>
      <c r="BE13" s="1642" t="s">
        <v>21</v>
      </c>
      <c r="BF13" s="1642" t="s">
        <v>22</v>
      </c>
      <c r="BG13" s="1642" t="s">
        <v>23</v>
      </c>
      <c r="BH13" s="1642" t="s">
        <v>24</v>
      </c>
    </row>
    <row r="14" spans="2:60" ht="15.75">
      <c r="B14" s="1558"/>
      <c r="C14" s="1558"/>
      <c r="D14" s="1366"/>
      <c r="E14" s="1558"/>
      <c r="F14" s="1366"/>
      <c r="G14" s="1558"/>
      <c r="H14" s="1558"/>
      <c r="I14" s="1558"/>
      <c r="J14" s="1558"/>
      <c r="K14" s="1558"/>
      <c r="L14" s="1558"/>
      <c r="M14" s="1558"/>
      <c r="N14" s="1558"/>
      <c r="O14" s="1558"/>
      <c r="P14" s="1703" t="s">
        <v>5</v>
      </c>
      <c r="Q14" s="1703"/>
      <c r="R14" s="1703" t="s">
        <v>6</v>
      </c>
      <c r="S14" s="1703"/>
      <c r="T14" s="1703" t="s">
        <v>7</v>
      </c>
      <c r="U14" s="1703"/>
      <c r="V14" s="1563" t="s">
        <v>8</v>
      </c>
      <c r="W14" s="1563"/>
      <c r="X14" s="1703" t="s">
        <v>27</v>
      </c>
      <c r="Y14" s="1703"/>
      <c r="Z14" s="1703" t="s">
        <v>9</v>
      </c>
      <c r="AA14" s="1703"/>
      <c r="AB14" s="1703" t="s">
        <v>10</v>
      </c>
      <c r="AC14" s="1703"/>
      <c r="AD14" s="1563" t="s">
        <v>8</v>
      </c>
      <c r="AE14" s="1563"/>
      <c r="AF14" s="1703" t="s">
        <v>11</v>
      </c>
      <c r="AG14" s="1703"/>
      <c r="AH14" s="1703" t="s">
        <v>12</v>
      </c>
      <c r="AI14" s="1703"/>
      <c r="AJ14" s="1703" t="s">
        <v>13</v>
      </c>
      <c r="AK14" s="1703"/>
      <c r="AL14" s="1563" t="s">
        <v>8</v>
      </c>
      <c r="AM14" s="1563"/>
      <c r="AN14" s="1703" t="s">
        <v>14</v>
      </c>
      <c r="AO14" s="1703"/>
      <c r="AP14" s="1703" t="s">
        <v>15</v>
      </c>
      <c r="AQ14" s="1703"/>
      <c r="AR14" s="1703" t="s">
        <v>16</v>
      </c>
      <c r="AS14" s="1703"/>
      <c r="AT14" s="1563" t="s">
        <v>8</v>
      </c>
      <c r="AU14" s="1563"/>
      <c r="AV14" s="1654"/>
      <c r="AW14" s="1660"/>
      <c r="AX14" s="1660"/>
      <c r="AY14" s="1660"/>
      <c r="AZ14" s="1660"/>
      <c r="BA14" s="1649"/>
      <c r="BB14" s="1649"/>
      <c r="BC14" s="1649"/>
      <c r="BD14" s="1649"/>
      <c r="BE14" s="1643"/>
      <c r="BF14" s="1643"/>
      <c r="BG14" s="1643"/>
      <c r="BH14" s="1643"/>
    </row>
    <row r="15" spans="2:60" ht="13.15" customHeight="1">
      <c r="B15" s="1558"/>
      <c r="C15" s="1558"/>
      <c r="D15" s="1366"/>
      <c r="E15" s="1558"/>
      <c r="F15" s="1366"/>
      <c r="G15" s="1558"/>
      <c r="H15" s="1558"/>
      <c r="I15" s="1558"/>
      <c r="J15" s="1558"/>
      <c r="K15" s="1558"/>
      <c r="L15" s="1558"/>
      <c r="M15" s="1558"/>
      <c r="N15" s="1558"/>
      <c r="O15" s="1558"/>
      <c r="P15" s="232" t="s">
        <v>17</v>
      </c>
      <c r="Q15" s="233" t="s">
        <v>18</v>
      </c>
      <c r="R15" s="232" t="s">
        <v>17</v>
      </c>
      <c r="S15" s="233" t="s">
        <v>18</v>
      </c>
      <c r="T15" s="232" t="s">
        <v>17</v>
      </c>
      <c r="U15" s="233" t="s">
        <v>18</v>
      </c>
      <c r="V15" s="75" t="s">
        <v>17</v>
      </c>
      <c r="W15" s="76" t="s">
        <v>18</v>
      </c>
      <c r="X15" s="232" t="s">
        <v>17</v>
      </c>
      <c r="Y15" s="233" t="s">
        <v>18</v>
      </c>
      <c r="Z15" s="232" t="s">
        <v>17</v>
      </c>
      <c r="AA15" s="233" t="s">
        <v>18</v>
      </c>
      <c r="AB15" s="232" t="s">
        <v>17</v>
      </c>
      <c r="AC15" s="233" t="s">
        <v>18</v>
      </c>
      <c r="AD15" s="75" t="s">
        <v>17</v>
      </c>
      <c r="AE15" s="76" t="s">
        <v>18</v>
      </c>
      <c r="AF15" s="232" t="s">
        <v>17</v>
      </c>
      <c r="AG15" s="233" t="s">
        <v>18</v>
      </c>
      <c r="AH15" s="232" t="s">
        <v>17</v>
      </c>
      <c r="AI15" s="233" t="s">
        <v>18</v>
      </c>
      <c r="AJ15" s="232" t="s">
        <v>17</v>
      </c>
      <c r="AK15" s="233" t="s">
        <v>18</v>
      </c>
      <c r="AL15" s="75" t="s">
        <v>17</v>
      </c>
      <c r="AM15" s="76" t="s">
        <v>18</v>
      </c>
      <c r="AN15" s="232" t="s">
        <v>17</v>
      </c>
      <c r="AO15" s="233" t="s">
        <v>18</v>
      </c>
      <c r="AP15" s="232" t="s">
        <v>17</v>
      </c>
      <c r="AQ15" s="233" t="s">
        <v>18</v>
      </c>
      <c r="AR15" s="232" t="s">
        <v>17</v>
      </c>
      <c r="AS15" s="233" t="s">
        <v>18</v>
      </c>
      <c r="AT15" s="75" t="s">
        <v>17</v>
      </c>
      <c r="AU15" s="76" t="s">
        <v>18</v>
      </c>
      <c r="AV15" s="1654"/>
      <c r="AW15" s="1661"/>
      <c r="AX15" s="1661"/>
      <c r="AY15" s="1661"/>
      <c r="AZ15" s="1661"/>
      <c r="BA15" s="1650"/>
      <c r="BB15" s="1650"/>
      <c r="BC15" s="1650"/>
      <c r="BD15" s="1650"/>
      <c r="BE15" s="1644"/>
      <c r="BF15" s="1644"/>
      <c r="BG15" s="1644"/>
      <c r="BH15" s="1644"/>
    </row>
    <row r="16" spans="2:60" ht="98.25" customHeight="1">
      <c r="B16" s="167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78" t="str">
        <f>+'01-FR-03 POA INSTITUCIONAL'!C87</f>
        <v>4.5. Desarrollar el 100% de las acciones relacionadas con el fomento de la Cultura del Autocontrol, la Autorregulación y la Autogestión institucional.</v>
      </c>
      <c r="D16" s="31" t="str">
        <f>+'01-FR-03 POA INSTITUCIONAL'!D90</f>
        <v>4.5.4 Ejecutar  4 programas anuales de auditorias, aprobados por el Comité Institucional de Coordinación del Sistema de Control Interno.</v>
      </c>
      <c r="E16" s="52">
        <f>+'01-FR-03 POA INSTITUCIONAL'!E90</f>
        <v>0.5</v>
      </c>
      <c r="F16" s="68">
        <f>+'01-FR-03 POA INSTITUCIONAL'!F90</f>
        <v>4</v>
      </c>
      <c r="G16" s="68">
        <f>+'01-FR-03 POA INSTITUCIONAL'!L90</f>
        <v>1</v>
      </c>
      <c r="H16" s="68">
        <f>+'01-FR-03 POA INSTITUCIONAL'!G90</f>
        <v>4</v>
      </c>
      <c r="I16" s="140" t="str">
        <f>+'01-FR-03 POA INSTITUCIONAL'!H90</f>
        <v>Programa anual de auditorías ejecutado.</v>
      </c>
      <c r="J16" s="215" t="s">
        <v>663</v>
      </c>
      <c r="K16" s="442" t="s">
        <v>568</v>
      </c>
      <c r="L16" s="217" t="s">
        <v>569</v>
      </c>
      <c r="M16" s="217" t="s">
        <v>570</v>
      </c>
      <c r="N16" s="217" t="s">
        <v>571</v>
      </c>
      <c r="O16" s="235" t="str">
        <f>+'[7]POA Anualizado (Pág 1 de 3)'!J13</f>
        <v>Oficina de Control Interno</v>
      </c>
      <c r="P16" s="971">
        <v>0.06</v>
      </c>
      <c r="Q16" s="971">
        <v>0.06</v>
      </c>
      <c r="R16" s="971">
        <v>0.06</v>
      </c>
      <c r="S16" s="971">
        <v>0.06</v>
      </c>
      <c r="T16" s="971">
        <v>0.23</v>
      </c>
      <c r="U16" s="971">
        <v>0.23</v>
      </c>
      <c r="V16" s="93">
        <f>P16+R16+T16</f>
        <v>0.35</v>
      </c>
      <c r="W16" s="93">
        <f>Q16+S16+U16</f>
        <v>0.35</v>
      </c>
      <c r="X16" s="971">
        <v>0.03</v>
      </c>
      <c r="Y16" s="971">
        <v>0.03</v>
      </c>
      <c r="Z16" s="971">
        <v>0.09</v>
      </c>
      <c r="AA16" s="971">
        <v>0.09</v>
      </c>
      <c r="AB16" s="971">
        <v>0.03</v>
      </c>
      <c r="AC16" s="971">
        <v>0.03</v>
      </c>
      <c r="AD16" s="93">
        <f>X16+Z16+AB16</f>
        <v>0.15</v>
      </c>
      <c r="AE16" s="93">
        <f>Y16+AA16+AC16</f>
        <v>0.15</v>
      </c>
      <c r="AF16" s="971">
        <v>0.15</v>
      </c>
      <c r="AG16" s="971">
        <v>0.15</v>
      </c>
      <c r="AH16" s="971">
        <v>0.13</v>
      </c>
      <c r="AI16" s="971">
        <v>0.13</v>
      </c>
      <c r="AJ16" s="971">
        <v>0.16</v>
      </c>
      <c r="AK16" s="974">
        <v>0.16</v>
      </c>
      <c r="AL16" s="93">
        <f>AF16+AH16+AJ16</f>
        <v>0.44000000000000006</v>
      </c>
      <c r="AM16" s="93">
        <f>AG16+AI16+AK16</f>
        <v>0.44000000000000006</v>
      </c>
      <c r="AN16" s="971">
        <v>0.02</v>
      </c>
      <c r="AO16" s="971"/>
      <c r="AP16" s="971">
        <v>0.04</v>
      </c>
      <c r="AQ16" s="971"/>
      <c r="AR16" s="971">
        <v>0</v>
      </c>
      <c r="AS16" s="971"/>
      <c r="AT16" s="93">
        <f>AN16+AP16+AR16</f>
        <v>0.06</v>
      </c>
      <c r="AU16" s="93">
        <f>AO16+AQ16+AS16</f>
        <v>0</v>
      </c>
      <c r="AV16" s="236">
        <f>V16+AD16+AL16+AT16</f>
        <v>1</v>
      </c>
      <c r="AW16" s="319">
        <f>+W16</f>
        <v>0.35</v>
      </c>
      <c r="AX16" s="319">
        <f>+W16+AE16</f>
        <v>0.5</v>
      </c>
      <c r="AY16" s="319">
        <f>+W16+AE16+AM16</f>
        <v>0.94000000000000006</v>
      </c>
      <c r="AZ16" s="1028">
        <f>+W16+AE16+AM16+AU16</f>
        <v>0.94000000000000006</v>
      </c>
      <c r="BA16" s="42">
        <f>IF(AND(AW16&gt;0,$AV16&gt;0),AW16/$AV16,0)</f>
        <v>0.35</v>
      </c>
      <c r="BB16" s="1030">
        <f t="shared" ref="BB16:BD18" si="0">IF(AND(AX16&gt;0,$AV16&gt;0),AX16/$AV16,0)</f>
        <v>0.5</v>
      </c>
      <c r="BC16" s="1030">
        <f t="shared" si="0"/>
        <v>0.94000000000000006</v>
      </c>
      <c r="BD16" s="1030">
        <f t="shared" si="0"/>
        <v>0.94000000000000006</v>
      </c>
      <c r="BE16" s="307">
        <f>(IF(AND(AW16&gt;0,$F16&gt;0),AW16/$F16,0))</f>
        <v>8.7499999999999994E-2</v>
      </c>
      <c r="BF16" s="307">
        <f t="shared" ref="BF16:BH18" si="1">(IF(AND(AX16&gt;0,$F16&gt;0),AX16/$F16,0))</f>
        <v>0.125</v>
      </c>
      <c r="BG16" s="345">
        <f t="shared" si="1"/>
        <v>0.23500000000000001</v>
      </c>
      <c r="BH16" s="1031">
        <f t="shared" si="1"/>
        <v>0.23500000000000001</v>
      </c>
    </row>
    <row r="17" spans="2:60" ht="120">
      <c r="B17" s="1679"/>
      <c r="C17" s="1679"/>
      <c r="D17" s="31" t="str">
        <f>+'01-FR-03 POA INSTITUCIONAL'!D91</f>
        <v>4.5.5 Desarrollar 4 estrategias de sensibilización acerca de la cultura del control.</v>
      </c>
      <c r="E17" s="52">
        <f>+'01-FR-03 POA INSTITUCIONAL'!E91</f>
        <v>0.1</v>
      </c>
      <c r="F17" s="68">
        <f>+'01-FR-03 POA INSTITUCIONAL'!F91</f>
        <v>4</v>
      </c>
      <c r="G17" s="68">
        <f>+'01-FR-03 POA INSTITUCIONAL'!L91</f>
        <v>1</v>
      </c>
      <c r="H17" s="68">
        <f>+'01-FR-03 POA INSTITUCIONAL'!G91</f>
        <v>4</v>
      </c>
      <c r="I17" s="140" t="str">
        <f>+'01-FR-03 POA INSTITUCIONAL'!H91</f>
        <v>Estrategia de Sensibilización acerca de la Cultura del Control realizada</v>
      </c>
      <c r="J17" s="215" t="s">
        <v>572</v>
      </c>
      <c r="K17" s="442" t="s">
        <v>577</v>
      </c>
      <c r="L17" s="217" t="s">
        <v>573</v>
      </c>
      <c r="M17" s="217" t="s">
        <v>570</v>
      </c>
      <c r="N17" s="217" t="s">
        <v>571</v>
      </c>
      <c r="O17" s="235" t="str">
        <f>+'[7]POA Anualizado (Pág 1 de 3)'!J14</f>
        <v>Oficina de Control Interno</v>
      </c>
      <c r="P17" s="971">
        <v>0</v>
      </c>
      <c r="Q17" s="971">
        <v>0</v>
      </c>
      <c r="R17" s="971">
        <v>0</v>
      </c>
      <c r="S17" s="971">
        <v>0</v>
      </c>
      <c r="T17" s="971">
        <v>0</v>
      </c>
      <c r="U17" s="971">
        <v>0</v>
      </c>
      <c r="V17" s="91">
        <f t="shared" ref="V17:W18" si="2">P17+R17+T17</f>
        <v>0</v>
      </c>
      <c r="W17" s="91">
        <f t="shared" si="2"/>
        <v>0</v>
      </c>
      <c r="X17" s="971">
        <v>0</v>
      </c>
      <c r="Y17" s="971">
        <v>0</v>
      </c>
      <c r="Z17" s="971">
        <v>0</v>
      </c>
      <c r="AA17" s="971">
        <v>0</v>
      </c>
      <c r="AB17" s="971">
        <v>0</v>
      </c>
      <c r="AC17" s="971">
        <v>0</v>
      </c>
      <c r="AD17" s="91">
        <f t="shared" ref="AD17:AE18" si="3">X17+Z17+AB17</f>
        <v>0</v>
      </c>
      <c r="AE17" s="91">
        <f t="shared" si="3"/>
        <v>0</v>
      </c>
      <c r="AF17" s="971">
        <v>0</v>
      </c>
      <c r="AG17" s="971">
        <v>0</v>
      </c>
      <c r="AH17" s="971">
        <v>0</v>
      </c>
      <c r="AI17" s="971">
        <v>0</v>
      </c>
      <c r="AJ17" s="971">
        <v>0</v>
      </c>
      <c r="AK17" s="974">
        <v>0</v>
      </c>
      <c r="AL17" s="91">
        <f t="shared" ref="AL17:AM18" si="4">AF17+AH17+AJ17</f>
        <v>0</v>
      </c>
      <c r="AM17" s="91">
        <f t="shared" si="4"/>
        <v>0</v>
      </c>
      <c r="AN17" s="971">
        <v>0</v>
      </c>
      <c r="AO17" s="971"/>
      <c r="AP17" s="971">
        <v>1</v>
      </c>
      <c r="AQ17" s="971"/>
      <c r="AR17" s="971">
        <v>0</v>
      </c>
      <c r="AS17" s="971"/>
      <c r="AT17" s="91">
        <f t="shared" ref="AT17:AU18" si="5">AN17+AP17+AR17</f>
        <v>1</v>
      </c>
      <c r="AU17" s="91">
        <f t="shared" si="5"/>
        <v>0</v>
      </c>
      <c r="AV17" s="236">
        <f t="shared" ref="AV17:AV18" si="6">V17+AD17+AL17+AT17</f>
        <v>1</v>
      </c>
      <c r="AW17" s="81">
        <f t="shared" ref="AW17:AW18" si="7">+W17</f>
        <v>0</v>
      </c>
      <c r="AX17" s="81">
        <f t="shared" ref="AX17:AX18" si="8">+W17+AE17</f>
        <v>0</v>
      </c>
      <c r="AY17" s="81">
        <f t="shared" ref="AY17:AY18" si="9">+W17+AE17+AM17</f>
        <v>0</v>
      </c>
      <c r="AZ17" s="1029">
        <f t="shared" ref="AZ17:AZ18" si="10">+W17+AE17+AM17+AU17</f>
        <v>0</v>
      </c>
      <c r="BA17" s="42">
        <f>IF(AND(AW17&gt;0,AV17&gt;0),AW17/AV17,0)</f>
        <v>0</v>
      </c>
      <c r="BB17" s="1030">
        <f t="shared" si="0"/>
        <v>0</v>
      </c>
      <c r="BC17" s="1030">
        <f t="shared" si="0"/>
        <v>0</v>
      </c>
      <c r="BD17" s="1030">
        <f t="shared" si="0"/>
        <v>0</v>
      </c>
      <c r="BE17" s="307">
        <f t="shared" ref="BE17:BE18" si="11">(IF(AND(AW17&gt;0,$F17&gt;0),AW17/$F17,0))</f>
        <v>0</v>
      </c>
      <c r="BF17" s="307">
        <f t="shared" si="1"/>
        <v>0</v>
      </c>
      <c r="BG17" s="307">
        <f t="shared" si="1"/>
        <v>0</v>
      </c>
      <c r="BH17" s="1031">
        <f t="shared" si="1"/>
        <v>0</v>
      </c>
    </row>
    <row r="18" spans="2:60" ht="104.25" customHeight="1">
      <c r="B18" s="1705"/>
      <c r="C18" s="1705"/>
      <c r="D18" s="31" t="str">
        <f>+'01-FR-03 POA INSTITUCIONAL'!D92</f>
        <v>4.5.6 Realizar 4 jornadas de sensibilización a Directivos y Referentes de proceso sobre la Séptima Dimensión.</v>
      </c>
      <c r="E18" s="52">
        <f>+'01-FR-03 POA INSTITUCIONAL'!E92</f>
        <v>0.1</v>
      </c>
      <c r="F18" s="68">
        <f>+'01-FR-03 POA INSTITUCIONAL'!F92</f>
        <v>4</v>
      </c>
      <c r="G18" s="68">
        <f>+'01-FR-03 POA INSTITUCIONAL'!L92</f>
        <v>1</v>
      </c>
      <c r="H18" s="68">
        <f>+'01-FR-03 POA INSTITUCIONAL'!G92</f>
        <v>4</v>
      </c>
      <c r="I18" s="140" t="str">
        <f>+'01-FR-03 POA INSTITUCIONAL'!H92</f>
        <v>Sensibilización a Directivos y Referentes de Gestión sobre la Séptima Dimensión del MIPG realizada</v>
      </c>
      <c r="J18" s="215" t="s">
        <v>574</v>
      </c>
      <c r="K18" s="442" t="s">
        <v>578</v>
      </c>
      <c r="L18" s="217" t="s">
        <v>575</v>
      </c>
      <c r="M18" s="217" t="s">
        <v>570</v>
      </c>
      <c r="N18" s="217" t="s">
        <v>571</v>
      </c>
      <c r="O18" s="235" t="str">
        <f>+'[7]POA Anualizado (Pág 1 de 3)'!J15</f>
        <v>Oficina de Control Interno</v>
      </c>
      <c r="P18" s="971">
        <v>0</v>
      </c>
      <c r="Q18" s="971">
        <v>0</v>
      </c>
      <c r="R18" s="971">
        <v>0</v>
      </c>
      <c r="S18" s="971">
        <v>0</v>
      </c>
      <c r="T18" s="971">
        <v>0</v>
      </c>
      <c r="U18" s="971">
        <v>0</v>
      </c>
      <c r="V18" s="91">
        <f t="shared" si="2"/>
        <v>0</v>
      </c>
      <c r="W18" s="91">
        <f t="shared" si="2"/>
        <v>0</v>
      </c>
      <c r="X18" s="971">
        <v>0</v>
      </c>
      <c r="Y18" s="971">
        <v>0</v>
      </c>
      <c r="Z18" s="971">
        <v>1</v>
      </c>
      <c r="AA18" s="971">
        <v>1</v>
      </c>
      <c r="AB18" s="971">
        <v>0</v>
      </c>
      <c r="AC18" s="971">
        <v>0</v>
      </c>
      <c r="AD18" s="91">
        <f t="shared" si="3"/>
        <v>1</v>
      </c>
      <c r="AE18" s="91">
        <f t="shared" si="3"/>
        <v>1</v>
      </c>
      <c r="AF18" s="971">
        <v>0</v>
      </c>
      <c r="AG18" s="971">
        <v>0</v>
      </c>
      <c r="AH18" s="971">
        <v>0</v>
      </c>
      <c r="AI18" s="971">
        <v>0</v>
      </c>
      <c r="AJ18" s="971">
        <v>0</v>
      </c>
      <c r="AK18" s="974">
        <v>0</v>
      </c>
      <c r="AL18" s="91">
        <f t="shared" si="4"/>
        <v>0</v>
      </c>
      <c r="AM18" s="91">
        <f t="shared" si="4"/>
        <v>0</v>
      </c>
      <c r="AN18" s="971">
        <v>0</v>
      </c>
      <c r="AO18" s="971"/>
      <c r="AP18" s="971">
        <v>0</v>
      </c>
      <c r="AQ18" s="971"/>
      <c r="AR18" s="971">
        <v>0</v>
      </c>
      <c r="AS18" s="971"/>
      <c r="AT18" s="91">
        <f t="shared" si="5"/>
        <v>0</v>
      </c>
      <c r="AU18" s="91">
        <f t="shared" si="5"/>
        <v>0</v>
      </c>
      <c r="AV18" s="236">
        <f t="shared" si="6"/>
        <v>1</v>
      </c>
      <c r="AW18" s="81">
        <f t="shared" si="7"/>
        <v>0</v>
      </c>
      <c r="AX18" s="81">
        <f t="shared" si="8"/>
        <v>1</v>
      </c>
      <c r="AY18" s="81">
        <f t="shared" si="9"/>
        <v>1</v>
      </c>
      <c r="AZ18" s="1029">
        <f t="shared" si="10"/>
        <v>1</v>
      </c>
      <c r="BA18" s="42">
        <f t="shared" ref="BA18" si="12">IF(AND(AW18&gt;0,AV18&gt;0),AW18/AV18,0)</f>
        <v>0</v>
      </c>
      <c r="BB18" s="42">
        <f t="shared" si="0"/>
        <v>1</v>
      </c>
      <c r="BC18" s="42">
        <f t="shared" si="0"/>
        <v>1</v>
      </c>
      <c r="BD18" s="42">
        <f t="shared" si="0"/>
        <v>1</v>
      </c>
      <c r="BE18" s="307">
        <f t="shared" si="11"/>
        <v>0</v>
      </c>
      <c r="BF18" s="307">
        <f t="shared" si="1"/>
        <v>0.25</v>
      </c>
      <c r="BG18" s="345">
        <f t="shared" si="1"/>
        <v>0.25</v>
      </c>
      <c r="BH18" s="1031">
        <f t="shared" si="1"/>
        <v>0.25</v>
      </c>
    </row>
    <row r="19" spans="2:60" ht="23.25">
      <c r="B19" s="1537"/>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c r="AM19" s="1538"/>
      <c r="AN19" s="1538"/>
      <c r="AO19" s="1538"/>
      <c r="AP19" s="1538"/>
      <c r="AQ19" s="1538"/>
      <c r="AR19" s="1538"/>
      <c r="AS19" s="1538"/>
      <c r="AT19" s="1538"/>
      <c r="AU19" s="1538"/>
      <c r="AV19" s="1538"/>
      <c r="AW19" s="1706"/>
      <c r="AX19" s="1676" t="s">
        <v>19</v>
      </c>
      <c r="AY19" s="1704"/>
      <c r="AZ19" s="1704"/>
      <c r="BA19" s="70">
        <f t="shared" ref="BA19:BD19" si="13">AVERAGE(BA16:BA18)</f>
        <v>0.11666666666666665</v>
      </c>
      <c r="BB19" s="70">
        <f t="shared" si="13"/>
        <v>0.5</v>
      </c>
      <c r="BC19" s="70">
        <f t="shared" si="13"/>
        <v>0.64666666666666661</v>
      </c>
      <c r="BD19" s="70">
        <f t="shared" si="13"/>
        <v>0.64666666666666661</v>
      </c>
      <c r="BE19" s="1714"/>
      <c r="BF19" s="1715"/>
      <c r="BG19" s="1715"/>
      <c r="BH19" s="1716"/>
    </row>
    <row r="20" spans="2:60" ht="17.25">
      <c r="B20" s="1516"/>
      <c r="C20" s="1516"/>
      <c r="D20" s="1516"/>
      <c r="E20" s="1516"/>
      <c r="F20" s="1516"/>
      <c r="G20" s="1516"/>
      <c r="H20" s="238"/>
      <c r="I20" s="239"/>
      <c r="J20" s="239"/>
      <c r="K20" s="239"/>
      <c r="L20" s="239"/>
      <c r="M20" s="239"/>
      <c r="N20" s="239"/>
      <c r="O20" s="239"/>
    </row>
    <row r="21" spans="2:60" ht="17.25">
      <c r="B21" s="239"/>
      <c r="C21" s="239"/>
      <c r="D21" s="1686"/>
      <c r="E21" s="1686"/>
      <c r="F21" s="1686"/>
      <c r="G21" s="1686"/>
      <c r="H21" s="1686"/>
      <c r="I21" s="1686"/>
      <c r="J21" s="1686"/>
      <c r="K21" s="1686"/>
      <c r="L21" s="1686"/>
      <c r="M21" s="1686"/>
      <c r="N21" s="1686"/>
      <c r="O21" s="1686"/>
    </row>
    <row r="22" spans="2:60" ht="15.6" customHeight="1">
      <c r="B22" s="77" t="s">
        <v>26</v>
      </c>
      <c r="C22" s="240">
        <v>44224</v>
      </c>
      <c r="D22" s="241"/>
      <c r="E22" s="1687" t="s">
        <v>50</v>
      </c>
      <c r="F22" s="1763" t="s">
        <v>576</v>
      </c>
      <c r="G22" s="1764"/>
      <c r="H22" s="1764"/>
      <c r="I22" s="1764"/>
      <c r="J22" s="1765"/>
      <c r="K22" s="242"/>
      <c r="L22" s="1695"/>
      <c r="M22" s="1695"/>
      <c r="N22" s="1695"/>
      <c r="O22" s="1696"/>
    </row>
    <row r="23" spans="2:60" ht="17.25">
      <c r="B23" s="239"/>
      <c r="C23" s="239"/>
      <c r="D23" s="242"/>
      <c r="E23" s="1687"/>
      <c r="F23" s="1766"/>
      <c r="G23" s="1767"/>
      <c r="H23" s="1767"/>
      <c r="I23" s="1767"/>
      <c r="J23" s="1768"/>
      <c r="K23" s="239"/>
      <c r="L23" s="239"/>
      <c r="M23" s="239"/>
      <c r="N23" s="239"/>
      <c r="O23" s="239"/>
    </row>
    <row r="24" spans="2:60" ht="17.25">
      <c r="B24" s="77" t="s">
        <v>49</v>
      </c>
      <c r="C24" s="240">
        <v>44581</v>
      </c>
      <c r="D24" s="239"/>
      <c r="E24" s="239"/>
      <c r="F24" s="239"/>
      <c r="K24" s="239"/>
      <c r="L24" s="239"/>
      <c r="M24" s="239"/>
      <c r="N24" s="239"/>
      <c r="O24" s="239"/>
    </row>
    <row r="25" spans="2:60" ht="17.25">
      <c r="B25" s="239"/>
      <c r="C25" s="239"/>
      <c r="D25" s="239"/>
      <c r="E25" s="239"/>
      <c r="F25" s="239"/>
      <c r="K25" s="239"/>
      <c r="L25" s="239"/>
      <c r="M25" s="239"/>
      <c r="N25" s="239"/>
      <c r="O25" s="239"/>
    </row>
    <row r="26" spans="2:60" ht="17.25">
      <c r="B26" s="1814" t="s">
        <v>922</v>
      </c>
      <c r="C26" s="1814"/>
      <c r="D26" s="1814"/>
      <c r="E26" s="1814"/>
      <c r="F26" s="1814"/>
      <c r="G26" s="1814"/>
      <c r="H26" s="238"/>
      <c r="I26" s="1694"/>
      <c r="J26" s="1694"/>
      <c r="K26" s="1694"/>
      <c r="L26" s="1694"/>
      <c r="M26" s="243"/>
      <c r="N26" s="243"/>
      <c r="O26" s="243"/>
    </row>
    <row r="27" spans="2:60" ht="17.25">
      <c r="B27" s="239"/>
      <c r="C27" s="239"/>
      <c r="D27" s="239"/>
      <c r="E27" s="239"/>
      <c r="F27" s="239"/>
      <c r="G27" s="238"/>
      <c r="H27" s="238"/>
      <c r="I27" s="239"/>
      <c r="J27" s="239"/>
      <c r="K27" s="244"/>
      <c r="L27" s="239"/>
      <c r="M27" s="239"/>
      <c r="N27" s="239"/>
      <c r="O27" s="239"/>
    </row>
    <row r="28" spans="2:60" ht="17.25">
      <c r="B28" s="239"/>
      <c r="C28" s="239"/>
      <c r="D28" s="239"/>
      <c r="E28" s="239"/>
      <c r="F28" s="239"/>
      <c r="G28" s="238"/>
      <c r="H28" s="238"/>
      <c r="I28" s="1694"/>
      <c r="J28" s="1694"/>
      <c r="K28" s="1694"/>
      <c r="L28" s="1694"/>
      <c r="M28" s="243"/>
      <c r="N28" s="243"/>
      <c r="O28" s="243"/>
    </row>
    <row r="29" spans="2:60" ht="17.25">
      <c r="B29" s="239"/>
      <c r="C29" s="239"/>
      <c r="D29" s="239"/>
      <c r="E29" s="239"/>
      <c r="F29" s="239"/>
      <c r="G29" s="238"/>
      <c r="H29" s="238"/>
      <c r="I29" s="239"/>
      <c r="J29" s="239"/>
      <c r="K29" s="244"/>
      <c r="L29" s="239"/>
      <c r="M29" s="239"/>
      <c r="N29" s="239"/>
      <c r="O29" s="239"/>
    </row>
    <row r="30" spans="2:60" ht="17.25">
      <c r="B30" s="239"/>
      <c r="C30" s="239"/>
      <c r="D30" s="239"/>
      <c r="E30" s="239"/>
      <c r="F30" s="239"/>
      <c r="G30" s="238"/>
      <c r="H30" s="238"/>
      <c r="I30" s="1694"/>
      <c r="J30" s="1694"/>
      <c r="K30" s="1694"/>
      <c r="L30" s="1694"/>
      <c r="M30" s="243"/>
      <c r="N30" s="243"/>
      <c r="O30" s="243"/>
    </row>
  </sheetData>
  <sheetProtection algorithmName="SHA-512" hashValue="pWOs81Ww26pvUlj2Xeq5YPvtN8tp19HyESb2hXG5fbE/TjnlvVekNZQiM5obODTlJBpCNwWdaTJ1MFBMKFjjvA==" saltValue="M7bDckqiap4JXjJqOtkcGg=="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BE19:BH19"/>
    <mergeCell ref="I28:L28"/>
    <mergeCell ref="I30:L30"/>
    <mergeCell ref="B20:G20"/>
    <mergeCell ref="AX19:AZ19"/>
    <mergeCell ref="D21:O21"/>
    <mergeCell ref="E22:E23"/>
    <mergeCell ref="L22:O22"/>
    <mergeCell ref="I26:L26"/>
    <mergeCell ref="B19:AW19"/>
    <mergeCell ref="F22:J23"/>
    <mergeCell ref="B26:G26"/>
  </mergeCells>
  <conditionalFormatting sqref="BA16:BD18">
    <cfRule type="cellIs" dxfId="2" priority="4" operator="between">
      <formula>0.7</formula>
      <formula>1</formula>
    </cfRule>
    <cfRule type="cellIs" dxfId="1" priority="5" operator="between">
      <formula>0.51</formula>
      <formula>0.69</formula>
    </cfRule>
    <cfRule type="cellIs" dxfId="0"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sheetPr>
    <tabColor rgb="FF00B050"/>
  </sheetPr>
  <dimension ref="B1:P68"/>
  <sheetViews>
    <sheetView showGridLines="0" workbookViewId="0">
      <selection activeCell="B50" sqref="B50:O50"/>
    </sheetView>
  </sheetViews>
  <sheetFormatPr baseColWidth="10" defaultColWidth="11.42578125" defaultRowHeight="12.75"/>
  <cols>
    <col min="1" max="1" width="4.28515625" style="339" customWidth="1"/>
    <col min="2" max="2" width="42.85546875" style="339" customWidth="1"/>
    <col min="3" max="13" width="7.140625" style="339" customWidth="1"/>
    <col min="14" max="14" width="14.28515625" style="339" customWidth="1"/>
    <col min="15" max="15" width="14.42578125" style="339" customWidth="1"/>
    <col min="16" max="16" width="6.7109375" style="339" customWidth="1"/>
    <col min="17" max="17" width="9.5703125" style="339" customWidth="1"/>
    <col min="18" max="18" width="17.140625" style="339" customWidth="1"/>
    <col min="19" max="16384" width="11.42578125" style="339"/>
  </cols>
  <sheetData>
    <row r="1" spans="2:16" s="7" customFormat="1" ht="7.5" customHeight="1" thickBot="1">
      <c r="B1" s="337"/>
      <c r="C1" s="337"/>
      <c r="D1" s="337"/>
      <c r="E1" s="337"/>
      <c r="F1" s="337"/>
      <c r="G1" s="337"/>
      <c r="H1" s="337"/>
      <c r="I1" s="337"/>
      <c r="J1" s="337"/>
      <c r="K1" s="337"/>
      <c r="L1" s="337"/>
      <c r="M1" s="337"/>
      <c r="N1" s="337"/>
      <c r="O1" s="337"/>
      <c r="P1" s="337"/>
    </row>
    <row r="2" spans="2:16" s="7" customFormat="1" ht="15.75">
      <c r="B2" s="1820" t="s">
        <v>685</v>
      </c>
      <c r="C2" s="1823" t="s">
        <v>4</v>
      </c>
      <c r="D2" s="1824"/>
      <c r="E2" s="1824"/>
      <c r="F2" s="1824"/>
      <c r="G2" s="1824"/>
      <c r="H2" s="1824"/>
      <c r="I2" s="1824"/>
      <c r="J2" s="1824"/>
      <c r="K2" s="1824"/>
      <c r="L2" s="1824"/>
      <c r="M2" s="1824"/>
      <c r="N2" s="1455" t="s">
        <v>31</v>
      </c>
      <c r="O2" s="1456"/>
      <c r="P2" s="337"/>
    </row>
    <row r="3" spans="2:16" s="7" customFormat="1" ht="15.75">
      <c r="B3" s="1821"/>
      <c r="C3" s="1825"/>
      <c r="D3" s="1826"/>
      <c r="E3" s="1826"/>
      <c r="F3" s="1826"/>
      <c r="G3" s="1826"/>
      <c r="H3" s="1826"/>
      <c r="I3" s="1826"/>
      <c r="J3" s="1826"/>
      <c r="K3" s="1826"/>
      <c r="L3" s="1826"/>
      <c r="M3" s="1826"/>
      <c r="N3" s="8" t="s">
        <v>28</v>
      </c>
      <c r="O3" s="9" t="s">
        <v>29</v>
      </c>
      <c r="P3" s="337"/>
    </row>
    <row r="4" spans="2:16" s="7" customFormat="1" ht="15.75" customHeight="1">
      <c r="B4" s="1821"/>
      <c r="C4" s="1825"/>
      <c r="D4" s="1826"/>
      <c r="E4" s="1826"/>
      <c r="F4" s="1826"/>
      <c r="G4" s="1826"/>
      <c r="H4" s="1826"/>
      <c r="I4" s="1826"/>
      <c r="J4" s="1826"/>
      <c r="K4" s="1826"/>
      <c r="L4" s="1826"/>
      <c r="M4" s="1826"/>
      <c r="N4" s="10">
        <v>5</v>
      </c>
      <c r="O4" s="11" t="s">
        <v>686</v>
      </c>
      <c r="P4" s="337"/>
    </row>
    <row r="5" spans="2:16" s="7" customFormat="1" ht="15.75">
      <c r="B5" s="1821"/>
      <c r="C5" s="1825"/>
      <c r="D5" s="1826"/>
      <c r="E5" s="1826"/>
      <c r="F5" s="1826"/>
      <c r="G5" s="1826"/>
      <c r="H5" s="1826"/>
      <c r="I5" s="1826"/>
      <c r="J5" s="1826"/>
      <c r="K5" s="1826"/>
      <c r="L5" s="1826"/>
      <c r="M5" s="1826"/>
      <c r="N5" s="1829" t="s">
        <v>30</v>
      </c>
      <c r="O5" s="1830"/>
      <c r="P5" s="337"/>
    </row>
    <row r="6" spans="2:16" s="7" customFormat="1" ht="16.5" customHeight="1" thickBot="1">
      <c r="B6" s="1822"/>
      <c r="C6" s="1827"/>
      <c r="D6" s="1828"/>
      <c r="E6" s="1828"/>
      <c r="F6" s="1828"/>
      <c r="G6" s="1828"/>
      <c r="H6" s="1828"/>
      <c r="I6" s="1828"/>
      <c r="J6" s="1828"/>
      <c r="K6" s="1828"/>
      <c r="L6" s="1828"/>
      <c r="M6" s="1828"/>
      <c r="N6" s="1831">
        <v>44306</v>
      </c>
      <c r="O6" s="1832"/>
      <c r="P6" s="337"/>
    </row>
    <row r="7" spans="2:16" s="7" customFormat="1" ht="7.5" customHeight="1">
      <c r="B7" s="337"/>
      <c r="C7" s="337"/>
      <c r="D7" s="337"/>
      <c r="E7" s="337"/>
      <c r="F7" s="338">
        <f>D13</f>
        <v>0</v>
      </c>
      <c r="G7" s="337"/>
      <c r="H7" s="337"/>
      <c r="I7" s="337"/>
      <c r="J7" s="337"/>
      <c r="K7" s="337"/>
      <c r="L7" s="337"/>
      <c r="M7" s="337"/>
      <c r="N7" s="337"/>
      <c r="O7" s="337"/>
      <c r="P7" s="337"/>
    </row>
    <row r="8" spans="2:16" s="7" customFormat="1" ht="22.5" customHeight="1">
      <c r="B8" s="1833" t="s">
        <v>46</v>
      </c>
      <c r="C8" s="1833"/>
      <c r="D8" s="1833"/>
      <c r="E8" s="1833"/>
      <c r="F8" s="1833"/>
      <c r="G8" s="1833"/>
      <c r="H8" s="1833"/>
      <c r="I8" s="1833"/>
      <c r="J8" s="1833"/>
      <c r="K8" s="1833"/>
      <c r="L8" s="1833"/>
      <c r="M8" s="1833"/>
      <c r="N8" s="1833"/>
      <c r="O8" s="1833"/>
      <c r="P8" s="337"/>
    </row>
    <row r="9" spans="2:16" s="7" customFormat="1" ht="7.5" customHeight="1">
      <c r="B9" s="337"/>
      <c r="C9" s="337"/>
      <c r="D9" s="337"/>
      <c r="E9" s="337"/>
      <c r="F9" s="338"/>
      <c r="G9" s="337"/>
      <c r="H9" s="337"/>
      <c r="I9" s="337"/>
      <c r="J9" s="337"/>
      <c r="K9" s="337"/>
      <c r="L9" s="337"/>
      <c r="M9" s="337"/>
      <c r="N9" s="337"/>
      <c r="O9" s="337"/>
      <c r="P9" s="337"/>
    </row>
    <row r="10" spans="2:16" s="7" customFormat="1" ht="28.5" customHeight="1">
      <c r="B10" s="1819" t="s">
        <v>47</v>
      </c>
      <c r="C10" s="1819"/>
      <c r="D10" s="1819"/>
      <c r="E10" s="1819"/>
      <c r="F10" s="1819"/>
      <c r="G10" s="1819"/>
      <c r="H10" s="1819"/>
      <c r="I10" s="1819"/>
      <c r="J10" s="1819"/>
      <c r="K10" s="1819"/>
      <c r="L10" s="1819"/>
      <c r="M10" s="1819"/>
      <c r="N10" s="1819"/>
      <c r="O10" s="1819"/>
      <c r="P10" s="337"/>
    </row>
    <row r="11" spans="2:16" s="7" customFormat="1" ht="7.5" customHeight="1">
      <c r="B11" s="337"/>
      <c r="C11" s="337"/>
      <c r="D11" s="337"/>
      <c r="E11" s="337"/>
      <c r="F11" s="338"/>
      <c r="G11" s="337"/>
      <c r="H11" s="337"/>
      <c r="I11" s="337"/>
      <c r="J11" s="337"/>
      <c r="K11" s="337"/>
      <c r="L11" s="337"/>
      <c r="M11" s="337"/>
      <c r="N11" s="337"/>
      <c r="O11" s="337"/>
      <c r="P11" s="337"/>
    </row>
    <row r="12" spans="2:16" s="7" customFormat="1" ht="22.5" customHeight="1">
      <c r="B12" s="332" t="s">
        <v>32</v>
      </c>
      <c r="C12" s="1835" t="s">
        <v>33</v>
      </c>
      <c r="D12" s="1835"/>
      <c r="E12" s="1835"/>
      <c r="F12" s="1835"/>
      <c r="G12" s="1835"/>
      <c r="H12" s="1835"/>
      <c r="I12" s="1835"/>
      <c r="J12" s="1835"/>
      <c r="K12" s="1835"/>
      <c r="L12" s="1835"/>
      <c r="M12" s="1835"/>
      <c r="N12" s="1835"/>
      <c r="O12" s="1835"/>
      <c r="P12" s="337"/>
    </row>
    <row r="13" spans="2:16" s="7" customFormat="1" ht="45.75" customHeight="1">
      <c r="B13" s="22" t="s">
        <v>64</v>
      </c>
      <c r="C13" s="1834" t="s">
        <v>65</v>
      </c>
      <c r="D13" s="1834"/>
      <c r="E13" s="1834"/>
      <c r="F13" s="1834"/>
      <c r="G13" s="1834"/>
      <c r="H13" s="1834"/>
      <c r="I13" s="1834"/>
      <c r="J13" s="1834"/>
      <c r="K13" s="1834"/>
      <c r="L13" s="1834"/>
      <c r="M13" s="1834"/>
      <c r="N13" s="1834"/>
      <c r="O13" s="1834"/>
    </row>
    <row r="14" spans="2:16" s="7" customFormat="1" ht="45.75" customHeight="1">
      <c r="B14" s="22" t="s">
        <v>687</v>
      </c>
      <c r="C14" s="1834" t="s">
        <v>66</v>
      </c>
      <c r="D14" s="1834"/>
      <c r="E14" s="1834"/>
      <c r="F14" s="1834"/>
      <c r="G14" s="1834"/>
      <c r="H14" s="1834"/>
      <c r="I14" s="1834"/>
      <c r="J14" s="1834"/>
      <c r="K14" s="1834"/>
      <c r="L14" s="1834"/>
      <c r="M14" s="1834"/>
      <c r="N14" s="1834"/>
      <c r="O14" s="1834"/>
    </row>
    <row r="15" spans="2:16" s="7" customFormat="1" ht="76.5" customHeight="1">
      <c r="B15" s="22" t="s">
        <v>688</v>
      </c>
      <c r="C15" s="1834" t="s">
        <v>129</v>
      </c>
      <c r="D15" s="1834"/>
      <c r="E15" s="1834"/>
      <c r="F15" s="1834"/>
      <c r="G15" s="1834"/>
      <c r="H15" s="1834"/>
      <c r="I15" s="1834"/>
      <c r="J15" s="1834"/>
      <c r="K15" s="1834"/>
      <c r="L15" s="1834"/>
      <c r="M15" s="1834"/>
      <c r="N15" s="1834"/>
      <c r="O15" s="1834"/>
    </row>
    <row r="16" spans="2:16" s="7" customFormat="1" ht="45.75" customHeight="1">
      <c r="B16" s="22" t="s">
        <v>689</v>
      </c>
      <c r="C16" s="1834" t="s">
        <v>67</v>
      </c>
      <c r="D16" s="1834"/>
      <c r="E16" s="1834"/>
      <c r="F16" s="1834"/>
      <c r="G16" s="1834"/>
      <c r="H16" s="1834"/>
      <c r="I16" s="1834"/>
      <c r="J16" s="1834"/>
      <c r="K16" s="1834"/>
      <c r="L16" s="1834"/>
      <c r="M16" s="1834"/>
      <c r="N16" s="1834"/>
      <c r="O16" s="1834"/>
    </row>
    <row r="17" spans="2:16" s="7" customFormat="1" ht="61.5" customHeight="1">
      <c r="B17" s="22" t="s">
        <v>690</v>
      </c>
      <c r="C17" s="1834" t="s">
        <v>691</v>
      </c>
      <c r="D17" s="1834"/>
      <c r="E17" s="1834"/>
      <c r="F17" s="1834"/>
      <c r="G17" s="1834"/>
      <c r="H17" s="1834"/>
      <c r="I17" s="1834"/>
      <c r="J17" s="1834"/>
      <c r="K17" s="1834"/>
      <c r="L17" s="1834"/>
      <c r="M17" s="1834"/>
      <c r="N17" s="1834"/>
      <c r="O17" s="1834"/>
    </row>
    <row r="18" spans="2:16" s="7" customFormat="1" ht="45.75" customHeight="1">
      <c r="B18" s="22" t="s">
        <v>69</v>
      </c>
      <c r="C18" s="1834" t="s">
        <v>71</v>
      </c>
      <c r="D18" s="1834"/>
      <c r="E18" s="1834"/>
      <c r="F18" s="1834"/>
      <c r="G18" s="1834"/>
      <c r="H18" s="1834"/>
      <c r="I18" s="1834"/>
      <c r="J18" s="1834"/>
      <c r="K18" s="1834"/>
      <c r="L18" s="1834"/>
      <c r="M18" s="1834"/>
      <c r="N18" s="1834"/>
      <c r="O18" s="1834"/>
    </row>
    <row r="19" spans="2:16" s="7" customFormat="1" ht="45.75" customHeight="1">
      <c r="B19" s="22" t="s">
        <v>692</v>
      </c>
      <c r="C19" s="1834" t="s">
        <v>72</v>
      </c>
      <c r="D19" s="1834"/>
      <c r="E19" s="1834"/>
      <c r="F19" s="1834"/>
      <c r="G19" s="1834"/>
      <c r="H19" s="1834"/>
      <c r="I19" s="1834"/>
      <c r="J19" s="1834"/>
      <c r="K19" s="1834"/>
      <c r="L19" s="1834"/>
      <c r="M19" s="1834"/>
      <c r="N19" s="1834"/>
      <c r="O19" s="1834"/>
    </row>
    <row r="20" spans="2:16" s="7" customFormat="1" ht="45.75" customHeight="1">
      <c r="B20" s="22" t="s">
        <v>45</v>
      </c>
      <c r="C20" s="1834" t="s">
        <v>73</v>
      </c>
      <c r="D20" s="1834"/>
      <c r="E20" s="1834"/>
      <c r="F20" s="1834"/>
      <c r="G20" s="1834"/>
      <c r="H20" s="1834"/>
      <c r="I20" s="1834"/>
      <c r="J20" s="1834"/>
      <c r="K20" s="1834"/>
      <c r="L20" s="1834"/>
      <c r="M20" s="1834"/>
      <c r="N20" s="1834"/>
      <c r="O20" s="1834"/>
    </row>
    <row r="21" spans="2:16" s="7" customFormat="1" ht="45.75" customHeight="1">
      <c r="B21" s="22" t="s">
        <v>68</v>
      </c>
      <c r="C21" s="1834" t="s">
        <v>74</v>
      </c>
      <c r="D21" s="1834"/>
      <c r="E21" s="1834"/>
      <c r="F21" s="1834"/>
      <c r="G21" s="1834"/>
      <c r="H21" s="1834"/>
      <c r="I21" s="1834"/>
      <c r="J21" s="1834"/>
      <c r="K21" s="1834"/>
      <c r="L21" s="1834"/>
      <c r="M21" s="1834"/>
      <c r="N21" s="1834"/>
      <c r="O21" s="1834"/>
    </row>
    <row r="22" spans="2:16" s="7" customFormat="1" ht="78" customHeight="1">
      <c r="B22" s="16" t="s">
        <v>76</v>
      </c>
      <c r="C22" s="1834" t="s">
        <v>116</v>
      </c>
      <c r="D22" s="1834"/>
      <c r="E22" s="1834"/>
      <c r="F22" s="1834"/>
      <c r="G22" s="1834"/>
      <c r="H22" s="1834"/>
      <c r="I22" s="1834"/>
      <c r="J22" s="1834"/>
      <c r="K22" s="1834"/>
      <c r="L22" s="1834"/>
      <c r="M22" s="1834"/>
      <c r="N22" s="1834"/>
      <c r="O22" s="1834"/>
    </row>
    <row r="23" spans="2:16" s="7" customFormat="1" ht="45.75" customHeight="1">
      <c r="B23" s="16" t="s">
        <v>77</v>
      </c>
      <c r="C23" s="1836" t="s">
        <v>117</v>
      </c>
      <c r="D23" s="1836"/>
      <c r="E23" s="1836"/>
      <c r="F23" s="1836"/>
      <c r="G23" s="1836"/>
      <c r="H23" s="1836"/>
      <c r="I23" s="1836"/>
      <c r="J23" s="1836"/>
      <c r="K23" s="1836"/>
      <c r="L23" s="1836"/>
      <c r="M23" s="1836"/>
      <c r="N23" s="1836"/>
      <c r="O23" s="1836"/>
    </row>
    <row r="24" spans="2:16" s="7" customFormat="1" ht="45.75" customHeight="1">
      <c r="B24" s="16" t="s">
        <v>37</v>
      </c>
      <c r="C24" s="1834" t="s">
        <v>83</v>
      </c>
      <c r="D24" s="1834"/>
      <c r="E24" s="1834"/>
      <c r="F24" s="1834"/>
      <c r="G24" s="1834"/>
      <c r="H24" s="1834"/>
      <c r="I24" s="1834"/>
      <c r="J24" s="1834"/>
      <c r="K24" s="1834"/>
      <c r="L24" s="1834"/>
      <c r="M24" s="1834"/>
      <c r="N24" s="1834"/>
      <c r="O24" s="1834"/>
    </row>
    <row r="25" spans="2:16" s="7" customFormat="1" ht="45.75" customHeight="1">
      <c r="B25" s="16" t="s">
        <v>82</v>
      </c>
      <c r="C25" s="1834" t="s">
        <v>84</v>
      </c>
      <c r="D25" s="1834"/>
      <c r="E25" s="1834"/>
      <c r="F25" s="1834"/>
      <c r="G25" s="1834"/>
      <c r="H25" s="1834"/>
      <c r="I25" s="1834"/>
      <c r="J25" s="1834"/>
      <c r="K25" s="1834"/>
      <c r="L25" s="1834"/>
      <c r="M25" s="1834"/>
      <c r="N25" s="1834"/>
      <c r="O25" s="1834"/>
    </row>
    <row r="26" spans="2:16" s="7" customFormat="1">
      <c r="B26" s="337"/>
      <c r="C26" s="337"/>
      <c r="D26" s="337"/>
      <c r="E26" s="337"/>
      <c r="F26" s="338"/>
      <c r="G26" s="337"/>
      <c r="H26" s="337"/>
      <c r="I26" s="337"/>
      <c r="J26" s="337"/>
      <c r="K26" s="337"/>
      <c r="L26" s="337"/>
      <c r="M26" s="337"/>
      <c r="N26" s="337"/>
      <c r="O26" s="337"/>
      <c r="P26" s="337"/>
    </row>
    <row r="27" spans="2:16" s="7" customFormat="1" ht="32.25" customHeight="1">
      <c r="B27" s="1819" t="s">
        <v>63</v>
      </c>
      <c r="C27" s="1819"/>
      <c r="D27" s="1819"/>
      <c r="E27" s="1819"/>
      <c r="F27" s="1819"/>
      <c r="G27" s="1819"/>
      <c r="H27" s="1819"/>
      <c r="I27" s="1819"/>
      <c r="J27" s="1819"/>
      <c r="K27" s="1819"/>
      <c r="L27" s="1819"/>
      <c r="M27" s="1819"/>
      <c r="N27" s="1819"/>
      <c r="O27" s="1819"/>
      <c r="P27" s="337"/>
    </row>
    <row r="28" spans="2:16" s="7" customFormat="1" ht="7.5" customHeight="1">
      <c r="B28" s="337"/>
      <c r="C28" s="337"/>
      <c r="D28" s="337"/>
      <c r="E28" s="337"/>
      <c r="F28" s="338"/>
      <c r="G28" s="337"/>
      <c r="H28" s="337"/>
      <c r="I28" s="337"/>
      <c r="J28" s="337"/>
      <c r="K28" s="337"/>
      <c r="L28" s="337"/>
      <c r="M28" s="337"/>
      <c r="N28" s="337"/>
      <c r="O28" s="337"/>
      <c r="P28" s="337"/>
    </row>
    <row r="29" spans="2:16" s="7" customFormat="1" ht="22.5" customHeight="1">
      <c r="B29" s="332" t="s">
        <v>32</v>
      </c>
      <c r="C29" s="1835" t="s">
        <v>33</v>
      </c>
      <c r="D29" s="1835"/>
      <c r="E29" s="1835"/>
      <c r="F29" s="1835"/>
      <c r="G29" s="1835"/>
      <c r="H29" s="1835"/>
      <c r="I29" s="1835"/>
      <c r="J29" s="1835"/>
      <c r="K29" s="1835"/>
      <c r="L29" s="1835"/>
      <c r="M29" s="1835"/>
      <c r="N29" s="1835"/>
      <c r="O29" s="1835"/>
      <c r="P29" s="337"/>
    </row>
    <row r="30" spans="2:16" s="7" customFormat="1" ht="45.75" customHeight="1">
      <c r="B30" s="22" t="s">
        <v>45</v>
      </c>
      <c r="C30" s="1834" t="s">
        <v>100</v>
      </c>
      <c r="D30" s="1834"/>
      <c r="E30" s="1834"/>
      <c r="F30" s="1834"/>
      <c r="G30" s="1834"/>
      <c r="H30" s="1834"/>
      <c r="I30" s="1834"/>
      <c r="J30" s="1834"/>
      <c r="K30" s="1834"/>
      <c r="L30" s="1834"/>
      <c r="M30" s="1834"/>
      <c r="N30" s="1834"/>
      <c r="O30" s="1834"/>
    </row>
    <row r="31" spans="2:16" s="7" customFormat="1" ht="45.75" customHeight="1">
      <c r="B31" s="22" t="s">
        <v>34</v>
      </c>
      <c r="C31" s="1834" t="s">
        <v>85</v>
      </c>
      <c r="D31" s="1834"/>
      <c r="E31" s="1834"/>
      <c r="F31" s="1834"/>
      <c r="G31" s="1834"/>
      <c r="H31" s="1834"/>
      <c r="I31" s="1834"/>
      <c r="J31" s="1834"/>
      <c r="K31" s="1834"/>
      <c r="L31" s="1834"/>
      <c r="M31" s="1834"/>
      <c r="N31" s="1834"/>
      <c r="O31" s="1834"/>
    </row>
    <row r="32" spans="2:16" s="7" customFormat="1" ht="45.75" customHeight="1">
      <c r="B32" s="23" t="s">
        <v>101</v>
      </c>
      <c r="C32" s="1834" t="s">
        <v>102</v>
      </c>
      <c r="D32" s="1834"/>
      <c r="E32" s="1834"/>
      <c r="F32" s="1834"/>
      <c r="G32" s="1834"/>
      <c r="H32" s="1834"/>
      <c r="I32" s="1834"/>
      <c r="J32" s="1834"/>
      <c r="K32" s="1834"/>
      <c r="L32" s="1834"/>
      <c r="M32" s="1834"/>
      <c r="N32" s="1834"/>
      <c r="O32" s="1834"/>
    </row>
    <row r="33" spans="2:15" s="7" customFormat="1" ht="45.75" customHeight="1">
      <c r="B33" s="22" t="s">
        <v>690</v>
      </c>
      <c r="C33" s="1834" t="s">
        <v>693</v>
      </c>
      <c r="D33" s="1834"/>
      <c r="E33" s="1834"/>
      <c r="F33" s="1834"/>
      <c r="G33" s="1834"/>
      <c r="H33" s="1834"/>
      <c r="I33" s="1834"/>
      <c r="J33" s="1834"/>
      <c r="K33" s="1834"/>
      <c r="L33" s="1834"/>
      <c r="M33" s="1834"/>
      <c r="N33" s="1834"/>
      <c r="O33" s="1834"/>
    </row>
    <row r="34" spans="2:15" s="7" customFormat="1" ht="45.75" customHeight="1">
      <c r="B34" s="22" t="s">
        <v>694</v>
      </c>
      <c r="C34" s="1834" t="s">
        <v>695</v>
      </c>
      <c r="D34" s="1834"/>
      <c r="E34" s="1834"/>
      <c r="F34" s="1834"/>
      <c r="G34" s="1834"/>
      <c r="H34" s="1834"/>
      <c r="I34" s="1834"/>
      <c r="J34" s="1834"/>
      <c r="K34" s="1834"/>
      <c r="L34" s="1834"/>
      <c r="M34" s="1834"/>
      <c r="N34" s="1834"/>
      <c r="O34" s="1834"/>
    </row>
    <row r="35" spans="2:15" s="7" customFormat="1" ht="144" customHeight="1">
      <c r="B35" s="24" t="s">
        <v>696</v>
      </c>
      <c r="C35" s="1834" t="s">
        <v>103</v>
      </c>
      <c r="D35" s="1834"/>
      <c r="E35" s="1834"/>
      <c r="F35" s="1834"/>
      <c r="G35" s="1834"/>
      <c r="H35" s="1834"/>
      <c r="I35" s="1834"/>
      <c r="J35" s="1834"/>
      <c r="K35" s="1834"/>
      <c r="L35" s="1834"/>
      <c r="M35" s="1834"/>
      <c r="N35" s="1834"/>
      <c r="O35" s="1834"/>
    </row>
    <row r="36" spans="2:15" s="7" customFormat="1" ht="45.75" customHeight="1">
      <c r="B36" s="21" t="s">
        <v>104</v>
      </c>
      <c r="C36" s="1834" t="s">
        <v>105</v>
      </c>
      <c r="D36" s="1834"/>
      <c r="E36" s="1834"/>
      <c r="F36" s="1834"/>
      <c r="G36" s="1834"/>
      <c r="H36" s="1834"/>
      <c r="I36" s="1834"/>
      <c r="J36" s="1834"/>
      <c r="K36" s="1834"/>
      <c r="L36" s="1834"/>
      <c r="M36" s="1834"/>
      <c r="N36" s="1834"/>
      <c r="O36" s="1834"/>
    </row>
    <row r="37" spans="2:15" s="7" customFormat="1" ht="45.75" customHeight="1">
      <c r="B37" s="22" t="s">
        <v>36</v>
      </c>
      <c r="C37" s="1834" t="s">
        <v>106</v>
      </c>
      <c r="D37" s="1834"/>
      <c r="E37" s="1834"/>
      <c r="F37" s="1834"/>
      <c r="G37" s="1834"/>
      <c r="H37" s="1834"/>
      <c r="I37" s="1834"/>
      <c r="J37" s="1834"/>
      <c r="K37" s="1834"/>
      <c r="L37" s="1834"/>
      <c r="M37" s="1834"/>
      <c r="N37" s="1834"/>
      <c r="O37" s="1834"/>
    </row>
    <row r="38" spans="2:15" s="7" customFormat="1" ht="45.75" customHeight="1">
      <c r="B38" s="16" t="s">
        <v>35</v>
      </c>
      <c r="C38" s="1834" t="s">
        <v>107</v>
      </c>
      <c r="D38" s="1834"/>
      <c r="E38" s="1834"/>
      <c r="F38" s="1834"/>
      <c r="G38" s="1834"/>
      <c r="H38" s="1834"/>
      <c r="I38" s="1834"/>
      <c r="J38" s="1834"/>
      <c r="K38" s="1834"/>
      <c r="L38" s="1834"/>
      <c r="M38" s="1834"/>
      <c r="N38" s="1834"/>
      <c r="O38" s="1834"/>
    </row>
    <row r="39" spans="2:15" s="7" customFormat="1" ht="45.75" customHeight="1">
      <c r="B39" s="21" t="s">
        <v>111</v>
      </c>
      <c r="C39" s="1834" t="s">
        <v>108</v>
      </c>
      <c r="D39" s="1834"/>
      <c r="E39" s="1834"/>
      <c r="F39" s="1834"/>
      <c r="G39" s="1834"/>
      <c r="H39" s="1834"/>
      <c r="I39" s="1834"/>
      <c r="J39" s="1834"/>
      <c r="K39" s="1834"/>
      <c r="L39" s="1834"/>
      <c r="M39" s="1834"/>
      <c r="N39" s="1834"/>
      <c r="O39" s="1834"/>
    </row>
    <row r="40" spans="2:15" s="7" customFormat="1" ht="45.75" customHeight="1">
      <c r="B40" s="16" t="s">
        <v>110</v>
      </c>
      <c r="C40" s="1834" t="s">
        <v>109</v>
      </c>
      <c r="D40" s="1834"/>
      <c r="E40" s="1834"/>
      <c r="F40" s="1834"/>
      <c r="G40" s="1834"/>
      <c r="H40" s="1834"/>
      <c r="I40" s="1834"/>
      <c r="J40" s="1834"/>
      <c r="K40" s="1834"/>
      <c r="L40" s="1834"/>
      <c r="M40" s="1834"/>
      <c r="N40" s="1834"/>
      <c r="O40" s="1834"/>
    </row>
    <row r="41" spans="2:15" s="7" customFormat="1" ht="108.75" customHeight="1">
      <c r="B41" s="16" t="s">
        <v>113</v>
      </c>
      <c r="C41" s="1834" t="s">
        <v>114</v>
      </c>
      <c r="D41" s="1834"/>
      <c r="E41" s="1834"/>
      <c r="F41" s="1834"/>
      <c r="G41" s="1834"/>
      <c r="H41" s="1834"/>
      <c r="I41" s="1834"/>
      <c r="J41" s="1834"/>
      <c r="K41" s="1834"/>
      <c r="L41" s="1834"/>
      <c r="M41" s="1834"/>
      <c r="N41" s="1834"/>
      <c r="O41" s="1834"/>
    </row>
    <row r="42" spans="2:15" s="7" customFormat="1" ht="45.75" customHeight="1">
      <c r="B42" s="21" t="s">
        <v>115</v>
      </c>
      <c r="C42" s="1836" t="s">
        <v>125</v>
      </c>
      <c r="D42" s="1836"/>
      <c r="E42" s="1836"/>
      <c r="F42" s="1836"/>
      <c r="G42" s="1836"/>
      <c r="H42" s="1836"/>
      <c r="I42" s="1836"/>
      <c r="J42" s="1836"/>
      <c r="K42" s="1836"/>
      <c r="L42" s="1836"/>
      <c r="M42" s="1836"/>
      <c r="N42" s="1836"/>
      <c r="O42" s="1836"/>
    </row>
    <row r="43" spans="2:15" s="7" customFormat="1" ht="45.75" customHeight="1">
      <c r="B43" s="16" t="s">
        <v>697</v>
      </c>
      <c r="C43" s="1836" t="s">
        <v>126</v>
      </c>
      <c r="D43" s="1836"/>
      <c r="E43" s="1836"/>
      <c r="F43" s="1836"/>
      <c r="G43" s="1836"/>
      <c r="H43" s="1836"/>
      <c r="I43" s="1836"/>
      <c r="J43" s="1836"/>
      <c r="K43" s="1836"/>
      <c r="L43" s="1836"/>
      <c r="M43" s="1836"/>
      <c r="N43" s="1836"/>
      <c r="O43" s="1836"/>
    </row>
    <row r="44" spans="2:15" s="7" customFormat="1" ht="75" customHeight="1">
      <c r="B44" s="16" t="s">
        <v>683</v>
      </c>
      <c r="C44" s="1836" t="s">
        <v>698</v>
      </c>
      <c r="D44" s="1836"/>
      <c r="E44" s="1836"/>
      <c r="F44" s="1836"/>
      <c r="G44" s="1836"/>
      <c r="H44" s="1836"/>
      <c r="I44" s="1836"/>
      <c r="J44" s="1836"/>
      <c r="K44" s="1836"/>
      <c r="L44" s="1836"/>
      <c r="M44" s="1836"/>
      <c r="N44" s="1836"/>
      <c r="O44" s="1836"/>
    </row>
    <row r="45" spans="2:15" s="7" customFormat="1" ht="64.150000000000006" customHeight="1">
      <c r="B45" s="16" t="s">
        <v>699</v>
      </c>
      <c r="C45" s="1836" t="s">
        <v>700</v>
      </c>
      <c r="D45" s="1836"/>
      <c r="E45" s="1836"/>
      <c r="F45" s="1836"/>
      <c r="G45" s="1836"/>
      <c r="H45" s="1836"/>
      <c r="I45" s="1836"/>
      <c r="J45" s="1836"/>
      <c r="K45" s="1836"/>
      <c r="L45" s="1836"/>
      <c r="M45" s="1836"/>
      <c r="N45" s="1836"/>
      <c r="O45" s="1836"/>
    </row>
    <row r="46" spans="2:15" s="7" customFormat="1" ht="45.75" customHeight="1">
      <c r="B46" s="16" t="s">
        <v>37</v>
      </c>
      <c r="C46" s="1834" t="s">
        <v>127</v>
      </c>
      <c r="D46" s="1834"/>
      <c r="E46" s="1834"/>
      <c r="F46" s="1834"/>
      <c r="G46" s="1834"/>
      <c r="H46" s="1834"/>
      <c r="I46" s="1834"/>
      <c r="J46" s="1834"/>
      <c r="K46" s="1834"/>
      <c r="L46" s="1834"/>
      <c r="M46" s="1834"/>
      <c r="N46" s="1834"/>
      <c r="O46" s="1834"/>
    </row>
    <row r="47" spans="2:15" s="7" customFormat="1" ht="45.75" customHeight="1">
      <c r="B47" s="16" t="s">
        <v>82</v>
      </c>
      <c r="C47" s="1834" t="s">
        <v>128</v>
      </c>
      <c r="D47" s="1834"/>
      <c r="E47" s="1834"/>
      <c r="F47" s="1834"/>
      <c r="G47" s="1834"/>
      <c r="H47" s="1834"/>
      <c r="I47" s="1834"/>
      <c r="J47" s="1834"/>
      <c r="K47" s="1834"/>
      <c r="L47" s="1834"/>
      <c r="M47" s="1834"/>
      <c r="N47" s="1834"/>
      <c r="O47" s="1834"/>
    </row>
    <row r="48" spans="2:15" s="7" customFormat="1" ht="45" customHeight="1">
      <c r="B48" s="16" t="s">
        <v>50</v>
      </c>
      <c r="C48" s="1834" t="s">
        <v>38</v>
      </c>
      <c r="D48" s="1834"/>
      <c r="E48" s="1834"/>
      <c r="F48" s="1834"/>
      <c r="G48" s="1834"/>
      <c r="H48" s="1834"/>
      <c r="I48" s="1834"/>
      <c r="J48" s="1834"/>
      <c r="K48" s="1834"/>
      <c r="L48" s="1834"/>
      <c r="M48" s="1834"/>
      <c r="N48" s="1834"/>
      <c r="O48" s="1834"/>
    </row>
    <row r="50" spans="2:15" ht="34.15" customHeight="1">
      <c r="B50" s="1837" t="s">
        <v>922</v>
      </c>
      <c r="C50" s="1837"/>
      <c r="D50" s="1837"/>
      <c r="E50" s="1837"/>
      <c r="F50" s="1837"/>
      <c r="G50" s="1837"/>
      <c r="H50" s="1837"/>
      <c r="I50" s="1837"/>
      <c r="J50" s="1837"/>
      <c r="K50" s="1837"/>
      <c r="L50" s="1837"/>
      <c r="M50" s="1837"/>
      <c r="N50" s="1837"/>
      <c r="O50" s="1837"/>
    </row>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row r="68" ht="12.75" customHeight="1"/>
  </sheetData>
  <sheetProtection algorithmName="SHA-512" hashValue="Hr4bdyFraZfnT2YrvI8WvJi0ZhA0jg89lzQJ2JY3y+5av9M/CKtCls+j1UJJFq74Nx4CF38DW0tWlN6kekM6XA==" saltValue="Qiof59kNb8aIBPNtejzqPQ==" spinCount="100000" sheet="1" objects="1" scenarios="1"/>
  <mergeCells count="43">
    <mergeCell ref="B50:O50"/>
    <mergeCell ref="C48:O48"/>
    <mergeCell ref="C35:O35"/>
    <mergeCell ref="C36:O36"/>
    <mergeCell ref="C37:O37"/>
    <mergeCell ref="C45:O45"/>
    <mergeCell ref="C46:O46"/>
    <mergeCell ref="C47:O47"/>
    <mergeCell ref="C34:O34"/>
    <mergeCell ref="C33:O33"/>
    <mergeCell ref="C43:O43"/>
    <mergeCell ref="C44:O44"/>
    <mergeCell ref="C38:O38"/>
    <mergeCell ref="C39:O39"/>
    <mergeCell ref="C40:O40"/>
    <mergeCell ref="C41:O41"/>
    <mergeCell ref="C42:O42"/>
    <mergeCell ref="C12:O12"/>
    <mergeCell ref="C13:O13"/>
    <mergeCell ref="C14:O14"/>
    <mergeCell ref="C15:O15"/>
    <mergeCell ref="C21:O21"/>
    <mergeCell ref="C16:O16"/>
    <mergeCell ref="C18:O18"/>
    <mergeCell ref="C17:O17"/>
    <mergeCell ref="C19:O19"/>
    <mergeCell ref="C20:O20"/>
    <mergeCell ref="C22:O22"/>
    <mergeCell ref="C25:O25"/>
    <mergeCell ref="C29:O29"/>
    <mergeCell ref="C31:O31"/>
    <mergeCell ref="C32:O32"/>
    <mergeCell ref="C23:O23"/>
    <mergeCell ref="C24:O24"/>
    <mergeCell ref="C30:O30"/>
    <mergeCell ref="B27:O27"/>
    <mergeCell ref="B10:O10"/>
    <mergeCell ref="B2:B6"/>
    <mergeCell ref="C2:M6"/>
    <mergeCell ref="N2:O2"/>
    <mergeCell ref="N5:O5"/>
    <mergeCell ref="N6:O6"/>
    <mergeCell ref="B8:O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2</vt:i4>
      </vt:variant>
    </vt:vector>
  </HeadingPairs>
  <TitlesOfParts>
    <vt:vector size="41" baseType="lpstr">
      <vt:lpstr>01-PL-09 POA 2021 (Pág 1 de 2)</vt:lpstr>
      <vt:lpstr>01-PL-09 POA 2021 (Pág 2 de 2)</vt:lpstr>
      <vt:lpstr>Rango indicadores</vt:lpstr>
      <vt:lpstr>Listas1</vt:lpstr>
      <vt:lpstr>4-Grado Cum Objetivos Est &amp; Cal</vt:lpstr>
      <vt:lpstr>3-Grado Cump Metas Estratégicas</vt:lpstr>
      <vt:lpstr>2- Resumen Ejec PEI 2022</vt:lpstr>
      <vt:lpstr>1-Infor Det Sgto PEI 2021-2024 </vt:lpstr>
      <vt:lpstr>Matriz PEI 2021-2024</vt:lpstr>
      <vt:lpstr>INSTRUCCIONES DILG (Pág 2 de 2)</vt:lpstr>
      <vt:lpstr>4.Segto Medición POA 2022 T4</vt:lpstr>
      <vt:lpstr>3.Resum Desemp Procesos POA T4 </vt:lpstr>
      <vt:lpstr>01-FR-03 POA INSTITUCIONAL</vt:lpstr>
      <vt:lpstr>4.Segto Medición POA 2022 T2</vt:lpstr>
      <vt:lpstr>3.Resum Desemp Procesos POA T2</vt:lpstr>
      <vt:lpstr>4.Segto Medición POA 2022 T3</vt:lpstr>
      <vt:lpstr>3.Resum Desemp Procesos POA T3</vt:lpstr>
      <vt:lpstr>2.Infor Detallado Desempeño POA</vt:lpstr>
      <vt:lpstr>1.Informe Seguimiento POA 2022</vt:lpstr>
      <vt:lpstr>4.Segto Medición POA 2022 T1</vt:lpstr>
      <vt:lpstr>3.Resum Desemp Procesos POA T1</vt:lpstr>
      <vt:lpstr>LISTAS</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'01-PL-09 POA 2021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2022-10-24T16:09:53Z</dcterms:modified>
</cp:coreProperties>
</file>