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3\Seg_Trim_2_2023\Publicación\"/>
    </mc:Choice>
  </mc:AlternateContent>
  <xr:revisionPtr revIDLastSave="0" documentId="13_ncr:1_{BA95AB89-1EDB-4AB3-A6FA-D5DB47477C2F}" xr6:coauthVersionLast="41" xr6:coauthVersionMax="41" xr10:uidLastSave="{00000000-0000-0000-0000-000000000000}"/>
  <workbookProtection workbookAlgorithmName="SHA-512" workbookHashValue="MVH0C4R84+DUw2EWq+4mpKQZBO0QC3veBa5uOmOf/uL7lHxHQX7tr6HCnxwMmYOW1zeeiyZmjHhPfgTqSsYPdA==" workbookSaltValue="n2kjVJU55mJNabZGjFrpMQ==" workbookSpinCount="100000" lockStructure="1"/>
  <bookViews>
    <workbookView xWindow="-108" yWindow="-108" windowWidth="23256" windowHeight="12576" firstSheet="17" activeTab="17" xr2:uid="{00000000-000D-0000-FFFF-FFFF00000000}"/>
  </bookViews>
  <sheets>
    <sheet name="Rango indicadores" sheetId="59" state="hidden" r:id="rId1"/>
    <sheet name="Listas1" sheetId="61" state="hidden" r:id="rId2"/>
    <sheet name="4-Grado Cum Objetivos Est &amp; Cal" sheetId="70" state="hidden" r:id="rId3"/>
    <sheet name="3-Grado Cump Metas Estratégicas" sheetId="67" state="hidden" r:id="rId4"/>
    <sheet name="2- Resumen Ejec PEI 2023" sheetId="69" state="hidden" r:id="rId5"/>
    <sheet name="1-Infor Det Sgto PEI 2021-2024 " sheetId="64" state="hidden" r:id="rId6"/>
    <sheet name="Matriz PEI 2021-2024" sheetId="66" state="hidden" r:id="rId7"/>
    <sheet name="INSTRUCCIONES DILG (Pág 2 de 2)" sheetId="71" state="hidden" r:id="rId8"/>
    <sheet name="4.Segto Medición POA 2023 T2" sheetId="76" r:id="rId9"/>
    <sheet name="3.Resum Desemp Procesos POA T2" sheetId="72" r:id="rId10"/>
    <sheet name="4.Segto Medición POA 2022 T3" sheetId="77" state="hidden" r:id="rId11"/>
    <sheet name="4.Segto Medición POA 2022 T4" sheetId="63" state="hidden" r:id="rId12"/>
    <sheet name="3.Resum Desemp Procesos POA T4 " sheetId="74" state="hidden" r:id="rId13"/>
    <sheet name="3.Resum Desemp Procesos POA T3" sheetId="73" state="hidden" r:id="rId14"/>
    <sheet name="4.Segto Medición POA 2022 T1" sheetId="75" state="hidden" r:id="rId15"/>
    <sheet name="3.Resum Desemp Procesos POA T1" sheetId="62" state="hidden" r:id="rId16"/>
    <sheet name="LISTAS" sheetId="40" state="hidden" r:id="rId17"/>
    <sheet name="2.Infor Detallado Desempeño POA" sheetId="60" r:id="rId18"/>
    <sheet name="1.Informe Seguimiento POA 2023" sheetId="58" r:id="rId19"/>
    <sheet name="01-FR-03 POA INSTITUCIONAL" sheetId="38" r:id="rId20"/>
    <sheet name="01-DIRECCIONAMIENTO ESTRATÉGICO" sheetId="37" r:id="rId21"/>
    <sheet name="02-G. CONOCIMIENTO INNOVACIÓN" sheetId="45" r:id="rId22"/>
    <sheet name="03-DIRECCIONAMIENTO TIC" sheetId="44" r:id="rId23"/>
    <sheet name="04-COMUNICACIÓN ESTRATÉGICA" sheetId="56" r:id="rId24"/>
    <sheet name="05-POA PROM DEFENSA DERECHOS" sheetId="41" r:id="rId25"/>
    <sheet name="06-PREV CTRL FUN PÚBLICA" sheetId="42" r:id="rId26"/>
    <sheet name="07-POTESTAD DISCIPLINARIA" sheetId="43" r:id="rId27"/>
    <sheet name="08-G. DEL TALENTO HUMANO" sheetId="47" r:id="rId28"/>
    <sheet name="09-G.  ADMINISTRATIVA" sheetId="48" r:id="rId29"/>
    <sheet name="10-GESTIÓN FINANCIERA" sheetId="51" r:id="rId30"/>
    <sheet name="11-GESTIÓN CONTRACTUAL" sheetId="50" r:id="rId31"/>
    <sheet name="12-GESTIÓN DOCUMENTAL" sheetId="52" r:id="rId32"/>
    <sheet name="13-GESTIÓN JURÍDICA" sheetId="53" r:id="rId33"/>
    <sheet name="14-SERVICIO AL USUARIO" sheetId="46" r:id="rId34"/>
    <sheet name="15-CTRL DISCIPLINARIO INTERNO" sheetId="54" r:id="rId35"/>
    <sheet name="16-EVALUACIÓN Y SEGUIMIENTO" sheetId="55" r:id="rId36"/>
    <sheet name="Instrucciones Dil (Pág 3 de 3)" sheetId="39" r:id="rId37"/>
  </sheets>
  <externalReferences>
    <externalReference r:id="rId38"/>
    <externalReference r:id="rId39"/>
    <externalReference r:id="rId40"/>
    <externalReference r:id="rId41"/>
    <externalReference r:id="rId42"/>
    <externalReference r:id="rId43"/>
    <externalReference r:id="rId44"/>
  </externalReferences>
  <definedNames>
    <definedName name="_xlnm.Print_Area" localSheetId="24">'05-POA PROM DEFENSA DERECHOS'!$A$1:$BH$49</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76" l="1"/>
  <c r="U171" i="60" l="1"/>
  <c r="T171" i="60"/>
  <c r="R170" i="60"/>
  <c r="U163" i="60"/>
  <c r="T163" i="60"/>
  <c r="R162" i="60"/>
  <c r="U153" i="60"/>
  <c r="T153" i="60"/>
  <c r="R152" i="60"/>
  <c r="U144" i="60"/>
  <c r="T144" i="60"/>
  <c r="R143" i="60"/>
  <c r="U135" i="60"/>
  <c r="T135" i="60"/>
  <c r="R134" i="60"/>
  <c r="U127" i="60"/>
  <c r="T127" i="60"/>
  <c r="R126" i="60"/>
  <c r="U120" i="60"/>
  <c r="T120" i="60"/>
  <c r="R119" i="60"/>
  <c r="U107" i="60"/>
  <c r="T107" i="60"/>
  <c r="R106" i="60"/>
  <c r="U94" i="60"/>
  <c r="T94" i="60"/>
  <c r="R93" i="60"/>
  <c r="U82" i="60"/>
  <c r="T82" i="60"/>
  <c r="R81" i="60"/>
  <c r="U57" i="60"/>
  <c r="T57" i="60"/>
  <c r="R56" i="60"/>
  <c r="U49" i="60"/>
  <c r="T49" i="60"/>
  <c r="R48" i="60"/>
  <c r="U42" i="60"/>
  <c r="T42" i="60"/>
  <c r="R41" i="60"/>
  <c r="U30" i="60"/>
  <c r="T30" i="60"/>
  <c r="R29" i="60"/>
  <c r="U21" i="60"/>
  <c r="T21" i="60"/>
  <c r="R20" i="60"/>
  <c r="P171" i="60"/>
  <c r="P163" i="60"/>
  <c r="P153" i="60"/>
  <c r="P144" i="60"/>
  <c r="P135" i="60"/>
  <c r="P127" i="60"/>
  <c r="P120" i="60"/>
  <c r="P107" i="60"/>
  <c r="P94" i="60"/>
  <c r="P82" i="60"/>
  <c r="P57" i="60"/>
  <c r="P49" i="60"/>
  <c r="P42" i="60"/>
  <c r="P30" i="60"/>
  <c r="P21" i="60"/>
  <c r="U12" i="60"/>
  <c r="R11" i="60"/>
  <c r="P12" i="60"/>
  <c r="AY96" i="60"/>
  <c r="AY97" i="60"/>
  <c r="AY98" i="60"/>
  <c r="AY99" i="60"/>
  <c r="AY100" i="60"/>
  <c r="AY101" i="60"/>
  <c r="AY102" i="60"/>
  <c r="AY95" i="60"/>
  <c r="V50" i="60" l="1"/>
  <c r="V53" i="60" s="1"/>
  <c r="Y99" i="58"/>
  <c r="Z99" i="58"/>
  <c r="Y97" i="58"/>
  <c r="Z97" i="58"/>
  <c r="Y98" i="58"/>
  <c r="Z98" i="58"/>
  <c r="Z96" i="58"/>
  <c r="Y96" i="58"/>
  <c r="Y94" i="58"/>
  <c r="Z94" i="58"/>
  <c r="Z93" i="58"/>
  <c r="Y93" i="58"/>
  <c r="Y91" i="58"/>
  <c r="Z91" i="58"/>
  <c r="Y92" i="58"/>
  <c r="Z92" i="58"/>
  <c r="Z90" i="58"/>
  <c r="Y90" i="58"/>
  <c r="Y88" i="58"/>
  <c r="Z88" i="58"/>
  <c r="Y89" i="58"/>
  <c r="Z89" i="58"/>
  <c r="Z87" i="58"/>
  <c r="Y87" i="58"/>
  <c r="Y85" i="58"/>
  <c r="Z85" i="58"/>
  <c r="Y86" i="58"/>
  <c r="Z86" i="58"/>
  <c r="Z84" i="58"/>
  <c r="Y84" i="58"/>
  <c r="Y82" i="58"/>
  <c r="Z82" i="58"/>
  <c r="Y83" i="58"/>
  <c r="Z83" i="58"/>
  <c r="Y80" i="58"/>
  <c r="Z80" i="58"/>
  <c r="Y81" i="58"/>
  <c r="Z81" i="58"/>
  <c r="Z79" i="58"/>
  <c r="Y79" i="58"/>
  <c r="Y77" i="58"/>
  <c r="Z77" i="58"/>
  <c r="Y78" i="58"/>
  <c r="Z78" i="58"/>
  <c r="Y76" i="58"/>
  <c r="Z76" i="58"/>
  <c r="Z75" i="58"/>
  <c r="Y75" i="58"/>
  <c r="Z74" i="58"/>
  <c r="Y74" i="58"/>
  <c r="Z73" i="58"/>
  <c r="Y73" i="58"/>
  <c r="Z72" i="58"/>
  <c r="Y72" i="58"/>
  <c r="Z71" i="58"/>
  <c r="Y71" i="58"/>
  <c r="Z70" i="58"/>
  <c r="Y70" i="58"/>
  <c r="Y69" i="58"/>
  <c r="Z69" i="58"/>
  <c r="Z68" i="58"/>
  <c r="Z66" i="58"/>
  <c r="Z67" i="58"/>
  <c r="Z64" i="58"/>
  <c r="Z65" i="58"/>
  <c r="Z62" i="58"/>
  <c r="Z63" i="58"/>
  <c r="Y67" i="58"/>
  <c r="Y68" i="58"/>
  <c r="Y64" i="58"/>
  <c r="Y65" i="58"/>
  <c r="Y66" i="58"/>
  <c r="Y62" i="58"/>
  <c r="Y63" i="58"/>
  <c r="Z61" i="58"/>
  <c r="Y61" i="58"/>
  <c r="Z95" i="58"/>
  <c r="Y95" i="58"/>
  <c r="Z60" i="58"/>
  <c r="Y60" i="58"/>
  <c r="AZ16" i="46"/>
  <c r="AY16" i="46"/>
  <c r="Z59" i="58"/>
  <c r="Y59" i="58"/>
  <c r="Y56" i="58"/>
  <c r="Z56" i="58"/>
  <c r="Y57" i="58"/>
  <c r="Z57" i="58"/>
  <c r="Y58" i="58"/>
  <c r="Z58" i="58"/>
  <c r="Z55" i="58"/>
  <c r="Y55" i="58"/>
  <c r="Y54" i="58"/>
  <c r="Z54" i="58"/>
  <c r="Y52" i="58"/>
  <c r="Z52" i="58"/>
  <c r="Y53" i="58"/>
  <c r="Z53" i="58"/>
  <c r="Y51" i="58"/>
  <c r="Z51" i="58"/>
  <c r="Y50" i="58"/>
  <c r="Z50" i="58"/>
  <c r="Z49" i="58"/>
  <c r="Y48" i="58"/>
  <c r="Z39" i="58"/>
  <c r="Z36" i="58"/>
  <c r="Z37" i="58"/>
  <c r="Z38" i="58"/>
  <c r="Z34" i="58"/>
  <c r="Z35" i="58"/>
  <c r="Z33" i="58"/>
  <c r="Z30" i="58"/>
  <c r="Z31" i="58"/>
  <c r="Z32" i="58"/>
  <c r="Z27" i="58"/>
  <c r="Z28" i="58"/>
  <c r="Z29" i="58"/>
  <c r="Z24" i="58"/>
  <c r="Z25" i="58"/>
  <c r="Z26" i="58"/>
  <c r="Z21" i="58"/>
  <c r="Z22" i="58"/>
  <c r="Z23" i="58"/>
  <c r="Z19" i="58"/>
  <c r="Z20" i="58"/>
  <c r="Z16" i="58"/>
  <c r="Z17" i="58"/>
  <c r="Z18" i="58"/>
  <c r="Z14" i="58"/>
  <c r="Z15" i="58"/>
  <c r="Z13" i="58"/>
  <c r="Z45" i="58"/>
  <c r="Z46" i="58"/>
  <c r="Z47" i="58"/>
  <c r="Z43" i="58"/>
  <c r="Z44" i="58"/>
  <c r="Z41" i="58"/>
  <c r="Z42" i="58"/>
  <c r="Z40" i="58"/>
  <c r="Y41" i="58"/>
  <c r="Y42" i="58"/>
  <c r="Y43" i="58"/>
  <c r="Y44" i="58"/>
  <c r="Y45" i="58"/>
  <c r="Y46" i="58"/>
  <c r="Y47" i="58"/>
  <c r="Y40" i="58"/>
  <c r="Y38" i="58" l="1"/>
  <c r="Y39" i="58"/>
  <c r="Y35" i="58"/>
  <c r="Y36" i="58"/>
  <c r="Y37" i="58"/>
  <c r="Y34" i="58"/>
  <c r="Y33" i="58"/>
  <c r="Y32" i="58"/>
  <c r="Y29" i="58"/>
  <c r="Y30" i="58"/>
  <c r="Y31" i="58"/>
  <c r="Y26" i="58"/>
  <c r="Y27" i="58"/>
  <c r="Y28" i="58"/>
  <c r="Y25" i="58"/>
  <c r="Y23" i="58"/>
  <c r="Y24" i="58"/>
  <c r="Y19" i="58"/>
  <c r="Y20" i="58"/>
  <c r="Y21" i="58"/>
  <c r="Y22" i="58"/>
  <c r="Y17" i="58"/>
  <c r="Y18" i="58"/>
  <c r="Y16" i="58"/>
  <c r="Y15" i="58"/>
  <c r="Y14" i="58"/>
  <c r="Y13" i="58"/>
  <c r="X41" i="58"/>
  <c r="X40" i="58"/>
  <c r="BF22" i="41"/>
  <c r="C4" i="69" l="1"/>
  <c r="W85" i="58" l="1"/>
  <c r="W84" i="58"/>
  <c r="AR19" i="64" l="1"/>
  <c r="AT19" i="64"/>
  <c r="BB24" i="43" l="1"/>
  <c r="BC24" i="43"/>
  <c r="BD24" i="43"/>
  <c r="BA24" i="43"/>
  <c r="N171" i="60" l="1"/>
  <c r="N163" i="60"/>
  <c r="N153" i="60"/>
  <c r="N144" i="60"/>
  <c r="N135" i="60"/>
  <c r="N127" i="60"/>
  <c r="N120" i="60"/>
  <c r="N107" i="60"/>
  <c r="N94" i="60"/>
  <c r="N82" i="60"/>
  <c r="N57" i="60"/>
  <c r="N49" i="60"/>
  <c r="N42" i="60"/>
  <c r="N30" i="60"/>
  <c r="N21" i="60"/>
  <c r="N12" i="60"/>
  <c r="X99" i="58" l="1"/>
  <c r="X98" i="58"/>
  <c r="X97" i="58"/>
  <c r="X96" i="58"/>
  <c r="X95" i="58"/>
  <c r="X94" i="58"/>
  <c r="X93" i="58"/>
  <c r="X92" i="58"/>
  <c r="X91" i="58"/>
  <c r="X90" i="58"/>
  <c r="X89" i="58"/>
  <c r="X88" i="58"/>
  <c r="X87" i="58"/>
  <c r="X86" i="58"/>
  <c r="X85" i="58"/>
  <c r="X84" i="58"/>
  <c r="X83" i="58"/>
  <c r="X82" i="58"/>
  <c r="X81" i="58"/>
  <c r="X80" i="58"/>
  <c r="X79" i="58"/>
  <c r="X78" i="58"/>
  <c r="X77" i="58"/>
  <c r="X76" i="58"/>
  <c r="X75" i="58"/>
  <c r="X74" i="58"/>
  <c r="X73" i="58"/>
  <c r="X72" i="58"/>
  <c r="X71" i="58"/>
  <c r="X70" i="58"/>
  <c r="X69" i="58"/>
  <c r="X68" i="58"/>
  <c r="X67" i="58"/>
  <c r="X66" i="58"/>
  <c r="X65" i="58"/>
  <c r="X64" i="58"/>
  <c r="X63" i="58"/>
  <c r="X62" i="58"/>
  <c r="X61" i="58"/>
  <c r="X60" i="58"/>
  <c r="X59" i="58"/>
  <c r="X58" i="58"/>
  <c r="X57" i="58"/>
  <c r="X56" i="58"/>
  <c r="X55" i="58"/>
  <c r="X54" i="58"/>
  <c r="X53" i="58"/>
  <c r="X52" i="58"/>
  <c r="X51" i="58"/>
  <c r="X50" i="58"/>
  <c r="X49" i="58"/>
  <c r="X48" i="58"/>
  <c r="X47" i="58"/>
  <c r="X46" i="58"/>
  <c r="X44" i="58"/>
  <c r="X43" i="58"/>
  <c r="X42" i="58"/>
  <c r="X39" i="58"/>
  <c r="X38" i="58"/>
  <c r="X37" i="58"/>
  <c r="X36" i="58"/>
  <c r="X35" i="58"/>
  <c r="X34" i="58"/>
  <c r="X33" i="58"/>
  <c r="X32" i="58"/>
  <c r="X31" i="58"/>
  <c r="X30" i="58"/>
  <c r="X29" i="58"/>
  <c r="X28" i="58"/>
  <c r="X27" i="58"/>
  <c r="X26" i="58"/>
  <c r="X25" i="58"/>
  <c r="X24" i="58"/>
  <c r="X23" i="58"/>
  <c r="X22" i="58"/>
  <c r="X21" i="58"/>
  <c r="X20" i="58"/>
  <c r="X19" i="58"/>
  <c r="X18" i="58"/>
  <c r="X17" i="58"/>
  <c r="X16" i="58"/>
  <c r="X15" i="58"/>
  <c r="X14" i="58"/>
  <c r="X13" i="58"/>
  <c r="AX16" i="52" l="1"/>
  <c r="AZ19" i="50" l="1"/>
  <c r="AY19" i="50"/>
  <c r="AX19" i="50"/>
  <c r="AZ18" i="50"/>
  <c r="AY18" i="50"/>
  <c r="AX18" i="50"/>
  <c r="AW18" i="50"/>
  <c r="AZ17" i="50" l="1"/>
  <c r="AY17" i="50"/>
  <c r="AX17" i="50"/>
  <c r="AW17" i="50"/>
  <c r="C5" i="72" l="1"/>
  <c r="D39" i="62"/>
  <c r="AZ16" i="52" l="1"/>
  <c r="W17" i="50" l="1"/>
  <c r="V17" i="50"/>
  <c r="E16" i="50"/>
  <c r="S19" i="47"/>
  <c r="G12" i="60"/>
  <c r="L21" i="60" s="1"/>
  <c r="L171" i="60"/>
  <c r="K171" i="60"/>
  <c r="G171" i="60"/>
  <c r="F171" i="60"/>
  <c r="E171" i="60"/>
  <c r="I170" i="60"/>
  <c r="K163" i="60"/>
  <c r="G163" i="60"/>
  <c r="F163" i="60"/>
  <c r="E163" i="60"/>
  <c r="I162" i="60"/>
  <c r="K153" i="60"/>
  <c r="G153" i="60"/>
  <c r="F153" i="60"/>
  <c r="E153" i="60"/>
  <c r="I152" i="60"/>
  <c r="K144" i="60"/>
  <c r="G144" i="60"/>
  <c r="F144" i="60"/>
  <c r="E144" i="60"/>
  <c r="I143" i="60"/>
  <c r="K135" i="60"/>
  <c r="G135" i="60"/>
  <c r="F135" i="60"/>
  <c r="E135" i="60"/>
  <c r="I134" i="60"/>
  <c r="K127" i="60"/>
  <c r="G127" i="60"/>
  <c r="F127" i="60"/>
  <c r="E127" i="60"/>
  <c r="I126" i="60"/>
  <c r="K120" i="60"/>
  <c r="G120" i="60"/>
  <c r="F120" i="60"/>
  <c r="E120" i="60"/>
  <c r="I119" i="60"/>
  <c r="K107" i="60"/>
  <c r="G107" i="60"/>
  <c r="F107" i="60"/>
  <c r="E107" i="60"/>
  <c r="I106" i="60"/>
  <c r="K94" i="60"/>
  <c r="G94" i="60"/>
  <c r="F94" i="60"/>
  <c r="E94" i="60"/>
  <c r="I93" i="60"/>
  <c r="K82" i="60"/>
  <c r="G82" i="60"/>
  <c r="F82" i="60"/>
  <c r="E82" i="60"/>
  <c r="I81" i="60"/>
  <c r="K57" i="60"/>
  <c r="G57" i="60"/>
  <c r="F57" i="60"/>
  <c r="E57" i="60"/>
  <c r="I56" i="60"/>
  <c r="K49" i="60"/>
  <c r="G49" i="60"/>
  <c r="F49" i="60"/>
  <c r="E49" i="60"/>
  <c r="I48" i="60"/>
  <c r="K42" i="60"/>
  <c r="G42" i="60"/>
  <c r="F42" i="60"/>
  <c r="E42" i="60"/>
  <c r="I41" i="60"/>
  <c r="K30" i="60"/>
  <c r="G30" i="60"/>
  <c r="F30" i="60"/>
  <c r="E30" i="60"/>
  <c r="I29" i="60"/>
  <c r="K21" i="60"/>
  <c r="G21" i="60"/>
  <c r="F21" i="60"/>
  <c r="E21" i="60"/>
  <c r="I20" i="60"/>
  <c r="I11" i="60"/>
  <c r="E12" i="60"/>
  <c r="AJ11" i="60"/>
  <c r="AH12" i="60"/>
  <c r="AM12" i="60"/>
  <c r="E39" i="74" s="1"/>
  <c r="AF12" i="60"/>
  <c r="E39" i="72"/>
  <c r="W18" i="45"/>
  <c r="AW18" i="45"/>
  <c r="W19" i="45"/>
  <c r="W17" i="45"/>
  <c r="W16" i="45"/>
  <c r="AW16" i="45"/>
  <c r="W19" i="37"/>
  <c r="AW19" i="37"/>
  <c r="W18" i="37"/>
  <c r="AW18" i="37"/>
  <c r="W17" i="37"/>
  <c r="AW17" i="37"/>
  <c r="AV52" i="64"/>
  <c r="G25" i="69" s="1"/>
  <c r="W16" i="37"/>
  <c r="AX16" i="37"/>
  <c r="AW16" i="37"/>
  <c r="W21" i="44"/>
  <c r="W22" i="44"/>
  <c r="W17" i="44"/>
  <c r="AW17" i="44"/>
  <c r="W18" i="44"/>
  <c r="AW18" i="44"/>
  <c r="W19" i="44"/>
  <c r="AW19" i="44"/>
  <c r="BE19" i="44"/>
  <c r="W20" i="44"/>
  <c r="W16" i="44"/>
  <c r="AW16" i="44"/>
  <c r="C99" i="58"/>
  <c r="C98" i="58"/>
  <c r="C96" i="58"/>
  <c r="C95" i="58"/>
  <c r="C93" i="58"/>
  <c r="C87" i="58"/>
  <c r="C69" i="58"/>
  <c r="C61" i="58"/>
  <c r="C55" i="58"/>
  <c r="C48" i="58"/>
  <c r="C45" i="58"/>
  <c r="C44" i="58"/>
  <c r="C42" i="58"/>
  <c r="C40" i="58"/>
  <c r="C37" i="58"/>
  <c r="C35" i="58"/>
  <c r="C33" i="58"/>
  <c r="C30" i="58"/>
  <c r="C24" i="58"/>
  <c r="C13" i="58"/>
  <c r="G22" i="44"/>
  <c r="Q19" i="59"/>
  <c r="G21" i="44"/>
  <c r="Q18" i="59"/>
  <c r="E36" i="60"/>
  <c r="G20" i="44"/>
  <c r="Q17" i="59"/>
  <c r="G18" i="55"/>
  <c r="Q91" i="59"/>
  <c r="E174" i="60"/>
  <c r="N174" i="60"/>
  <c r="W174" i="60"/>
  <c r="AF174" i="60"/>
  <c r="G17" i="55"/>
  <c r="G16" i="55"/>
  <c r="G18" i="54"/>
  <c r="Q88" i="59"/>
  <c r="G17" i="54"/>
  <c r="G16" i="54"/>
  <c r="Q86" i="59"/>
  <c r="E164" i="60"/>
  <c r="N164" i="60"/>
  <c r="W164" i="60"/>
  <c r="AF164" i="60"/>
  <c r="G18" i="46"/>
  <c r="Q85" i="59"/>
  <c r="E52" i="60"/>
  <c r="N52" i="60"/>
  <c r="W52" i="60"/>
  <c r="AF52" i="60"/>
  <c r="G17" i="46"/>
  <c r="Q84" i="59"/>
  <c r="E51" i="60"/>
  <c r="G16" i="46"/>
  <c r="Q83" i="59"/>
  <c r="E50" i="60"/>
  <c r="N50" i="60"/>
  <c r="G20" i="53"/>
  <c r="G19" i="53"/>
  <c r="G18" i="53"/>
  <c r="G17" i="53"/>
  <c r="G16" i="53"/>
  <c r="Q78" i="59"/>
  <c r="E154" i="60"/>
  <c r="N154" i="60"/>
  <c r="W154" i="60"/>
  <c r="AF154" i="60"/>
  <c r="G19" i="52"/>
  <c r="Q77" i="59"/>
  <c r="E148" i="60"/>
  <c r="N148" i="60"/>
  <c r="W148" i="60"/>
  <c r="AF148" i="60"/>
  <c r="G18" i="52"/>
  <c r="Q76" i="59"/>
  <c r="E147" i="60"/>
  <c r="N147" i="60"/>
  <c r="W147" i="60"/>
  <c r="AF147" i="60"/>
  <c r="G17" i="52"/>
  <c r="Q75" i="59"/>
  <c r="E146" i="60"/>
  <c r="N146" i="60"/>
  <c r="W146" i="60"/>
  <c r="AF146" i="60"/>
  <c r="G16" i="52"/>
  <c r="AU19" i="50"/>
  <c r="AT19" i="50"/>
  <c r="U86" i="58"/>
  <c r="AE19" i="50"/>
  <c r="R86" i="58"/>
  <c r="AP82" i="64" s="1"/>
  <c r="AD19" i="50"/>
  <c r="Q86" i="58"/>
  <c r="O139" i="60" s="1"/>
  <c r="P139" i="60" s="1"/>
  <c r="AO82" i="64"/>
  <c r="AT18" i="50"/>
  <c r="AV19" i="50"/>
  <c r="AV18" i="50"/>
  <c r="AM18" i="50"/>
  <c r="AL18" i="50"/>
  <c r="AE18" i="50"/>
  <c r="AD18" i="50"/>
  <c r="Q85" i="58"/>
  <c r="AO81" i="64" s="1"/>
  <c r="W18" i="50"/>
  <c r="P85" i="58"/>
  <c r="V18" i="50"/>
  <c r="O85" i="58"/>
  <c r="G19" i="50"/>
  <c r="Q73" i="59"/>
  <c r="E139" i="60"/>
  <c r="N139" i="60"/>
  <c r="W139" i="60"/>
  <c r="AF139" i="60"/>
  <c r="G18" i="50"/>
  <c r="Q72" i="59"/>
  <c r="E138" i="60"/>
  <c r="N138" i="60"/>
  <c r="W138" i="60"/>
  <c r="AF138" i="60"/>
  <c r="G17" i="50"/>
  <c r="G16" i="50"/>
  <c r="G18" i="51"/>
  <c r="G17" i="51"/>
  <c r="Q68" i="59"/>
  <c r="E129" i="60"/>
  <c r="N129" i="60"/>
  <c r="W129" i="60"/>
  <c r="AF129" i="60"/>
  <c r="G16" i="51"/>
  <c r="Q67" i="59"/>
  <c r="E128" i="60"/>
  <c r="N128" i="60"/>
  <c r="W128" i="60"/>
  <c r="AF128" i="60"/>
  <c r="G17" i="48"/>
  <c r="P66" i="59"/>
  <c r="G16" i="48"/>
  <c r="Q65" i="59"/>
  <c r="E121" i="60"/>
  <c r="N121" i="60"/>
  <c r="W121" i="60"/>
  <c r="AF121" i="60"/>
  <c r="R19" i="47"/>
  <c r="V19" i="47"/>
  <c r="G23" i="47"/>
  <c r="G22" i="47"/>
  <c r="G21" i="47"/>
  <c r="G20" i="47"/>
  <c r="Q61" i="59"/>
  <c r="E112" i="60"/>
  <c r="N112" i="60"/>
  <c r="W112" i="60" s="1"/>
  <c r="AF112" i="60" s="1"/>
  <c r="G19" i="47"/>
  <c r="Q60" i="59"/>
  <c r="E111" i="60" s="1"/>
  <c r="G18" i="47"/>
  <c r="Q59" i="59"/>
  <c r="G17" i="47"/>
  <c r="Q58" i="59" s="1"/>
  <c r="E109" i="60" s="1"/>
  <c r="G16" i="47"/>
  <c r="Q57" i="59"/>
  <c r="E108" i="60"/>
  <c r="N108" i="60"/>
  <c r="W108" i="60"/>
  <c r="AF108" i="60" s="1"/>
  <c r="G23" i="43"/>
  <c r="G22" i="43"/>
  <c r="G21" i="43"/>
  <c r="G20" i="43"/>
  <c r="Q53" i="59"/>
  <c r="E99" i="60"/>
  <c r="N99" i="60"/>
  <c r="W99" i="60"/>
  <c r="AF99" i="60"/>
  <c r="G19" i="43"/>
  <c r="Q52" i="59"/>
  <c r="E98" i="60"/>
  <c r="N98" i="60"/>
  <c r="W98" i="60"/>
  <c r="AF98" i="60"/>
  <c r="G18" i="43"/>
  <c r="Q51" i="59"/>
  <c r="E97" i="60"/>
  <c r="N97" i="60"/>
  <c r="W97" i="60"/>
  <c r="AF97" i="60"/>
  <c r="G17" i="43"/>
  <c r="Q50" i="59"/>
  <c r="E96" i="60"/>
  <c r="N96" i="60"/>
  <c r="W96" i="60"/>
  <c r="AF96" i="60"/>
  <c r="G16" i="43"/>
  <c r="Q49" i="59"/>
  <c r="E95" i="60"/>
  <c r="N95" i="60"/>
  <c r="W95" i="60"/>
  <c r="AF95" i="60"/>
  <c r="G22" i="42"/>
  <c r="G21" i="42"/>
  <c r="G20" i="42"/>
  <c r="G19" i="42"/>
  <c r="Q45" i="59"/>
  <c r="E86" i="60"/>
  <c r="N86" i="60"/>
  <c r="W86" i="60"/>
  <c r="AF86" i="60"/>
  <c r="G18" i="42"/>
  <c r="Q44" i="59"/>
  <c r="E85" i="60"/>
  <c r="N85" i="60"/>
  <c r="W85" i="60"/>
  <c r="AF85" i="60"/>
  <c r="G17" i="42"/>
  <c r="Q43" i="59"/>
  <c r="E84" i="60"/>
  <c r="N84" i="60"/>
  <c r="W84" i="60"/>
  <c r="AF84" i="60"/>
  <c r="G16" i="42"/>
  <c r="Q42" i="59"/>
  <c r="E83" i="60"/>
  <c r="N83" i="60"/>
  <c r="W83" i="60"/>
  <c r="AF83" i="60"/>
  <c r="G35" i="41"/>
  <c r="Q41" i="59"/>
  <c r="E77" i="60"/>
  <c r="N77" i="60"/>
  <c r="W77" i="60"/>
  <c r="AF77" i="60"/>
  <c r="G34" i="41"/>
  <c r="G33" i="41"/>
  <c r="Q39" i="59"/>
  <c r="E75" i="60"/>
  <c r="N75" i="60"/>
  <c r="W75" i="60"/>
  <c r="AF75" i="60"/>
  <c r="G32" i="41"/>
  <c r="G31" i="41"/>
  <c r="Q37" i="59"/>
  <c r="G30" i="41"/>
  <c r="Q36" i="59"/>
  <c r="E72" i="60"/>
  <c r="N72" i="60"/>
  <c r="W72" i="60"/>
  <c r="AF72" i="60"/>
  <c r="G29" i="41"/>
  <c r="Q35" i="59"/>
  <c r="E71" i="60"/>
  <c r="N71" i="60"/>
  <c r="W71" i="60"/>
  <c r="AF71" i="60"/>
  <c r="G28" i="41"/>
  <c r="Q34" i="59"/>
  <c r="G27" i="41"/>
  <c r="Q33" i="59"/>
  <c r="E69" i="60"/>
  <c r="N69" i="60"/>
  <c r="W69" i="60"/>
  <c r="AF69" i="60"/>
  <c r="G26" i="41"/>
  <c r="G25" i="41"/>
  <c r="G24" i="41"/>
  <c r="G23" i="41"/>
  <c r="Q29" i="59"/>
  <c r="E65" i="60"/>
  <c r="N65" i="60"/>
  <c r="W65" i="60"/>
  <c r="AF65" i="60"/>
  <c r="G22" i="41"/>
  <c r="Q28" i="59"/>
  <c r="E64" i="60"/>
  <c r="N64" i="60"/>
  <c r="W64" i="60"/>
  <c r="AF64" i="60"/>
  <c r="G21" i="41"/>
  <c r="Q27" i="59"/>
  <c r="E63" i="60"/>
  <c r="N63" i="60"/>
  <c r="W63" i="60"/>
  <c r="AF63" i="60"/>
  <c r="G20" i="41"/>
  <c r="Q26" i="59"/>
  <c r="E62" i="60"/>
  <c r="N62" i="60"/>
  <c r="W62" i="60"/>
  <c r="AF62" i="60"/>
  <c r="G19" i="41"/>
  <c r="Q25" i="59"/>
  <c r="E61" i="60"/>
  <c r="N61" i="60"/>
  <c r="W61" i="60"/>
  <c r="AF61" i="60"/>
  <c r="G18" i="41"/>
  <c r="G17" i="41"/>
  <c r="G16" i="41"/>
  <c r="G19" i="44"/>
  <c r="Q16" i="59"/>
  <c r="E34" i="60"/>
  <c r="G18" i="44"/>
  <c r="G17" i="44"/>
  <c r="Q14" i="59"/>
  <c r="E32" i="60"/>
  <c r="N32" i="60"/>
  <c r="G16" i="44"/>
  <c r="Q13" i="59"/>
  <c r="E31" i="60"/>
  <c r="W31" i="60"/>
  <c r="AF31" i="60"/>
  <c r="G16" i="45"/>
  <c r="Q9" i="59"/>
  <c r="E22" i="60"/>
  <c r="N22" i="60"/>
  <c r="G19" i="45"/>
  <c r="G18" i="45"/>
  <c r="G17" i="45"/>
  <c r="G19" i="37"/>
  <c r="Q8" i="59"/>
  <c r="E16" i="60"/>
  <c r="N16" i="60"/>
  <c r="G18" i="37"/>
  <c r="Q7" i="59"/>
  <c r="E15" i="60"/>
  <c r="G17" i="37"/>
  <c r="Q6" i="59"/>
  <c r="E14" i="60"/>
  <c r="G16" i="37"/>
  <c r="Q5" i="59"/>
  <c r="E13" i="60"/>
  <c r="AU19" i="37"/>
  <c r="AT19" i="37"/>
  <c r="AM19" i="37"/>
  <c r="AL19" i="37"/>
  <c r="AE19" i="37"/>
  <c r="AY19" i="37" s="1"/>
  <c r="AD19" i="37"/>
  <c r="Q58" i="58"/>
  <c r="AO54" i="64" s="1"/>
  <c r="O16" i="60"/>
  <c r="V19" i="37"/>
  <c r="O58" i="58"/>
  <c r="AU18" i="37"/>
  <c r="AT18" i="37"/>
  <c r="U57" i="58"/>
  <c r="AM18" i="37"/>
  <c r="AL18" i="37"/>
  <c r="AE18" i="37"/>
  <c r="AX18" i="37" s="1"/>
  <c r="AD18" i="37"/>
  <c r="Q57" i="58"/>
  <c r="V18" i="37"/>
  <c r="AU17" i="37"/>
  <c r="V56" i="58"/>
  <c r="AT17" i="37"/>
  <c r="AM17" i="37"/>
  <c r="AL17" i="37"/>
  <c r="AE17" i="37"/>
  <c r="R56" i="58" s="1"/>
  <c r="AD17" i="37"/>
  <c r="V17" i="37"/>
  <c r="AU16" i="37"/>
  <c r="V55" i="58"/>
  <c r="AT16" i="37"/>
  <c r="U55" i="58"/>
  <c r="AS51" i="64" s="1"/>
  <c r="AM16" i="37"/>
  <c r="T55" i="58"/>
  <c r="AR51" i="64" s="1"/>
  <c r="AL16" i="37"/>
  <c r="AV16" i="37"/>
  <c r="W55" i="58"/>
  <c r="AU51" i="64" s="1"/>
  <c r="F24" i="69" s="1"/>
  <c r="AE16" i="37"/>
  <c r="AD16" i="37"/>
  <c r="V16" i="37"/>
  <c r="O99" i="38"/>
  <c r="O98" i="38"/>
  <c r="O97" i="38"/>
  <c r="O96" i="38"/>
  <c r="O95" i="38"/>
  <c r="O94" i="38"/>
  <c r="O93" i="38"/>
  <c r="O92" i="38"/>
  <c r="O91" i="38"/>
  <c r="O90" i="38"/>
  <c r="O89" i="38"/>
  <c r="O88" i="38"/>
  <c r="O87" i="38"/>
  <c r="F16" i="54"/>
  <c r="P86" i="59"/>
  <c r="O83" i="38"/>
  <c r="O82" i="38"/>
  <c r="O81" i="38"/>
  <c r="O80" i="38"/>
  <c r="O79" i="38"/>
  <c r="O78" i="38"/>
  <c r="O77" i="38"/>
  <c r="O76" i="38"/>
  <c r="O75" i="38"/>
  <c r="O74" i="38"/>
  <c r="O73" i="38"/>
  <c r="O72" i="38"/>
  <c r="O71" i="38"/>
  <c r="O70" i="38"/>
  <c r="O69" i="38"/>
  <c r="O68" i="38"/>
  <c r="O67" i="38"/>
  <c r="O66" i="38"/>
  <c r="O65" i="38"/>
  <c r="O64" i="38"/>
  <c r="O63" i="38"/>
  <c r="O62" i="38"/>
  <c r="O61" i="38"/>
  <c r="O59" i="38"/>
  <c r="O58" i="38"/>
  <c r="O57" i="38"/>
  <c r="O56" i="38"/>
  <c r="O55" i="38"/>
  <c r="O47" i="38"/>
  <c r="O46" i="38"/>
  <c r="O45" i="38"/>
  <c r="O44" i="38"/>
  <c r="O43" i="38"/>
  <c r="O42" i="38"/>
  <c r="O41" i="38"/>
  <c r="O40" i="38"/>
  <c r="O39" i="38"/>
  <c r="O38" i="38"/>
  <c r="O37" i="38"/>
  <c r="O36" i="38"/>
  <c r="O35" i="38"/>
  <c r="O34" i="38"/>
  <c r="E34" i="38"/>
  <c r="O33" i="38"/>
  <c r="E33" i="38"/>
  <c r="O32" i="38"/>
  <c r="O31" i="38"/>
  <c r="O30" i="38"/>
  <c r="O29" i="38"/>
  <c r="O28" i="38"/>
  <c r="O27" i="38"/>
  <c r="O26" i="38"/>
  <c r="O25" i="38"/>
  <c r="O24" i="38"/>
  <c r="O23" i="38"/>
  <c r="O22" i="38"/>
  <c r="O21" i="38"/>
  <c r="O20" i="38"/>
  <c r="O18" i="38"/>
  <c r="O17" i="38"/>
  <c r="O16" i="38"/>
  <c r="O15" i="38"/>
  <c r="O14" i="38"/>
  <c r="O13" i="38"/>
  <c r="AV19" i="43"/>
  <c r="AZ19" i="43"/>
  <c r="BD19" i="43" s="1"/>
  <c r="AD43" i="58" s="1"/>
  <c r="AK98" i="60"/>
  <c r="AN98" i="60" s="1"/>
  <c r="AE19" i="45"/>
  <c r="R99" i="58" s="1"/>
  <c r="AM19" i="45"/>
  <c r="T99" i="58"/>
  <c r="Z25" i="60" s="1"/>
  <c r="AU19" i="45"/>
  <c r="V99" i="58"/>
  <c r="P98" i="58"/>
  <c r="AE18" i="45"/>
  <c r="AY18" i="45" s="1"/>
  <c r="R98" i="58"/>
  <c r="AP94" i="64"/>
  <c r="AM18" i="45"/>
  <c r="T98" i="58"/>
  <c r="AR94" i="64" s="1"/>
  <c r="AU18" i="45"/>
  <c r="V98" i="58"/>
  <c r="AT94" i="64" s="1"/>
  <c r="AE17" i="45"/>
  <c r="AX17" i="45" s="1"/>
  <c r="R97" i="58"/>
  <c r="Q23" i="60" s="1"/>
  <c r="AM17" i="45"/>
  <c r="T97" i="58"/>
  <c r="Z23" i="60" s="1"/>
  <c r="AR93" i="64"/>
  <c r="AU17" i="45"/>
  <c r="V97" i="58"/>
  <c r="V16" i="45"/>
  <c r="O96" i="58"/>
  <c r="F22" i="60" s="1"/>
  <c r="K22" i="60" s="1"/>
  <c r="AD16" i="45"/>
  <c r="Q96" i="58"/>
  <c r="AL16" i="45"/>
  <c r="S96" i="58"/>
  <c r="AT16" i="45"/>
  <c r="U96" i="58"/>
  <c r="AG22" i="60" s="1"/>
  <c r="AS92" i="64"/>
  <c r="AE16" i="45"/>
  <c r="R96" i="58" s="1"/>
  <c r="AM16" i="45"/>
  <c r="T96" i="58"/>
  <c r="V19" i="45"/>
  <c r="O99" i="58"/>
  <c r="AD19" i="45"/>
  <c r="AV19" i="45"/>
  <c r="W99" i="58"/>
  <c r="Q99" i="58"/>
  <c r="AO95" i="64" s="1"/>
  <c r="AL19" i="45"/>
  <c r="S99" i="58"/>
  <c r="AQ95" i="64" s="1"/>
  <c r="AT19" i="45"/>
  <c r="U99" i="58"/>
  <c r="AS95" i="64"/>
  <c r="V18" i="45"/>
  <c r="O98" i="58"/>
  <c r="F24" i="60" s="1"/>
  <c r="K24" i="60" s="1"/>
  <c r="AD18" i="45"/>
  <c r="Q98" i="58"/>
  <c r="AL18" i="45"/>
  <c r="AV18" i="45"/>
  <c r="S98" i="58"/>
  <c r="AQ94" i="64" s="1"/>
  <c r="AT18" i="45"/>
  <c r="U98" i="58"/>
  <c r="AG24" i="60" s="1"/>
  <c r="AS94" i="64"/>
  <c r="V17" i="45"/>
  <c r="O97" i="58"/>
  <c r="AD17" i="45"/>
  <c r="Q97" i="58"/>
  <c r="O23" i="60" s="1"/>
  <c r="T23" i="60" s="1"/>
  <c r="AO93" i="64"/>
  <c r="AL17" i="45"/>
  <c r="S97" i="58"/>
  <c r="AT17" i="45"/>
  <c r="U97" i="58"/>
  <c r="AS93" i="64"/>
  <c r="W18" i="46"/>
  <c r="AE18" i="46"/>
  <c r="AY18" i="46" s="1"/>
  <c r="BG18" i="46" s="1"/>
  <c r="AM18" i="46"/>
  <c r="T95" i="58"/>
  <c r="AU18" i="46"/>
  <c r="V95" i="58"/>
  <c r="AI52" i="60" s="1"/>
  <c r="AT91" i="64"/>
  <c r="V18" i="46"/>
  <c r="O95" i="58"/>
  <c r="F52" i="60" s="1"/>
  <c r="K52" i="60" s="1"/>
  <c r="AD18" i="46"/>
  <c r="Q95" i="58"/>
  <c r="AL18" i="46"/>
  <c r="S95" i="58"/>
  <c r="AT18" i="46"/>
  <c r="U95" i="58"/>
  <c r="W17" i="56"/>
  <c r="P94" i="58"/>
  <c r="AE17" i="56"/>
  <c r="R94" i="58" s="1"/>
  <c r="AM17" i="56"/>
  <c r="T94" i="58"/>
  <c r="AU17" i="56"/>
  <c r="V94" i="58"/>
  <c r="W16" i="56"/>
  <c r="P93" i="58"/>
  <c r="AN89" i="64" s="1"/>
  <c r="AE16" i="56"/>
  <c r="R93" i="58" s="1"/>
  <c r="AM16" i="56"/>
  <c r="T93" i="58"/>
  <c r="AR89" i="64" s="1"/>
  <c r="AU16" i="56"/>
  <c r="V93" i="58"/>
  <c r="AT89" i="64" s="1"/>
  <c r="W18" i="55"/>
  <c r="AE18" i="55"/>
  <c r="AY18" i="55" s="1"/>
  <c r="AM18" i="55"/>
  <c r="T92" i="58"/>
  <c r="AU18" i="55"/>
  <c r="V92" i="58"/>
  <c r="AT88" i="64" s="1"/>
  <c r="W17" i="55"/>
  <c r="AW17" i="55"/>
  <c r="P91" i="58"/>
  <c r="I173" i="60" s="1"/>
  <c r="J173" i="60" s="1"/>
  <c r="M173" i="60" s="1"/>
  <c r="AE17" i="55"/>
  <c r="AY17" i="55" s="1"/>
  <c r="AM17" i="55"/>
  <c r="T91" i="58"/>
  <c r="Z173" i="60" s="1"/>
  <c r="AU17" i="55"/>
  <c r="V91" i="58"/>
  <c r="V18" i="55"/>
  <c r="O92" i="58"/>
  <c r="AM88" i="64" s="1"/>
  <c r="BI88" i="64" s="1"/>
  <c r="AD18" i="55"/>
  <c r="Q92" i="58"/>
  <c r="AO88" i="64" s="1"/>
  <c r="AL18" i="55"/>
  <c r="S92" i="58"/>
  <c r="AH174" i="60" s="1"/>
  <c r="AQ88" i="64"/>
  <c r="AT18" i="55"/>
  <c r="U92" i="58"/>
  <c r="AS88" i="64" s="1"/>
  <c r="V17" i="55"/>
  <c r="O91" i="58"/>
  <c r="AD17" i="55"/>
  <c r="Q91" i="58"/>
  <c r="AL17" i="55"/>
  <c r="S91" i="58"/>
  <c r="X173" i="60" s="1"/>
  <c r="AQ87" i="64"/>
  <c r="AT17" i="55"/>
  <c r="U91" i="58"/>
  <c r="AS87" i="64" s="1"/>
  <c r="W16" i="55"/>
  <c r="P90" i="58"/>
  <c r="AN86" i="64" s="1"/>
  <c r="I172" i="60"/>
  <c r="J172" i="60" s="1"/>
  <c r="M172" i="60" s="1"/>
  <c r="AE16" i="55"/>
  <c r="AX16" i="55" s="1"/>
  <c r="AM16" i="55"/>
  <c r="T90" i="58"/>
  <c r="AR86" i="64" s="1"/>
  <c r="AU16" i="55"/>
  <c r="V90" i="58"/>
  <c r="AT86" i="64" s="1"/>
  <c r="V16" i="55"/>
  <c r="O90" i="58"/>
  <c r="AM86" i="64"/>
  <c r="AD16" i="55"/>
  <c r="Q90" i="58"/>
  <c r="O172" i="60" s="1"/>
  <c r="AO86" i="64"/>
  <c r="AL16" i="55"/>
  <c r="S90" i="58"/>
  <c r="AQ86" i="64" s="1"/>
  <c r="AT16" i="55"/>
  <c r="U90" i="58"/>
  <c r="AS86" i="64" s="1"/>
  <c r="W18" i="54"/>
  <c r="P89" i="58"/>
  <c r="AE18" i="54"/>
  <c r="R89" i="58" s="1"/>
  <c r="AM18" i="54"/>
  <c r="T89" i="58"/>
  <c r="Z166" i="60" s="1"/>
  <c r="AU18" i="54"/>
  <c r="V89" i="58"/>
  <c r="V18" i="54"/>
  <c r="O89" i="58"/>
  <c r="Y166" i="60" s="1"/>
  <c r="AD18" i="54"/>
  <c r="Q89" i="58"/>
  <c r="AL18" i="54"/>
  <c r="S89" i="58"/>
  <c r="AQ85" i="64" s="1"/>
  <c r="AT18" i="54"/>
  <c r="U89" i="58"/>
  <c r="AS85" i="64" s="1"/>
  <c r="W17" i="54"/>
  <c r="P88" i="58"/>
  <c r="H165" i="60" s="1"/>
  <c r="AE17" i="54"/>
  <c r="AY17" i="54" s="1"/>
  <c r="R88" i="58"/>
  <c r="AM17" i="54"/>
  <c r="T88" i="58"/>
  <c r="AU17" i="54"/>
  <c r="V88" i="58"/>
  <c r="AT84" i="64" s="1"/>
  <c r="V17" i="54"/>
  <c r="O88" i="58"/>
  <c r="AM84" i="64" s="1"/>
  <c r="BI84" i="64" s="1"/>
  <c r="AD17" i="54"/>
  <c r="AV17" i="54"/>
  <c r="W88" i="58"/>
  <c r="AU84" i="64" s="1"/>
  <c r="Q88" i="58"/>
  <c r="AO84" i="64" s="1"/>
  <c r="AL17" i="54"/>
  <c r="S88" i="58"/>
  <c r="X165" i="60" s="1"/>
  <c r="AT17" i="54"/>
  <c r="U88" i="58"/>
  <c r="AS84" i="64" s="1"/>
  <c r="W16" i="54"/>
  <c r="P87" i="58"/>
  <c r="H164" i="60" s="1"/>
  <c r="AE16" i="54"/>
  <c r="AY16" i="54" s="1"/>
  <c r="R87" i="58"/>
  <c r="AU16" i="54"/>
  <c r="V87" i="58"/>
  <c r="AT83" i="64" s="1"/>
  <c r="V16" i="54"/>
  <c r="O87" i="58"/>
  <c r="AD16" i="54"/>
  <c r="Q87" i="58"/>
  <c r="AL16" i="54"/>
  <c r="S87" i="58"/>
  <c r="AT16" i="54"/>
  <c r="U87" i="58"/>
  <c r="AS83" i="64" s="1"/>
  <c r="AV17" i="50"/>
  <c r="BE17" i="50"/>
  <c r="AU81" i="64"/>
  <c r="BI81" i="64" s="1"/>
  <c r="AU80" i="64"/>
  <c r="BI80" i="64" s="1"/>
  <c r="W20" i="53"/>
  <c r="P83" i="58"/>
  <c r="AN79" i="64" s="1"/>
  <c r="AE20" i="53"/>
  <c r="R83" i="58"/>
  <c r="AP79" i="64" s="1"/>
  <c r="AM20" i="53"/>
  <c r="T83" i="58"/>
  <c r="AU20" i="53"/>
  <c r="V83" i="58"/>
  <c r="AT79" i="64" s="1"/>
  <c r="W18" i="53"/>
  <c r="P81" i="58"/>
  <c r="AN77" i="64" s="1"/>
  <c r="AE18" i="53"/>
  <c r="R81" i="58"/>
  <c r="AM18" i="53"/>
  <c r="T81" i="58"/>
  <c r="AU18" i="53"/>
  <c r="V81" i="58"/>
  <c r="W17" i="53"/>
  <c r="P80" i="58"/>
  <c r="I155" i="60" s="1"/>
  <c r="J155" i="60" s="1"/>
  <c r="M155" i="60" s="1"/>
  <c r="AE17" i="53"/>
  <c r="R80" i="58"/>
  <c r="AP76" i="64" s="1"/>
  <c r="AM17" i="53"/>
  <c r="T80" i="58"/>
  <c r="AR76" i="64" s="1"/>
  <c r="AU17" i="53"/>
  <c r="V80" i="58"/>
  <c r="AT76" i="64" s="1"/>
  <c r="W16" i="53"/>
  <c r="P79" i="58"/>
  <c r="AE16" i="53"/>
  <c r="R79" i="58"/>
  <c r="AM16" i="53"/>
  <c r="T79" i="58"/>
  <c r="Z154" i="60" s="1"/>
  <c r="AU16" i="53"/>
  <c r="V79" i="58"/>
  <c r="W19" i="52"/>
  <c r="AE19" i="52"/>
  <c r="AY19" i="52" s="1"/>
  <c r="AM19" i="52"/>
  <c r="T78" i="58"/>
  <c r="Z148" i="60" s="1"/>
  <c r="AU19" i="52"/>
  <c r="V78" i="58"/>
  <c r="AT74" i="64" s="1"/>
  <c r="V19" i="52"/>
  <c r="O78" i="58"/>
  <c r="AM74" i="64" s="1"/>
  <c r="AD19" i="52"/>
  <c r="Q78" i="58"/>
  <c r="AO74" i="64" s="1"/>
  <c r="AL19" i="52"/>
  <c r="S78" i="58"/>
  <c r="X148" i="60" s="1"/>
  <c r="AT19" i="52"/>
  <c r="U78" i="58"/>
  <c r="AS74" i="64" s="1"/>
  <c r="W18" i="52"/>
  <c r="P77" i="58"/>
  <c r="H147" i="60" s="1"/>
  <c r="AE18" i="52"/>
  <c r="AZ18" i="52" s="1"/>
  <c r="R77" i="58"/>
  <c r="AP73" i="64" s="1"/>
  <c r="AM18" i="52"/>
  <c r="AU18" i="52"/>
  <c r="V77" i="58"/>
  <c r="AT73" i="64" s="1"/>
  <c r="V18" i="52"/>
  <c r="O77" i="58"/>
  <c r="AD18" i="52"/>
  <c r="Q77" i="58"/>
  <c r="AL18" i="52"/>
  <c r="S77" i="58"/>
  <c r="AQ73" i="64" s="1"/>
  <c r="AT18" i="52"/>
  <c r="U77" i="58"/>
  <c r="W17" i="52"/>
  <c r="P76" i="58"/>
  <c r="AN72" i="64" s="1"/>
  <c r="AE17" i="52"/>
  <c r="R76" i="58" s="1"/>
  <c r="AM17" i="52"/>
  <c r="T76" i="58"/>
  <c r="Z146" i="60" s="1"/>
  <c r="AU17" i="52"/>
  <c r="V76" i="58"/>
  <c r="AT72" i="64" s="1"/>
  <c r="V17" i="52"/>
  <c r="O76" i="58"/>
  <c r="AM72" i="64" s="1"/>
  <c r="BI72" i="64" s="1"/>
  <c r="AD17" i="52"/>
  <c r="Q76" i="58"/>
  <c r="AO72" i="64"/>
  <c r="AL17" i="52"/>
  <c r="S76" i="58"/>
  <c r="X146" i="60" s="1"/>
  <c r="AQ72" i="64"/>
  <c r="AT17" i="52"/>
  <c r="U76" i="58"/>
  <c r="W16" i="52"/>
  <c r="P75" i="58"/>
  <c r="I145" i="60" s="1"/>
  <c r="AE16" i="52"/>
  <c r="R75" i="58" s="1"/>
  <c r="AM16" i="52"/>
  <c r="T75" i="58"/>
  <c r="AR71" i="64"/>
  <c r="AU16" i="52"/>
  <c r="V75" i="58"/>
  <c r="V16" i="52"/>
  <c r="O75" i="58"/>
  <c r="AD16" i="52"/>
  <c r="Q75" i="58"/>
  <c r="AL16" i="52"/>
  <c r="S75" i="58"/>
  <c r="AT16" i="52"/>
  <c r="U75" i="58"/>
  <c r="AS71" i="64" s="1"/>
  <c r="V16" i="50"/>
  <c r="O74" i="58"/>
  <c r="AM70" i="64"/>
  <c r="AD16" i="50"/>
  <c r="Q74" i="58"/>
  <c r="AO70" i="64" s="1"/>
  <c r="AL16" i="50"/>
  <c r="S74" i="58"/>
  <c r="AT16" i="50"/>
  <c r="U74" i="58"/>
  <c r="W16" i="50"/>
  <c r="P74" i="58"/>
  <c r="AE16" i="50"/>
  <c r="R74" i="58" s="1"/>
  <c r="AM16" i="50"/>
  <c r="T74" i="58"/>
  <c r="Z136" i="60" s="1"/>
  <c r="AR70" i="64"/>
  <c r="AU16" i="50"/>
  <c r="V74" i="58"/>
  <c r="W18" i="51"/>
  <c r="AE18" i="51"/>
  <c r="R73" i="58" s="1"/>
  <c r="AM18" i="51"/>
  <c r="AU18" i="51"/>
  <c r="V73" i="58"/>
  <c r="AI130" i="60" s="1"/>
  <c r="AT69" i="64"/>
  <c r="V18" i="51"/>
  <c r="O73" i="58"/>
  <c r="F130" i="60" s="1"/>
  <c r="AM69" i="64"/>
  <c r="AD18" i="51"/>
  <c r="Q73" i="58"/>
  <c r="O130" i="60" s="1"/>
  <c r="AL18" i="51"/>
  <c r="S73" i="58"/>
  <c r="AQ69" i="64" s="1"/>
  <c r="AT18" i="51"/>
  <c r="W17" i="51"/>
  <c r="P72" i="58"/>
  <c r="H129" i="60" s="1"/>
  <c r="AE17" i="51"/>
  <c r="AZ17" i="51" s="1"/>
  <c r="R72" i="58"/>
  <c r="AP68" i="64" s="1"/>
  <c r="AM17" i="51"/>
  <c r="T72" i="58"/>
  <c r="AU17" i="51"/>
  <c r="V72" i="58"/>
  <c r="AI129" i="60" s="1"/>
  <c r="AT68" i="64"/>
  <c r="V17" i="51"/>
  <c r="AV17" i="51"/>
  <c r="O72" i="58"/>
  <c r="AD17" i="51"/>
  <c r="Q72" i="58"/>
  <c r="O129" i="60" s="1"/>
  <c r="AO68" i="64"/>
  <c r="AL17" i="51"/>
  <c r="S72" i="58"/>
  <c r="AT17" i="51"/>
  <c r="U72" i="58"/>
  <c r="AH129" i="60" s="1"/>
  <c r="W16" i="51"/>
  <c r="AE16" i="51"/>
  <c r="AZ16" i="51" s="1"/>
  <c r="R71" i="58"/>
  <c r="AM16" i="51"/>
  <c r="T71" i="58"/>
  <c r="AR67" i="64" s="1"/>
  <c r="AU16" i="51"/>
  <c r="V71" i="58"/>
  <c r="V16" i="51"/>
  <c r="O71" i="58"/>
  <c r="AD16" i="51"/>
  <c r="Q71" i="58"/>
  <c r="AL16" i="51"/>
  <c r="S71" i="58"/>
  <c r="AT16" i="51"/>
  <c r="U71" i="58"/>
  <c r="W17" i="48"/>
  <c r="P70" i="58"/>
  <c r="AE17" i="48"/>
  <c r="R70" i="58" s="1"/>
  <c r="AM17" i="48"/>
  <c r="T70" i="58"/>
  <c r="AR66" i="64" s="1"/>
  <c r="AU17" i="48"/>
  <c r="V70" i="58"/>
  <c r="W16" i="48"/>
  <c r="P69" i="58"/>
  <c r="H121" i="60" s="1"/>
  <c r="AE16" i="48"/>
  <c r="R69" i="58" s="1"/>
  <c r="AM16" i="48"/>
  <c r="T69" i="58"/>
  <c r="AU16" i="48"/>
  <c r="V69" i="58"/>
  <c r="W23" i="47"/>
  <c r="P68" i="58"/>
  <c r="H115" i="60" s="1"/>
  <c r="AE23" i="47"/>
  <c r="AZ23" i="47" s="1"/>
  <c r="AM23" i="47"/>
  <c r="T68" i="58"/>
  <c r="AR64" i="64" s="1"/>
  <c r="AU23" i="47"/>
  <c r="V68" i="58"/>
  <c r="AI115" i="60" s="1"/>
  <c r="AT64" i="64"/>
  <c r="V23" i="47"/>
  <c r="AD23" i="47"/>
  <c r="Q68" i="58"/>
  <c r="AO64" i="64" s="1"/>
  <c r="AL23" i="47"/>
  <c r="S68" i="58"/>
  <c r="AT23" i="47"/>
  <c r="U68" i="58"/>
  <c r="W22" i="47"/>
  <c r="P67" i="58"/>
  <c r="AN63" i="64"/>
  <c r="AE22" i="47"/>
  <c r="AX22" i="47" s="1"/>
  <c r="R67" i="58"/>
  <c r="Q114" i="60" s="1"/>
  <c r="AM22" i="47"/>
  <c r="T67" i="58"/>
  <c r="Z114" i="60" s="1"/>
  <c r="AR63" i="64"/>
  <c r="AU22" i="47"/>
  <c r="V67" i="58"/>
  <c r="AT63" i="64" s="1"/>
  <c r="V22" i="47"/>
  <c r="O67" i="58"/>
  <c r="AM63" i="64" s="1"/>
  <c r="AD22" i="47"/>
  <c r="Q67" i="58"/>
  <c r="AO63" i="64" s="1"/>
  <c r="AL22" i="47"/>
  <c r="S67" i="58"/>
  <c r="X114" i="60" s="1"/>
  <c r="AQ63" i="64"/>
  <c r="AT22" i="47"/>
  <c r="U67" i="58" s="1"/>
  <c r="W21" i="47"/>
  <c r="P66" i="58"/>
  <c r="H113" i="60" s="1"/>
  <c r="AE21" i="47"/>
  <c r="AX21" i="47" s="1"/>
  <c r="R66" i="58"/>
  <c r="AP62" i="64" s="1"/>
  <c r="AM21" i="47"/>
  <c r="T66" i="58"/>
  <c r="AR62" i="64" s="1"/>
  <c r="AU21" i="47"/>
  <c r="V66" i="58"/>
  <c r="V21" i="47"/>
  <c r="O66" i="58"/>
  <c r="AM62" i="64" s="1"/>
  <c r="AD21" i="47"/>
  <c r="Q66" i="58"/>
  <c r="AL21" i="47"/>
  <c r="S66" i="58"/>
  <c r="X113" i="60" s="1"/>
  <c r="AT21" i="47"/>
  <c r="U66" i="58"/>
  <c r="W20" i="47"/>
  <c r="AE20" i="47"/>
  <c r="AZ20" i="47" s="1"/>
  <c r="R65" i="58"/>
  <c r="AP61" i="64"/>
  <c r="AM20" i="47"/>
  <c r="T65" i="58"/>
  <c r="Z112" i="60" s="1"/>
  <c r="AU20" i="47"/>
  <c r="V65" i="58"/>
  <c r="AT61" i="64" s="1"/>
  <c r="V20" i="47"/>
  <c r="O65" i="58"/>
  <c r="AM61" i="64" s="1"/>
  <c r="AD20" i="47"/>
  <c r="Q65" i="58"/>
  <c r="O112" i="60" s="1"/>
  <c r="AL20" i="47"/>
  <c r="S65" i="58"/>
  <c r="AT20" i="47"/>
  <c r="AV20" i="47" s="1"/>
  <c r="U65" i="58"/>
  <c r="AG112" i="60" s="1"/>
  <c r="W19" i="47"/>
  <c r="P64" i="58"/>
  <c r="AN60" i="64" s="1"/>
  <c r="BJ60" i="64" s="1"/>
  <c r="AE19" i="47"/>
  <c r="AY19" i="47" s="1"/>
  <c r="R64" i="58"/>
  <c r="AP60" i="64" s="1"/>
  <c r="AM19" i="47"/>
  <c r="T64" i="58"/>
  <c r="AR60" i="64" s="1"/>
  <c r="AU19" i="47"/>
  <c r="V64" i="58"/>
  <c r="AD19" i="47"/>
  <c r="Q64" i="58"/>
  <c r="AL19" i="47"/>
  <c r="S64" i="58"/>
  <c r="X111" i="60" s="1"/>
  <c r="AT19" i="47"/>
  <c r="U64" i="58"/>
  <c r="W18" i="47"/>
  <c r="P63" i="58"/>
  <c r="I110" i="60" s="1"/>
  <c r="J110" i="60" s="1"/>
  <c r="AE18" i="47"/>
  <c r="R63" i="58" s="1"/>
  <c r="AM18" i="47"/>
  <c r="T63" i="58"/>
  <c r="AU18" i="47"/>
  <c r="V63" i="58"/>
  <c r="AT59" i="64" s="1"/>
  <c r="V18" i="47"/>
  <c r="O63" i="58"/>
  <c r="AD18" i="47"/>
  <c r="Q63" i="58"/>
  <c r="O110" i="60" s="1"/>
  <c r="AL18" i="47"/>
  <c r="S63" i="58"/>
  <c r="AT18" i="47"/>
  <c r="U63" i="58"/>
  <c r="W17" i="47"/>
  <c r="P62" i="58"/>
  <c r="I109" i="60" s="1"/>
  <c r="J109" i="60" s="1"/>
  <c r="AE17" i="47"/>
  <c r="R62" i="58" s="1"/>
  <c r="AM17" i="47"/>
  <c r="T62" i="58"/>
  <c r="AU17" i="47"/>
  <c r="V62" i="58"/>
  <c r="AI109" i="60" s="1"/>
  <c r="AT58" i="64"/>
  <c r="V17" i="47"/>
  <c r="O62" i="58"/>
  <c r="G109" i="60" s="1"/>
  <c r="AD17" i="47"/>
  <c r="Q62" i="58"/>
  <c r="O109" i="60" s="1"/>
  <c r="AL17" i="47"/>
  <c r="S62" i="58"/>
  <c r="AT17" i="47"/>
  <c r="U62" i="58"/>
  <c r="AG109" i="60" s="1"/>
  <c r="W16" i="47"/>
  <c r="P61" i="58"/>
  <c r="H108" i="60" s="1"/>
  <c r="AE16" i="47"/>
  <c r="R61" i="58" s="1"/>
  <c r="AM16" i="47"/>
  <c r="T61" i="58"/>
  <c r="Z108" i="60" s="1"/>
  <c r="AU16" i="47"/>
  <c r="V61" i="58"/>
  <c r="V16" i="47"/>
  <c r="O61" i="58"/>
  <c r="AD16" i="47"/>
  <c r="Q61" i="58"/>
  <c r="AO57" i="64" s="1"/>
  <c r="AL16" i="47"/>
  <c r="S61" i="58"/>
  <c r="X108" i="60" s="1"/>
  <c r="AT16" i="47"/>
  <c r="U61" i="58"/>
  <c r="AG108" i="60" s="1"/>
  <c r="W17" i="46"/>
  <c r="P60" i="58"/>
  <c r="H51" i="60" s="1"/>
  <c r="AE17" i="46"/>
  <c r="AZ17" i="46" s="1"/>
  <c r="R60" i="58"/>
  <c r="Q51" i="60" s="1"/>
  <c r="AM17" i="46"/>
  <c r="T60" i="58"/>
  <c r="AU17" i="46"/>
  <c r="V60" i="58"/>
  <c r="AT56" i="64" s="1"/>
  <c r="V17" i="46"/>
  <c r="O60" i="58"/>
  <c r="G51" i="60" s="1"/>
  <c r="L51" i="60" s="1"/>
  <c r="AM56" i="64"/>
  <c r="BI56" i="64" s="1"/>
  <c r="AD17" i="46"/>
  <c r="Q60" i="58"/>
  <c r="AO56" i="64" s="1"/>
  <c r="AL17" i="46"/>
  <c r="S60" i="58"/>
  <c r="X51" i="60" s="1"/>
  <c r="AC51" i="60" s="1"/>
  <c r="AQ56" i="64"/>
  <c r="AT17" i="46"/>
  <c r="U60" i="58"/>
  <c r="V16" i="46"/>
  <c r="AV16" i="46"/>
  <c r="W59" i="58"/>
  <c r="AL16" i="46"/>
  <c r="W16" i="46"/>
  <c r="P59" i="58"/>
  <c r="AN55" i="64" s="1"/>
  <c r="BJ55" i="64" s="1"/>
  <c r="BL55" i="64" s="1"/>
  <c r="AM16" i="46"/>
  <c r="T59" i="58" s="1"/>
  <c r="V17" i="44"/>
  <c r="O49" i="58"/>
  <c r="AD17" i="44"/>
  <c r="Q49" i="58"/>
  <c r="AO45" i="64" s="1"/>
  <c r="AL17" i="44"/>
  <c r="S49" i="58"/>
  <c r="AT17" i="44"/>
  <c r="U49" i="58"/>
  <c r="AS45" i="64" s="1"/>
  <c r="P49" i="58"/>
  <c r="H32" i="60" s="1"/>
  <c r="AN45" i="64"/>
  <c r="AE17" i="44"/>
  <c r="AX17" i="44" s="1"/>
  <c r="R49" i="58"/>
  <c r="AM17" i="44"/>
  <c r="AY17" i="44"/>
  <c r="BC17" i="44" s="1"/>
  <c r="BG17" i="44"/>
  <c r="T49" i="58"/>
  <c r="AR45" i="64" s="1"/>
  <c r="AU17" i="44"/>
  <c r="V49" i="58"/>
  <c r="V18" i="44"/>
  <c r="O50" i="58"/>
  <c r="AD18" i="44"/>
  <c r="Q50" i="58"/>
  <c r="AL18" i="44"/>
  <c r="S50" i="58"/>
  <c r="AQ46" i="64" s="1"/>
  <c r="AT18" i="44"/>
  <c r="P50" i="58"/>
  <c r="AE18" i="44"/>
  <c r="R50" i="58" s="1"/>
  <c r="AM18" i="44"/>
  <c r="T50" i="58"/>
  <c r="AR46" i="64" s="1"/>
  <c r="AU18" i="44"/>
  <c r="V50" i="58"/>
  <c r="V19" i="44"/>
  <c r="O51" i="58"/>
  <c r="AM47" i="64" s="1"/>
  <c r="AD19" i="44"/>
  <c r="Q51" i="58"/>
  <c r="AL19" i="44"/>
  <c r="S51" i="58"/>
  <c r="X34" i="60" s="1"/>
  <c r="AQ47" i="64"/>
  <c r="AT19" i="44"/>
  <c r="U51" i="58"/>
  <c r="P51" i="58"/>
  <c r="AE19" i="44"/>
  <c r="AY19" i="44" s="1"/>
  <c r="AM19" i="44"/>
  <c r="T51" i="58"/>
  <c r="AU19" i="44"/>
  <c r="V51" i="58"/>
  <c r="V20" i="44"/>
  <c r="AD20" i="44"/>
  <c r="Q52" i="58"/>
  <c r="P35" i="60" s="1"/>
  <c r="AL20" i="44"/>
  <c r="S52" i="58"/>
  <c r="AQ48" i="64" s="1"/>
  <c r="AT20" i="44"/>
  <c r="U52" i="58"/>
  <c r="AE20" i="44"/>
  <c r="R52" i="58" s="1"/>
  <c r="AM20" i="44"/>
  <c r="T52" i="58"/>
  <c r="AU20" i="44"/>
  <c r="V52" i="58"/>
  <c r="V21" i="44"/>
  <c r="O53" i="58"/>
  <c r="AD21" i="44"/>
  <c r="Q53" i="58"/>
  <c r="AO49" i="64" s="1"/>
  <c r="AL21" i="44"/>
  <c r="S53" i="58"/>
  <c r="AT21" i="44"/>
  <c r="U53" i="58"/>
  <c r="AE21" i="44"/>
  <c r="R53" i="58" s="1"/>
  <c r="AM21" i="44"/>
  <c r="T53" i="58"/>
  <c r="AU21" i="44"/>
  <c r="V53" i="58"/>
  <c r="V22" i="44"/>
  <c r="O54" i="58"/>
  <c r="AH37" i="60" s="1"/>
  <c r="AD22" i="44"/>
  <c r="Q54" i="58"/>
  <c r="AO50" i="64" s="1"/>
  <c r="AL22" i="44"/>
  <c r="S54" i="58"/>
  <c r="AT22" i="44"/>
  <c r="U54" i="58"/>
  <c r="AG37" i="60"/>
  <c r="AE22" i="44"/>
  <c r="R54" i="58" s="1"/>
  <c r="AM22" i="44"/>
  <c r="T54" i="58"/>
  <c r="AU22" i="44"/>
  <c r="V54" i="58"/>
  <c r="AT50" i="64" s="1"/>
  <c r="AE16" i="44"/>
  <c r="AY16" i="44" s="1"/>
  <c r="R48" i="58"/>
  <c r="AM16" i="44"/>
  <c r="T48" i="58"/>
  <c r="Z31" i="60" s="1"/>
  <c r="AU16" i="44"/>
  <c r="V48" i="58"/>
  <c r="V16" i="44"/>
  <c r="O48" i="58"/>
  <c r="F31" i="60" s="1"/>
  <c r="AD16" i="44"/>
  <c r="Q48" i="58"/>
  <c r="AL16" i="44"/>
  <c r="S48" i="58"/>
  <c r="AT16" i="44"/>
  <c r="U48" i="58"/>
  <c r="AG31" i="60" s="1"/>
  <c r="W23" i="43"/>
  <c r="P47" i="58"/>
  <c r="I102" i="60" s="1"/>
  <c r="J102" i="60" s="1"/>
  <c r="M102" i="60" s="1"/>
  <c r="AE23" i="43"/>
  <c r="AX23" i="43" s="1"/>
  <c r="AM23" i="43"/>
  <c r="T47" i="58"/>
  <c r="AU23" i="43"/>
  <c r="V47" i="58"/>
  <c r="AI102" i="60" s="1"/>
  <c r="AL102" i="60" s="1"/>
  <c r="AT43" i="64"/>
  <c r="V23" i="43"/>
  <c r="O47" i="58"/>
  <c r="AM43" i="64" s="1"/>
  <c r="AD23" i="43"/>
  <c r="Q47" i="58"/>
  <c r="AL23" i="43"/>
  <c r="S47" i="58"/>
  <c r="X102" i="60" s="1"/>
  <c r="AT23" i="43"/>
  <c r="U47" i="58"/>
  <c r="AG102" i="60" s="1"/>
  <c r="W22" i="43"/>
  <c r="AW22" i="43"/>
  <c r="BE22" i="43"/>
  <c r="AE22" i="43"/>
  <c r="AZ22" i="43" s="1"/>
  <c r="BD22" i="43" s="1"/>
  <c r="AD46" i="58" s="1"/>
  <c r="R46" i="58"/>
  <c r="AA101" i="60" s="1"/>
  <c r="AM22" i="43"/>
  <c r="T46" i="58"/>
  <c r="AR42" i="64" s="1"/>
  <c r="AU22" i="43"/>
  <c r="V46" i="58"/>
  <c r="AT42" i="64" s="1"/>
  <c r="V22" i="43"/>
  <c r="O46" i="58"/>
  <c r="AD22" i="43"/>
  <c r="Q46" i="58"/>
  <c r="AL22" i="43"/>
  <c r="S46" i="58"/>
  <c r="AQ42" i="64" s="1"/>
  <c r="AT22" i="43"/>
  <c r="U46" i="58"/>
  <c r="W21" i="43"/>
  <c r="AW21" i="43" s="1"/>
  <c r="P45" i="58"/>
  <c r="I100" i="60" s="1"/>
  <c r="J100" i="60" s="1"/>
  <c r="AE21" i="43"/>
  <c r="R45" i="58" s="1"/>
  <c r="AM21" i="43"/>
  <c r="T45" i="58" s="1"/>
  <c r="AU21" i="43"/>
  <c r="V45" i="58" s="1"/>
  <c r="V21" i="43"/>
  <c r="O45" i="58"/>
  <c r="G100" i="60" s="1"/>
  <c r="AD21" i="43"/>
  <c r="Q45" i="58" s="1"/>
  <c r="AL21" i="43"/>
  <c r="S45" i="58" s="1"/>
  <c r="AQ41" i="64" s="1"/>
  <c r="AT21" i="43"/>
  <c r="U45" i="58" s="1"/>
  <c r="W20" i="43"/>
  <c r="P44" i="58"/>
  <c r="AN40" i="64" s="1"/>
  <c r="BJ40" i="64" s="1"/>
  <c r="AE20" i="43"/>
  <c r="AX20" i="43" s="1"/>
  <c r="R44" i="58"/>
  <c r="AP40" i="64" s="1"/>
  <c r="AM20" i="43"/>
  <c r="T44" i="58"/>
  <c r="AR40" i="64" s="1"/>
  <c r="AU20" i="43"/>
  <c r="V44" i="58"/>
  <c r="V20" i="43"/>
  <c r="O44" i="58"/>
  <c r="AD20" i="43"/>
  <c r="Q44" i="58"/>
  <c r="AL20" i="43"/>
  <c r="S44" i="58"/>
  <c r="AQ40" i="64" s="1"/>
  <c r="AT20" i="43"/>
  <c r="U44" i="58"/>
  <c r="W19" i="43"/>
  <c r="P43" i="58"/>
  <c r="AE19" i="43"/>
  <c r="R43" i="58"/>
  <c r="AP39" i="64"/>
  <c r="AM19" i="43"/>
  <c r="T43" i="58"/>
  <c r="AR39" i="64" s="1"/>
  <c r="AU19" i="43"/>
  <c r="V43" i="58"/>
  <c r="AI98" i="60" s="1"/>
  <c r="AT39" i="64"/>
  <c r="V19" i="43"/>
  <c r="O43" i="58"/>
  <c r="AD19" i="43"/>
  <c r="Q43" i="58"/>
  <c r="AO39" i="64" s="1"/>
  <c r="AL19" i="43"/>
  <c r="S43" i="58"/>
  <c r="AQ39" i="64" s="1"/>
  <c r="AT19" i="43"/>
  <c r="U43" i="58"/>
  <c r="V17" i="43"/>
  <c r="O41" i="58"/>
  <c r="F96" i="60" s="1"/>
  <c r="AD17" i="43"/>
  <c r="Q41" i="58"/>
  <c r="AO37" i="64" s="1"/>
  <c r="AL17" i="43"/>
  <c r="S41" i="58"/>
  <c r="AQ37" i="64" s="1"/>
  <c r="AT17" i="43"/>
  <c r="U41" i="58"/>
  <c r="W18" i="43"/>
  <c r="P42" i="58"/>
  <c r="I97" i="60" s="1"/>
  <c r="J97" i="60" s="1"/>
  <c r="M97" i="60" s="1"/>
  <c r="AE18" i="43"/>
  <c r="R42" i="58" s="1"/>
  <c r="AM18" i="43"/>
  <c r="T42" i="58"/>
  <c r="AR38" i="64" s="1"/>
  <c r="AU18" i="43"/>
  <c r="V42" i="58"/>
  <c r="AI97" i="60" s="1"/>
  <c r="AT38" i="64"/>
  <c r="V18" i="43"/>
  <c r="O42" i="58"/>
  <c r="AD18" i="43"/>
  <c r="AV18" i="43"/>
  <c r="Q42" i="58"/>
  <c r="AO38" i="64" s="1"/>
  <c r="AL18" i="43"/>
  <c r="S42" i="58"/>
  <c r="AT18" i="43"/>
  <c r="U42" i="58"/>
  <c r="W17" i="43"/>
  <c r="P41" i="58"/>
  <c r="H96" i="60" s="1"/>
  <c r="AN37" i="64"/>
  <c r="AE17" i="43"/>
  <c r="R41" i="58" s="1"/>
  <c r="AM17" i="43"/>
  <c r="T41" i="58"/>
  <c r="AR37" i="64"/>
  <c r="AU17" i="43"/>
  <c r="V41" i="58"/>
  <c r="W16" i="43"/>
  <c r="P40" i="58"/>
  <c r="AN36" i="64" s="1"/>
  <c r="AE16" i="43"/>
  <c r="R40" i="58" s="1"/>
  <c r="AM16" i="43"/>
  <c r="T40" i="58"/>
  <c r="Z95" i="60" s="1"/>
  <c r="AR36" i="64"/>
  <c r="AU16" i="43"/>
  <c r="V40" i="58"/>
  <c r="AT36" i="64" s="1"/>
  <c r="V16" i="43"/>
  <c r="O40" i="58"/>
  <c r="F95" i="60" s="1"/>
  <c r="AD16" i="43"/>
  <c r="Q40" i="58"/>
  <c r="AL16" i="43"/>
  <c r="S40" i="58"/>
  <c r="AT16" i="43"/>
  <c r="U40" i="58"/>
  <c r="V22" i="42"/>
  <c r="O39" i="58"/>
  <c r="G89" i="60" s="1"/>
  <c r="AD22" i="42"/>
  <c r="Q39" i="58"/>
  <c r="O89" i="60" s="1"/>
  <c r="AL22" i="42"/>
  <c r="S39" i="58"/>
  <c r="AT22" i="42"/>
  <c r="U39" i="58"/>
  <c r="W22" i="42"/>
  <c r="P39" i="58"/>
  <c r="AN35" i="64" s="1"/>
  <c r="AE22" i="42"/>
  <c r="AX22" i="42" s="1"/>
  <c r="AM22" i="42"/>
  <c r="T39" i="58"/>
  <c r="Z89" i="60" s="1"/>
  <c r="AR35" i="64"/>
  <c r="AU22" i="42"/>
  <c r="V39" i="58"/>
  <c r="AT35" i="64" s="1"/>
  <c r="V17" i="42"/>
  <c r="O34" i="58"/>
  <c r="AD17" i="42"/>
  <c r="Q34" i="58"/>
  <c r="AO30" i="64" s="1"/>
  <c r="AL17" i="42"/>
  <c r="S34" i="58"/>
  <c r="X84" i="60" s="1"/>
  <c r="AT17" i="42"/>
  <c r="U34" i="58"/>
  <c r="AG84" i="60" s="1"/>
  <c r="AL84" i="60" s="1"/>
  <c r="W17" i="42"/>
  <c r="P34" i="58"/>
  <c r="H84" i="60" s="1"/>
  <c r="AE17" i="42"/>
  <c r="AY17" i="42" s="1"/>
  <c r="R34" i="58"/>
  <c r="Q84" i="60" s="1"/>
  <c r="AM17" i="42"/>
  <c r="T34" i="58"/>
  <c r="AU17" i="42"/>
  <c r="V34" i="58"/>
  <c r="AT30" i="64" s="1"/>
  <c r="V18" i="42"/>
  <c r="O35" i="58"/>
  <c r="AM31" i="64"/>
  <c r="AD18" i="42"/>
  <c r="Q35" i="58"/>
  <c r="AL18" i="42"/>
  <c r="S35" i="58"/>
  <c r="AQ31" i="64" s="1"/>
  <c r="AT18" i="42"/>
  <c r="U35" i="58"/>
  <c r="AS31" i="64" s="1"/>
  <c r="W18" i="42"/>
  <c r="P35" i="58"/>
  <c r="I85" i="60" s="1"/>
  <c r="AE18" i="42"/>
  <c r="AY18" i="42" s="1"/>
  <c r="R35" i="58"/>
  <c r="AM18" i="42"/>
  <c r="T35" i="58"/>
  <c r="AU18" i="42"/>
  <c r="V35" i="58"/>
  <c r="AT31" i="64" s="1"/>
  <c r="V19" i="42"/>
  <c r="O36" i="58"/>
  <c r="AD19" i="42"/>
  <c r="Q36" i="58"/>
  <c r="AL19" i="42"/>
  <c r="AT19" i="42"/>
  <c r="U36" i="58"/>
  <c r="W19" i="42"/>
  <c r="AW19" i="42"/>
  <c r="P36" i="58"/>
  <c r="I86" i="60" s="1"/>
  <c r="AE19" i="42"/>
  <c r="AZ19" i="42" s="1"/>
  <c r="R36" i="58"/>
  <c r="Q86" i="60" s="1"/>
  <c r="AM19" i="42"/>
  <c r="AY19" i="42"/>
  <c r="BC19" i="42" s="1"/>
  <c r="AU19" i="42"/>
  <c r="V36" i="58"/>
  <c r="V20" i="42"/>
  <c r="O37" i="58"/>
  <c r="AM33" i="64" s="1"/>
  <c r="AD20" i="42"/>
  <c r="Q37" i="58"/>
  <c r="O87" i="60" s="1"/>
  <c r="AO33" i="64"/>
  <c r="AL20" i="42"/>
  <c r="S37" i="58"/>
  <c r="AQ33" i="64" s="1"/>
  <c r="AT20" i="42"/>
  <c r="U37" i="58"/>
  <c r="AS33" i="64" s="1"/>
  <c r="W20" i="42"/>
  <c r="AE20" i="42"/>
  <c r="R37" i="58" s="1"/>
  <c r="AM20" i="42"/>
  <c r="T37" i="58"/>
  <c r="Z87" i="60" s="1"/>
  <c r="AU20" i="42"/>
  <c r="V37" i="58"/>
  <c r="AT33" i="64" s="1"/>
  <c r="V21" i="42"/>
  <c r="O38" i="58"/>
  <c r="AD21" i="42"/>
  <c r="Q38" i="58"/>
  <c r="AO34" i="64" s="1"/>
  <c r="AL21" i="42"/>
  <c r="AT21" i="42"/>
  <c r="U38" i="58"/>
  <c r="AS34" i="64" s="1"/>
  <c r="W21" i="42"/>
  <c r="AE21" i="42"/>
  <c r="AX21" i="42" s="1"/>
  <c r="R38" i="58"/>
  <c r="Q88" i="60" s="1"/>
  <c r="AM21" i="42"/>
  <c r="T38" i="58"/>
  <c r="AU21" i="42"/>
  <c r="V38" i="58"/>
  <c r="AT34" i="64" s="1"/>
  <c r="W16" i="42"/>
  <c r="AW16" i="42"/>
  <c r="P33" i="58"/>
  <c r="AN29" i="64" s="1"/>
  <c r="AE16" i="42"/>
  <c r="AY16" i="42" s="1"/>
  <c r="R33" i="58"/>
  <c r="AM16" i="42"/>
  <c r="T33" i="58"/>
  <c r="AR29" i="64" s="1"/>
  <c r="AU16" i="42"/>
  <c r="V33" i="58"/>
  <c r="V16" i="42"/>
  <c r="O33" i="58"/>
  <c r="G83" i="60" s="1"/>
  <c r="L83" i="60" s="1"/>
  <c r="AM29" i="64"/>
  <c r="BI29" i="64" s="1"/>
  <c r="AD16" i="42"/>
  <c r="AL16" i="42"/>
  <c r="S33" i="58"/>
  <c r="AT16" i="42"/>
  <c r="U33" i="58"/>
  <c r="V32" i="41"/>
  <c r="AD32" i="41"/>
  <c r="Q29" i="58"/>
  <c r="AL32" i="41"/>
  <c r="S29" i="58"/>
  <c r="X74" i="60" s="1"/>
  <c r="AQ25" i="64"/>
  <c r="AT32" i="41"/>
  <c r="U29" i="58"/>
  <c r="AG74" i="60" s="1"/>
  <c r="AS25" i="64"/>
  <c r="W32" i="41"/>
  <c r="AE32" i="41"/>
  <c r="AX32" i="41" s="1"/>
  <c r="R29" i="58"/>
  <c r="AM32" i="41"/>
  <c r="T29" i="58"/>
  <c r="Z74" i="60" s="1"/>
  <c r="AR25" i="64"/>
  <c r="AU32" i="41"/>
  <c r="V29" i="58"/>
  <c r="AT25" i="64"/>
  <c r="V33" i="41"/>
  <c r="AD33" i="41"/>
  <c r="Q30" i="58"/>
  <c r="O75" i="60" s="1"/>
  <c r="AL33" i="41"/>
  <c r="S30" i="58"/>
  <c r="AT33" i="41"/>
  <c r="U30" i="58"/>
  <c r="W33" i="41"/>
  <c r="P30" i="58"/>
  <c r="H75" i="60" s="1"/>
  <c r="AE33" i="41"/>
  <c r="AX33" i="41" s="1"/>
  <c r="R30" i="58"/>
  <c r="AM33" i="41"/>
  <c r="T30" i="58"/>
  <c r="AR26" i="64" s="1"/>
  <c r="AU33" i="41"/>
  <c r="V30" i="58"/>
  <c r="V34" i="41"/>
  <c r="O31" i="58"/>
  <c r="AD34" i="41"/>
  <c r="Q31" i="58"/>
  <c r="O76" i="60" s="1"/>
  <c r="AO27" i="64"/>
  <c r="AL34" i="41"/>
  <c r="S31" i="58"/>
  <c r="AQ27" i="64" s="1"/>
  <c r="AT34" i="41"/>
  <c r="W34" i="41"/>
  <c r="AE34" i="41"/>
  <c r="AZ34" i="41" s="1"/>
  <c r="R31" i="58"/>
  <c r="AM34" i="41"/>
  <c r="T31" i="58"/>
  <c r="AR27" i="64" s="1"/>
  <c r="AU34" i="41"/>
  <c r="V31" i="58"/>
  <c r="V35" i="41"/>
  <c r="O32" i="58"/>
  <c r="AD35" i="41"/>
  <c r="Q32" i="58"/>
  <c r="AL35" i="41"/>
  <c r="S32" i="58"/>
  <c r="AQ28" i="64" s="1"/>
  <c r="AT35" i="41"/>
  <c r="U32" i="58"/>
  <c r="AG77" i="60" s="1"/>
  <c r="AS28" i="64"/>
  <c r="W35" i="41"/>
  <c r="P32" i="58"/>
  <c r="AE35" i="41"/>
  <c r="AZ35" i="41" s="1"/>
  <c r="R32" i="58"/>
  <c r="AP28" i="64" s="1"/>
  <c r="AM35" i="41"/>
  <c r="T32" i="58"/>
  <c r="AU35" i="41"/>
  <c r="V32" i="58"/>
  <c r="AT28" i="64" s="1"/>
  <c r="V28" i="41"/>
  <c r="AV28" i="41"/>
  <c r="O25" i="58"/>
  <c r="F70" i="60" s="1"/>
  <c r="AD28" i="41"/>
  <c r="Q25" i="58"/>
  <c r="AO21" i="64" s="1"/>
  <c r="AL28" i="41"/>
  <c r="S25" i="58"/>
  <c r="AT28" i="41"/>
  <c r="U25" i="58"/>
  <c r="AS21" i="64"/>
  <c r="W28" i="41"/>
  <c r="P25" i="58"/>
  <c r="AN21" i="64" s="1"/>
  <c r="AE28" i="41"/>
  <c r="AZ28" i="41" s="1"/>
  <c r="R25" i="58"/>
  <c r="AM28" i="41"/>
  <c r="AU28" i="41"/>
  <c r="V25" i="58"/>
  <c r="V29" i="41"/>
  <c r="AD29" i="41"/>
  <c r="Q26" i="58"/>
  <c r="AO22" i="64" s="1"/>
  <c r="AL29" i="41"/>
  <c r="S26" i="58"/>
  <c r="AT29" i="41"/>
  <c r="U26" i="58"/>
  <c r="AG71" i="60" s="1"/>
  <c r="W29" i="41"/>
  <c r="P26" i="58"/>
  <c r="I71" i="60" s="1"/>
  <c r="J71" i="60" s="1"/>
  <c r="M71" i="60" s="1"/>
  <c r="AE29" i="41"/>
  <c r="AY29" i="41" s="1"/>
  <c r="BC29" i="41" s="1"/>
  <c r="R26" i="58"/>
  <c r="AP22" i="64" s="1"/>
  <c r="AM29" i="41"/>
  <c r="T26" i="58"/>
  <c r="AU29" i="41"/>
  <c r="V26" i="58"/>
  <c r="AI71" i="60" s="1"/>
  <c r="V30" i="41"/>
  <c r="O27" i="58"/>
  <c r="AM23" i="64" s="1"/>
  <c r="AD30" i="41"/>
  <c r="Q27" i="58"/>
  <c r="AO23" i="64" s="1"/>
  <c r="AL30" i="41"/>
  <c r="S27" i="58"/>
  <c r="X72" i="60" s="1"/>
  <c r="AQ23" i="64"/>
  <c r="AT30" i="41"/>
  <c r="U27" i="58"/>
  <c r="AS23" i="64" s="1"/>
  <c r="W30" i="41"/>
  <c r="AE30" i="41"/>
  <c r="AY30" i="41" s="1"/>
  <c r="R27" i="58"/>
  <c r="AM30" i="41"/>
  <c r="T27" i="58"/>
  <c r="AR23" i="64" s="1"/>
  <c r="AU30" i="41"/>
  <c r="V27" i="58"/>
  <c r="AI72" i="60" s="1"/>
  <c r="V31" i="41"/>
  <c r="AV31" i="41"/>
  <c r="O28" i="58"/>
  <c r="AM24" i="64" s="1"/>
  <c r="BI24" i="64" s="1"/>
  <c r="AD31" i="41"/>
  <c r="Q28" i="58"/>
  <c r="AO24" i="64" s="1"/>
  <c r="AL31" i="41"/>
  <c r="S28" i="58"/>
  <c r="AT31" i="41"/>
  <c r="U28" i="58"/>
  <c r="AS24" i="64"/>
  <c r="W31" i="41"/>
  <c r="AW31" i="41"/>
  <c r="P28" i="58"/>
  <c r="AE31" i="41"/>
  <c r="AY31" i="41" s="1"/>
  <c r="R28" i="58"/>
  <c r="Q73" i="60" s="1"/>
  <c r="AM31" i="41"/>
  <c r="T28" i="58"/>
  <c r="AR24" i="64" s="1"/>
  <c r="AU31" i="41"/>
  <c r="V28" i="58"/>
  <c r="AI73" i="60" s="1"/>
  <c r="AT24" i="64"/>
  <c r="W27" i="41"/>
  <c r="AE27" i="41"/>
  <c r="AY27" i="41" s="1"/>
  <c r="R24" i="58"/>
  <c r="AP20" i="64" s="1"/>
  <c r="AM27" i="41"/>
  <c r="T24" i="58"/>
  <c r="Z69" i="60" s="1"/>
  <c r="AU27" i="41"/>
  <c r="V24" i="58"/>
  <c r="V27" i="41"/>
  <c r="O24" i="58"/>
  <c r="AD27" i="41"/>
  <c r="AL27" i="41"/>
  <c r="S24" i="58"/>
  <c r="X69" i="60" s="1"/>
  <c r="AT27" i="41"/>
  <c r="U24" i="58"/>
  <c r="AG69" i="60" s="1"/>
  <c r="W22" i="41"/>
  <c r="P19" i="58"/>
  <c r="AN19" i="64" s="1"/>
  <c r="AE22" i="41"/>
  <c r="R19" i="58" s="1"/>
  <c r="AM22" i="41"/>
  <c r="T19" i="58"/>
  <c r="AU22" i="41"/>
  <c r="V19" i="58"/>
  <c r="V22" i="41"/>
  <c r="O19" i="58"/>
  <c r="AD22" i="41"/>
  <c r="Q19" i="58"/>
  <c r="AL22" i="41"/>
  <c r="S19" i="58"/>
  <c r="AT22" i="41"/>
  <c r="U19" i="58"/>
  <c r="AG64" i="60" s="1"/>
  <c r="V26" i="41"/>
  <c r="O23" i="58"/>
  <c r="AD26" i="41"/>
  <c r="Q23" i="58"/>
  <c r="AO18" i="64" s="1"/>
  <c r="AL26" i="41"/>
  <c r="S23" i="58"/>
  <c r="AT26" i="41"/>
  <c r="U23" i="58"/>
  <c r="W26" i="41"/>
  <c r="P23" i="58"/>
  <c r="AN18" i="64" s="1"/>
  <c r="AE26" i="41"/>
  <c r="AY26" i="41" s="1"/>
  <c r="R23" i="58"/>
  <c r="Q68" i="60" s="1"/>
  <c r="AM26" i="41"/>
  <c r="T23" i="58"/>
  <c r="AU26" i="41"/>
  <c r="V23" i="58"/>
  <c r="AI68" i="60" s="1"/>
  <c r="V21" i="41"/>
  <c r="O18" i="58"/>
  <c r="G63" i="60" s="1"/>
  <c r="L63" i="60" s="1"/>
  <c r="AD21" i="41"/>
  <c r="Q18" i="58"/>
  <c r="AO14" i="64" s="1"/>
  <c r="AL21" i="41"/>
  <c r="AV21" i="41"/>
  <c r="AT21" i="41"/>
  <c r="U18" i="58"/>
  <c r="AG63" i="60" s="1"/>
  <c r="W21" i="41"/>
  <c r="AW21" i="41"/>
  <c r="P18" i="58"/>
  <c r="AE21" i="41"/>
  <c r="AX21" i="41" s="1"/>
  <c r="R18" i="58"/>
  <c r="Q63" i="60" s="1"/>
  <c r="AM21" i="41"/>
  <c r="T18" i="58"/>
  <c r="Z63" i="60" s="1"/>
  <c r="AU21" i="41"/>
  <c r="V18" i="58"/>
  <c r="V23" i="41"/>
  <c r="O20" i="58"/>
  <c r="AD23" i="41"/>
  <c r="Q20" i="58"/>
  <c r="O65" i="60" s="1"/>
  <c r="AO15" i="64"/>
  <c r="AL23" i="41"/>
  <c r="AV23" i="41"/>
  <c r="AT23" i="41"/>
  <c r="U20" i="58"/>
  <c r="W23" i="41"/>
  <c r="P20" i="58"/>
  <c r="AE23" i="41"/>
  <c r="AY23" i="41" s="1"/>
  <c r="AM23" i="41"/>
  <c r="T20" i="58"/>
  <c r="AR15" i="64" s="1"/>
  <c r="AU23" i="41"/>
  <c r="V20" i="58"/>
  <c r="V24" i="41"/>
  <c r="O21" i="58"/>
  <c r="AD24" i="41"/>
  <c r="Q21" i="58"/>
  <c r="AL24" i="41"/>
  <c r="S21" i="58"/>
  <c r="AT24" i="41"/>
  <c r="U21" i="58"/>
  <c r="AG66" i="60" s="1"/>
  <c r="W24" i="41"/>
  <c r="AE24" i="41"/>
  <c r="R21" i="58" s="1"/>
  <c r="AM24" i="41"/>
  <c r="T21" i="58"/>
  <c r="AR16" i="64" s="1"/>
  <c r="AU24" i="41"/>
  <c r="V21" i="58"/>
  <c r="V25" i="41"/>
  <c r="O22" i="58"/>
  <c r="AD25" i="41"/>
  <c r="Q22" i="58"/>
  <c r="O67" i="60" s="1"/>
  <c r="AL25" i="41"/>
  <c r="S22" i="58"/>
  <c r="X67" i="60" s="1"/>
  <c r="AT25" i="41"/>
  <c r="U22" i="58"/>
  <c r="W25" i="41"/>
  <c r="AE25" i="41"/>
  <c r="AX25" i="41" s="1"/>
  <c r="R22" i="58"/>
  <c r="AP17" i="64" s="1"/>
  <c r="AM25" i="41"/>
  <c r="T22" i="58"/>
  <c r="AR17" i="64" s="1"/>
  <c r="AU25" i="41"/>
  <c r="V22" i="58"/>
  <c r="AT17" i="64"/>
  <c r="V17" i="41"/>
  <c r="O14" i="58"/>
  <c r="G59" i="60"/>
  <c r="AD17" i="41"/>
  <c r="AL17" i="41"/>
  <c r="S14" i="58"/>
  <c r="AQ10" i="64" s="1"/>
  <c r="AT17" i="41"/>
  <c r="U14" i="58"/>
  <c r="W17" i="41"/>
  <c r="P14" i="58"/>
  <c r="I59" i="60" s="1"/>
  <c r="AE17" i="41"/>
  <c r="R14" i="58" s="1"/>
  <c r="AM17" i="41"/>
  <c r="T14" i="58"/>
  <c r="AU17" i="41"/>
  <c r="V14" i="58"/>
  <c r="AT10" i="64" s="1"/>
  <c r="V18" i="41"/>
  <c r="AD18" i="41"/>
  <c r="Q15" i="58"/>
  <c r="O60" i="60" s="1"/>
  <c r="AO11" i="64"/>
  <c r="AL18" i="41"/>
  <c r="S15" i="58"/>
  <c r="X60" i="60" s="1"/>
  <c r="AT18" i="41"/>
  <c r="U15" i="58"/>
  <c r="AG60" i="60" s="1"/>
  <c r="AS11" i="64"/>
  <c r="W18" i="41"/>
  <c r="P15" i="58"/>
  <c r="AN11" i="64" s="1"/>
  <c r="AE18" i="41"/>
  <c r="AX18" i="41" s="1"/>
  <c r="AM18" i="41"/>
  <c r="T15" i="58"/>
  <c r="AU18" i="41"/>
  <c r="V15" i="58"/>
  <c r="V19" i="41"/>
  <c r="O16" i="58"/>
  <c r="AM12" i="64" s="1"/>
  <c r="AD19" i="41"/>
  <c r="Q16" i="58"/>
  <c r="AL19" i="41"/>
  <c r="S16" i="58"/>
  <c r="X61" i="60" s="1"/>
  <c r="AT19" i="41"/>
  <c r="U16" i="58"/>
  <c r="AS12" i="64" s="1"/>
  <c r="AG61" i="60"/>
  <c r="W19" i="41"/>
  <c r="AW19" i="41"/>
  <c r="AE19" i="41"/>
  <c r="AZ19" i="41" s="1"/>
  <c r="R16" i="58"/>
  <c r="AM19" i="41"/>
  <c r="T16" i="58"/>
  <c r="AU19" i="41"/>
  <c r="V16" i="58"/>
  <c r="AI61" i="60" s="1"/>
  <c r="AT12" i="64"/>
  <c r="V20" i="41"/>
  <c r="O17" i="58"/>
  <c r="AD20" i="41"/>
  <c r="Q17" i="58"/>
  <c r="AL20" i="41"/>
  <c r="S17" i="58"/>
  <c r="AT20" i="41"/>
  <c r="AV20" i="41"/>
  <c r="W20" i="41"/>
  <c r="P17" i="58"/>
  <c r="AE20" i="41"/>
  <c r="R17" i="58"/>
  <c r="Q62" i="60" s="1"/>
  <c r="AM20" i="41"/>
  <c r="T17" i="58"/>
  <c r="AU20" i="41"/>
  <c r="V17" i="58"/>
  <c r="W16" i="41"/>
  <c r="AE16" i="41"/>
  <c r="R13" i="58" s="1"/>
  <c r="AM16" i="41"/>
  <c r="T13" i="58"/>
  <c r="AR9" i="64" s="1"/>
  <c r="AU16" i="41"/>
  <c r="V13" i="58"/>
  <c r="V16" i="41"/>
  <c r="O13" i="58"/>
  <c r="AD16" i="41"/>
  <c r="Q13" i="58"/>
  <c r="AL16" i="41"/>
  <c r="AT16" i="41"/>
  <c r="U13" i="58"/>
  <c r="AS9" i="64" s="1"/>
  <c r="C5" i="74"/>
  <c r="C37" i="74" s="1"/>
  <c r="B5" i="74"/>
  <c r="B37" i="74"/>
  <c r="AV17" i="52"/>
  <c r="AV16" i="52"/>
  <c r="BB16" i="52" s="1"/>
  <c r="BD16" i="52"/>
  <c r="AD75" i="58" s="1"/>
  <c r="AJ145" i="60"/>
  <c r="AU18" i="50"/>
  <c r="BC17" i="50"/>
  <c r="BF17" i="50"/>
  <c r="AL19" i="50"/>
  <c r="S86" i="58"/>
  <c r="AL17" i="50"/>
  <c r="S84" i="58"/>
  <c r="X137" i="60" s="1"/>
  <c r="AT17" i="50"/>
  <c r="U84" i="58"/>
  <c r="AG88" i="60"/>
  <c r="AG85" i="60"/>
  <c r="AG73" i="60"/>
  <c r="AG70" i="60"/>
  <c r="AT16" i="46"/>
  <c r="U59" i="58"/>
  <c r="AG25" i="60"/>
  <c r="AM171" i="60"/>
  <c r="AL171" i="60"/>
  <c r="AM163" i="60"/>
  <c r="AL163" i="60"/>
  <c r="AM153" i="60"/>
  <c r="AL153" i="60"/>
  <c r="AM144" i="60"/>
  <c r="AL144" i="60"/>
  <c r="AM135" i="60"/>
  <c r="AL135" i="60"/>
  <c r="AM127" i="60"/>
  <c r="AL127" i="60"/>
  <c r="AM120" i="60"/>
  <c r="AL120" i="60"/>
  <c r="AM94" i="60"/>
  <c r="AL94" i="60"/>
  <c r="AM82" i="60"/>
  <c r="AL82" i="60"/>
  <c r="AM57" i="60"/>
  <c r="AL57" i="60"/>
  <c r="AM49" i="60"/>
  <c r="AL49" i="60"/>
  <c r="AM42" i="60"/>
  <c r="AL42" i="60"/>
  <c r="AM30" i="60"/>
  <c r="AL30" i="60"/>
  <c r="AM21" i="60"/>
  <c r="AL21" i="60"/>
  <c r="AV22" i="41"/>
  <c r="W19" i="58"/>
  <c r="AW19" i="64" s="1"/>
  <c r="H11" i="69" s="1"/>
  <c r="W19" i="53"/>
  <c r="P82" i="58"/>
  <c r="AN78" i="64" s="1"/>
  <c r="AE19" i="53"/>
  <c r="R82" i="58"/>
  <c r="AM19" i="53"/>
  <c r="T82" i="58"/>
  <c r="AU19" i="53"/>
  <c r="V82" i="58"/>
  <c r="AV18" i="47"/>
  <c r="AV17" i="47"/>
  <c r="AV16" i="47"/>
  <c r="W61" i="58"/>
  <c r="AU57" i="64" s="1"/>
  <c r="F30" i="69" s="1"/>
  <c r="W43" i="58"/>
  <c r="AU39" i="64" s="1"/>
  <c r="F20" i="69" s="1"/>
  <c r="AV17" i="43"/>
  <c r="W41" i="58"/>
  <c r="AW37" i="64" s="1"/>
  <c r="H18" i="69" s="1"/>
  <c r="AV25" i="41"/>
  <c r="W22" i="58"/>
  <c r="AV26" i="41"/>
  <c r="AW16" i="52"/>
  <c r="BA16" i="52" s="1"/>
  <c r="BA20" i="52" s="1"/>
  <c r="AW19" i="43"/>
  <c r="BA19" i="43"/>
  <c r="AX19" i="43"/>
  <c r="BB19" i="43" s="1"/>
  <c r="AY19" i="43"/>
  <c r="BG19" i="43" s="1"/>
  <c r="AO58" i="60"/>
  <c r="AP58" i="60"/>
  <c r="J22" i="59"/>
  <c r="AQ58" i="60"/>
  <c r="K22" i="59"/>
  <c r="AR58" i="60"/>
  <c r="L22" i="59"/>
  <c r="AS58" i="60"/>
  <c r="M22" i="59"/>
  <c r="AT58" i="60"/>
  <c r="N22" i="59"/>
  <c r="AU58" i="60"/>
  <c r="AV58" i="60"/>
  <c r="Z58" i="60"/>
  <c r="AO59" i="60"/>
  <c r="AP59" i="60"/>
  <c r="J23" i="59"/>
  <c r="AQ59" i="60"/>
  <c r="K23" i="59"/>
  <c r="AR59" i="60"/>
  <c r="L23" i="59"/>
  <c r="AS59" i="60"/>
  <c r="M23" i="59"/>
  <c r="AT59" i="60"/>
  <c r="N23" i="59"/>
  <c r="AU59" i="60"/>
  <c r="AV59" i="60"/>
  <c r="AO60" i="60"/>
  <c r="AP60" i="60"/>
  <c r="J24" i="59"/>
  <c r="AQ60" i="60"/>
  <c r="K24" i="59"/>
  <c r="AR60" i="60"/>
  <c r="L24" i="59"/>
  <c r="AS60" i="60"/>
  <c r="M24" i="59"/>
  <c r="AT60" i="60"/>
  <c r="N24" i="59"/>
  <c r="AU60" i="60"/>
  <c r="AV60" i="60"/>
  <c r="AG174" i="60"/>
  <c r="AL174" i="60" s="1"/>
  <c r="AG173" i="60"/>
  <c r="AL173" i="60" s="1"/>
  <c r="AG172" i="60"/>
  <c r="AL172" i="60" s="1"/>
  <c r="AG166" i="60"/>
  <c r="AG165" i="60"/>
  <c r="AL165" i="60" s="1"/>
  <c r="AG164" i="60"/>
  <c r="AG158" i="60"/>
  <c r="AG157" i="60"/>
  <c r="AG156" i="60"/>
  <c r="AG155" i="60"/>
  <c r="AG154" i="60"/>
  <c r="B13" i="60"/>
  <c r="B14" i="60" s="1"/>
  <c r="B15" i="60" s="1"/>
  <c r="B16" i="60" s="1"/>
  <c r="B22" i="60" s="1"/>
  <c r="B23" i="60" s="1"/>
  <c r="B24" i="60" s="1"/>
  <c r="B25" i="60" s="1"/>
  <c r="B31" i="60" s="1"/>
  <c r="B32" i="60" s="1"/>
  <c r="B33" i="60" s="1"/>
  <c r="B34" i="60" s="1"/>
  <c r="B35" i="60" s="1"/>
  <c r="B36" i="60" s="1"/>
  <c r="B37" i="60" s="1"/>
  <c r="B43" i="60" s="1"/>
  <c r="B44" i="60" s="1"/>
  <c r="B50" i="60" s="1"/>
  <c r="B51" i="60" s="1"/>
  <c r="B52"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s="1"/>
  <c r="B85" i="60" s="1"/>
  <c r="B86" i="60" s="1"/>
  <c r="B87" i="60" s="1"/>
  <c r="B88" i="60" s="1"/>
  <c r="B89" i="60" s="1"/>
  <c r="B95" i="60" s="1"/>
  <c r="B96" i="60" s="1"/>
  <c r="B97" i="60" s="1"/>
  <c r="B98" i="60" s="1"/>
  <c r="B99" i="60" s="1"/>
  <c r="B100" i="60" s="1"/>
  <c r="B101" i="60" s="1"/>
  <c r="B102" i="60" s="1"/>
  <c r="B108" i="60" s="1"/>
  <c r="B109" i="60" s="1"/>
  <c r="B110" i="60" s="1"/>
  <c r="B111" i="60" s="1"/>
  <c r="B112" i="60" s="1"/>
  <c r="B113" i="60" s="1"/>
  <c r="B114" i="60" s="1"/>
  <c r="B115" i="60" s="1"/>
  <c r="B121" i="60" s="1"/>
  <c r="B122" i="60" s="1"/>
  <c r="B128" i="60" s="1"/>
  <c r="B129" i="60" s="1"/>
  <c r="B130" i="60" s="1"/>
  <c r="B136" i="60" s="1"/>
  <c r="B137" i="60" s="1"/>
  <c r="B138" i="60" s="1"/>
  <c r="B139" i="60" s="1"/>
  <c r="B145" i="60" s="1"/>
  <c r="B146" i="60" s="1"/>
  <c r="B147" i="60" s="1"/>
  <c r="B148" i="60" s="1"/>
  <c r="B154" i="60" s="1"/>
  <c r="B155" i="60" s="1"/>
  <c r="B156" i="60" s="1"/>
  <c r="B157" i="60" s="1"/>
  <c r="B158" i="60" s="1"/>
  <c r="B164" i="60" s="1"/>
  <c r="B165" i="60" s="1"/>
  <c r="B166" i="60" s="1"/>
  <c r="B172" i="60" s="1"/>
  <c r="B173" i="60" s="1"/>
  <c r="B174" i="60" s="1"/>
  <c r="G126" i="59"/>
  <c r="G125" i="59"/>
  <c r="G124" i="59"/>
  <c r="G123" i="59"/>
  <c r="G122" i="59"/>
  <c r="G121" i="59"/>
  <c r="G120" i="59"/>
  <c r="G119" i="59"/>
  <c r="G118" i="59"/>
  <c r="F71" i="75"/>
  <c r="G117" i="59"/>
  <c r="G116" i="59"/>
  <c r="G115" i="59"/>
  <c r="G114" i="59"/>
  <c r="G113" i="59"/>
  <c r="G112" i="59"/>
  <c r="G111" i="59"/>
  <c r="F64" i="75"/>
  <c r="F126" i="59"/>
  <c r="F125" i="59"/>
  <c r="F124" i="59"/>
  <c r="F123" i="59"/>
  <c r="F122" i="59"/>
  <c r="F121" i="59"/>
  <c r="E74" i="75"/>
  <c r="F120" i="59"/>
  <c r="F119" i="59"/>
  <c r="F118" i="59"/>
  <c r="F117" i="59"/>
  <c r="F116" i="59"/>
  <c r="F115" i="59"/>
  <c r="F114" i="59"/>
  <c r="F113" i="59"/>
  <c r="E66" i="76"/>
  <c r="F112" i="59"/>
  <c r="F111" i="59"/>
  <c r="E123" i="59"/>
  <c r="E122" i="59"/>
  <c r="D76" i="77"/>
  <c r="E121" i="59"/>
  <c r="D75" i="77"/>
  <c r="E118" i="59"/>
  <c r="D72" i="77"/>
  <c r="E115" i="59"/>
  <c r="D69" i="77"/>
  <c r="J10" i="59"/>
  <c r="AQ23" i="60"/>
  <c r="K10" i="59"/>
  <c r="AR23" i="60"/>
  <c r="L10" i="59"/>
  <c r="AS23" i="60"/>
  <c r="M10" i="59"/>
  <c r="AT23" i="60"/>
  <c r="N10" i="59"/>
  <c r="AU23" i="60"/>
  <c r="AV23" i="60"/>
  <c r="AP23" i="60"/>
  <c r="AO23" i="60"/>
  <c r="C37" i="72"/>
  <c r="AE17" i="50"/>
  <c r="R84" i="58" s="1"/>
  <c r="AD17" i="50"/>
  <c r="C5" i="70"/>
  <c r="I18" i="66"/>
  <c r="E18" i="66" s="1"/>
  <c r="J18" i="66"/>
  <c r="K18" i="66"/>
  <c r="H18" i="66"/>
  <c r="I17" i="66"/>
  <c r="J17" i="66"/>
  <c r="K17" i="66"/>
  <c r="H17" i="66"/>
  <c r="E17" i="66"/>
  <c r="D38" i="64" s="1"/>
  <c r="D19" i="69"/>
  <c r="I16" i="66"/>
  <c r="J16" i="66"/>
  <c r="K16" i="66"/>
  <c r="H16" i="66"/>
  <c r="E16" i="66" s="1"/>
  <c r="I13" i="66"/>
  <c r="J13" i="66"/>
  <c r="K13" i="66"/>
  <c r="I14" i="66"/>
  <c r="J14" i="66"/>
  <c r="K14" i="66"/>
  <c r="E14" i="66"/>
  <c r="I15" i="66"/>
  <c r="J15" i="66"/>
  <c r="K15" i="66"/>
  <c r="H15" i="66"/>
  <c r="E15" i="66" s="1"/>
  <c r="H14" i="66"/>
  <c r="H13" i="66"/>
  <c r="I12" i="66"/>
  <c r="J12" i="66"/>
  <c r="K12" i="66"/>
  <c r="H12" i="66"/>
  <c r="I11" i="66"/>
  <c r="J11" i="66"/>
  <c r="K11" i="66"/>
  <c r="H11" i="66"/>
  <c r="E11" i="66" s="1"/>
  <c r="I10" i="66"/>
  <c r="E10" i="66" s="1"/>
  <c r="J10" i="66"/>
  <c r="K10" i="66"/>
  <c r="H10" i="66"/>
  <c r="V19" i="50"/>
  <c r="C5" i="77"/>
  <c r="E36" i="77"/>
  <c r="C37" i="73"/>
  <c r="D59" i="77"/>
  <c r="D58" i="77"/>
  <c r="D57" i="77"/>
  <c r="D56" i="77"/>
  <c r="D34" i="77"/>
  <c r="D30" i="77"/>
  <c r="D29" i="77"/>
  <c r="D28" i="77"/>
  <c r="D27" i="77"/>
  <c r="C3" i="77"/>
  <c r="C5" i="76"/>
  <c r="E36" i="76"/>
  <c r="D59" i="76"/>
  <c r="D58" i="76"/>
  <c r="D57" i="76"/>
  <c r="D56" i="76"/>
  <c r="D34" i="76"/>
  <c r="D30" i="76"/>
  <c r="D29" i="76"/>
  <c r="D28" i="76"/>
  <c r="D27" i="76"/>
  <c r="C3" i="76"/>
  <c r="D59" i="75"/>
  <c r="D58" i="75"/>
  <c r="D57" i="75"/>
  <c r="D56" i="75"/>
  <c r="D34" i="75"/>
  <c r="D30" i="75"/>
  <c r="D29" i="75"/>
  <c r="D28" i="75"/>
  <c r="D27" i="75"/>
  <c r="C3" i="75"/>
  <c r="C3" i="63"/>
  <c r="F39" i="74"/>
  <c r="F39" i="73"/>
  <c r="B5" i="73"/>
  <c r="B37" i="73"/>
  <c r="F39" i="72"/>
  <c r="B5" i="72"/>
  <c r="B37" i="72"/>
  <c r="F39" i="62"/>
  <c r="AV157" i="60"/>
  <c r="AP157" i="60"/>
  <c r="AO157" i="60"/>
  <c r="C157" i="60"/>
  <c r="AD82" i="60"/>
  <c r="P84" i="58"/>
  <c r="AN80" i="64" s="1"/>
  <c r="W19" i="50"/>
  <c r="C23" i="60"/>
  <c r="AD42" i="60"/>
  <c r="X42" i="60"/>
  <c r="AC42" i="60"/>
  <c r="O42" i="60"/>
  <c r="AD171" i="60"/>
  <c r="X171" i="60"/>
  <c r="AC171" i="60"/>
  <c r="O171" i="60"/>
  <c r="AD163" i="60"/>
  <c r="X163" i="60"/>
  <c r="AC163" i="60"/>
  <c r="O163" i="60"/>
  <c r="AD153" i="60"/>
  <c r="X153" i="60"/>
  <c r="AC153" i="60"/>
  <c r="O153" i="60"/>
  <c r="AD144" i="60"/>
  <c r="X144" i="60"/>
  <c r="AC144" i="60"/>
  <c r="O144" i="60"/>
  <c r="AD135" i="60"/>
  <c r="X135" i="60"/>
  <c r="AC135" i="60"/>
  <c r="O135" i="60"/>
  <c r="AD127" i="60"/>
  <c r="X127" i="60"/>
  <c r="AC127" i="60"/>
  <c r="O127" i="60"/>
  <c r="AD120" i="60"/>
  <c r="X120" i="60"/>
  <c r="AC120" i="60"/>
  <c r="O120" i="60"/>
  <c r="AM107" i="60"/>
  <c r="AL107" i="60"/>
  <c r="AD107" i="60"/>
  <c r="X107" i="60"/>
  <c r="AC107" i="60"/>
  <c r="O107" i="60"/>
  <c r="AD94" i="60"/>
  <c r="X94" i="60"/>
  <c r="AC94" i="60"/>
  <c r="O94" i="60"/>
  <c r="X82" i="60"/>
  <c r="AC82" i="60"/>
  <c r="O82" i="60"/>
  <c r="AD57" i="60"/>
  <c r="X57" i="60"/>
  <c r="AC57" i="60"/>
  <c r="O57" i="60"/>
  <c r="AD49" i="60"/>
  <c r="X49" i="60"/>
  <c r="AC49" i="60"/>
  <c r="O49" i="60"/>
  <c r="AD30" i="60"/>
  <c r="X30" i="60"/>
  <c r="AC30" i="60"/>
  <c r="O30" i="60"/>
  <c r="AD21" i="60"/>
  <c r="X21" i="60"/>
  <c r="AC21" i="60"/>
  <c r="O21" i="60"/>
  <c r="AL12" i="60"/>
  <c r="D39" i="74"/>
  <c r="D29" i="74"/>
  <c r="AD12" i="60"/>
  <c r="E39" i="73"/>
  <c r="X12" i="60"/>
  <c r="AC12" i="60" s="1"/>
  <c r="D39" i="73" s="1"/>
  <c r="D29" i="73" s="1"/>
  <c r="O12" i="60"/>
  <c r="T12" i="60"/>
  <c r="D39" i="72"/>
  <c r="D29" i="72"/>
  <c r="F12" i="60"/>
  <c r="K12" i="60"/>
  <c r="F10" i="59"/>
  <c r="O10" i="58"/>
  <c r="K97" i="58"/>
  <c r="M93" i="64" s="1"/>
  <c r="L97" i="58"/>
  <c r="N93" i="64"/>
  <c r="M97" i="58"/>
  <c r="O93" i="64" s="1"/>
  <c r="N97" i="58"/>
  <c r="P93" i="64" s="1"/>
  <c r="BF93" i="64" s="1"/>
  <c r="H97" i="58"/>
  <c r="I97" i="58"/>
  <c r="K93" i="64" s="1"/>
  <c r="J97" i="58"/>
  <c r="L93" i="64" s="1"/>
  <c r="G97" i="58"/>
  <c r="F97" i="58"/>
  <c r="J93" i="64" s="1"/>
  <c r="E97" i="58"/>
  <c r="I93" i="64" s="1"/>
  <c r="D97" i="58"/>
  <c r="H93" i="64" s="1"/>
  <c r="H18" i="55"/>
  <c r="H17" i="55"/>
  <c r="H16" i="55"/>
  <c r="E166" i="60"/>
  <c r="N166" i="60"/>
  <c r="Q87" i="59"/>
  <c r="E165" i="60"/>
  <c r="Q82" i="59"/>
  <c r="E158" i="60"/>
  <c r="Q81" i="59"/>
  <c r="E157" i="60"/>
  <c r="N157" i="60"/>
  <c r="Q74" i="59"/>
  <c r="E145" i="60"/>
  <c r="N145" i="60"/>
  <c r="Q64" i="59"/>
  <c r="E115" i="60"/>
  <c r="N115" i="60" s="1"/>
  <c r="W115" i="60" s="1"/>
  <c r="AF115" i="60" s="1"/>
  <c r="Q63" i="59"/>
  <c r="E114" i="60" s="1"/>
  <c r="Q62" i="59"/>
  <c r="E113" i="60"/>
  <c r="N113" i="60"/>
  <c r="W113" i="60" s="1"/>
  <c r="AF113" i="60" s="1"/>
  <c r="E110" i="60"/>
  <c r="N110" i="60"/>
  <c r="W110" i="60"/>
  <c r="AF110" i="60" s="1"/>
  <c r="Q48" i="59"/>
  <c r="E89" i="60"/>
  <c r="N89" i="60"/>
  <c r="W89" i="60"/>
  <c r="AF89" i="60"/>
  <c r="Q38" i="59"/>
  <c r="E74" i="60"/>
  <c r="N74" i="60"/>
  <c r="W74" i="60"/>
  <c r="AF74" i="60"/>
  <c r="Q32" i="59"/>
  <c r="E68" i="60"/>
  <c r="N68" i="60"/>
  <c r="W68" i="60"/>
  <c r="AF68" i="60"/>
  <c r="Q31" i="59"/>
  <c r="E67" i="60"/>
  <c r="N67" i="60"/>
  <c r="W67" i="60"/>
  <c r="AF67" i="60"/>
  <c r="Q23" i="59"/>
  <c r="E59" i="60"/>
  <c r="N59" i="60"/>
  <c r="Q22" i="59"/>
  <c r="E58" i="60"/>
  <c r="N58" i="60"/>
  <c r="G17" i="56"/>
  <c r="Q21" i="59"/>
  <c r="E44" i="60"/>
  <c r="N44" i="60"/>
  <c r="G16" i="56"/>
  <c r="Q20" i="59"/>
  <c r="E43" i="60"/>
  <c r="N43" i="60"/>
  <c r="W43" i="60"/>
  <c r="AF43" i="60"/>
  <c r="E37" i="60"/>
  <c r="Q15" i="59"/>
  <c r="E33" i="60"/>
  <c r="O17" i="45"/>
  <c r="R10" i="59" s="1"/>
  <c r="I17" i="45"/>
  <c r="E10" i="59"/>
  <c r="D23" i="60"/>
  <c r="H17" i="45"/>
  <c r="Q10" i="59"/>
  <c r="E23" i="60"/>
  <c r="F17" i="45"/>
  <c r="P10" i="59"/>
  <c r="F18" i="45"/>
  <c r="P11" i="59"/>
  <c r="E17" i="45"/>
  <c r="D17" i="45"/>
  <c r="F7" i="71"/>
  <c r="C33" i="41"/>
  <c r="C27" i="41"/>
  <c r="C16" i="41"/>
  <c r="B7" i="67"/>
  <c r="B7" i="70"/>
  <c r="D31" i="63"/>
  <c r="D30" i="63"/>
  <c r="D29" i="63"/>
  <c r="D28" i="63"/>
  <c r="V85" i="58"/>
  <c r="V86" i="58"/>
  <c r="AT82" i="64" s="1"/>
  <c r="AI139" i="60"/>
  <c r="AM19" i="50"/>
  <c r="T86" i="58"/>
  <c r="T85" i="58"/>
  <c r="Z138" i="60" s="1"/>
  <c r="AU17" i="50"/>
  <c r="V84" i="58"/>
  <c r="AM17" i="50"/>
  <c r="T84" i="58"/>
  <c r="C29" i="66"/>
  <c r="C95" i="64" s="1"/>
  <c r="C28" i="66"/>
  <c r="C47" i="69" s="1"/>
  <c r="C94" i="64"/>
  <c r="C27" i="66"/>
  <c r="C92" i="64" s="1"/>
  <c r="C26" i="66"/>
  <c r="C45" i="69" s="1"/>
  <c r="C27" i="67"/>
  <c r="C25" i="66"/>
  <c r="C44" i="69" s="1"/>
  <c r="C26" i="67"/>
  <c r="C24" i="66"/>
  <c r="C83" i="64"/>
  <c r="C23" i="66"/>
  <c r="C65" i="64"/>
  <c r="C22" i="66"/>
  <c r="C30" i="69"/>
  <c r="C57" i="64"/>
  <c r="C21" i="66"/>
  <c r="C51" i="64"/>
  <c r="C20" i="66"/>
  <c r="C21" i="67" s="1"/>
  <c r="C19" i="66"/>
  <c r="C20" i="67" s="1"/>
  <c r="C22" i="69"/>
  <c r="C18" i="66"/>
  <c r="C19" i="67"/>
  <c r="C17" i="66"/>
  <c r="C16" i="66"/>
  <c r="C15" i="66"/>
  <c r="C16" i="67" s="1"/>
  <c r="C16" i="69"/>
  <c r="C14" i="66"/>
  <c r="C15" i="69"/>
  <c r="C13" i="66"/>
  <c r="C14" i="67" s="1"/>
  <c r="C29" i="64"/>
  <c r="C12" i="66"/>
  <c r="C13" i="67" s="1"/>
  <c r="C13" i="69"/>
  <c r="C11" i="66"/>
  <c r="C12" i="67"/>
  <c r="C10" i="66"/>
  <c r="C11" i="67"/>
  <c r="E47" i="69"/>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E12" i="69"/>
  <c r="B15" i="70"/>
  <c r="B14" i="70"/>
  <c r="B13" i="70"/>
  <c r="B12" i="70"/>
  <c r="B11" i="70"/>
  <c r="E10" i="69"/>
  <c r="E11" i="69"/>
  <c r="D46" i="69"/>
  <c r="D47" i="69"/>
  <c r="D48" i="69"/>
  <c r="D23" i="69"/>
  <c r="D24" i="69"/>
  <c r="D30" i="69"/>
  <c r="D35" i="69"/>
  <c r="D43" i="69"/>
  <c r="D44" i="69"/>
  <c r="D45" i="69"/>
  <c r="D22" i="69"/>
  <c r="B46" i="69"/>
  <c r="B23" i="69"/>
  <c r="B17" i="69"/>
  <c r="B14" i="69"/>
  <c r="B10" i="69"/>
  <c r="B28" i="67"/>
  <c r="B21" i="67"/>
  <c r="B17" i="67"/>
  <c r="B14" i="67"/>
  <c r="B11" i="67"/>
  <c r="B92" i="64"/>
  <c r="B44" i="64"/>
  <c r="B36" i="64"/>
  <c r="B29" i="64"/>
  <c r="B9" i="64"/>
  <c r="E94" i="64"/>
  <c r="E95" i="64"/>
  <c r="E92" i="64"/>
  <c r="E91" i="64"/>
  <c r="E89" i="64"/>
  <c r="E83" i="64"/>
  <c r="E65" i="64"/>
  <c r="E57" i="64"/>
  <c r="E51" i="64"/>
  <c r="E44" i="64"/>
  <c r="E41" i="64"/>
  <c r="E40" i="64"/>
  <c r="E38" i="64"/>
  <c r="E36" i="64"/>
  <c r="E33" i="64"/>
  <c r="E31" i="64"/>
  <c r="E29" i="64"/>
  <c r="E26" i="64"/>
  <c r="E20" i="64"/>
  <c r="E9" i="64"/>
  <c r="D94" i="64"/>
  <c r="D95" i="64"/>
  <c r="D92" i="64"/>
  <c r="D91" i="64"/>
  <c r="D89" i="64"/>
  <c r="D83" i="64"/>
  <c r="D65" i="64"/>
  <c r="D57" i="64"/>
  <c r="D51" i="64"/>
  <c r="D44" i="64"/>
  <c r="D41" i="64"/>
  <c r="D58" i="63"/>
  <c r="D57" i="63"/>
  <c r="D56" i="63"/>
  <c r="D55" i="63"/>
  <c r="D62" i="63"/>
  <c r="AV139" i="60"/>
  <c r="AP139" i="60"/>
  <c r="AO139" i="60"/>
  <c r="AV138" i="60"/>
  <c r="AP138" i="60"/>
  <c r="AO138" i="60"/>
  <c r="AV137" i="60"/>
  <c r="AP137" i="60"/>
  <c r="AO137" i="60"/>
  <c r="M71" i="59"/>
  <c r="AT137" i="60"/>
  <c r="M72" i="59"/>
  <c r="AT138" i="60"/>
  <c r="M73" i="59"/>
  <c r="AT139" i="60"/>
  <c r="K73" i="59"/>
  <c r="AR139" i="60"/>
  <c r="K71" i="59"/>
  <c r="AR137" i="60"/>
  <c r="K72" i="59"/>
  <c r="AR138" i="60"/>
  <c r="R85" i="58"/>
  <c r="N99" i="58"/>
  <c r="P95" i="64" s="1"/>
  <c r="BF95" i="64" s="1"/>
  <c r="M99" i="58"/>
  <c r="O95" i="64" s="1"/>
  <c r="L99" i="58"/>
  <c r="N95" i="64" s="1"/>
  <c r="K99" i="58"/>
  <c r="M95" i="64" s="1"/>
  <c r="J99" i="58"/>
  <c r="L95" i="64"/>
  <c r="I99" i="58"/>
  <c r="K95" i="64" s="1"/>
  <c r="H99" i="58"/>
  <c r="G99" i="58"/>
  <c r="F99" i="58"/>
  <c r="J95" i="64" s="1"/>
  <c r="E99" i="58"/>
  <c r="I95" i="64" s="1"/>
  <c r="D99" i="58"/>
  <c r="H95" i="64" s="1"/>
  <c r="N98" i="58"/>
  <c r="P94" i="64" s="1"/>
  <c r="BF94" i="64" s="1"/>
  <c r="M98" i="58"/>
  <c r="O94" i="64" s="1"/>
  <c r="L98" i="58"/>
  <c r="N94" i="64" s="1"/>
  <c r="K98" i="58"/>
  <c r="M94" i="64"/>
  <c r="J98" i="58"/>
  <c r="L94" i="64"/>
  <c r="I98" i="58"/>
  <c r="K94" i="64"/>
  <c r="H98" i="58"/>
  <c r="G98" i="58"/>
  <c r="F98" i="58"/>
  <c r="J94" i="64" s="1"/>
  <c r="E98" i="58"/>
  <c r="I94" i="64" s="1"/>
  <c r="D98" i="58"/>
  <c r="H94" i="64" s="1"/>
  <c r="N96" i="58"/>
  <c r="P92" i="64" s="1"/>
  <c r="BF92" i="64" s="1"/>
  <c r="M96" i="58"/>
  <c r="O92" i="64" s="1"/>
  <c r="L96" i="58"/>
  <c r="N92" i="64" s="1"/>
  <c r="K96" i="58"/>
  <c r="M92" i="64"/>
  <c r="J96" i="58"/>
  <c r="L92" i="64" s="1"/>
  <c r="I96" i="58"/>
  <c r="K92" i="64" s="1"/>
  <c r="H96" i="58"/>
  <c r="G96" i="58"/>
  <c r="F96" i="58"/>
  <c r="E96" i="58"/>
  <c r="I92" i="64" s="1"/>
  <c r="D96" i="58"/>
  <c r="H92" i="64" s="1"/>
  <c r="N95" i="58"/>
  <c r="P91" i="64"/>
  <c r="BF91" i="64" s="1"/>
  <c r="M95" i="58"/>
  <c r="O91" i="64" s="1"/>
  <c r="L95" i="58"/>
  <c r="N91" i="64"/>
  <c r="K95" i="58"/>
  <c r="M91" i="64" s="1"/>
  <c r="J95" i="58"/>
  <c r="L91" i="64" s="1"/>
  <c r="I95" i="58"/>
  <c r="K91" i="64" s="1"/>
  <c r="H95" i="58"/>
  <c r="G95" i="58"/>
  <c r="F95" i="58"/>
  <c r="J91" i="64" s="1"/>
  <c r="E95" i="58"/>
  <c r="I91" i="64"/>
  <c r="D95" i="58"/>
  <c r="H91" i="64" s="1"/>
  <c r="N94" i="58"/>
  <c r="P90" i="64" s="1"/>
  <c r="BF90" i="64" s="1"/>
  <c r="M94" i="58"/>
  <c r="O90" i="64" s="1"/>
  <c r="L94" i="58"/>
  <c r="N90" i="64"/>
  <c r="K94" i="58"/>
  <c r="M90" i="64" s="1"/>
  <c r="J94" i="58"/>
  <c r="L90" i="64" s="1"/>
  <c r="I94" i="58"/>
  <c r="K90" i="64" s="1"/>
  <c r="H94" i="58"/>
  <c r="G94" i="58"/>
  <c r="F94" i="58"/>
  <c r="E94" i="58"/>
  <c r="I90" i="64" s="1"/>
  <c r="D94" i="58"/>
  <c r="H90" i="64" s="1"/>
  <c r="N93" i="58"/>
  <c r="P89" i="64" s="1"/>
  <c r="BF89" i="64" s="1"/>
  <c r="M93" i="58"/>
  <c r="O89" i="64" s="1"/>
  <c r="L93" i="58"/>
  <c r="N89" i="64" s="1"/>
  <c r="K93" i="58"/>
  <c r="M89" i="64" s="1"/>
  <c r="J93" i="58"/>
  <c r="L89" i="64"/>
  <c r="I93" i="58"/>
  <c r="K89" i="64" s="1"/>
  <c r="H93" i="58"/>
  <c r="G93" i="58"/>
  <c r="F93" i="58"/>
  <c r="E93" i="58"/>
  <c r="I89" i="64" s="1"/>
  <c r="D93" i="58"/>
  <c r="H89" i="64" s="1"/>
  <c r="N92" i="58"/>
  <c r="P88" i="64" s="1"/>
  <c r="BF88" i="64" s="1"/>
  <c r="M92" i="58"/>
  <c r="O88" i="64"/>
  <c r="L92" i="58"/>
  <c r="N88" i="64" s="1"/>
  <c r="K92" i="58"/>
  <c r="M88" i="64" s="1"/>
  <c r="J92" i="58"/>
  <c r="L88" i="64" s="1"/>
  <c r="I92" i="58"/>
  <c r="K88" i="64" s="1"/>
  <c r="H92" i="58"/>
  <c r="G92" i="58"/>
  <c r="F92" i="58"/>
  <c r="J88" i="64"/>
  <c r="E92" i="58"/>
  <c r="I88" i="64"/>
  <c r="D92" i="58"/>
  <c r="H88" i="64" s="1"/>
  <c r="N91" i="58"/>
  <c r="P87" i="64" s="1"/>
  <c r="BF87" i="64" s="1"/>
  <c r="M91" i="58"/>
  <c r="O87" i="64" s="1"/>
  <c r="L91" i="58"/>
  <c r="N87" i="64" s="1"/>
  <c r="K91" i="58"/>
  <c r="M87" i="64" s="1"/>
  <c r="J91" i="58"/>
  <c r="L87" i="64" s="1"/>
  <c r="I91" i="58"/>
  <c r="K87" i="64"/>
  <c r="H91" i="58"/>
  <c r="G91" i="58"/>
  <c r="F91" i="58"/>
  <c r="J87" i="64" s="1"/>
  <c r="E91" i="58"/>
  <c r="I87" i="64"/>
  <c r="D91" i="58"/>
  <c r="H87" i="64" s="1"/>
  <c r="N90" i="58"/>
  <c r="P86" i="64" s="1"/>
  <c r="BF86" i="64" s="1"/>
  <c r="M90" i="58"/>
  <c r="O86" i="64" s="1"/>
  <c r="L90" i="58"/>
  <c r="N86" i="64" s="1"/>
  <c r="K90" i="58"/>
  <c r="M86" i="64" s="1"/>
  <c r="J90" i="58"/>
  <c r="L86" i="64" s="1"/>
  <c r="I90" i="58"/>
  <c r="K86" i="64" s="1"/>
  <c r="H90" i="58"/>
  <c r="G90" i="58"/>
  <c r="F90" i="58"/>
  <c r="J86" i="64" s="1"/>
  <c r="E90" i="58"/>
  <c r="I86" i="64" s="1"/>
  <c r="D90" i="58"/>
  <c r="H86" i="64" s="1"/>
  <c r="N89" i="58"/>
  <c r="P85" i="64"/>
  <c r="BF85" i="64" s="1"/>
  <c r="M89" i="58"/>
  <c r="O85" i="64" s="1"/>
  <c r="L89" i="58"/>
  <c r="N85" i="64" s="1"/>
  <c r="K89" i="58"/>
  <c r="M85" i="64"/>
  <c r="J89" i="58"/>
  <c r="L85" i="64" s="1"/>
  <c r="I89" i="58"/>
  <c r="K85" i="64" s="1"/>
  <c r="H89" i="58"/>
  <c r="G89" i="58"/>
  <c r="E89" i="58"/>
  <c r="I85" i="64" s="1"/>
  <c r="D89" i="58"/>
  <c r="H85" i="64" s="1"/>
  <c r="N88" i="58"/>
  <c r="P84" i="64" s="1"/>
  <c r="BF84" i="64" s="1"/>
  <c r="M88" i="58"/>
  <c r="O84" i="64" s="1"/>
  <c r="L88" i="58"/>
  <c r="N84" i="64" s="1"/>
  <c r="K88" i="58"/>
  <c r="M84" i="64" s="1"/>
  <c r="J88" i="58"/>
  <c r="L84" i="64" s="1"/>
  <c r="I88" i="58"/>
  <c r="K84" i="64" s="1"/>
  <c r="H88" i="58"/>
  <c r="G88" i="58"/>
  <c r="E88" i="58"/>
  <c r="I84" i="64" s="1"/>
  <c r="D88" i="58"/>
  <c r="H84" i="64" s="1"/>
  <c r="N87" i="58"/>
  <c r="P83" i="64" s="1"/>
  <c r="BF83" i="64" s="1"/>
  <c r="M87" i="58"/>
  <c r="O83" i="64" s="1"/>
  <c r="L87" i="58"/>
  <c r="N83" i="64" s="1"/>
  <c r="K87" i="58"/>
  <c r="M83" i="64" s="1"/>
  <c r="J87" i="58"/>
  <c r="L83" i="64" s="1"/>
  <c r="I87" i="58"/>
  <c r="K83" i="64"/>
  <c r="H87" i="58"/>
  <c r="G87" i="58"/>
  <c r="E87" i="58"/>
  <c r="I83" i="64" s="1"/>
  <c r="D87" i="58"/>
  <c r="H83" i="64" s="1"/>
  <c r="Q84" i="58"/>
  <c r="P86" i="58"/>
  <c r="H139" i="60" s="1"/>
  <c r="O86" i="58"/>
  <c r="G139" i="60" s="1"/>
  <c r="L139" i="60" s="1"/>
  <c r="O84" i="58"/>
  <c r="N86" i="58"/>
  <c r="P82" i="64"/>
  <c r="BF82" i="64" s="1"/>
  <c r="M86" i="58"/>
  <c r="O82" i="64" s="1"/>
  <c r="L86" i="58"/>
  <c r="N82" i="64" s="1"/>
  <c r="K86" i="58"/>
  <c r="M82" i="64" s="1"/>
  <c r="J86" i="58"/>
  <c r="L82" i="64" s="1"/>
  <c r="I86" i="58"/>
  <c r="K82" i="64" s="1"/>
  <c r="H86" i="58"/>
  <c r="G86" i="58"/>
  <c r="F86" i="58"/>
  <c r="N85" i="58"/>
  <c r="P81" i="64" s="1"/>
  <c r="BF81" i="64" s="1"/>
  <c r="M85" i="58"/>
  <c r="O81" i="64" s="1"/>
  <c r="L85" i="58"/>
  <c r="N81" i="64" s="1"/>
  <c r="K85" i="58"/>
  <c r="M81" i="64"/>
  <c r="J85" i="58"/>
  <c r="L81" i="64" s="1"/>
  <c r="I85" i="58"/>
  <c r="K81" i="64" s="1"/>
  <c r="H85" i="58"/>
  <c r="G85" i="58"/>
  <c r="F85" i="58"/>
  <c r="J81" i="64" s="1"/>
  <c r="N84" i="58"/>
  <c r="P80" i="64" s="1"/>
  <c r="BF80" i="64" s="1"/>
  <c r="M84" i="58"/>
  <c r="O80" i="64" s="1"/>
  <c r="L84" i="58"/>
  <c r="N80" i="64"/>
  <c r="K84" i="58"/>
  <c r="M80" i="64" s="1"/>
  <c r="J84" i="58"/>
  <c r="L80" i="64"/>
  <c r="I84" i="58"/>
  <c r="K80" i="64" s="1"/>
  <c r="H84" i="58"/>
  <c r="G84" i="58"/>
  <c r="F84" i="58"/>
  <c r="J80" i="64" s="1"/>
  <c r="N83" i="58"/>
  <c r="P79" i="64" s="1"/>
  <c r="BF79" i="64" s="1"/>
  <c r="M83" i="58"/>
  <c r="O79" i="64" s="1"/>
  <c r="L83" i="58"/>
  <c r="N79" i="64" s="1"/>
  <c r="K83" i="58"/>
  <c r="M79" i="64"/>
  <c r="J83" i="58"/>
  <c r="L79" i="64" s="1"/>
  <c r="I83" i="58"/>
  <c r="K79" i="64" s="1"/>
  <c r="H83" i="58"/>
  <c r="G83" i="58"/>
  <c r="F83" i="58"/>
  <c r="N82" i="58"/>
  <c r="P78" i="64" s="1"/>
  <c r="BF78" i="64" s="1"/>
  <c r="M82" i="58"/>
  <c r="O78" i="64"/>
  <c r="L82" i="58"/>
  <c r="N78" i="64" s="1"/>
  <c r="K82" i="58"/>
  <c r="M78" i="64" s="1"/>
  <c r="J82" i="58"/>
  <c r="L78" i="64"/>
  <c r="I82" i="58"/>
  <c r="K78" i="64" s="1"/>
  <c r="H82" i="58"/>
  <c r="G82" i="58"/>
  <c r="F82" i="58"/>
  <c r="J78" i="64" s="1"/>
  <c r="E82" i="58"/>
  <c r="I78" i="64" s="1"/>
  <c r="D82" i="58"/>
  <c r="H78" i="64"/>
  <c r="N78" i="58"/>
  <c r="P74" i="64" s="1"/>
  <c r="BF74" i="64" s="1"/>
  <c r="M78" i="58"/>
  <c r="O74" i="64" s="1"/>
  <c r="L78" i="58"/>
  <c r="N74" i="64"/>
  <c r="K78" i="58"/>
  <c r="M74" i="64"/>
  <c r="J78" i="58"/>
  <c r="L74" i="64" s="1"/>
  <c r="I78" i="58"/>
  <c r="K74" i="64" s="1"/>
  <c r="H78" i="58"/>
  <c r="G78" i="58"/>
  <c r="F78" i="58"/>
  <c r="E78" i="58"/>
  <c r="I74" i="64"/>
  <c r="D78" i="58"/>
  <c r="H74" i="64" s="1"/>
  <c r="N77" i="58"/>
  <c r="P73" i="64" s="1"/>
  <c r="BF73" i="64" s="1"/>
  <c r="M77" i="58"/>
  <c r="O73" i="64" s="1"/>
  <c r="L77" i="58"/>
  <c r="N73" i="64" s="1"/>
  <c r="K77" i="58"/>
  <c r="M73" i="64" s="1"/>
  <c r="J77" i="58"/>
  <c r="L73" i="64" s="1"/>
  <c r="I77" i="58"/>
  <c r="K73" i="64" s="1"/>
  <c r="H77" i="58"/>
  <c r="G77" i="58"/>
  <c r="F77" i="58"/>
  <c r="J73" i="64" s="1"/>
  <c r="E77" i="58"/>
  <c r="I73" i="64" s="1"/>
  <c r="D77" i="58"/>
  <c r="H73" i="64" s="1"/>
  <c r="E84" i="58"/>
  <c r="I80" i="64" s="1"/>
  <c r="D84" i="58"/>
  <c r="H80" i="64" s="1"/>
  <c r="N81" i="58"/>
  <c r="P77" i="64" s="1"/>
  <c r="BF77" i="64" s="1"/>
  <c r="M81" i="58"/>
  <c r="O77" i="64" s="1"/>
  <c r="L81" i="58"/>
  <c r="N77" i="64" s="1"/>
  <c r="K81" i="58"/>
  <c r="M77" i="64"/>
  <c r="J81" i="58"/>
  <c r="L77" i="64" s="1"/>
  <c r="I81" i="58"/>
  <c r="K77" i="64" s="1"/>
  <c r="H81" i="58"/>
  <c r="G81" i="58"/>
  <c r="F81" i="58"/>
  <c r="E81" i="58"/>
  <c r="I77" i="64" s="1"/>
  <c r="D81" i="58"/>
  <c r="H77" i="64" s="1"/>
  <c r="N80" i="58"/>
  <c r="P76" i="64" s="1"/>
  <c r="BF76" i="64" s="1"/>
  <c r="M80" i="58"/>
  <c r="O76" i="64" s="1"/>
  <c r="L80" i="58"/>
  <c r="N76" i="64" s="1"/>
  <c r="K80" i="58"/>
  <c r="M76" i="64" s="1"/>
  <c r="J80" i="58"/>
  <c r="L76" i="64" s="1"/>
  <c r="I80" i="58"/>
  <c r="K76" i="64" s="1"/>
  <c r="H80" i="58"/>
  <c r="G80" i="58"/>
  <c r="F80" i="58"/>
  <c r="J76" i="64" s="1"/>
  <c r="E80" i="58"/>
  <c r="I76" i="64" s="1"/>
  <c r="D80" i="58"/>
  <c r="H76" i="64" s="1"/>
  <c r="N79" i="58"/>
  <c r="P75" i="64" s="1"/>
  <c r="BF75" i="64" s="1"/>
  <c r="M79" i="58"/>
  <c r="O75" i="64" s="1"/>
  <c r="L79" i="58"/>
  <c r="N75" i="64"/>
  <c r="K79" i="58"/>
  <c r="M75" i="64" s="1"/>
  <c r="J79" i="58"/>
  <c r="L75" i="64"/>
  <c r="I79" i="58"/>
  <c r="K75" i="64" s="1"/>
  <c r="H79" i="58"/>
  <c r="G79" i="58"/>
  <c r="F79" i="58"/>
  <c r="J75" i="64" s="1"/>
  <c r="E79" i="58"/>
  <c r="I75" i="64" s="1"/>
  <c r="D79" i="58"/>
  <c r="H75" i="64"/>
  <c r="N76" i="58"/>
  <c r="P72" i="64" s="1"/>
  <c r="BF72" i="64" s="1"/>
  <c r="M76" i="58"/>
  <c r="O72" i="64" s="1"/>
  <c r="L76" i="58"/>
  <c r="N72" i="64" s="1"/>
  <c r="K76" i="58"/>
  <c r="M72" i="64" s="1"/>
  <c r="J76" i="58"/>
  <c r="L72" i="64" s="1"/>
  <c r="I76" i="58"/>
  <c r="K72" i="64" s="1"/>
  <c r="H76" i="58"/>
  <c r="F72" i="64" s="1"/>
  <c r="E39" i="69" s="1"/>
  <c r="G76" i="58"/>
  <c r="F76" i="58"/>
  <c r="E76" i="58"/>
  <c r="I72" i="64" s="1"/>
  <c r="D76" i="58"/>
  <c r="H72" i="64" s="1"/>
  <c r="N75" i="58"/>
  <c r="P71" i="64" s="1"/>
  <c r="BF71" i="64" s="1"/>
  <c r="M75" i="58"/>
  <c r="O71" i="64" s="1"/>
  <c r="L75" i="58"/>
  <c r="N71" i="64"/>
  <c r="K75" i="58"/>
  <c r="M71" i="64" s="1"/>
  <c r="J75" i="58"/>
  <c r="L71" i="64" s="1"/>
  <c r="I75" i="58"/>
  <c r="K71" i="64" s="1"/>
  <c r="H75" i="58"/>
  <c r="F71" i="64" s="1"/>
  <c r="E38" i="69" s="1"/>
  <c r="G75" i="58"/>
  <c r="F75" i="58"/>
  <c r="J71" i="64" s="1"/>
  <c r="E75" i="58"/>
  <c r="I71" i="64" s="1"/>
  <c r="D75" i="58"/>
  <c r="H71" i="64" s="1"/>
  <c r="N74" i="58"/>
  <c r="P70" i="64" s="1"/>
  <c r="BF70" i="64" s="1"/>
  <c r="M74" i="58"/>
  <c r="O70" i="64"/>
  <c r="L74" i="58"/>
  <c r="N70" i="64" s="1"/>
  <c r="K74" i="58"/>
  <c r="M70" i="64" s="1"/>
  <c r="J74" i="58"/>
  <c r="L70" i="64" s="1"/>
  <c r="I74" i="58"/>
  <c r="K70" i="64" s="1"/>
  <c r="H74" i="58"/>
  <c r="F70" i="64" s="1"/>
  <c r="E37" i="69" s="1"/>
  <c r="G74" i="58"/>
  <c r="F74" i="58"/>
  <c r="J70" i="64" s="1"/>
  <c r="E74" i="58"/>
  <c r="I70" i="64"/>
  <c r="D74" i="58"/>
  <c r="H70" i="64" s="1"/>
  <c r="N73" i="58"/>
  <c r="P69" i="64" s="1"/>
  <c r="BF69" i="64" s="1"/>
  <c r="M73" i="58"/>
  <c r="O69" i="64" s="1"/>
  <c r="L73" i="58"/>
  <c r="N69" i="64" s="1"/>
  <c r="K73" i="58"/>
  <c r="M69" i="64" s="1"/>
  <c r="J73" i="58"/>
  <c r="L69" i="64" s="1"/>
  <c r="I73" i="58"/>
  <c r="K69" i="64" s="1"/>
  <c r="H73" i="58"/>
  <c r="G73" i="58"/>
  <c r="F73" i="58"/>
  <c r="J69" i="64" s="1"/>
  <c r="E73" i="58"/>
  <c r="I69" i="64" s="1"/>
  <c r="D73" i="58"/>
  <c r="H69" i="64" s="1"/>
  <c r="N72" i="58"/>
  <c r="P68" i="64"/>
  <c r="BF68" i="64" s="1"/>
  <c r="M72" i="58"/>
  <c r="O68" i="64" s="1"/>
  <c r="L72" i="58"/>
  <c r="N68" i="64"/>
  <c r="K72" i="58"/>
  <c r="M68" i="64" s="1"/>
  <c r="J72" i="58"/>
  <c r="L68" i="64" s="1"/>
  <c r="I72" i="58"/>
  <c r="K68" i="64" s="1"/>
  <c r="H72" i="58"/>
  <c r="G72" i="58"/>
  <c r="F72" i="58"/>
  <c r="J68" i="64" s="1"/>
  <c r="E72" i="58"/>
  <c r="I68" i="64"/>
  <c r="D72" i="58"/>
  <c r="H68" i="64" s="1"/>
  <c r="N71" i="58"/>
  <c r="P67" i="64" s="1"/>
  <c r="BF67" i="64" s="1"/>
  <c r="M71" i="58"/>
  <c r="O67" i="64" s="1"/>
  <c r="L71" i="58"/>
  <c r="N67" i="64" s="1"/>
  <c r="K71" i="58"/>
  <c r="M67" i="64" s="1"/>
  <c r="J71" i="58"/>
  <c r="L67" i="64"/>
  <c r="I71" i="58"/>
  <c r="K67" i="64" s="1"/>
  <c r="H71" i="58"/>
  <c r="G71" i="58"/>
  <c r="F71" i="58"/>
  <c r="J67" i="64" s="1"/>
  <c r="E71" i="58"/>
  <c r="I67" i="64" s="1"/>
  <c r="D71" i="58"/>
  <c r="H67" i="64" s="1"/>
  <c r="N70" i="58"/>
  <c r="P66" i="64" s="1"/>
  <c r="BF66" i="64" s="1"/>
  <c r="M70" i="58"/>
  <c r="O66" i="64" s="1"/>
  <c r="L70" i="58"/>
  <c r="N66" i="64" s="1"/>
  <c r="K70" i="58"/>
  <c r="M66" i="64" s="1"/>
  <c r="J70" i="58"/>
  <c r="L66" i="64" s="1"/>
  <c r="I70" i="58"/>
  <c r="K66" i="64" s="1"/>
  <c r="H70" i="58"/>
  <c r="G70" i="58"/>
  <c r="F70" i="58"/>
  <c r="J66" i="64" s="1"/>
  <c r="E70" i="58"/>
  <c r="I66" i="64" s="1"/>
  <c r="D70" i="58"/>
  <c r="H66" i="64" s="1"/>
  <c r="N69" i="58"/>
  <c r="P65" i="64"/>
  <c r="BF65" i="64" s="1"/>
  <c r="M69" i="58"/>
  <c r="O65" i="64" s="1"/>
  <c r="L69" i="58"/>
  <c r="N65" i="64" s="1"/>
  <c r="K69" i="58"/>
  <c r="M65" i="64"/>
  <c r="J69" i="58"/>
  <c r="L65" i="64"/>
  <c r="I69" i="58"/>
  <c r="K65" i="64" s="1"/>
  <c r="H69" i="58"/>
  <c r="G69" i="58"/>
  <c r="F69" i="58"/>
  <c r="E69" i="58"/>
  <c r="I65" i="64" s="1"/>
  <c r="D69" i="58"/>
  <c r="H65" i="64" s="1"/>
  <c r="N68" i="58"/>
  <c r="P64" i="64"/>
  <c r="BF64" i="64" s="1"/>
  <c r="M68" i="58"/>
  <c r="O64" i="64"/>
  <c r="L68" i="58"/>
  <c r="N64" i="64" s="1"/>
  <c r="K68" i="58"/>
  <c r="M64" i="64" s="1"/>
  <c r="J68" i="58"/>
  <c r="L64" i="64" s="1"/>
  <c r="I68" i="58"/>
  <c r="K64" i="64" s="1"/>
  <c r="H68" i="58"/>
  <c r="F64" i="64" s="1"/>
  <c r="E34" i="69" s="1"/>
  <c r="G68" i="58"/>
  <c r="F68" i="58"/>
  <c r="E68" i="58"/>
  <c r="I64" i="64"/>
  <c r="D68" i="58"/>
  <c r="H64" i="64" s="1"/>
  <c r="N67" i="58"/>
  <c r="P63" i="64" s="1"/>
  <c r="BF63" i="64" s="1"/>
  <c r="M67" i="58"/>
  <c r="O63" i="64" s="1"/>
  <c r="L67" i="58"/>
  <c r="N63" i="64" s="1"/>
  <c r="K67" i="58"/>
  <c r="M63" i="64" s="1"/>
  <c r="J67" i="58"/>
  <c r="L63" i="64" s="1"/>
  <c r="I67" i="58"/>
  <c r="K63" i="64" s="1"/>
  <c r="H67" i="58"/>
  <c r="G67" i="58"/>
  <c r="F67" i="58"/>
  <c r="J63" i="64" s="1"/>
  <c r="E67" i="58"/>
  <c r="I63" i="64"/>
  <c r="D67" i="58"/>
  <c r="H63" i="64" s="1"/>
  <c r="N66" i="58"/>
  <c r="P62" i="64" s="1"/>
  <c r="BF62" i="64" s="1"/>
  <c r="M66" i="58"/>
  <c r="O62" i="64" s="1"/>
  <c r="L66" i="58"/>
  <c r="N62" i="64" s="1"/>
  <c r="K66" i="58"/>
  <c r="M62" i="64" s="1"/>
  <c r="J66" i="58"/>
  <c r="L62" i="64" s="1"/>
  <c r="I66" i="58"/>
  <c r="K62" i="64"/>
  <c r="H66" i="58"/>
  <c r="G66" i="58"/>
  <c r="F66" i="58"/>
  <c r="J62" i="64" s="1"/>
  <c r="E66" i="58"/>
  <c r="I62" i="64" s="1"/>
  <c r="D66" i="58"/>
  <c r="H62" i="64" s="1"/>
  <c r="N65" i="58"/>
  <c r="P61" i="64" s="1"/>
  <c r="BF61" i="64" s="1"/>
  <c r="M65" i="58"/>
  <c r="O61" i="64" s="1"/>
  <c r="L65" i="58"/>
  <c r="N61" i="64" s="1"/>
  <c r="K65" i="58"/>
  <c r="M61" i="64"/>
  <c r="J65" i="58"/>
  <c r="L61" i="64" s="1"/>
  <c r="I65" i="58"/>
  <c r="K61" i="64" s="1"/>
  <c r="H65" i="58"/>
  <c r="G65" i="58"/>
  <c r="F65" i="58"/>
  <c r="E65" i="58"/>
  <c r="I61" i="64" s="1"/>
  <c r="D65" i="58"/>
  <c r="H61" i="64" s="1"/>
  <c r="N64" i="58"/>
  <c r="P60" i="64" s="1"/>
  <c r="BF60" i="64" s="1"/>
  <c r="M64" i="58"/>
  <c r="O60" i="64" s="1"/>
  <c r="L64" i="58"/>
  <c r="N60" i="64"/>
  <c r="K64" i="58"/>
  <c r="M60" i="64" s="1"/>
  <c r="J64" i="58"/>
  <c r="L60" i="64" s="1"/>
  <c r="I64" i="58"/>
  <c r="K60" i="64" s="1"/>
  <c r="H64" i="58"/>
  <c r="G64" i="58"/>
  <c r="F64" i="58"/>
  <c r="AA64" i="58" s="1"/>
  <c r="E64" i="58"/>
  <c r="I60" i="64" s="1"/>
  <c r="D64" i="58"/>
  <c r="H60" i="64" s="1"/>
  <c r="N63" i="58"/>
  <c r="P59" i="64" s="1"/>
  <c r="BF59" i="64" s="1"/>
  <c r="M63" i="58"/>
  <c r="O59" i="64" s="1"/>
  <c r="L63" i="58"/>
  <c r="N59" i="64" s="1"/>
  <c r="K63" i="58"/>
  <c r="M59" i="64" s="1"/>
  <c r="J63" i="58"/>
  <c r="L59" i="64" s="1"/>
  <c r="I63" i="58"/>
  <c r="K59" i="64" s="1"/>
  <c r="H63" i="58"/>
  <c r="F59" i="64" s="1"/>
  <c r="E32" i="69" s="1"/>
  <c r="G63" i="58"/>
  <c r="F63" i="58"/>
  <c r="E63" i="58"/>
  <c r="I59" i="64" s="1"/>
  <c r="D63" i="58"/>
  <c r="H59" i="64" s="1"/>
  <c r="N62" i="58"/>
  <c r="P58" i="64" s="1"/>
  <c r="BF58" i="64" s="1"/>
  <c r="M62" i="58"/>
  <c r="O58" i="64" s="1"/>
  <c r="L62" i="58"/>
  <c r="N58" i="64" s="1"/>
  <c r="K62" i="58"/>
  <c r="M58" i="64" s="1"/>
  <c r="J62" i="58"/>
  <c r="L58" i="64" s="1"/>
  <c r="I62" i="58"/>
  <c r="K58" i="64" s="1"/>
  <c r="H62" i="58"/>
  <c r="F58" i="64"/>
  <c r="E31" i="69" s="1"/>
  <c r="G62" i="58"/>
  <c r="F62" i="58"/>
  <c r="J58" i="64" s="1"/>
  <c r="E62" i="58"/>
  <c r="I58" i="64" s="1"/>
  <c r="D62" i="58"/>
  <c r="H58" i="64"/>
  <c r="N61" i="58"/>
  <c r="P57" i="64" s="1"/>
  <c r="BF57" i="64" s="1"/>
  <c r="M61" i="58"/>
  <c r="O57" i="64" s="1"/>
  <c r="L61" i="58"/>
  <c r="N57" i="64" s="1"/>
  <c r="K61" i="58"/>
  <c r="M57" i="64" s="1"/>
  <c r="J61" i="58"/>
  <c r="L57" i="64"/>
  <c r="I61" i="58"/>
  <c r="K57" i="64" s="1"/>
  <c r="H61" i="58"/>
  <c r="F57" i="64"/>
  <c r="E30" i="69" s="1"/>
  <c r="G61" i="58"/>
  <c r="F61" i="58"/>
  <c r="J57" i="64" s="1"/>
  <c r="E61" i="58"/>
  <c r="I57" i="64" s="1"/>
  <c r="D61" i="58"/>
  <c r="H57" i="64" s="1"/>
  <c r="N60" i="58"/>
  <c r="P56" i="64" s="1"/>
  <c r="BF56" i="64" s="1"/>
  <c r="M60" i="58"/>
  <c r="O56" i="64" s="1"/>
  <c r="L60" i="58"/>
  <c r="N56" i="64" s="1"/>
  <c r="K60" i="58"/>
  <c r="M56" i="64" s="1"/>
  <c r="J60" i="58"/>
  <c r="L56" i="64" s="1"/>
  <c r="I60" i="58"/>
  <c r="K56" i="64" s="1"/>
  <c r="H60" i="58"/>
  <c r="G60" i="58"/>
  <c r="F60" i="58"/>
  <c r="J56" i="64" s="1"/>
  <c r="E60" i="58"/>
  <c r="I56" i="64" s="1"/>
  <c r="D60" i="58"/>
  <c r="H56" i="64" s="1"/>
  <c r="N58" i="58"/>
  <c r="P54" i="64" s="1"/>
  <c r="BF54" i="64" s="1"/>
  <c r="M58" i="58"/>
  <c r="O54" i="64" s="1"/>
  <c r="L58" i="58"/>
  <c r="N54" i="64" s="1"/>
  <c r="K58" i="58"/>
  <c r="M54" i="64"/>
  <c r="J58" i="58"/>
  <c r="L54" i="64" s="1"/>
  <c r="I58" i="58"/>
  <c r="K54" i="64" s="1"/>
  <c r="H58" i="58"/>
  <c r="G58" i="58"/>
  <c r="F58" i="58"/>
  <c r="E58" i="58"/>
  <c r="I54" i="64" s="1"/>
  <c r="D58" i="58"/>
  <c r="H54" i="64" s="1"/>
  <c r="N59" i="58"/>
  <c r="P55" i="64" s="1"/>
  <c r="BF55" i="64" s="1"/>
  <c r="M59" i="58"/>
  <c r="O55" i="64" s="1"/>
  <c r="L59" i="58"/>
  <c r="N55" i="64" s="1"/>
  <c r="K59" i="58"/>
  <c r="M55" i="64" s="1"/>
  <c r="J59" i="58"/>
  <c r="L55" i="64" s="1"/>
  <c r="I59" i="58"/>
  <c r="K55" i="64"/>
  <c r="H59" i="58"/>
  <c r="G59" i="58"/>
  <c r="F59" i="58"/>
  <c r="E59" i="58"/>
  <c r="I55" i="64" s="1"/>
  <c r="D59" i="58"/>
  <c r="H55" i="64" s="1"/>
  <c r="N57" i="58"/>
  <c r="P53" i="64" s="1"/>
  <c r="BF53" i="64"/>
  <c r="M57" i="58"/>
  <c r="O53" i="64" s="1"/>
  <c r="L57" i="58"/>
  <c r="N53" i="64" s="1"/>
  <c r="K57" i="58"/>
  <c r="M53" i="64" s="1"/>
  <c r="J57" i="58"/>
  <c r="L53" i="64" s="1"/>
  <c r="I57" i="58"/>
  <c r="K53" i="64" s="1"/>
  <c r="H57" i="58"/>
  <c r="G57" i="58"/>
  <c r="F57" i="58"/>
  <c r="E57" i="58"/>
  <c r="I53" i="64"/>
  <c r="D57" i="58"/>
  <c r="H53" i="64" s="1"/>
  <c r="N56" i="58"/>
  <c r="P52" i="64" s="1"/>
  <c r="BF52" i="64" s="1"/>
  <c r="M56" i="58"/>
  <c r="O52" i="64" s="1"/>
  <c r="L56" i="58"/>
  <c r="N52" i="64"/>
  <c r="K56" i="58"/>
  <c r="M52" i="64" s="1"/>
  <c r="J56" i="58"/>
  <c r="L52" i="64" s="1"/>
  <c r="I56" i="58"/>
  <c r="K52" i="64" s="1"/>
  <c r="H56" i="58"/>
  <c r="G56" i="58"/>
  <c r="F56" i="58"/>
  <c r="J52" i="64"/>
  <c r="E56" i="58"/>
  <c r="I52" i="64" s="1"/>
  <c r="D56" i="58"/>
  <c r="H52" i="64" s="1"/>
  <c r="N55" i="58"/>
  <c r="P51" i="64"/>
  <c r="BF51" i="64" s="1"/>
  <c r="M55" i="58"/>
  <c r="O51" i="64" s="1"/>
  <c r="L55" i="58"/>
  <c r="N51" i="64" s="1"/>
  <c r="K55" i="58"/>
  <c r="M51" i="64" s="1"/>
  <c r="J55" i="58"/>
  <c r="L51" i="64" s="1"/>
  <c r="I55" i="58"/>
  <c r="K51" i="64" s="1"/>
  <c r="H55" i="58"/>
  <c r="G55" i="58"/>
  <c r="F55" i="58"/>
  <c r="J51" i="64" s="1"/>
  <c r="E55" i="58"/>
  <c r="I51" i="64" s="1"/>
  <c r="D55" i="58"/>
  <c r="H51" i="64" s="1"/>
  <c r="J54" i="58"/>
  <c r="L50" i="64" s="1"/>
  <c r="I54" i="58"/>
  <c r="K50" i="64" s="1"/>
  <c r="H54" i="58"/>
  <c r="G54" i="58"/>
  <c r="F54" i="58"/>
  <c r="J50" i="64" s="1"/>
  <c r="E54" i="58"/>
  <c r="I50" i="64" s="1"/>
  <c r="D54" i="58"/>
  <c r="H50" i="64" s="1"/>
  <c r="J53" i="58"/>
  <c r="L49" i="64"/>
  <c r="I53" i="58"/>
  <c r="K49" i="64" s="1"/>
  <c r="H53" i="58"/>
  <c r="G53" i="58"/>
  <c r="F53" i="58"/>
  <c r="J49" i="64" s="1"/>
  <c r="E53" i="58"/>
  <c r="I49" i="64" s="1"/>
  <c r="D53" i="58"/>
  <c r="H49" i="64" s="1"/>
  <c r="J52" i="58"/>
  <c r="L48" i="64" s="1"/>
  <c r="I52" i="58"/>
  <c r="K48" i="64" s="1"/>
  <c r="H52" i="58"/>
  <c r="G52" i="58"/>
  <c r="F52" i="58"/>
  <c r="E52" i="58"/>
  <c r="I48" i="64" s="1"/>
  <c r="D52" i="58"/>
  <c r="H48" i="64" s="1"/>
  <c r="J51" i="58"/>
  <c r="L47" i="64" s="1"/>
  <c r="I51" i="58"/>
  <c r="K47" i="64" s="1"/>
  <c r="H51" i="58"/>
  <c r="G51" i="58"/>
  <c r="F51" i="58"/>
  <c r="J47" i="64" s="1"/>
  <c r="E51" i="58"/>
  <c r="I47" i="64"/>
  <c r="D51" i="58"/>
  <c r="H47" i="64" s="1"/>
  <c r="J50" i="58"/>
  <c r="L46" i="64" s="1"/>
  <c r="I50" i="58"/>
  <c r="K46" i="64" s="1"/>
  <c r="H50" i="58"/>
  <c r="G50" i="58"/>
  <c r="F50" i="58"/>
  <c r="J46" i="64" s="1"/>
  <c r="E50" i="58"/>
  <c r="I46" i="64"/>
  <c r="D50" i="58"/>
  <c r="H46" i="64" s="1"/>
  <c r="J49" i="58"/>
  <c r="L45" i="64" s="1"/>
  <c r="I49" i="58"/>
  <c r="K45" i="64" s="1"/>
  <c r="H49" i="58"/>
  <c r="G49" i="58"/>
  <c r="F49" i="58"/>
  <c r="J45" i="64" s="1"/>
  <c r="E49" i="58"/>
  <c r="I45" i="64" s="1"/>
  <c r="D49" i="58"/>
  <c r="H45" i="64"/>
  <c r="K49" i="58"/>
  <c r="M45" i="64" s="1"/>
  <c r="L49" i="58"/>
  <c r="N45" i="64" s="1"/>
  <c r="M49" i="58"/>
  <c r="O45" i="64" s="1"/>
  <c r="N49" i="58"/>
  <c r="P45" i="64" s="1"/>
  <c r="BF45" i="64" s="1"/>
  <c r="K50" i="58"/>
  <c r="M46" i="64" s="1"/>
  <c r="L50" i="58"/>
  <c r="N46" i="64" s="1"/>
  <c r="M50" i="58"/>
  <c r="O46" i="64" s="1"/>
  <c r="N50" i="58"/>
  <c r="P46" i="64" s="1"/>
  <c r="BF46" i="64" s="1"/>
  <c r="K51" i="58"/>
  <c r="M47" i="64" s="1"/>
  <c r="L51" i="58"/>
  <c r="N47" i="64" s="1"/>
  <c r="M51" i="58"/>
  <c r="O47" i="64" s="1"/>
  <c r="N51" i="58"/>
  <c r="P47" i="64" s="1"/>
  <c r="BF47" i="64" s="1"/>
  <c r="K52" i="58"/>
  <c r="M48" i="64" s="1"/>
  <c r="L52" i="58"/>
  <c r="N48" i="64" s="1"/>
  <c r="M52" i="58"/>
  <c r="O48" i="64"/>
  <c r="N52" i="58"/>
  <c r="P48" i="64" s="1"/>
  <c r="BF48" i="64" s="1"/>
  <c r="K53" i="58"/>
  <c r="M49" i="64" s="1"/>
  <c r="L53" i="58"/>
  <c r="N49" i="64" s="1"/>
  <c r="M53" i="58"/>
  <c r="O49" i="64" s="1"/>
  <c r="N53" i="58"/>
  <c r="P49" i="64" s="1"/>
  <c r="BF49" i="64" s="1"/>
  <c r="K54" i="58"/>
  <c r="M50" i="64" s="1"/>
  <c r="L54" i="58"/>
  <c r="N50" i="64" s="1"/>
  <c r="M54" i="58"/>
  <c r="O50" i="64" s="1"/>
  <c r="N54" i="58"/>
  <c r="P50" i="64" s="1"/>
  <c r="BF50" i="64" s="1"/>
  <c r="L48" i="58"/>
  <c r="N44" i="64" s="1"/>
  <c r="M48" i="58"/>
  <c r="O44" i="64" s="1"/>
  <c r="N48" i="58"/>
  <c r="P44" i="64" s="1"/>
  <c r="BF44" i="64" s="1"/>
  <c r="K48" i="58"/>
  <c r="M44" i="64" s="1"/>
  <c r="J48" i="58"/>
  <c r="L44" i="64" s="1"/>
  <c r="I48" i="58"/>
  <c r="K44" i="64" s="1"/>
  <c r="H48" i="58"/>
  <c r="G48" i="58"/>
  <c r="F48" i="58"/>
  <c r="Z48" i="58" s="1"/>
  <c r="E48" i="58"/>
  <c r="I44" i="64" s="1"/>
  <c r="D48" i="58"/>
  <c r="H44" i="64" s="1"/>
  <c r="N47" i="58"/>
  <c r="P43" i="64" s="1"/>
  <c r="BF43" i="64" s="1"/>
  <c r="M47" i="58"/>
  <c r="O43" i="64"/>
  <c r="L47" i="58"/>
  <c r="N43" i="64" s="1"/>
  <c r="K47" i="58"/>
  <c r="M43" i="64" s="1"/>
  <c r="J47" i="58"/>
  <c r="L43" i="64" s="1"/>
  <c r="I47" i="58"/>
  <c r="K43" i="64" s="1"/>
  <c r="H47" i="58"/>
  <c r="G47" i="58"/>
  <c r="F47" i="58"/>
  <c r="J43" i="64"/>
  <c r="E47" i="58"/>
  <c r="I43" i="64"/>
  <c r="D47" i="58"/>
  <c r="H43" i="64" s="1"/>
  <c r="N46" i="58"/>
  <c r="P42" i="64" s="1"/>
  <c r="BF42" i="64" s="1"/>
  <c r="M46" i="58"/>
  <c r="O42" i="64" s="1"/>
  <c r="L46" i="58"/>
  <c r="N42" i="64" s="1"/>
  <c r="K46" i="58"/>
  <c r="M42" i="64" s="1"/>
  <c r="J46" i="58"/>
  <c r="L42" i="64" s="1"/>
  <c r="I46" i="58"/>
  <c r="K42" i="64" s="1"/>
  <c r="H46" i="58"/>
  <c r="G46" i="58"/>
  <c r="F46" i="58"/>
  <c r="E46" i="58"/>
  <c r="I42" i="64" s="1"/>
  <c r="D46" i="58"/>
  <c r="H42" i="64" s="1"/>
  <c r="N45" i="58"/>
  <c r="P41" i="64" s="1"/>
  <c r="BF41" i="64" s="1"/>
  <c r="M45" i="58"/>
  <c r="O41" i="64" s="1"/>
  <c r="L45" i="58"/>
  <c r="N41" i="64" s="1"/>
  <c r="K45" i="58"/>
  <c r="M41" i="64"/>
  <c r="J45" i="58"/>
  <c r="L41" i="64" s="1"/>
  <c r="I45" i="58"/>
  <c r="K41" i="64" s="1"/>
  <c r="H45" i="58"/>
  <c r="G45" i="58"/>
  <c r="F45" i="58"/>
  <c r="J41" i="64" s="1"/>
  <c r="E45" i="58"/>
  <c r="I41" i="64" s="1"/>
  <c r="D45" i="58"/>
  <c r="H41" i="64" s="1"/>
  <c r="N44" i="58"/>
  <c r="P40" i="64" s="1"/>
  <c r="BF40" i="64" s="1"/>
  <c r="M44" i="58"/>
  <c r="O40" i="64" s="1"/>
  <c r="L44" i="58"/>
  <c r="N40" i="64" s="1"/>
  <c r="K44" i="58"/>
  <c r="M40" i="64" s="1"/>
  <c r="J44" i="58"/>
  <c r="L40" i="64" s="1"/>
  <c r="I44" i="58"/>
  <c r="K40" i="64" s="1"/>
  <c r="H44" i="58"/>
  <c r="G44" i="58"/>
  <c r="F44" i="58"/>
  <c r="J40" i="64"/>
  <c r="E44" i="58"/>
  <c r="I40" i="64" s="1"/>
  <c r="D44" i="58"/>
  <c r="H40" i="64" s="1"/>
  <c r="N43" i="58"/>
  <c r="P39" i="64" s="1"/>
  <c r="BF39" i="64" s="1"/>
  <c r="M43" i="58"/>
  <c r="O39" i="64"/>
  <c r="L43" i="58"/>
  <c r="N39" i="64" s="1"/>
  <c r="K43" i="58"/>
  <c r="M39" i="64" s="1"/>
  <c r="J43" i="58"/>
  <c r="L39" i="64" s="1"/>
  <c r="I43" i="58"/>
  <c r="K39" i="64" s="1"/>
  <c r="H43" i="58"/>
  <c r="G43" i="58"/>
  <c r="F43" i="58"/>
  <c r="E43" i="58"/>
  <c r="I39" i="64" s="1"/>
  <c r="D43" i="58"/>
  <c r="H39" i="64" s="1"/>
  <c r="N42" i="58"/>
  <c r="P38" i="64" s="1"/>
  <c r="BF38" i="64"/>
  <c r="M42" i="58"/>
  <c r="O38" i="64" s="1"/>
  <c r="L42" i="58"/>
  <c r="N38" i="64" s="1"/>
  <c r="K42" i="58"/>
  <c r="M38" i="64" s="1"/>
  <c r="J42" i="58"/>
  <c r="L38" i="64" s="1"/>
  <c r="I42" i="58"/>
  <c r="K38" i="64"/>
  <c r="H42" i="58"/>
  <c r="G42" i="58"/>
  <c r="F42" i="58"/>
  <c r="J38" i="64" s="1"/>
  <c r="E42" i="58"/>
  <c r="I38" i="64" s="1"/>
  <c r="D42" i="58"/>
  <c r="H38" i="64" s="1"/>
  <c r="N41" i="58"/>
  <c r="P37" i="64" s="1"/>
  <c r="BF37" i="64" s="1"/>
  <c r="M41" i="58"/>
  <c r="O37" i="64" s="1"/>
  <c r="L41" i="58"/>
  <c r="N37" i="64" s="1"/>
  <c r="K41" i="58"/>
  <c r="M37" i="64" s="1"/>
  <c r="J41" i="58"/>
  <c r="L37" i="64"/>
  <c r="I41" i="58"/>
  <c r="K37" i="64" s="1"/>
  <c r="H41" i="58"/>
  <c r="G41" i="58"/>
  <c r="F41" i="58"/>
  <c r="E41" i="58"/>
  <c r="I37" i="64" s="1"/>
  <c r="D41" i="58"/>
  <c r="H37" i="64" s="1"/>
  <c r="N40" i="58"/>
  <c r="P36" i="64" s="1"/>
  <c r="BF36" i="64"/>
  <c r="M40" i="58"/>
  <c r="O36" i="64" s="1"/>
  <c r="L40" i="58"/>
  <c r="N36" i="64" s="1"/>
  <c r="K40" i="58"/>
  <c r="M36" i="64" s="1"/>
  <c r="J40" i="58"/>
  <c r="L36" i="64" s="1"/>
  <c r="I40" i="58"/>
  <c r="K36" i="64" s="1"/>
  <c r="H40" i="58"/>
  <c r="G40" i="58"/>
  <c r="F40" i="58"/>
  <c r="J36" i="64" s="1"/>
  <c r="E40" i="58"/>
  <c r="I36" i="64"/>
  <c r="D40" i="58"/>
  <c r="H36" i="64" s="1"/>
  <c r="N39" i="58"/>
  <c r="P35" i="64" s="1"/>
  <c r="BF35" i="64" s="1"/>
  <c r="M39" i="58"/>
  <c r="O35" i="64" s="1"/>
  <c r="L39" i="58"/>
  <c r="N35" i="64" s="1"/>
  <c r="K39" i="58"/>
  <c r="M35" i="64" s="1"/>
  <c r="J39" i="58"/>
  <c r="L35" i="64"/>
  <c r="I39" i="58"/>
  <c r="K35" i="64" s="1"/>
  <c r="H39" i="58"/>
  <c r="G39" i="58"/>
  <c r="F39" i="58"/>
  <c r="J35" i="64"/>
  <c r="D39" i="58"/>
  <c r="H35" i="64" s="1"/>
  <c r="N38" i="58"/>
  <c r="P34" i="64" s="1"/>
  <c r="BF34" i="64" s="1"/>
  <c r="M38" i="58"/>
  <c r="O34" i="64" s="1"/>
  <c r="L38" i="58"/>
  <c r="N34" i="64" s="1"/>
  <c r="K38" i="58"/>
  <c r="M34" i="64" s="1"/>
  <c r="J38" i="58"/>
  <c r="L34" i="64" s="1"/>
  <c r="I38" i="58"/>
  <c r="K34" i="64" s="1"/>
  <c r="H38" i="58"/>
  <c r="G38" i="58"/>
  <c r="F38" i="58"/>
  <c r="J34" i="64"/>
  <c r="D38" i="58"/>
  <c r="H34" i="64" s="1"/>
  <c r="N37" i="58"/>
  <c r="P33" i="64" s="1"/>
  <c r="BF33" i="64" s="1"/>
  <c r="M37" i="58"/>
  <c r="O33" i="64" s="1"/>
  <c r="L37" i="58"/>
  <c r="N33" i="64"/>
  <c r="K37" i="58"/>
  <c r="M33" i="64" s="1"/>
  <c r="J37" i="58"/>
  <c r="L33" i="64" s="1"/>
  <c r="I37" i="58"/>
  <c r="K33" i="64" s="1"/>
  <c r="H37" i="58"/>
  <c r="G37" i="58"/>
  <c r="F37" i="58"/>
  <c r="J33" i="64" s="1"/>
  <c r="D37" i="58"/>
  <c r="H33" i="64" s="1"/>
  <c r="N36" i="58"/>
  <c r="P32" i="64" s="1"/>
  <c r="BF32" i="64" s="1"/>
  <c r="M36" i="58"/>
  <c r="O32" i="64" s="1"/>
  <c r="L36" i="58"/>
  <c r="N32" i="64" s="1"/>
  <c r="K36" i="58"/>
  <c r="M32" i="64" s="1"/>
  <c r="J36" i="58"/>
  <c r="L32" i="64" s="1"/>
  <c r="I36" i="58"/>
  <c r="K32" i="64" s="1"/>
  <c r="H36" i="58"/>
  <c r="G36" i="58"/>
  <c r="F36" i="58"/>
  <c r="D36" i="58"/>
  <c r="H32" i="64" s="1"/>
  <c r="N35" i="58"/>
  <c r="P31" i="64"/>
  <c r="BF31" i="64" s="1"/>
  <c r="M35" i="58"/>
  <c r="O31" i="64" s="1"/>
  <c r="L35" i="58"/>
  <c r="N31" i="64" s="1"/>
  <c r="K35" i="58"/>
  <c r="M31" i="64" s="1"/>
  <c r="J35" i="58"/>
  <c r="L31" i="64" s="1"/>
  <c r="I35" i="58"/>
  <c r="K31" i="64" s="1"/>
  <c r="H35" i="58"/>
  <c r="G35" i="58"/>
  <c r="F35" i="58"/>
  <c r="D35" i="58"/>
  <c r="H31" i="64" s="1"/>
  <c r="N34" i="58"/>
  <c r="P30" i="64" s="1"/>
  <c r="BF30" i="64" s="1"/>
  <c r="M34" i="58"/>
  <c r="O30" i="64" s="1"/>
  <c r="L34" i="58"/>
  <c r="N30" i="64" s="1"/>
  <c r="K34" i="58"/>
  <c r="M30" i="64" s="1"/>
  <c r="J34" i="58"/>
  <c r="L30" i="64" s="1"/>
  <c r="I34" i="58"/>
  <c r="K30" i="64" s="1"/>
  <c r="H34" i="58"/>
  <c r="G34" i="58"/>
  <c r="F34" i="58"/>
  <c r="D34" i="58"/>
  <c r="H30" i="64" s="1"/>
  <c r="N33" i="58"/>
  <c r="P29" i="64" s="1"/>
  <c r="BF29" i="64" s="1"/>
  <c r="M33" i="58"/>
  <c r="O29" i="64"/>
  <c r="L33" i="58"/>
  <c r="N29" i="64" s="1"/>
  <c r="K33" i="58"/>
  <c r="M29" i="64" s="1"/>
  <c r="J33" i="58"/>
  <c r="L29" i="64" s="1"/>
  <c r="I33" i="58"/>
  <c r="K29" i="64" s="1"/>
  <c r="H33" i="58"/>
  <c r="G33" i="58"/>
  <c r="F33" i="58"/>
  <c r="J29" i="64" s="1"/>
  <c r="D33" i="58"/>
  <c r="H29" i="64" s="1"/>
  <c r="K14" i="58"/>
  <c r="M10" i="64" s="1"/>
  <c r="L14" i="58"/>
  <c r="N10" i="64" s="1"/>
  <c r="M14" i="58"/>
  <c r="O10" i="64" s="1"/>
  <c r="N14" i="58"/>
  <c r="P10" i="64"/>
  <c r="BF10" i="64" s="1"/>
  <c r="K15" i="58"/>
  <c r="M11" i="64" s="1"/>
  <c r="L15" i="58"/>
  <c r="N11" i="64" s="1"/>
  <c r="M15" i="58"/>
  <c r="O11" i="64" s="1"/>
  <c r="N15" i="58"/>
  <c r="P11" i="64" s="1"/>
  <c r="BF11" i="64" s="1"/>
  <c r="K16" i="58"/>
  <c r="M12" i="64" s="1"/>
  <c r="L16" i="58"/>
  <c r="N12" i="64" s="1"/>
  <c r="M16" i="58"/>
  <c r="O12" i="64" s="1"/>
  <c r="N16" i="58"/>
  <c r="P12" i="64" s="1"/>
  <c r="BF12" i="64" s="1"/>
  <c r="K17" i="58"/>
  <c r="M13" i="64" s="1"/>
  <c r="L17" i="58"/>
  <c r="N13" i="64" s="1"/>
  <c r="M17" i="58"/>
  <c r="O13" i="64" s="1"/>
  <c r="N17" i="58"/>
  <c r="P13" i="64" s="1"/>
  <c r="BF13" i="64" s="1"/>
  <c r="K18" i="58"/>
  <c r="M14" i="64" s="1"/>
  <c r="L18" i="58"/>
  <c r="N14" i="64" s="1"/>
  <c r="M18" i="58"/>
  <c r="O14" i="64" s="1"/>
  <c r="N18" i="58"/>
  <c r="P14" i="64" s="1"/>
  <c r="BF14" i="64" s="1"/>
  <c r="K19" i="58"/>
  <c r="M19" i="64" s="1"/>
  <c r="L19" i="58"/>
  <c r="N19" i="64" s="1"/>
  <c r="M19" i="58"/>
  <c r="O19" i="64"/>
  <c r="N19" i="58"/>
  <c r="P19" i="64" s="1"/>
  <c r="BF19" i="64" s="1"/>
  <c r="K20" i="58"/>
  <c r="M15" i="64" s="1"/>
  <c r="L20" i="58"/>
  <c r="N15" i="64" s="1"/>
  <c r="M20" i="58"/>
  <c r="O15" i="64" s="1"/>
  <c r="N20" i="58"/>
  <c r="P15" i="64" s="1"/>
  <c r="BF15" i="64" s="1"/>
  <c r="K21" i="58"/>
  <c r="M16" i="64" s="1"/>
  <c r="L21" i="58"/>
  <c r="N16" i="64"/>
  <c r="M21" i="58"/>
  <c r="O16" i="64"/>
  <c r="N21" i="58"/>
  <c r="P16" i="64" s="1"/>
  <c r="BF16" i="64" s="1"/>
  <c r="K22" i="58"/>
  <c r="M17" i="64" s="1"/>
  <c r="L22" i="58"/>
  <c r="N17" i="64" s="1"/>
  <c r="M22" i="58"/>
  <c r="O17" i="64" s="1"/>
  <c r="N22" i="58"/>
  <c r="P17" i="64" s="1"/>
  <c r="BF17" i="64" s="1"/>
  <c r="K23" i="58"/>
  <c r="M18" i="64" s="1"/>
  <c r="L23" i="58"/>
  <c r="N18" i="64" s="1"/>
  <c r="M23" i="58"/>
  <c r="O18" i="64"/>
  <c r="N23" i="58"/>
  <c r="P18" i="64" s="1"/>
  <c r="BF18" i="64" s="1"/>
  <c r="K24" i="58"/>
  <c r="M20" i="64" s="1"/>
  <c r="L24" i="58"/>
  <c r="N20" i="64" s="1"/>
  <c r="M24" i="58"/>
  <c r="O20" i="64" s="1"/>
  <c r="N24" i="58"/>
  <c r="P20" i="64" s="1"/>
  <c r="BF20" i="64" s="1"/>
  <c r="K25" i="58"/>
  <c r="M21" i="64" s="1"/>
  <c r="L25" i="58"/>
  <c r="N21" i="64" s="1"/>
  <c r="M25" i="58"/>
  <c r="O21" i="64" s="1"/>
  <c r="N25" i="58"/>
  <c r="P21" i="64" s="1"/>
  <c r="BF21" i="64" s="1"/>
  <c r="K26" i="58"/>
  <c r="M22" i="64" s="1"/>
  <c r="L26" i="58"/>
  <c r="N22" i="64"/>
  <c r="M26" i="58"/>
  <c r="O22" i="64" s="1"/>
  <c r="N26" i="58"/>
  <c r="P22" i="64" s="1"/>
  <c r="BF22" i="64" s="1"/>
  <c r="K27" i="58"/>
  <c r="M23" i="64" s="1"/>
  <c r="L27" i="58"/>
  <c r="N23" i="64" s="1"/>
  <c r="M27" i="58"/>
  <c r="O23" i="64"/>
  <c r="N27" i="58"/>
  <c r="P23" i="64"/>
  <c r="BF23" i="64" s="1"/>
  <c r="K28" i="58"/>
  <c r="M24" i="64" s="1"/>
  <c r="L28" i="58"/>
  <c r="N24" i="64"/>
  <c r="M28" i="58"/>
  <c r="O24" i="64"/>
  <c r="N28" i="58"/>
  <c r="P24" i="64" s="1"/>
  <c r="BF24" i="64" s="1"/>
  <c r="K29" i="58"/>
  <c r="M25" i="64" s="1"/>
  <c r="L29" i="58"/>
  <c r="N25" i="64" s="1"/>
  <c r="M29" i="58"/>
  <c r="O25" i="64" s="1"/>
  <c r="N29" i="58"/>
  <c r="P25" i="64" s="1"/>
  <c r="BF25" i="64" s="1"/>
  <c r="K30" i="58"/>
  <c r="M26" i="64" s="1"/>
  <c r="L30" i="58"/>
  <c r="N26" i="64" s="1"/>
  <c r="M30" i="58"/>
  <c r="O26" i="64"/>
  <c r="N30" i="58"/>
  <c r="P26" i="64"/>
  <c r="BF26" i="64" s="1"/>
  <c r="K31" i="58"/>
  <c r="M27" i="64" s="1"/>
  <c r="L31" i="58"/>
  <c r="N27" i="64" s="1"/>
  <c r="M31" i="58"/>
  <c r="O27" i="64" s="1"/>
  <c r="N31" i="58"/>
  <c r="P27" i="64" s="1"/>
  <c r="BF27" i="64" s="1"/>
  <c r="K32" i="58"/>
  <c r="M28" i="64" s="1"/>
  <c r="L32" i="58"/>
  <c r="N28" i="64" s="1"/>
  <c r="M32" i="58"/>
  <c r="O28" i="64" s="1"/>
  <c r="N32" i="58"/>
  <c r="P28" i="64" s="1"/>
  <c r="BF28" i="64" s="1"/>
  <c r="L13" i="58"/>
  <c r="N9" i="64" s="1"/>
  <c r="M13" i="58"/>
  <c r="O9" i="64" s="1"/>
  <c r="N13" i="58"/>
  <c r="P9" i="64" s="1"/>
  <c r="BF9" i="64" s="1"/>
  <c r="K13" i="58"/>
  <c r="M9" i="64"/>
  <c r="D30" i="58"/>
  <c r="H26" i="64" s="1"/>
  <c r="E30" i="58"/>
  <c r="I26" i="64" s="1"/>
  <c r="F30" i="58"/>
  <c r="J26" i="64" s="1"/>
  <c r="G30" i="58"/>
  <c r="H30" i="58"/>
  <c r="I30" i="58"/>
  <c r="K26" i="64" s="1"/>
  <c r="J30" i="58"/>
  <c r="L26" i="64" s="1"/>
  <c r="D31" i="58"/>
  <c r="H27" i="64" s="1"/>
  <c r="E31" i="58"/>
  <c r="I27" i="64" s="1"/>
  <c r="F31" i="58"/>
  <c r="J27" i="64"/>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c r="D28" i="58"/>
  <c r="H24" i="64" s="1"/>
  <c r="E28" i="58"/>
  <c r="I24" i="64" s="1"/>
  <c r="F28" i="58"/>
  <c r="G28" i="58"/>
  <c r="H28" i="58"/>
  <c r="I28" i="58"/>
  <c r="K24" i="64" s="1"/>
  <c r="J28" i="58"/>
  <c r="L24" i="64" s="1"/>
  <c r="D29" i="58"/>
  <c r="H25" i="64" s="1"/>
  <c r="E29" i="58"/>
  <c r="I25" i="64"/>
  <c r="F29" i="58"/>
  <c r="J25" i="64" s="1"/>
  <c r="G29" i="58"/>
  <c r="H29" i="58"/>
  <c r="I29" i="58"/>
  <c r="K25" i="64" s="1"/>
  <c r="J29" i="58"/>
  <c r="L25" i="64" s="1"/>
  <c r="D25" i="58"/>
  <c r="H21" i="64" s="1"/>
  <c r="E25" i="58"/>
  <c r="I21" i="64"/>
  <c r="F25" i="58"/>
  <c r="G25" i="58"/>
  <c r="H25" i="58"/>
  <c r="I25" i="58"/>
  <c r="K21" i="64" s="1"/>
  <c r="J25" i="58"/>
  <c r="L21" i="64" s="1"/>
  <c r="D26" i="58"/>
  <c r="H22" i="64" s="1"/>
  <c r="E26" i="58"/>
  <c r="I22" i="64" s="1"/>
  <c r="F26" i="58"/>
  <c r="J22" i="64" s="1"/>
  <c r="G26" i="58"/>
  <c r="H26" i="58"/>
  <c r="I26" i="58"/>
  <c r="K22" i="64"/>
  <c r="J26" i="58"/>
  <c r="L22" i="64"/>
  <c r="D24" i="58"/>
  <c r="H20" i="64" s="1"/>
  <c r="E24" i="58"/>
  <c r="I20" i="64"/>
  <c r="F24" i="58"/>
  <c r="G24" i="58"/>
  <c r="H24" i="58"/>
  <c r="I24" i="58"/>
  <c r="K20" i="64" s="1"/>
  <c r="J24" i="58"/>
  <c r="L20" i="64" s="1"/>
  <c r="D21" i="58"/>
  <c r="H16" i="64" s="1"/>
  <c r="E21" i="58"/>
  <c r="I16" i="64"/>
  <c r="F21" i="58"/>
  <c r="J16" i="64" s="1"/>
  <c r="G21" i="58"/>
  <c r="H21" i="58"/>
  <c r="I21" i="58"/>
  <c r="K16" i="64" s="1"/>
  <c r="J21" i="58"/>
  <c r="L16" i="64" s="1"/>
  <c r="D22" i="58"/>
  <c r="H17" i="64" s="1"/>
  <c r="E22" i="58"/>
  <c r="I17" i="64" s="1"/>
  <c r="F22" i="58"/>
  <c r="J17" i="64"/>
  <c r="G22" i="58"/>
  <c r="H22" i="58"/>
  <c r="I22" i="58"/>
  <c r="K17" i="64" s="1"/>
  <c r="J22" i="58"/>
  <c r="L17" i="64" s="1"/>
  <c r="D23" i="58"/>
  <c r="H18" i="64" s="1"/>
  <c r="E23" i="58"/>
  <c r="I18" i="64" s="1"/>
  <c r="F23" i="58"/>
  <c r="G23" i="58"/>
  <c r="H23" i="58"/>
  <c r="I23" i="58"/>
  <c r="K18" i="64" s="1"/>
  <c r="J23" i="58"/>
  <c r="L18" i="64" s="1"/>
  <c r="D20" i="58"/>
  <c r="H15" i="64" s="1"/>
  <c r="E20" i="58"/>
  <c r="I15" i="64" s="1"/>
  <c r="F20" i="58"/>
  <c r="AA20" i="58" s="1"/>
  <c r="G20" i="58"/>
  <c r="H20" i="58"/>
  <c r="I20" i="58"/>
  <c r="K15" i="64" s="1"/>
  <c r="J20" i="58"/>
  <c r="L15" i="64" s="1"/>
  <c r="D18" i="58"/>
  <c r="H14" i="64" s="1"/>
  <c r="E18" i="58"/>
  <c r="I14" i="64" s="1"/>
  <c r="F18" i="58"/>
  <c r="J14" i="64"/>
  <c r="G18" i="58"/>
  <c r="H18" i="58"/>
  <c r="I18" i="58"/>
  <c r="K14" i="64" s="1"/>
  <c r="J18" i="58"/>
  <c r="L14" i="64"/>
  <c r="D19" i="58"/>
  <c r="H19" i="64" s="1"/>
  <c r="E19" i="58"/>
  <c r="I19" i="64" s="1"/>
  <c r="F19" i="58"/>
  <c r="J19" i="64" s="1"/>
  <c r="G19" i="58"/>
  <c r="H19" i="58"/>
  <c r="I19" i="58"/>
  <c r="K19" i="64"/>
  <c r="J19" i="58"/>
  <c r="L19" i="64"/>
  <c r="J17" i="58"/>
  <c r="L13" i="64" s="1"/>
  <c r="I17" i="58"/>
  <c r="K13" i="64"/>
  <c r="H17" i="58"/>
  <c r="G17" i="58"/>
  <c r="F17" i="58"/>
  <c r="J13" i="64" s="1"/>
  <c r="E17" i="58"/>
  <c r="I13" i="64" s="1"/>
  <c r="D17" i="58"/>
  <c r="H13" i="64" s="1"/>
  <c r="J16" i="58"/>
  <c r="L12" i="64" s="1"/>
  <c r="I16" i="58"/>
  <c r="K12" i="64" s="1"/>
  <c r="H16" i="58"/>
  <c r="G16" i="58"/>
  <c r="F16" i="58"/>
  <c r="E16" i="58"/>
  <c r="I12" i="64"/>
  <c r="D16" i="58"/>
  <c r="H12" i="64" s="1"/>
  <c r="D14" i="58"/>
  <c r="H10" i="64" s="1"/>
  <c r="E14" i="58"/>
  <c r="I10" i="64" s="1"/>
  <c r="F14" i="58"/>
  <c r="G14" i="58"/>
  <c r="H14" i="58"/>
  <c r="I14" i="58"/>
  <c r="K10" i="64"/>
  <c r="J14" i="58"/>
  <c r="L10" i="64"/>
  <c r="D15" i="58"/>
  <c r="H11" i="64" s="1"/>
  <c r="E15" i="58"/>
  <c r="I11" i="64" s="1"/>
  <c r="F15" i="58"/>
  <c r="J11" i="64" s="1"/>
  <c r="G15" i="58"/>
  <c r="H15" i="58"/>
  <c r="I15" i="58"/>
  <c r="K11" i="64" s="1"/>
  <c r="J15" i="58"/>
  <c r="L11" i="64" s="1"/>
  <c r="J13" i="58"/>
  <c r="L9" i="64"/>
  <c r="I13" i="58"/>
  <c r="K9" i="64" s="1"/>
  <c r="H13" i="58"/>
  <c r="G13" i="58"/>
  <c r="F13" i="58"/>
  <c r="E13" i="58"/>
  <c r="I9" i="64" s="1"/>
  <c r="D13" i="58"/>
  <c r="H9" i="64" s="1"/>
  <c r="F75" i="63"/>
  <c r="D74" i="75"/>
  <c r="R73" i="59"/>
  <c r="R72" i="59"/>
  <c r="R71" i="59"/>
  <c r="N73" i="59"/>
  <c r="AU139" i="60"/>
  <c r="N72" i="59"/>
  <c r="AU138" i="60"/>
  <c r="N71" i="59"/>
  <c r="AU137" i="60"/>
  <c r="L73" i="59"/>
  <c r="AS139" i="60"/>
  <c r="L72" i="59"/>
  <c r="AS138" i="60"/>
  <c r="L71" i="59"/>
  <c r="AS137" i="60"/>
  <c r="J73" i="59"/>
  <c r="AQ139" i="60"/>
  <c r="J72" i="59"/>
  <c r="AQ138" i="60"/>
  <c r="J71" i="59"/>
  <c r="AQ137" i="60"/>
  <c r="C137" i="60"/>
  <c r="C138" i="60"/>
  <c r="C139" i="60"/>
  <c r="D138" i="60"/>
  <c r="D137" i="60"/>
  <c r="D139" i="60"/>
  <c r="E75" i="63"/>
  <c r="E74" i="77"/>
  <c r="U85" i="58"/>
  <c r="AG138" i="60" s="1"/>
  <c r="AL138" i="60" s="1"/>
  <c r="AS81" i="64"/>
  <c r="S85" i="58"/>
  <c r="AQ81" i="64" s="1"/>
  <c r="H18" i="50"/>
  <c r="I18" i="50"/>
  <c r="H19" i="50"/>
  <c r="I19" i="50"/>
  <c r="I17" i="50"/>
  <c r="H17" i="50"/>
  <c r="Q71" i="59"/>
  <c r="E137" i="60"/>
  <c r="N137" i="60"/>
  <c r="W137" i="60"/>
  <c r="AF137" i="60"/>
  <c r="F18" i="50"/>
  <c r="P72" i="59"/>
  <c r="F19" i="50"/>
  <c r="F17" i="50"/>
  <c r="E17" i="50"/>
  <c r="D17" i="50"/>
  <c r="B5" i="62"/>
  <c r="B5" i="76"/>
  <c r="F77" i="75"/>
  <c r="F76" i="63"/>
  <c r="F72" i="63"/>
  <c r="F70" i="76"/>
  <c r="F70" i="63"/>
  <c r="F66" i="77"/>
  <c r="E77" i="75"/>
  <c r="E76" i="76"/>
  <c r="E75" i="75"/>
  <c r="E72" i="75"/>
  <c r="E70" i="76"/>
  <c r="E70" i="63"/>
  <c r="E68" i="76"/>
  <c r="E126" i="59"/>
  <c r="E125" i="59"/>
  <c r="D79" i="63"/>
  <c r="E124" i="59"/>
  <c r="D77" i="63"/>
  <c r="D75" i="76"/>
  <c r="E120" i="59"/>
  <c r="E119" i="59"/>
  <c r="D73" i="77"/>
  <c r="D73" i="63"/>
  <c r="E117" i="59"/>
  <c r="E116" i="59"/>
  <c r="D68" i="75"/>
  <c r="E114" i="59"/>
  <c r="D68" i="63"/>
  <c r="E113" i="59"/>
  <c r="D66" i="76"/>
  <c r="E112" i="59"/>
  <c r="E111" i="59"/>
  <c r="D64" i="77"/>
  <c r="E71" i="63"/>
  <c r="E70" i="77"/>
  <c r="E70" i="75"/>
  <c r="E71" i="76"/>
  <c r="E71" i="75"/>
  <c r="F74" i="63"/>
  <c r="F73" i="77"/>
  <c r="F73" i="76"/>
  <c r="F73" i="75"/>
  <c r="F75" i="77"/>
  <c r="F75" i="75"/>
  <c r="E65" i="63"/>
  <c r="D71" i="75"/>
  <c r="E66" i="63"/>
  <c r="E65" i="77"/>
  <c r="E65" i="76"/>
  <c r="E65" i="75"/>
  <c r="E74" i="63"/>
  <c r="E73" i="75"/>
  <c r="F68" i="63"/>
  <c r="F67" i="77"/>
  <c r="F67" i="76"/>
  <c r="F67" i="75"/>
  <c r="F77" i="63"/>
  <c r="F76" i="77"/>
  <c r="F76" i="76"/>
  <c r="F76" i="75"/>
  <c r="D69" i="75"/>
  <c r="F66" i="63"/>
  <c r="F65" i="75"/>
  <c r="D64" i="75"/>
  <c r="D64" i="76"/>
  <c r="F67" i="63"/>
  <c r="F66" i="76"/>
  <c r="F66" i="75"/>
  <c r="D72" i="76"/>
  <c r="D72" i="75"/>
  <c r="F78" i="63"/>
  <c r="F77" i="77"/>
  <c r="E67" i="75"/>
  <c r="E77" i="63"/>
  <c r="E76" i="77"/>
  <c r="E76" i="75"/>
  <c r="F69" i="77"/>
  <c r="F69" i="75"/>
  <c r="F78" i="76"/>
  <c r="F78" i="75"/>
  <c r="E77" i="77"/>
  <c r="F70" i="77"/>
  <c r="E69" i="75"/>
  <c r="D69" i="63"/>
  <c r="D68" i="76"/>
  <c r="E80" i="63"/>
  <c r="B37" i="62"/>
  <c r="AV172" i="60"/>
  <c r="AV173" i="60"/>
  <c r="AV174" i="60"/>
  <c r="AO173" i="60"/>
  <c r="AP173" i="60"/>
  <c r="AO174" i="60"/>
  <c r="AP174" i="60"/>
  <c r="AP172" i="60"/>
  <c r="AO172" i="60"/>
  <c r="C173" i="60"/>
  <c r="C174" i="60"/>
  <c r="C172" i="60"/>
  <c r="AV164" i="60"/>
  <c r="AV165" i="60"/>
  <c r="AV166" i="60"/>
  <c r="AO165" i="60"/>
  <c r="AP165" i="60"/>
  <c r="AO166" i="60"/>
  <c r="AP166" i="60"/>
  <c r="AP164" i="60"/>
  <c r="AO164" i="60"/>
  <c r="C165" i="60"/>
  <c r="C166" i="60"/>
  <c r="C164" i="60"/>
  <c r="AV154" i="60"/>
  <c r="AV155" i="60"/>
  <c r="AV156" i="60"/>
  <c r="AV158" i="60"/>
  <c r="AO155" i="60"/>
  <c r="AP155" i="60"/>
  <c r="AO156" i="60"/>
  <c r="AP156" i="60"/>
  <c r="AO158" i="60"/>
  <c r="AP158" i="60"/>
  <c r="AP154" i="60"/>
  <c r="AO154" i="60"/>
  <c r="C155" i="60"/>
  <c r="C156" i="60"/>
  <c r="C158" i="60"/>
  <c r="C154" i="60"/>
  <c r="AV145" i="60"/>
  <c r="AV146" i="60"/>
  <c r="AV147" i="60"/>
  <c r="AV148" i="60"/>
  <c r="AO146" i="60"/>
  <c r="AP146" i="60"/>
  <c r="AO147" i="60"/>
  <c r="AP147" i="60"/>
  <c r="AO148" i="60"/>
  <c r="AP148" i="60"/>
  <c r="AP145" i="60"/>
  <c r="AO145" i="60"/>
  <c r="C146" i="60"/>
  <c r="C147" i="60"/>
  <c r="C148" i="60"/>
  <c r="C145" i="60"/>
  <c r="AV136" i="60"/>
  <c r="AP136" i="60"/>
  <c r="AO136" i="60"/>
  <c r="C136" i="60"/>
  <c r="AV128" i="60"/>
  <c r="AV129" i="60"/>
  <c r="AV130" i="60"/>
  <c r="AO129" i="60"/>
  <c r="AP129" i="60"/>
  <c r="AO130" i="60"/>
  <c r="AP130" i="60"/>
  <c r="AP128" i="60"/>
  <c r="AO128" i="60"/>
  <c r="C129" i="60"/>
  <c r="C130" i="60"/>
  <c r="C128" i="60"/>
  <c r="AV121" i="60"/>
  <c r="AV122" i="60"/>
  <c r="AO122" i="60"/>
  <c r="AP122" i="60"/>
  <c r="AP121" i="60"/>
  <c r="AO121" i="60"/>
  <c r="C122" i="60"/>
  <c r="C121" i="60"/>
  <c r="AV108" i="60"/>
  <c r="AV109" i="60"/>
  <c r="AV110" i="60"/>
  <c r="AV111" i="60"/>
  <c r="AV112" i="60"/>
  <c r="AV113" i="60"/>
  <c r="AV114" i="60"/>
  <c r="AV115" i="60"/>
  <c r="AO109" i="60"/>
  <c r="AP109" i="60"/>
  <c r="AO110" i="60"/>
  <c r="AP110" i="60"/>
  <c r="AO111" i="60"/>
  <c r="AP111" i="60"/>
  <c r="AO112" i="60"/>
  <c r="AP112" i="60"/>
  <c r="AO113" i="60"/>
  <c r="AP113" i="60"/>
  <c r="AO114" i="60"/>
  <c r="AP114" i="60"/>
  <c r="AO115" i="60"/>
  <c r="AP115" i="60"/>
  <c r="AP108" i="60"/>
  <c r="AO108" i="60"/>
  <c r="C109" i="60"/>
  <c r="C110" i="60"/>
  <c r="C111" i="60"/>
  <c r="C112" i="60"/>
  <c r="C113" i="60"/>
  <c r="C114" i="60"/>
  <c r="C115" i="60"/>
  <c r="C108" i="60"/>
  <c r="AV95" i="60"/>
  <c r="AV96" i="60"/>
  <c r="AV97" i="60"/>
  <c r="AV98" i="60"/>
  <c r="AV99" i="60"/>
  <c r="AV100" i="60"/>
  <c r="AV101" i="60"/>
  <c r="AV102" i="60"/>
  <c r="AO101" i="60"/>
  <c r="AP101" i="60"/>
  <c r="AO102" i="60"/>
  <c r="AP102" i="60"/>
  <c r="AO96" i="60"/>
  <c r="AP96" i="60"/>
  <c r="AO97" i="60"/>
  <c r="AP97" i="60"/>
  <c r="AO98" i="60"/>
  <c r="AP98" i="60"/>
  <c r="AO99" i="60"/>
  <c r="AP99" i="60"/>
  <c r="AO100" i="60"/>
  <c r="AP100" i="60"/>
  <c r="AP95" i="60"/>
  <c r="AO95" i="60"/>
  <c r="C96" i="60"/>
  <c r="C97" i="60"/>
  <c r="C98" i="60"/>
  <c r="C99" i="60"/>
  <c r="C100" i="60"/>
  <c r="C101" i="60"/>
  <c r="C102" i="60"/>
  <c r="C95" i="60"/>
  <c r="AV83" i="60"/>
  <c r="AV84" i="60"/>
  <c r="AV85" i="60"/>
  <c r="AV86" i="60"/>
  <c r="AV87" i="60"/>
  <c r="AV88" i="60"/>
  <c r="AV89" i="60"/>
  <c r="AP84" i="60"/>
  <c r="AP85" i="60"/>
  <c r="AP86" i="60"/>
  <c r="AP87" i="60"/>
  <c r="AP88" i="60"/>
  <c r="AP89" i="60"/>
  <c r="AO84" i="60"/>
  <c r="AO85" i="60"/>
  <c r="AO86" i="60"/>
  <c r="AO87" i="60"/>
  <c r="AO88" i="60"/>
  <c r="AO89" i="60"/>
  <c r="AP83" i="60"/>
  <c r="AO83" i="60"/>
  <c r="C84" i="60"/>
  <c r="C85" i="60"/>
  <c r="C86" i="60"/>
  <c r="C87" i="60"/>
  <c r="C88" i="60"/>
  <c r="C89" i="60"/>
  <c r="C83" i="60"/>
  <c r="AV61" i="60"/>
  <c r="AV62" i="60"/>
  <c r="AV63" i="60"/>
  <c r="AV64" i="60"/>
  <c r="AV65" i="60"/>
  <c r="AV66" i="60"/>
  <c r="AV67" i="60"/>
  <c r="AV68" i="60"/>
  <c r="AV69" i="60"/>
  <c r="AV70" i="60"/>
  <c r="AV71" i="60"/>
  <c r="AV72" i="60"/>
  <c r="AV73" i="60"/>
  <c r="AV74" i="60"/>
  <c r="AV75" i="60"/>
  <c r="AV76" i="60"/>
  <c r="AV77"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AO77" i="60"/>
  <c r="AP77" i="60"/>
  <c r="C75" i="60"/>
  <c r="C76" i="60"/>
  <c r="C77" i="60"/>
  <c r="C59" i="60"/>
  <c r="C60" i="60"/>
  <c r="C61" i="60"/>
  <c r="C62" i="60"/>
  <c r="C63" i="60"/>
  <c r="C64" i="60"/>
  <c r="C65" i="60"/>
  <c r="C66" i="60"/>
  <c r="C67" i="60"/>
  <c r="C68" i="60"/>
  <c r="C69" i="60"/>
  <c r="C70" i="60"/>
  <c r="C71" i="60"/>
  <c r="C72" i="60"/>
  <c r="C73" i="60"/>
  <c r="C74" i="60"/>
  <c r="C58" i="60"/>
  <c r="AV50" i="60"/>
  <c r="AV51" i="60"/>
  <c r="AV52" i="60"/>
  <c r="AO51" i="60"/>
  <c r="AP51" i="60"/>
  <c r="AO52" i="60"/>
  <c r="AP52" i="60"/>
  <c r="AP50" i="60"/>
  <c r="AO50" i="60"/>
  <c r="C51" i="60"/>
  <c r="C52" i="60"/>
  <c r="C50" i="60"/>
  <c r="AV43" i="60"/>
  <c r="AV44" i="60"/>
  <c r="AP44" i="60"/>
  <c r="AO44" i="60"/>
  <c r="AP43" i="60"/>
  <c r="AO43" i="60"/>
  <c r="C44" i="60"/>
  <c r="C43" i="60"/>
  <c r="AO32" i="60"/>
  <c r="AP32" i="60"/>
  <c r="AV32" i="60"/>
  <c r="AO33" i="60"/>
  <c r="AP33" i="60"/>
  <c r="AV33" i="60"/>
  <c r="AO34" i="60"/>
  <c r="AP34" i="60"/>
  <c r="AV34" i="60"/>
  <c r="AO35" i="60"/>
  <c r="AP35" i="60"/>
  <c r="AV35" i="60"/>
  <c r="AO36" i="60"/>
  <c r="AP36" i="60"/>
  <c r="AV36" i="60"/>
  <c r="AO37" i="60"/>
  <c r="AP37" i="60"/>
  <c r="AV37" i="60"/>
  <c r="AV31" i="60"/>
  <c r="AP31" i="60"/>
  <c r="AO31" i="60"/>
  <c r="AP22" i="60"/>
  <c r="AV22" i="60"/>
  <c r="AP24" i="60"/>
  <c r="AV24" i="60"/>
  <c r="AP25" i="60"/>
  <c r="AV25" i="60"/>
  <c r="AO24" i="60"/>
  <c r="AO25" i="60"/>
  <c r="AO22" i="60"/>
  <c r="C37" i="60"/>
  <c r="C35" i="60"/>
  <c r="C36" i="60"/>
  <c r="C32" i="60"/>
  <c r="C33" i="60"/>
  <c r="C34" i="60"/>
  <c r="C31" i="60"/>
  <c r="C24" i="60"/>
  <c r="C25" i="60"/>
  <c r="C22" i="60"/>
  <c r="AP14" i="60"/>
  <c r="AV14" i="60"/>
  <c r="AP15" i="60"/>
  <c r="AV15" i="60"/>
  <c r="AP16" i="60"/>
  <c r="AV16" i="60"/>
  <c r="AV13" i="60"/>
  <c r="AP13" i="60"/>
  <c r="AO14" i="60"/>
  <c r="AO15" i="60"/>
  <c r="AO16" i="60"/>
  <c r="AO13" i="60"/>
  <c r="C170" i="60"/>
  <c r="C162" i="60"/>
  <c r="C152" i="60"/>
  <c r="C143" i="60"/>
  <c r="C134" i="60"/>
  <c r="C126" i="60"/>
  <c r="C119" i="60"/>
  <c r="C106" i="60"/>
  <c r="C93" i="60"/>
  <c r="C81" i="60"/>
  <c r="C56" i="60"/>
  <c r="C48" i="60"/>
  <c r="C41" i="60"/>
  <c r="C20" i="60"/>
  <c r="C29" i="60"/>
  <c r="C14" i="60"/>
  <c r="C15" i="60"/>
  <c r="C16" i="60"/>
  <c r="C13" i="60"/>
  <c r="Q90" i="59"/>
  <c r="E173" i="60"/>
  <c r="N173" i="60"/>
  <c r="Q89" i="59"/>
  <c r="E172" i="60"/>
  <c r="N172" i="60"/>
  <c r="F90" i="59"/>
  <c r="F91" i="59"/>
  <c r="F89" i="59"/>
  <c r="F87" i="59"/>
  <c r="F88" i="59"/>
  <c r="F86" i="59"/>
  <c r="F83" i="59"/>
  <c r="F84" i="59"/>
  <c r="F85" i="59"/>
  <c r="F79" i="59"/>
  <c r="F80" i="59"/>
  <c r="F81" i="59"/>
  <c r="F82" i="59"/>
  <c r="F78" i="59"/>
  <c r="F75" i="59"/>
  <c r="F76" i="59"/>
  <c r="F77" i="59"/>
  <c r="F74" i="59"/>
  <c r="F70" i="59"/>
  <c r="F68" i="59"/>
  <c r="F69" i="59"/>
  <c r="F67" i="59"/>
  <c r="F66" i="59"/>
  <c r="F65" i="59"/>
  <c r="O17" i="56"/>
  <c r="R21" i="59"/>
  <c r="O16" i="56"/>
  <c r="R20" i="59"/>
  <c r="O20" i="44"/>
  <c r="R17" i="59"/>
  <c r="O21" i="44"/>
  <c r="R18" i="59"/>
  <c r="O22" i="44"/>
  <c r="R19" i="59"/>
  <c r="O17" i="44"/>
  <c r="R14" i="59"/>
  <c r="O18" i="44"/>
  <c r="R15" i="59"/>
  <c r="O19" i="44"/>
  <c r="R16" i="59"/>
  <c r="O16" i="44"/>
  <c r="R13" i="59"/>
  <c r="O18" i="45"/>
  <c r="R11" i="59"/>
  <c r="O19" i="45"/>
  <c r="R12" i="59"/>
  <c r="O16" i="45"/>
  <c r="R9" i="59"/>
  <c r="O20" i="47"/>
  <c r="R61" i="59"/>
  <c r="O21" i="47"/>
  <c r="R62" i="59"/>
  <c r="O22" i="47"/>
  <c r="R63" i="59"/>
  <c r="O23" i="47"/>
  <c r="R64" i="59"/>
  <c r="O18" i="47"/>
  <c r="R59" i="59"/>
  <c r="O19" i="47"/>
  <c r="R60" i="59"/>
  <c r="O17" i="47"/>
  <c r="R58" i="59"/>
  <c r="O16" i="47"/>
  <c r="R57" i="59"/>
  <c r="F58" i="59"/>
  <c r="F59" i="59"/>
  <c r="F60" i="59"/>
  <c r="F61" i="59"/>
  <c r="F62" i="59"/>
  <c r="F63" i="59"/>
  <c r="F64" i="59"/>
  <c r="F57" i="59"/>
  <c r="F56" i="59"/>
  <c r="F55" i="59"/>
  <c r="F50" i="59"/>
  <c r="F51" i="59"/>
  <c r="F52" i="59"/>
  <c r="F53" i="59"/>
  <c r="F54" i="59"/>
  <c r="F49" i="59"/>
  <c r="F48" i="59"/>
  <c r="F43" i="59"/>
  <c r="F44" i="59"/>
  <c r="F45" i="59"/>
  <c r="F46" i="59"/>
  <c r="F47" i="59"/>
  <c r="F42" i="59"/>
  <c r="O22" i="42"/>
  <c r="R48" i="59"/>
  <c r="O21" i="42"/>
  <c r="R47" i="59"/>
  <c r="O19" i="42"/>
  <c r="R45" i="59"/>
  <c r="O20" i="42"/>
  <c r="R46" i="59"/>
  <c r="O17" i="42"/>
  <c r="R43" i="59"/>
  <c r="O18" i="42"/>
  <c r="R44" i="59"/>
  <c r="O16" i="42"/>
  <c r="R42" i="59"/>
  <c r="O35" i="41"/>
  <c r="R41" i="59"/>
  <c r="O32" i="41"/>
  <c r="R38" i="59"/>
  <c r="O33" i="41"/>
  <c r="R39" i="59"/>
  <c r="O34" i="41"/>
  <c r="O30" i="41"/>
  <c r="R36" i="59"/>
  <c r="O31" i="41"/>
  <c r="R37" i="59"/>
  <c r="O29" i="41"/>
  <c r="R35" i="59"/>
  <c r="O28" i="41"/>
  <c r="R34" i="59"/>
  <c r="O27" i="41"/>
  <c r="R33" i="59"/>
  <c r="O26" i="41"/>
  <c r="R32" i="59"/>
  <c r="O25" i="41"/>
  <c r="R31" i="59"/>
  <c r="O24" i="41"/>
  <c r="R30" i="59"/>
  <c r="O22" i="41"/>
  <c r="R28" i="59"/>
  <c r="O23" i="41"/>
  <c r="R29" i="59"/>
  <c r="O21" i="41"/>
  <c r="R27" i="59"/>
  <c r="O20" i="41"/>
  <c r="O19" i="41"/>
  <c r="O17" i="41"/>
  <c r="R23" i="59"/>
  <c r="O18" i="41"/>
  <c r="R24" i="59"/>
  <c r="O16" i="41"/>
  <c r="R22" i="59"/>
  <c r="F22" i="59"/>
  <c r="F23" i="59"/>
  <c r="F24" i="59"/>
  <c r="F25" i="59"/>
  <c r="F26" i="59"/>
  <c r="F27" i="59"/>
  <c r="F28" i="59"/>
  <c r="F29" i="59"/>
  <c r="F30" i="59"/>
  <c r="F31" i="59"/>
  <c r="F32" i="59"/>
  <c r="F33" i="59"/>
  <c r="F34" i="59"/>
  <c r="F35" i="59"/>
  <c r="F36" i="59"/>
  <c r="F37" i="59"/>
  <c r="F38" i="59"/>
  <c r="F39" i="59"/>
  <c r="F40" i="59"/>
  <c r="F41" i="59"/>
  <c r="F20" i="59"/>
  <c r="F21" i="59"/>
  <c r="F13" i="59"/>
  <c r="F14" i="59"/>
  <c r="F15" i="59"/>
  <c r="F16" i="59"/>
  <c r="F17" i="59"/>
  <c r="F18" i="59"/>
  <c r="F19" i="59"/>
  <c r="F9" i="59"/>
  <c r="F11" i="59"/>
  <c r="F12" i="59"/>
  <c r="F6" i="59"/>
  <c r="F7" i="59"/>
  <c r="F8" i="59"/>
  <c r="F5"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4" i="60"/>
  <c r="M91" i="59"/>
  <c r="AT174" i="60"/>
  <c r="L91" i="59"/>
  <c r="AS174" i="60"/>
  <c r="K91" i="59"/>
  <c r="AR174" i="60"/>
  <c r="J91" i="59"/>
  <c r="AQ174" i="60"/>
  <c r="N90" i="59"/>
  <c r="AU173" i="60"/>
  <c r="M90" i="59"/>
  <c r="AT173" i="60"/>
  <c r="L90" i="59"/>
  <c r="AS173" i="60"/>
  <c r="K90" i="59"/>
  <c r="AR173" i="60"/>
  <c r="J90" i="59"/>
  <c r="AQ173" i="60"/>
  <c r="N89" i="59"/>
  <c r="AU172" i="60"/>
  <c r="M89" i="59"/>
  <c r="AT172" i="60"/>
  <c r="L89" i="59"/>
  <c r="AS172" i="60"/>
  <c r="K89" i="59"/>
  <c r="AR172" i="60"/>
  <c r="J89" i="59"/>
  <c r="AQ172" i="60"/>
  <c r="N88" i="59"/>
  <c r="AU166" i="60"/>
  <c r="M88" i="59"/>
  <c r="AT166" i="60"/>
  <c r="L88" i="59"/>
  <c r="AS166" i="60"/>
  <c r="K88" i="59"/>
  <c r="AR166" i="60"/>
  <c r="J88" i="59"/>
  <c r="AQ166" i="60"/>
  <c r="N87" i="59"/>
  <c r="AU165" i="60"/>
  <c r="M87" i="59"/>
  <c r="AT165" i="60"/>
  <c r="L87" i="59"/>
  <c r="AS165" i="60"/>
  <c r="K87" i="59"/>
  <c r="AR165" i="60"/>
  <c r="J87" i="59"/>
  <c r="AQ165" i="60"/>
  <c r="N86" i="59"/>
  <c r="AU164" i="60"/>
  <c r="M86" i="59"/>
  <c r="AT164" i="60"/>
  <c r="L86" i="59"/>
  <c r="AS164" i="60"/>
  <c r="K86" i="59"/>
  <c r="AR164" i="60"/>
  <c r="J86" i="59"/>
  <c r="AQ164" i="60"/>
  <c r="N85" i="59"/>
  <c r="AU52" i="60"/>
  <c r="M85" i="59"/>
  <c r="AT52" i="60"/>
  <c r="L85" i="59"/>
  <c r="AS52" i="60"/>
  <c r="K85" i="59"/>
  <c r="AR52" i="60"/>
  <c r="J85" i="59"/>
  <c r="AQ52" i="60"/>
  <c r="N84" i="59"/>
  <c r="AU51" i="60"/>
  <c r="M84" i="59"/>
  <c r="AT51" i="60"/>
  <c r="L84" i="59"/>
  <c r="AS51" i="60"/>
  <c r="K84" i="59"/>
  <c r="AR51" i="60"/>
  <c r="J84" i="59"/>
  <c r="AQ51" i="60"/>
  <c r="N83" i="59"/>
  <c r="AU50" i="60"/>
  <c r="M83" i="59"/>
  <c r="AT50" i="60"/>
  <c r="L83" i="59"/>
  <c r="AS50" i="60"/>
  <c r="K83" i="59"/>
  <c r="AR50" i="60"/>
  <c r="J83" i="59"/>
  <c r="AQ50" i="60"/>
  <c r="N82" i="59"/>
  <c r="AU158" i="60"/>
  <c r="M82" i="59"/>
  <c r="AT158" i="60"/>
  <c r="L82" i="59"/>
  <c r="AS158" i="60"/>
  <c r="K82" i="59"/>
  <c r="AR158" i="60"/>
  <c r="J82" i="59"/>
  <c r="AQ158" i="60"/>
  <c r="N81" i="59"/>
  <c r="AU157" i="60"/>
  <c r="M81" i="59"/>
  <c r="AT157" i="60"/>
  <c r="L81" i="59"/>
  <c r="AS157" i="60"/>
  <c r="K81" i="59"/>
  <c r="AR157" i="60"/>
  <c r="J81" i="59"/>
  <c r="AQ157" i="60"/>
  <c r="N80" i="59"/>
  <c r="AU156" i="60"/>
  <c r="M80" i="59"/>
  <c r="AT156" i="60"/>
  <c r="L80" i="59"/>
  <c r="AS156" i="60"/>
  <c r="K80" i="59"/>
  <c r="AR156" i="60"/>
  <c r="J80" i="59"/>
  <c r="AQ156" i="60"/>
  <c r="N79" i="59"/>
  <c r="AU155" i="60"/>
  <c r="M79" i="59"/>
  <c r="AT155" i="60"/>
  <c r="L79" i="59"/>
  <c r="AS155" i="60"/>
  <c r="K79" i="59"/>
  <c r="AR155" i="60"/>
  <c r="J79" i="59"/>
  <c r="AQ155" i="60"/>
  <c r="N78" i="59"/>
  <c r="AU154" i="60"/>
  <c r="M78" i="59"/>
  <c r="AT154" i="60"/>
  <c r="L78" i="59"/>
  <c r="AS154" i="60"/>
  <c r="K78" i="59"/>
  <c r="AR154" i="60"/>
  <c r="J78" i="59"/>
  <c r="AQ154" i="60"/>
  <c r="N77" i="59"/>
  <c r="AU148" i="60"/>
  <c r="M77" i="59"/>
  <c r="AT148" i="60"/>
  <c r="L77" i="59"/>
  <c r="AS148" i="60"/>
  <c r="K77" i="59"/>
  <c r="AR148" i="60"/>
  <c r="J77" i="59"/>
  <c r="AQ148" i="60"/>
  <c r="N76" i="59"/>
  <c r="AU147" i="60"/>
  <c r="M76" i="59"/>
  <c r="AT147" i="60"/>
  <c r="L76" i="59"/>
  <c r="AS147" i="60"/>
  <c r="K76" i="59"/>
  <c r="AR147" i="60"/>
  <c r="J76" i="59"/>
  <c r="AQ147" i="60"/>
  <c r="N75" i="59"/>
  <c r="AU146" i="60"/>
  <c r="M75" i="59"/>
  <c r="AT146" i="60"/>
  <c r="L75" i="59"/>
  <c r="AS146" i="60"/>
  <c r="K75" i="59"/>
  <c r="AR146" i="60"/>
  <c r="J75" i="59"/>
  <c r="AQ146" i="60"/>
  <c r="N74" i="59"/>
  <c r="M74" i="59"/>
  <c r="AT145" i="60"/>
  <c r="L74" i="59"/>
  <c r="K74" i="59"/>
  <c r="J74" i="59"/>
  <c r="N70" i="59"/>
  <c r="AU136" i="60"/>
  <c r="M70" i="59"/>
  <c r="AT136" i="60"/>
  <c r="L70" i="59"/>
  <c r="AS136" i="60"/>
  <c r="K70" i="59"/>
  <c r="AR136" i="60"/>
  <c r="J70" i="59"/>
  <c r="AQ136" i="60"/>
  <c r="N69" i="59"/>
  <c r="M69" i="59"/>
  <c r="L69" i="59"/>
  <c r="AS130" i="60"/>
  <c r="K69" i="59"/>
  <c r="J69" i="59"/>
  <c r="N68" i="59"/>
  <c r="M68" i="59"/>
  <c r="AT121" i="60"/>
  <c r="L68" i="59"/>
  <c r="K68" i="59"/>
  <c r="J68" i="59"/>
  <c r="N67" i="59"/>
  <c r="AU128" i="60"/>
  <c r="M67" i="59"/>
  <c r="AT128" i="60"/>
  <c r="L67" i="59"/>
  <c r="AS128" i="60"/>
  <c r="K67" i="59"/>
  <c r="AR128" i="60"/>
  <c r="J67" i="59"/>
  <c r="AQ128" i="60"/>
  <c r="N66" i="59"/>
  <c r="M66" i="59"/>
  <c r="L66" i="59"/>
  <c r="K66" i="59"/>
  <c r="J66" i="59"/>
  <c r="N65" i="59"/>
  <c r="M65" i="59"/>
  <c r="L65" i="59"/>
  <c r="K65" i="59"/>
  <c r="J65" i="59"/>
  <c r="N64" i="59"/>
  <c r="AU115" i="60"/>
  <c r="M64" i="59"/>
  <c r="AT115" i="60"/>
  <c r="L64" i="59"/>
  <c r="AS115" i="60"/>
  <c r="K64" i="59"/>
  <c r="AR115" i="60"/>
  <c r="J64" i="59"/>
  <c r="AQ115" i="60"/>
  <c r="N63" i="59"/>
  <c r="AU114" i="60"/>
  <c r="M63" i="59"/>
  <c r="AT114" i="60"/>
  <c r="L63" i="59"/>
  <c r="AS114" i="60"/>
  <c r="K63" i="59"/>
  <c r="AR114" i="60"/>
  <c r="J63" i="59"/>
  <c r="AQ114" i="60"/>
  <c r="N62" i="59"/>
  <c r="AU113" i="60"/>
  <c r="M62" i="59"/>
  <c r="AT113" i="60"/>
  <c r="L62" i="59"/>
  <c r="AS113" i="60"/>
  <c r="K62" i="59"/>
  <c r="AR113" i="60"/>
  <c r="J62" i="59"/>
  <c r="AQ113" i="60"/>
  <c r="N61" i="59"/>
  <c r="AU112" i="60"/>
  <c r="M61" i="59"/>
  <c r="AT112" i="60"/>
  <c r="L61" i="59"/>
  <c r="AS112" i="60"/>
  <c r="K61" i="59"/>
  <c r="AR112" i="60"/>
  <c r="J61" i="59"/>
  <c r="AQ112" i="60"/>
  <c r="N60" i="59"/>
  <c r="AU111" i="60"/>
  <c r="M60" i="59"/>
  <c r="AT111" i="60"/>
  <c r="L60" i="59"/>
  <c r="AS111" i="60"/>
  <c r="K60" i="59"/>
  <c r="AR111" i="60"/>
  <c r="J60" i="59"/>
  <c r="AQ111" i="60"/>
  <c r="N59" i="59"/>
  <c r="AU110" i="60"/>
  <c r="M59" i="59"/>
  <c r="AT110" i="60"/>
  <c r="L59" i="59"/>
  <c r="AS110" i="60"/>
  <c r="K59" i="59"/>
  <c r="AR110" i="60"/>
  <c r="J59" i="59"/>
  <c r="AQ110" i="60"/>
  <c r="N58" i="59"/>
  <c r="AU109" i="60"/>
  <c r="M58" i="59"/>
  <c r="AT109" i="60"/>
  <c r="L58" i="59"/>
  <c r="AS109" i="60"/>
  <c r="K58" i="59"/>
  <c r="AR109" i="60"/>
  <c r="J58" i="59"/>
  <c r="AQ109" i="60"/>
  <c r="N57" i="59"/>
  <c r="AU108" i="60"/>
  <c r="M57" i="59"/>
  <c r="AT108" i="60"/>
  <c r="L57" i="59"/>
  <c r="AS108" i="60"/>
  <c r="K57" i="59"/>
  <c r="AR108" i="60"/>
  <c r="J57" i="59"/>
  <c r="AQ108" i="60"/>
  <c r="N56" i="59"/>
  <c r="AU102" i="60"/>
  <c r="M56" i="59"/>
  <c r="AT102" i="60"/>
  <c r="L56" i="59"/>
  <c r="AS102" i="60"/>
  <c r="K56" i="59"/>
  <c r="AR102" i="60"/>
  <c r="J56" i="59"/>
  <c r="AQ102" i="60"/>
  <c r="N55" i="59"/>
  <c r="AU101" i="60"/>
  <c r="M55" i="59"/>
  <c r="AT101" i="60"/>
  <c r="L55" i="59"/>
  <c r="AS101" i="60"/>
  <c r="K55" i="59"/>
  <c r="AR101" i="60"/>
  <c r="J55" i="59"/>
  <c r="AQ101" i="60"/>
  <c r="N54" i="59"/>
  <c r="AU100" i="60"/>
  <c r="M54" i="59"/>
  <c r="AT100" i="60"/>
  <c r="L54" i="59"/>
  <c r="AS100" i="60"/>
  <c r="K54" i="59"/>
  <c r="AR100" i="60"/>
  <c r="J54" i="59"/>
  <c r="AQ100" i="60"/>
  <c r="N53" i="59"/>
  <c r="AU99" i="60"/>
  <c r="M53" i="59"/>
  <c r="AT99" i="60"/>
  <c r="L53" i="59"/>
  <c r="AS99" i="60"/>
  <c r="K53" i="59"/>
  <c r="AR99" i="60"/>
  <c r="J53" i="59"/>
  <c r="AQ99" i="60"/>
  <c r="N52" i="59"/>
  <c r="AU98" i="60"/>
  <c r="M52" i="59"/>
  <c r="AT98" i="60"/>
  <c r="L52" i="59"/>
  <c r="AS98" i="60"/>
  <c r="K52" i="59"/>
  <c r="AR98" i="60"/>
  <c r="J52" i="59"/>
  <c r="AQ98" i="60"/>
  <c r="N51" i="59"/>
  <c r="AU97" i="60"/>
  <c r="M51" i="59"/>
  <c r="AT97" i="60"/>
  <c r="L51" i="59"/>
  <c r="AS97" i="60"/>
  <c r="K51" i="59"/>
  <c r="AR97" i="60"/>
  <c r="J51" i="59"/>
  <c r="AQ97" i="60"/>
  <c r="N50" i="59"/>
  <c r="AU96" i="60"/>
  <c r="M50" i="59"/>
  <c r="AT96" i="60"/>
  <c r="L50" i="59"/>
  <c r="AS96" i="60"/>
  <c r="K50" i="59"/>
  <c r="AR96" i="60"/>
  <c r="J50" i="59"/>
  <c r="AQ96" i="60"/>
  <c r="N49" i="59"/>
  <c r="AU95" i="60"/>
  <c r="M49" i="59"/>
  <c r="AT95" i="60"/>
  <c r="L49" i="59"/>
  <c r="AS95" i="60"/>
  <c r="K49" i="59"/>
  <c r="AR95" i="60"/>
  <c r="J49" i="59"/>
  <c r="AQ95" i="60"/>
  <c r="N48" i="59"/>
  <c r="AU89" i="60"/>
  <c r="M48" i="59"/>
  <c r="AT89" i="60"/>
  <c r="L48" i="59"/>
  <c r="AS89" i="60"/>
  <c r="K48" i="59"/>
  <c r="AR89" i="60"/>
  <c r="J48" i="59"/>
  <c r="AQ89" i="60"/>
  <c r="N47" i="59"/>
  <c r="AU88" i="60"/>
  <c r="M47" i="59"/>
  <c r="AT88" i="60"/>
  <c r="L47" i="59"/>
  <c r="AS88" i="60"/>
  <c r="K47" i="59"/>
  <c r="AR88" i="60"/>
  <c r="J47" i="59"/>
  <c r="AQ88" i="60"/>
  <c r="N46" i="59"/>
  <c r="AU87" i="60"/>
  <c r="M46" i="59"/>
  <c r="AT87" i="60"/>
  <c r="L46" i="59"/>
  <c r="AS87" i="60"/>
  <c r="K46" i="59"/>
  <c r="AR87" i="60"/>
  <c r="J46" i="59"/>
  <c r="AQ87" i="60"/>
  <c r="N45" i="59"/>
  <c r="AU86" i="60"/>
  <c r="M45" i="59"/>
  <c r="AT86" i="60"/>
  <c r="L45" i="59"/>
  <c r="AS86" i="60"/>
  <c r="K45" i="59"/>
  <c r="AR86" i="60"/>
  <c r="J45" i="59"/>
  <c r="AQ86" i="60"/>
  <c r="N44" i="59"/>
  <c r="AU85" i="60"/>
  <c r="M44" i="59"/>
  <c r="AT85" i="60"/>
  <c r="L44" i="59"/>
  <c r="AS85" i="60"/>
  <c r="K44" i="59"/>
  <c r="AR85" i="60"/>
  <c r="J44" i="59"/>
  <c r="AQ85" i="60"/>
  <c r="N43" i="59"/>
  <c r="AU84" i="60"/>
  <c r="M43" i="59"/>
  <c r="AT84" i="60"/>
  <c r="L43" i="59"/>
  <c r="AS84" i="60"/>
  <c r="K43" i="59"/>
  <c r="AR84" i="60"/>
  <c r="J43" i="59"/>
  <c r="AQ84" i="60"/>
  <c r="N42" i="59"/>
  <c r="AU83" i="60"/>
  <c r="M42" i="59"/>
  <c r="AT83" i="60"/>
  <c r="L42" i="59"/>
  <c r="AS83" i="60"/>
  <c r="K42" i="59"/>
  <c r="AR83" i="60"/>
  <c r="J42" i="59"/>
  <c r="AQ83" i="60"/>
  <c r="N41" i="59"/>
  <c r="AU77" i="60"/>
  <c r="M41" i="59"/>
  <c r="AT77" i="60"/>
  <c r="L41" i="59"/>
  <c r="AS77" i="60"/>
  <c r="K41" i="59"/>
  <c r="AR77" i="60"/>
  <c r="J41" i="59"/>
  <c r="AQ77" i="60"/>
  <c r="N40" i="59"/>
  <c r="AU76" i="60"/>
  <c r="M40" i="59"/>
  <c r="AT76" i="60"/>
  <c r="L40" i="59"/>
  <c r="AS76" i="60"/>
  <c r="K40" i="59"/>
  <c r="AR76" i="60"/>
  <c r="J40" i="59"/>
  <c r="AQ76" i="60"/>
  <c r="N39" i="59"/>
  <c r="AU75" i="60"/>
  <c r="M39" i="59"/>
  <c r="AT75" i="60"/>
  <c r="L39" i="59"/>
  <c r="AS75" i="60"/>
  <c r="K39" i="59"/>
  <c r="AR75" i="60"/>
  <c r="J39" i="59"/>
  <c r="AQ75" i="60"/>
  <c r="N38" i="59"/>
  <c r="AU74" i="60"/>
  <c r="M38" i="59"/>
  <c r="AT74" i="60"/>
  <c r="L38" i="59"/>
  <c r="AS74" i="60"/>
  <c r="K38" i="59"/>
  <c r="AR74" i="60"/>
  <c r="J38" i="59"/>
  <c r="AQ74" i="60"/>
  <c r="N37" i="59"/>
  <c r="AU73" i="60"/>
  <c r="M37" i="59"/>
  <c r="AT73" i="60"/>
  <c r="L37" i="59"/>
  <c r="AS73" i="60"/>
  <c r="K37" i="59"/>
  <c r="AR73" i="60"/>
  <c r="J37" i="59"/>
  <c r="AQ73" i="60"/>
  <c r="N36" i="59"/>
  <c r="AU72" i="60"/>
  <c r="M36" i="59"/>
  <c r="AT72" i="60"/>
  <c r="L36" i="59"/>
  <c r="AS72" i="60"/>
  <c r="K36" i="59"/>
  <c r="AR72" i="60"/>
  <c r="J36" i="59"/>
  <c r="AQ72" i="60"/>
  <c r="N35" i="59"/>
  <c r="AU71" i="60"/>
  <c r="M35" i="59"/>
  <c r="AT71" i="60"/>
  <c r="L35" i="59"/>
  <c r="AS71" i="60"/>
  <c r="K35" i="59"/>
  <c r="AR71" i="60"/>
  <c r="J35" i="59"/>
  <c r="AQ71" i="60"/>
  <c r="N34" i="59"/>
  <c r="AU70" i="60"/>
  <c r="M34" i="59"/>
  <c r="AT70" i="60"/>
  <c r="L34" i="59"/>
  <c r="AS70" i="60"/>
  <c r="K34" i="59"/>
  <c r="AR70" i="60"/>
  <c r="J34" i="59"/>
  <c r="AQ70" i="60"/>
  <c r="N33" i="59"/>
  <c r="AU69" i="60"/>
  <c r="M33" i="59"/>
  <c r="AT69" i="60"/>
  <c r="L33" i="59"/>
  <c r="AS69" i="60"/>
  <c r="K33" i="59"/>
  <c r="AR69" i="60"/>
  <c r="J33" i="59"/>
  <c r="AQ69" i="60"/>
  <c r="N32" i="59"/>
  <c r="AU68" i="60"/>
  <c r="M32" i="59"/>
  <c r="AT68" i="60"/>
  <c r="L32" i="59"/>
  <c r="AS68" i="60"/>
  <c r="K32" i="59"/>
  <c r="AR68" i="60"/>
  <c r="J32" i="59"/>
  <c r="AQ68" i="60"/>
  <c r="N31" i="59"/>
  <c r="AU67" i="60"/>
  <c r="M31" i="59"/>
  <c r="AT67" i="60"/>
  <c r="L31" i="59"/>
  <c r="AS67" i="60"/>
  <c r="K31" i="59"/>
  <c r="AR67" i="60"/>
  <c r="J31" i="59"/>
  <c r="AQ67" i="60"/>
  <c r="N30" i="59"/>
  <c r="AU66" i="60"/>
  <c r="M30" i="59"/>
  <c r="AT66" i="60"/>
  <c r="L30" i="59"/>
  <c r="AS66" i="60"/>
  <c r="K30" i="59"/>
  <c r="AR66" i="60"/>
  <c r="J30" i="59"/>
  <c r="AQ66" i="60"/>
  <c r="N29" i="59"/>
  <c r="AU65" i="60"/>
  <c r="M29" i="59"/>
  <c r="AT65" i="60"/>
  <c r="L29" i="59"/>
  <c r="AS65" i="60"/>
  <c r="K29" i="59"/>
  <c r="AR65" i="60"/>
  <c r="J29" i="59"/>
  <c r="AQ65" i="60"/>
  <c r="N28" i="59"/>
  <c r="AU64" i="60"/>
  <c r="M28" i="59"/>
  <c r="AT64" i="60"/>
  <c r="L28" i="59"/>
  <c r="AS64" i="60"/>
  <c r="K28" i="59"/>
  <c r="AR64" i="60"/>
  <c r="J28" i="59"/>
  <c r="AQ64" i="60"/>
  <c r="N27" i="59"/>
  <c r="AU63" i="60"/>
  <c r="M27" i="59"/>
  <c r="AT63" i="60"/>
  <c r="L27" i="59"/>
  <c r="AS63" i="60"/>
  <c r="K27" i="59"/>
  <c r="AR63" i="60"/>
  <c r="J27" i="59"/>
  <c r="AQ63" i="60"/>
  <c r="N26" i="59"/>
  <c r="AU62" i="60"/>
  <c r="M26" i="59"/>
  <c r="AT62" i="60"/>
  <c r="L26" i="59"/>
  <c r="AS62" i="60"/>
  <c r="K26" i="59"/>
  <c r="AR62" i="60"/>
  <c r="J26" i="59"/>
  <c r="AQ62" i="60"/>
  <c r="N25" i="59"/>
  <c r="AU61" i="60"/>
  <c r="M25" i="59"/>
  <c r="AT61" i="60"/>
  <c r="L25" i="59"/>
  <c r="AS61" i="60"/>
  <c r="K25" i="59"/>
  <c r="AR61" i="60"/>
  <c r="J25" i="59"/>
  <c r="AQ61" i="60"/>
  <c r="N21" i="59"/>
  <c r="AU44" i="60"/>
  <c r="M21" i="59"/>
  <c r="AT44" i="60"/>
  <c r="L21" i="59"/>
  <c r="AS44" i="60"/>
  <c r="K21" i="59"/>
  <c r="AR44" i="60"/>
  <c r="J21" i="59"/>
  <c r="AQ44" i="60"/>
  <c r="N20" i="59"/>
  <c r="AU43" i="60"/>
  <c r="M20" i="59"/>
  <c r="AT43" i="60"/>
  <c r="L20" i="59"/>
  <c r="AS43" i="60"/>
  <c r="K20" i="59"/>
  <c r="AR43" i="60"/>
  <c r="J20" i="59"/>
  <c r="AQ43" i="60"/>
  <c r="N19" i="59"/>
  <c r="AU37" i="60"/>
  <c r="M19" i="59"/>
  <c r="AT37" i="60"/>
  <c r="L19" i="59"/>
  <c r="AS37" i="60"/>
  <c r="K19" i="59"/>
  <c r="AR37" i="60"/>
  <c r="J19" i="59"/>
  <c r="AQ37" i="60"/>
  <c r="N18" i="59"/>
  <c r="AU36" i="60"/>
  <c r="M18" i="59"/>
  <c r="AT36" i="60"/>
  <c r="L18" i="59"/>
  <c r="AS36" i="60"/>
  <c r="K18" i="59"/>
  <c r="AR36" i="60"/>
  <c r="J18" i="59"/>
  <c r="AQ36" i="60"/>
  <c r="N17" i="59"/>
  <c r="AU35" i="60"/>
  <c r="M17" i="59"/>
  <c r="AT35" i="60"/>
  <c r="L17" i="59"/>
  <c r="AS35" i="60"/>
  <c r="K17" i="59"/>
  <c r="AR35" i="60"/>
  <c r="J17" i="59"/>
  <c r="AQ35" i="60"/>
  <c r="N16" i="59"/>
  <c r="AU34" i="60"/>
  <c r="M16" i="59"/>
  <c r="AT34" i="60"/>
  <c r="L16" i="59"/>
  <c r="AS34" i="60"/>
  <c r="K16" i="59"/>
  <c r="AR34" i="60"/>
  <c r="J16" i="59"/>
  <c r="AQ34" i="60"/>
  <c r="N15" i="59"/>
  <c r="AU33" i="60"/>
  <c r="M15" i="59"/>
  <c r="AT33" i="60"/>
  <c r="L15" i="59"/>
  <c r="AS33" i="60"/>
  <c r="K15" i="59"/>
  <c r="AR33" i="60"/>
  <c r="J15" i="59"/>
  <c r="AQ33" i="60"/>
  <c r="N14" i="59"/>
  <c r="AU32" i="60"/>
  <c r="M14" i="59"/>
  <c r="AT32" i="60"/>
  <c r="L14" i="59"/>
  <c r="AS32" i="60"/>
  <c r="K14" i="59"/>
  <c r="AR32" i="60"/>
  <c r="J14" i="59"/>
  <c r="AQ32" i="60"/>
  <c r="N13" i="59"/>
  <c r="AU31" i="60"/>
  <c r="M13" i="59"/>
  <c r="AT31" i="60"/>
  <c r="L13" i="59"/>
  <c r="AS31" i="60"/>
  <c r="K13" i="59"/>
  <c r="AR31" i="60"/>
  <c r="J13" i="59"/>
  <c r="AQ31" i="60"/>
  <c r="N12" i="59"/>
  <c r="AU25" i="60"/>
  <c r="M12" i="59"/>
  <c r="AT25" i="60"/>
  <c r="L12" i="59"/>
  <c r="AS25" i="60"/>
  <c r="K12" i="59"/>
  <c r="AR25" i="60"/>
  <c r="J12" i="59"/>
  <c r="AQ25" i="60"/>
  <c r="N11" i="59"/>
  <c r="AU24" i="60"/>
  <c r="M11" i="59"/>
  <c r="AT24" i="60"/>
  <c r="L11" i="59"/>
  <c r="AS24" i="60"/>
  <c r="K11" i="59"/>
  <c r="AR24" i="60"/>
  <c r="J11" i="59"/>
  <c r="AQ24" i="60"/>
  <c r="N9" i="59"/>
  <c r="AU22" i="60"/>
  <c r="M9" i="59"/>
  <c r="AT22" i="60"/>
  <c r="L9" i="59"/>
  <c r="AS22" i="60"/>
  <c r="K9" i="59"/>
  <c r="AR22" i="60"/>
  <c r="J9" i="59"/>
  <c r="AQ22" i="60"/>
  <c r="N8" i="59"/>
  <c r="AU16" i="60"/>
  <c r="M8" i="59"/>
  <c r="AT16" i="60"/>
  <c r="L8" i="59"/>
  <c r="AS16" i="60"/>
  <c r="K8" i="59"/>
  <c r="AR16" i="60"/>
  <c r="J8" i="59"/>
  <c r="AQ16" i="60"/>
  <c r="N7" i="59"/>
  <c r="AU15" i="60"/>
  <c r="M7" i="59"/>
  <c r="AT15" i="60"/>
  <c r="L7" i="59"/>
  <c r="AS15" i="60"/>
  <c r="K7" i="59"/>
  <c r="AR15" i="60"/>
  <c r="J7" i="59"/>
  <c r="AQ15" i="60"/>
  <c r="N6" i="59"/>
  <c r="AU14" i="60"/>
  <c r="M6" i="59"/>
  <c r="AT14" i="60"/>
  <c r="L6" i="59"/>
  <c r="AS14" i="60"/>
  <c r="K6" i="59"/>
  <c r="AR14" i="60"/>
  <c r="J6" i="59"/>
  <c r="AQ14" i="60"/>
  <c r="B6" i="59"/>
  <c r="B7" i="59"/>
  <c r="N5" i="59"/>
  <c r="AU13" i="60"/>
  <c r="M5" i="59"/>
  <c r="AT13" i="60"/>
  <c r="L5" i="59"/>
  <c r="AS13" i="60"/>
  <c r="K5" i="59"/>
  <c r="AR13" i="60"/>
  <c r="J5" i="59"/>
  <c r="AQ13" i="60"/>
  <c r="AS145" i="60"/>
  <c r="AU145" i="60"/>
  <c r="AQ145" i="60"/>
  <c r="AR145" i="60"/>
  <c r="AQ121" i="60"/>
  <c r="AQ129" i="60"/>
  <c r="AU130" i="60"/>
  <c r="AU122" i="60"/>
  <c r="AS129" i="60"/>
  <c r="AS121" i="60"/>
  <c r="AT129" i="60"/>
  <c r="F18" i="55"/>
  <c r="P91" i="59"/>
  <c r="F17" i="55"/>
  <c r="P90" i="59"/>
  <c r="F16" i="55"/>
  <c r="P89" i="59"/>
  <c r="F17" i="53"/>
  <c r="P79" i="59"/>
  <c r="F18" i="53"/>
  <c r="P80" i="59"/>
  <c r="F19" i="53"/>
  <c r="P81" i="59"/>
  <c r="F20" i="53"/>
  <c r="P82" i="59"/>
  <c r="F16" i="53"/>
  <c r="P78" i="59"/>
  <c r="F19" i="52"/>
  <c r="P77" i="59"/>
  <c r="F17" i="52"/>
  <c r="P75" i="59"/>
  <c r="F18" i="52"/>
  <c r="P76" i="59"/>
  <c r="F16" i="52"/>
  <c r="P74" i="59"/>
  <c r="F16" i="50"/>
  <c r="P70" i="59"/>
  <c r="F18" i="51"/>
  <c r="P69" i="59"/>
  <c r="F17" i="51"/>
  <c r="P68" i="59"/>
  <c r="F16" i="51"/>
  <c r="P67" i="59"/>
  <c r="F17" i="48"/>
  <c r="F16" i="48"/>
  <c r="F22" i="47"/>
  <c r="BE22" i="47" s="1"/>
  <c r="P63" i="59"/>
  <c r="F23" i="47"/>
  <c r="BE23" i="47" s="1"/>
  <c r="P64" i="59"/>
  <c r="F20" i="47"/>
  <c r="P61" i="59"/>
  <c r="F21" i="47"/>
  <c r="P62" i="59"/>
  <c r="F18" i="47"/>
  <c r="BF18" i="47" s="1"/>
  <c r="P59" i="59"/>
  <c r="F19" i="47"/>
  <c r="P60" i="59"/>
  <c r="F17" i="47"/>
  <c r="BE17" i="47" s="1"/>
  <c r="P58" i="59"/>
  <c r="F16" i="47"/>
  <c r="BE16" i="47" s="1"/>
  <c r="P57" i="59"/>
  <c r="O96" i="60"/>
  <c r="F17" i="43"/>
  <c r="P50" i="59"/>
  <c r="F18" i="43"/>
  <c r="P51" i="59"/>
  <c r="F19" i="43"/>
  <c r="P52" i="59"/>
  <c r="F20" i="43"/>
  <c r="P53" i="59"/>
  <c r="F21" i="43"/>
  <c r="P54" i="59"/>
  <c r="F22" i="43"/>
  <c r="P55" i="59"/>
  <c r="F23" i="43"/>
  <c r="P56" i="59"/>
  <c r="F16" i="43"/>
  <c r="P49" i="59"/>
  <c r="F22" i="42"/>
  <c r="P48" i="59"/>
  <c r="F20" i="42"/>
  <c r="P46" i="59"/>
  <c r="F21" i="42"/>
  <c r="P47" i="59"/>
  <c r="F19" i="42"/>
  <c r="P45" i="59"/>
  <c r="F17" i="42"/>
  <c r="P43" i="59"/>
  <c r="F18" i="42"/>
  <c r="P44" i="59"/>
  <c r="F16" i="42"/>
  <c r="P42" i="59"/>
  <c r="F33" i="41"/>
  <c r="P39" i="59"/>
  <c r="F34" i="41"/>
  <c r="P40" i="59"/>
  <c r="F35" i="41"/>
  <c r="P41" i="59"/>
  <c r="F29" i="41"/>
  <c r="P35" i="59"/>
  <c r="F30" i="41"/>
  <c r="P36" i="59"/>
  <c r="F31" i="41"/>
  <c r="P37" i="59"/>
  <c r="F32" i="41"/>
  <c r="P38" i="59"/>
  <c r="F26" i="41"/>
  <c r="P32" i="59"/>
  <c r="F27" i="41"/>
  <c r="P33" i="59"/>
  <c r="F28" i="41"/>
  <c r="P34" i="59"/>
  <c r="F24" i="41"/>
  <c r="P30" i="59"/>
  <c r="F25" i="41"/>
  <c r="P31" i="59"/>
  <c r="F22" i="41"/>
  <c r="P28" i="59"/>
  <c r="F21" i="41"/>
  <c r="P27" i="59"/>
  <c r="F23" i="41"/>
  <c r="P29" i="59"/>
  <c r="F17" i="41"/>
  <c r="P23" i="59"/>
  <c r="F18" i="41"/>
  <c r="P24" i="59"/>
  <c r="F19" i="41"/>
  <c r="F20" i="41"/>
  <c r="P26" i="59"/>
  <c r="F16" i="41"/>
  <c r="P22" i="59"/>
  <c r="F17" i="56"/>
  <c r="P21" i="59"/>
  <c r="F16" i="56"/>
  <c r="P20" i="59"/>
  <c r="F7" i="39"/>
  <c r="AE16" i="46"/>
  <c r="R59" i="58" s="1"/>
  <c r="AD16" i="46"/>
  <c r="Q59" i="58"/>
  <c r="AU16" i="46"/>
  <c r="V59" i="58"/>
  <c r="O59" i="58"/>
  <c r="F50" i="60" s="1"/>
  <c r="AM55" i="64"/>
  <c r="BI55" i="64" s="1"/>
  <c r="S59" i="58"/>
  <c r="F18" i="46"/>
  <c r="P85" i="59"/>
  <c r="F17" i="46"/>
  <c r="P84" i="59"/>
  <c r="F16" i="46"/>
  <c r="P83" i="59"/>
  <c r="F19" i="45"/>
  <c r="P12" i="59"/>
  <c r="F16" i="45"/>
  <c r="P9" i="59"/>
  <c r="F17" i="37"/>
  <c r="P6" i="59"/>
  <c r="F18" i="37"/>
  <c r="P7" i="59"/>
  <c r="F19" i="37"/>
  <c r="P8" i="59"/>
  <c r="F16" i="37"/>
  <c r="P5" i="59"/>
  <c r="F17" i="44"/>
  <c r="P14" i="59"/>
  <c r="F18" i="44"/>
  <c r="P15" i="59"/>
  <c r="F19" i="44"/>
  <c r="P16" i="59"/>
  <c r="F20" i="44"/>
  <c r="P17" i="59"/>
  <c r="F21" i="44"/>
  <c r="P18" i="59"/>
  <c r="F22" i="44"/>
  <c r="P19" i="59"/>
  <c r="F16" i="44"/>
  <c r="P13" i="59"/>
  <c r="O18" i="46"/>
  <c r="R85" i="59"/>
  <c r="O17" i="46"/>
  <c r="R84" i="59"/>
  <c r="O16" i="46"/>
  <c r="R83" i="59"/>
  <c r="F51" i="60"/>
  <c r="K51" i="60" s="1"/>
  <c r="I17" i="46"/>
  <c r="E84" i="59"/>
  <c r="D51" i="60"/>
  <c r="I16" i="46"/>
  <c r="E83" i="59"/>
  <c r="D50" i="60"/>
  <c r="H17" i="46"/>
  <c r="H16" i="46"/>
  <c r="E17" i="46"/>
  <c r="E16" i="46"/>
  <c r="D17" i="46"/>
  <c r="D16" i="46"/>
  <c r="B16" i="46"/>
  <c r="C16" i="46"/>
  <c r="D22" i="47"/>
  <c r="D23" i="47"/>
  <c r="D20" i="47"/>
  <c r="D21" i="47"/>
  <c r="D19" i="47"/>
  <c r="D18" i="47"/>
  <c r="D17" i="47"/>
  <c r="I18" i="45"/>
  <c r="E11" i="59"/>
  <c r="D24" i="60"/>
  <c r="I19" i="45"/>
  <c r="E12" i="59"/>
  <c r="D25" i="60"/>
  <c r="I16" i="45"/>
  <c r="E9" i="59"/>
  <c r="D22" i="60"/>
  <c r="H18" i="45"/>
  <c r="H19" i="45"/>
  <c r="H16" i="45"/>
  <c r="Q11" i="59"/>
  <c r="E24" i="60"/>
  <c r="Q12" i="59"/>
  <c r="E25" i="60"/>
  <c r="N25" i="60"/>
  <c r="E18" i="45"/>
  <c r="E19" i="45"/>
  <c r="E16" i="45"/>
  <c r="D18" i="45"/>
  <c r="D19" i="45"/>
  <c r="D16" i="45"/>
  <c r="C18" i="45"/>
  <c r="C19" i="45"/>
  <c r="C16" i="45"/>
  <c r="B16" i="45"/>
  <c r="AU16" i="45"/>
  <c r="V96" i="58"/>
  <c r="AV17" i="56"/>
  <c r="AT17" i="56"/>
  <c r="U94" i="58"/>
  <c r="AS90" i="64"/>
  <c r="AL17" i="56"/>
  <c r="S94" i="58"/>
  <c r="AQ90" i="64" s="1"/>
  <c r="AD17" i="56"/>
  <c r="Q94" i="58"/>
  <c r="O44" i="60" s="1"/>
  <c r="AO90" i="64"/>
  <c r="V17" i="56"/>
  <c r="O94" i="58"/>
  <c r="AM90" i="64" s="1"/>
  <c r="AV16" i="56"/>
  <c r="AZ16" i="56"/>
  <c r="BD16" i="56" s="1"/>
  <c r="AT16" i="56"/>
  <c r="U93" i="58"/>
  <c r="AL16" i="56"/>
  <c r="S93" i="58"/>
  <c r="AQ89" i="64" s="1"/>
  <c r="AD16" i="56"/>
  <c r="Q93" i="58"/>
  <c r="O43" i="60" s="1"/>
  <c r="AO89" i="64"/>
  <c r="V16" i="56"/>
  <c r="O93" i="58"/>
  <c r="I17" i="56"/>
  <c r="E21" i="59"/>
  <c r="D44" i="60"/>
  <c r="I16" i="56"/>
  <c r="E20" i="59"/>
  <c r="D43" i="60"/>
  <c r="H17" i="56"/>
  <c r="H16" i="56"/>
  <c r="E17" i="56"/>
  <c r="E16" i="56"/>
  <c r="D17" i="56"/>
  <c r="D16" i="56"/>
  <c r="C16" i="56"/>
  <c r="B16" i="56"/>
  <c r="I17" i="55"/>
  <c r="E90" i="59"/>
  <c r="D173" i="60"/>
  <c r="I18" i="55"/>
  <c r="E91" i="59"/>
  <c r="D174" i="60"/>
  <c r="I16" i="55"/>
  <c r="E89" i="59"/>
  <c r="D172" i="60"/>
  <c r="E17" i="55"/>
  <c r="E18" i="55"/>
  <c r="E16" i="55"/>
  <c r="D17" i="55"/>
  <c r="D18" i="55"/>
  <c r="D16" i="55"/>
  <c r="C16" i="55"/>
  <c r="B16" i="55"/>
  <c r="P174" i="60"/>
  <c r="O18" i="55"/>
  <c r="R91" i="59" s="1"/>
  <c r="O17" i="55"/>
  <c r="R90" i="59" s="1"/>
  <c r="O16" i="55"/>
  <c r="R89" i="59" s="1"/>
  <c r="O17" i="54"/>
  <c r="R87" i="59"/>
  <c r="O18" i="54"/>
  <c r="R88" i="59"/>
  <c r="O16" i="54"/>
  <c r="R86" i="59"/>
  <c r="I17" i="54"/>
  <c r="E87" i="59"/>
  <c r="D165" i="60"/>
  <c r="I18" i="54"/>
  <c r="E88" i="59"/>
  <c r="D166" i="60"/>
  <c r="I16" i="54"/>
  <c r="E86" i="59"/>
  <c r="D164" i="60"/>
  <c r="H17" i="54"/>
  <c r="H18" i="54"/>
  <c r="H16" i="54"/>
  <c r="E17" i="54"/>
  <c r="E18" i="54"/>
  <c r="E16" i="54"/>
  <c r="D17" i="54"/>
  <c r="D18" i="54"/>
  <c r="D16" i="54"/>
  <c r="C16" i="54"/>
  <c r="B16" i="54"/>
  <c r="AM16" i="54"/>
  <c r="T87" i="58"/>
  <c r="Z164" i="60" s="1"/>
  <c r="F89" i="58"/>
  <c r="F88" i="58"/>
  <c r="AV20" i="53"/>
  <c r="W83" i="58"/>
  <c r="AW79" i="64" s="1"/>
  <c r="AU79" i="64"/>
  <c r="AT20" i="53"/>
  <c r="U83" i="58"/>
  <c r="AS79" i="64" s="1"/>
  <c r="AL20" i="53"/>
  <c r="S83" i="58"/>
  <c r="AD20" i="53"/>
  <c r="Q83" i="58"/>
  <c r="V20" i="53"/>
  <c r="O83" i="58"/>
  <c r="AM79" i="64" s="1"/>
  <c r="O17" i="53"/>
  <c r="R79" i="59"/>
  <c r="O18" i="53"/>
  <c r="R80" i="59"/>
  <c r="O19" i="53"/>
  <c r="R81" i="59"/>
  <c r="O20" i="53"/>
  <c r="R82" i="59"/>
  <c r="O16" i="53"/>
  <c r="R78" i="59"/>
  <c r="I17" i="53"/>
  <c r="E79" i="59"/>
  <c r="D155" i="60"/>
  <c r="I18" i="53"/>
  <c r="E80" i="59"/>
  <c r="D156" i="60"/>
  <c r="I19" i="53"/>
  <c r="E81" i="59"/>
  <c r="D157" i="60"/>
  <c r="I20" i="53"/>
  <c r="E82" i="59"/>
  <c r="D158" i="60"/>
  <c r="I16" i="53"/>
  <c r="E78" i="59"/>
  <c r="D154" i="60"/>
  <c r="H17" i="53"/>
  <c r="H18" i="53"/>
  <c r="H19" i="53"/>
  <c r="H20" i="53"/>
  <c r="H16" i="53"/>
  <c r="Q79" i="59"/>
  <c r="E155" i="60"/>
  <c r="N155" i="60"/>
  <c r="Q80" i="59"/>
  <c r="E156" i="60"/>
  <c r="N156" i="60"/>
  <c r="W156" i="60"/>
  <c r="AF156" i="60"/>
  <c r="E17" i="53"/>
  <c r="E18" i="53"/>
  <c r="E19" i="53"/>
  <c r="E16" i="53"/>
  <c r="D18" i="53"/>
  <c r="D19" i="53"/>
  <c r="D17" i="53"/>
  <c r="D16" i="53"/>
  <c r="C16" i="53"/>
  <c r="B16" i="53"/>
  <c r="AV19" i="53"/>
  <c r="W82" i="58"/>
  <c r="AU78" i="64" s="1"/>
  <c r="AT19" i="53"/>
  <c r="U82" i="58"/>
  <c r="AS78" i="64" s="1"/>
  <c r="AL19" i="53"/>
  <c r="S82" i="58"/>
  <c r="AH157" i="60" s="1"/>
  <c r="AD19" i="53"/>
  <c r="Q82" i="58"/>
  <c r="V19" i="53"/>
  <c r="O82" i="58"/>
  <c r="F157" i="60" s="1"/>
  <c r="AV18" i="53"/>
  <c r="AT18" i="53"/>
  <c r="U81" i="58"/>
  <c r="AS77" i="64" s="1"/>
  <c r="AL18" i="53"/>
  <c r="S81" i="58"/>
  <c r="X156" i="60" s="1"/>
  <c r="AD18" i="53"/>
  <c r="Q81" i="58"/>
  <c r="O156" i="60" s="1"/>
  <c r="V18" i="53"/>
  <c r="O81" i="58"/>
  <c r="AV17" i="53"/>
  <c r="AX19" i="53"/>
  <c r="BB19" i="53" s="1"/>
  <c r="AT17" i="53"/>
  <c r="U80" i="58"/>
  <c r="AS76" i="64" s="1"/>
  <c r="AL17" i="53"/>
  <c r="S80" i="58"/>
  <c r="X155" i="60" s="1"/>
  <c r="AQ76" i="64"/>
  <c r="AD17" i="53"/>
  <c r="Q80" i="58"/>
  <c r="V17" i="53"/>
  <c r="O80" i="58"/>
  <c r="AV16" i="53"/>
  <c r="AT16" i="53"/>
  <c r="U79" i="58"/>
  <c r="AS75" i="64"/>
  <c r="AL16" i="53"/>
  <c r="S79" i="58"/>
  <c r="X154" i="60" s="1"/>
  <c r="AD16" i="53"/>
  <c r="Q79" i="58"/>
  <c r="AO75" i="64" s="1"/>
  <c r="V16" i="53"/>
  <c r="O79" i="58"/>
  <c r="F154" i="60" s="1"/>
  <c r="AY19" i="53"/>
  <c r="BC19" i="53" s="1"/>
  <c r="AW17" i="53"/>
  <c r="BA17" i="53"/>
  <c r="AW16" i="53"/>
  <c r="AX18" i="53"/>
  <c r="BF18" i="53" s="1"/>
  <c r="AX16" i="53"/>
  <c r="BB16" i="53" s="1"/>
  <c r="O19" i="52"/>
  <c r="R77" i="59"/>
  <c r="O17" i="52"/>
  <c r="R75" i="59"/>
  <c r="O18" i="52"/>
  <c r="R76" i="59"/>
  <c r="O16" i="52"/>
  <c r="R74" i="59"/>
  <c r="I17" i="52"/>
  <c r="E75" i="59"/>
  <c r="D146" i="60"/>
  <c r="I18" i="52"/>
  <c r="E76" i="59"/>
  <c r="D147" i="60"/>
  <c r="I19" i="52"/>
  <c r="E77" i="59"/>
  <c r="D148" i="60"/>
  <c r="I16" i="52"/>
  <c r="E74" i="59"/>
  <c r="D145" i="60"/>
  <c r="H17" i="52"/>
  <c r="H18" i="52"/>
  <c r="H19" i="52"/>
  <c r="H16" i="52"/>
  <c r="E17" i="52"/>
  <c r="E18" i="52"/>
  <c r="E19" i="52"/>
  <c r="E16" i="52"/>
  <c r="D18" i="52"/>
  <c r="D19" i="52"/>
  <c r="D17" i="52"/>
  <c r="D16" i="52"/>
  <c r="C16" i="52"/>
  <c r="B16" i="52"/>
  <c r="O148" i="60"/>
  <c r="AW18" i="52"/>
  <c r="O17" i="51"/>
  <c r="R68" i="59"/>
  <c r="O18" i="51"/>
  <c r="R69" i="59"/>
  <c r="O16" i="51"/>
  <c r="R67" i="59"/>
  <c r="I17" i="51"/>
  <c r="E68" i="59"/>
  <c r="D129" i="60"/>
  <c r="I18" i="51"/>
  <c r="E69" i="59"/>
  <c r="D130" i="60"/>
  <c r="I16" i="51"/>
  <c r="E67" i="59"/>
  <c r="D128" i="60"/>
  <c r="H18" i="51"/>
  <c r="H17" i="51"/>
  <c r="H16" i="51"/>
  <c r="Q69" i="59"/>
  <c r="E130" i="60"/>
  <c r="N130" i="60"/>
  <c r="E17" i="51"/>
  <c r="E18" i="51"/>
  <c r="E16" i="51"/>
  <c r="D17" i="51"/>
  <c r="D18" i="51"/>
  <c r="D16" i="51"/>
  <c r="C16" i="51"/>
  <c r="B16" i="51"/>
  <c r="AV16" i="51"/>
  <c r="W71" i="58"/>
  <c r="AU67" i="64" s="1"/>
  <c r="O16" i="50"/>
  <c r="R70" i="59"/>
  <c r="I16" i="50"/>
  <c r="E70" i="59"/>
  <c r="D136" i="60"/>
  <c r="H16" i="50"/>
  <c r="Q70" i="59"/>
  <c r="E136" i="60"/>
  <c r="D16" i="50"/>
  <c r="U56" i="58"/>
  <c r="AS52" i="64" s="1"/>
  <c r="S56" i="58"/>
  <c r="Q56" i="58"/>
  <c r="C16" i="50"/>
  <c r="B16" i="50"/>
  <c r="O17" i="48"/>
  <c r="R66" i="59"/>
  <c r="O16" i="48"/>
  <c r="R65" i="59"/>
  <c r="H17" i="48"/>
  <c r="H16" i="48"/>
  <c r="E17" i="48"/>
  <c r="E16" i="48"/>
  <c r="D17" i="48"/>
  <c r="D16" i="48"/>
  <c r="C16" i="48"/>
  <c r="B16" i="48"/>
  <c r="AV17" i="48"/>
  <c r="AY17" i="48"/>
  <c r="BC17" i="48" s="1"/>
  <c r="AT17" i="48"/>
  <c r="U70" i="58"/>
  <c r="AG122" i="60" s="1"/>
  <c r="AL17" i="48"/>
  <c r="S70" i="58"/>
  <c r="AQ66" i="64" s="1"/>
  <c r="AD17" i="48"/>
  <c r="Q70" i="58"/>
  <c r="O122" i="60" s="1"/>
  <c r="V17" i="48"/>
  <c r="O70" i="58"/>
  <c r="I17" i="48"/>
  <c r="E66" i="59" s="1"/>
  <c r="D122" i="60" s="1"/>
  <c r="AV16" i="48"/>
  <c r="W69" i="58"/>
  <c r="AU65" i="64" s="1"/>
  <c r="AW16" i="48"/>
  <c r="AT16" i="48"/>
  <c r="U69" i="58"/>
  <c r="AG121" i="60" s="1"/>
  <c r="AL16" i="48"/>
  <c r="S69" i="58"/>
  <c r="AQ65" i="64"/>
  <c r="AD16" i="48"/>
  <c r="Q69" i="58"/>
  <c r="O121" i="60" s="1"/>
  <c r="V16" i="48"/>
  <c r="O69" i="58"/>
  <c r="F121" i="60" s="1"/>
  <c r="I16" i="48"/>
  <c r="E65" i="59" s="1"/>
  <c r="D121" i="60" s="1"/>
  <c r="AX17" i="48"/>
  <c r="BF17" i="48"/>
  <c r="AY18" i="47"/>
  <c r="BC18" i="47" s="1"/>
  <c r="I17" i="47"/>
  <c r="E58" i="59"/>
  <c r="D109" i="60"/>
  <c r="I18" i="47"/>
  <c r="E59" i="59"/>
  <c r="D110" i="60"/>
  <c r="I19" i="47"/>
  <c r="E60" i="59" s="1"/>
  <c r="D111" i="60" s="1"/>
  <c r="I20" i="47"/>
  <c r="E61" i="59"/>
  <c r="D112" i="60" s="1"/>
  <c r="I21" i="47"/>
  <c r="E62" i="59"/>
  <c r="D113" i="60"/>
  <c r="I22" i="47"/>
  <c r="E63" i="59"/>
  <c r="D114" i="60"/>
  <c r="I23" i="47"/>
  <c r="E64" i="59" s="1"/>
  <c r="D115" i="60" s="1"/>
  <c r="I16" i="47"/>
  <c r="E57" i="59"/>
  <c r="D108" i="60" s="1"/>
  <c r="H23" i="47"/>
  <c r="H22" i="47"/>
  <c r="H17" i="47"/>
  <c r="H18" i="47"/>
  <c r="H19" i="47"/>
  <c r="H20" i="47"/>
  <c r="H21" i="47"/>
  <c r="E17" i="47"/>
  <c r="E18" i="47"/>
  <c r="E19" i="47"/>
  <c r="E20" i="47"/>
  <c r="E21" i="47"/>
  <c r="E22" i="47"/>
  <c r="E23" i="47"/>
  <c r="E16" i="47"/>
  <c r="D16" i="47"/>
  <c r="C16" i="47"/>
  <c r="B16" i="47"/>
  <c r="AZ18" i="47"/>
  <c r="BH18" i="47" s="1"/>
  <c r="AG63" i="58" s="1"/>
  <c r="AW18" i="47"/>
  <c r="AZ16" i="47"/>
  <c r="I18" i="46"/>
  <c r="E85" i="59"/>
  <c r="D52" i="60"/>
  <c r="H18" i="46"/>
  <c r="E18" i="46"/>
  <c r="D18" i="46"/>
  <c r="C18" i="46"/>
  <c r="AW18" i="46"/>
  <c r="BE18" i="46"/>
  <c r="U58" i="58"/>
  <c r="T58" i="58"/>
  <c r="Z16" i="60" s="1"/>
  <c r="S58" i="58"/>
  <c r="AQ54" i="64" s="1"/>
  <c r="O19" i="37"/>
  <c r="R8" i="59"/>
  <c r="P58" i="58"/>
  <c r="H16" i="60" s="1"/>
  <c r="P57" i="58"/>
  <c r="I15" i="60"/>
  <c r="J15" i="60" s="1"/>
  <c r="M15" i="60" s="1"/>
  <c r="T57" i="58"/>
  <c r="S57" i="58"/>
  <c r="AQ53" i="64" s="1"/>
  <c r="O18" i="37"/>
  <c r="R7" i="59"/>
  <c r="O17" i="37"/>
  <c r="R6" i="59"/>
  <c r="C16" i="37"/>
  <c r="B16" i="37"/>
  <c r="I22" i="44"/>
  <c r="E19" i="59"/>
  <c r="D37" i="60"/>
  <c r="I17" i="44"/>
  <c r="E14" i="59"/>
  <c r="D32" i="60"/>
  <c r="I18" i="44"/>
  <c r="E15" i="59"/>
  <c r="D33" i="60"/>
  <c r="I19" i="44"/>
  <c r="E16" i="59"/>
  <c r="D34" i="60"/>
  <c r="I20" i="44"/>
  <c r="E17" i="59"/>
  <c r="D35" i="60"/>
  <c r="I21" i="44"/>
  <c r="E18" i="59"/>
  <c r="D36" i="60"/>
  <c r="I16" i="44"/>
  <c r="E13" i="59"/>
  <c r="D31" i="60"/>
  <c r="H17" i="44"/>
  <c r="H18" i="44"/>
  <c r="H19" i="44"/>
  <c r="H20" i="44"/>
  <c r="H21" i="44"/>
  <c r="H22" i="44"/>
  <c r="H16" i="44"/>
  <c r="E35" i="60"/>
  <c r="E17" i="44"/>
  <c r="E18" i="44"/>
  <c r="E19" i="44"/>
  <c r="E20" i="44"/>
  <c r="E21" i="44"/>
  <c r="E22" i="44"/>
  <c r="E16" i="44"/>
  <c r="D22" i="44"/>
  <c r="D17" i="44"/>
  <c r="D18" i="44"/>
  <c r="D19" i="44"/>
  <c r="D20" i="44"/>
  <c r="D21" i="44"/>
  <c r="D16" i="44"/>
  <c r="C16" i="44"/>
  <c r="B16" i="44"/>
  <c r="O17" i="43"/>
  <c r="R50" i="59"/>
  <c r="O18" i="43"/>
  <c r="R51" i="59"/>
  <c r="O19" i="43"/>
  <c r="R52" i="59"/>
  <c r="O20" i="43"/>
  <c r="R53" i="59"/>
  <c r="O21" i="43"/>
  <c r="R54" i="59"/>
  <c r="O22" i="43"/>
  <c r="R55" i="59"/>
  <c r="O23" i="43"/>
  <c r="R56" i="59"/>
  <c r="O16" i="43"/>
  <c r="R49" i="59"/>
  <c r="I21" i="43"/>
  <c r="E54" i="59"/>
  <c r="D100" i="60"/>
  <c r="I22" i="43"/>
  <c r="E55" i="59"/>
  <c r="D101" i="60"/>
  <c r="I23" i="43"/>
  <c r="E56" i="59"/>
  <c r="D102" i="60"/>
  <c r="I20" i="43"/>
  <c r="E53" i="59"/>
  <c r="D99" i="60"/>
  <c r="I17" i="43"/>
  <c r="E50" i="59"/>
  <c r="D96" i="60"/>
  <c r="I18" i="43"/>
  <c r="E51" i="59"/>
  <c r="D97" i="60"/>
  <c r="I19" i="43"/>
  <c r="E52" i="59"/>
  <c r="D98" i="60"/>
  <c r="I16" i="43"/>
  <c r="E49" i="59"/>
  <c r="D95" i="60"/>
  <c r="H21" i="43"/>
  <c r="H22" i="43"/>
  <c r="H23" i="43"/>
  <c r="H17" i="43"/>
  <c r="H18" i="43"/>
  <c r="H19" i="43"/>
  <c r="H20" i="43"/>
  <c r="H16" i="43"/>
  <c r="Q56" i="59"/>
  <c r="E102" i="60"/>
  <c r="N102" i="60"/>
  <c r="W102" i="60"/>
  <c r="AF102" i="60"/>
  <c r="Q55" i="59"/>
  <c r="E101" i="60"/>
  <c r="N101" i="60"/>
  <c r="W101" i="60"/>
  <c r="AF101" i="60"/>
  <c r="Q54" i="59"/>
  <c r="E100" i="60" s="1"/>
  <c r="Z99" i="60"/>
  <c r="E17" i="43"/>
  <c r="E18" i="43"/>
  <c r="E19" i="43"/>
  <c r="E20" i="43"/>
  <c r="E21" i="43"/>
  <c r="E22" i="43"/>
  <c r="E23" i="43"/>
  <c r="E16" i="43"/>
  <c r="D21" i="43"/>
  <c r="D22" i="43"/>
  <c r="D23" i="43"/>
  <c r="D17" i="43"/>
  <c r="D18" i="43"/>
  <c r="D19" i="43"/>
  <c r="D20" i="43"/>
  <c r="D16" i="43"/>
  <c r="C21" i="43"/>
  <c r="C20" i="43"/>
  <c r="C18" i="43"/>
  <c r="C16" i="43"/>
  <c r="B16" i="43"/>
  <c r="AW23" i="43"/>
  <c r="Z97" i="60"/>
  <c r="AX17" i="43"/>
  <c r="BB17" i="43" s="1"/>
  <c r="AW17" i="43"/>
  <c r="AV37" i="64"/>
  <c r="G18" i="69" s="1"/>
  <c r="I21" i="42"/>
  <c r="E47" i="59"/>
  <c r="D88" i="60"/>
  <c r="I22" i="42"/>
  <c r="E48" i="59"/>
  <c r="D89" i="60"/>
  <c r="I20" i="42"/>
  <c r="E46" i="59"/>
  <c r="D87" i="60"/>
  <c r="I17" i="42"/>
  <c r="E43" i="59"/>
  <c r="D84" i="60"/>
  <c r="I18" i="42"/>
  <c r="E44" i="59"/>
  <c r="D85" i="60"/>
  <c r="I19" i="42"/>
  <c r="E45" i="59"/>
  <c r="D86" i="60"/>
  <c r="I16" i="42"/>
  <c r="E42" i="59"/>
  <c r="D83" i="60"/>
  <c r="H17" i="42"/>
  <c r="H18" i="42"/>
  <c r="H19" i="42"/>
  <c r="H20" i="42"/>
  <c r="H21" i="42"/>
  <c r="H22" i="42"/>
  <c r="H16" i="42"/>
  <c r="Q46" i="59"/>
  <c r="E87" i="60"/>
  <c r="N87" i="60"/>
  <c r="W87" i="60"/>
  <c r="Q47" i="59"/>
  <c r="E88" i="60"/>
  <c r="D22" i="42"/>
  <c r="D21" i="42"/>
  <c r="D20" i="42"/>
  <c r="D17" i="42"/>
  <c r="D18" i="42"/>
  <c r="D19" i="42"/>
  <c r="D16" i="42"/>
  <c r="C20" i="42"/>
  <c r="C18" i="42"/>
  <c r="C16" i="42"/>
  <c r="B16" i="42"/>
  <c r="AW22" i="42"/>
  <c r="O88" i="60"/>
  <c r="AV20" i="42"/>
  <c r="E21" i="42"/>
  <c r="E37" i="58"/>
  <c r="I33" i="64" s="1"/>
  <c r="E36" i="58"/>
  <c r="I32" i="64" s="1"/>
  <c r="E18" i="42"/>
  <c r="AW18" i="42"/>
  <c r="AW22" i="41"/>
  <c r="BE22" i="41"/>
  <c r="AX22" i="41"/>
  <c r="I17" i="41"/>
  <c r="E23" i="59"/>
  <c r="D59" i="60"/>
  <c r="I18" i="41"/>
  <c r="E24" i="59"/>
  <c r="D60" i="60"/>
  <c r="I19" i="41"/>
  <c r="E25" i="59"/>
  <c r="D61" i="60"/>
  <c r="I20" i="41"/>
  <c r="E26" i="59"/>
  <c r="D62" i="60"/>
  <c r="I21" i="41"/>
  <c r="E27" i="59"/>
  <c r="D63" i="60"/>
  <c r="I22" i="41"/>
  <c r="E28" i="59"/>
  <c r="D64" i="60"/>
  <c r="I23" i="41"/>
  <c r="E29" i="59"/>
  <c r="D65" i="60"/>
  <c r="I24" i="41"/>
  <c r="E30" i="59"/>
  <c r="D66" i="60"/>
  <c r="I25" i="41"/>
  <c r="E31" i="59"/>
  <c r="D67" i="60"/>
  <c r="I26" i="41"/>
  <c r="E32" i="59"/>
  <c r="D68" i="60"/>
  <c r="I27" i="41"/>
  <c r="E33" i="59"/>
  <c r="D69" i="60"/>
  <c r="I28" i="41"/>
  <c r="E34" i="59"/>
  <c r="D70" i="60"/>
  <c r="I29" i="41"/>
  <c r="E35" i="59"/>
  <c r="D71" i="60"/>
  <c r="I30" i="41"/>
  <c r="E36" i="59"/>
  <c r="D72" i="60"/>
  <c r="I31" i="41"/>
  <c r="E37" i="59"/>
  <c r="D73" i="60"/>
  <c r="I32" i="41"/>
  <c r="E38" i="59"/>
  <c r="D74" i="60"/>
  <c r="I33" i="41"/>
  <c r="E39" i="59"/>
  <c r="D75" i="60"/>
  <c r="I34" i="41"/>
  <c r="E40" i="59"/>
  <c r="D76" i="60"/>
  <c r="I35" i="41"/>
  <c r="E41" i="59"/>
  <c r="D77" i="60"/>
  <c r="I16" i="41"/>
  <c r="E22" i="59"/>
  <c r="D58" i="60"/>
  <c r="H17" i="41"/>
  <c r="H18" i="41"/>
  <c r="H19" i="41"/>
  <c r="H20" i="41"/>
  <c r="H21" i="41"/>
  <c r="H22" i="41"/>
  <c r="H23" i="41"/>
  <c r="H24" i="41"/>
  <c r="H25" i="41"/>
  <c r="H26" i="41"/>
  <c r="H27" i="41"/>
  <c r="H28" i="41"/>
  <c r="H29" i="41"/>
  <c r="H30" i="41"/>
  <c r="H31" i="41"/>
  <c r="H32" i="41"/>
  <c r="H33" i="41"/>
  <c r="H34" i="41"/>
  <c r="H35" i="41"/>
  <c r="H16" i="41"/>
  <c r="Q24" i="59"/>
  <c r="E60" i="60"/>
  <c r="Q30" i="59"/>
  <c r="E66" i="60"/>
  <c r="N66" i="60"/>
  <c r="W66" i="60"/>
  <c r="AF66" i="60"/>
  <c r="Q40" i="59"/>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W35" i="41"/>
  <c r="R40" i="59"/>
  <c r="AI67" i="60"/>
  <c r="AW23" i="41"/>
  <c r="R26" i="59"/>
  <c r="R25" i="59"/>
  <c r="B16" i="41" a="1"/>
  <c r="B16" i="41" s="1"/>
  <c r="AW16" i="41"/>
  <c r="AW32" i="41"/>
  <c r="AW33" i="41"/>
  <c r="W28" i="58"/>
  <c r="AU24" i="64"/>
  <c r="W18" i="58"/>
  <c r="AW14" i="64" s="1"/>
  <c r="AU14" i="64"/>
  <c r="AW26" i="41"/>
  <c r="AW28" i="41"/>
  <c r="BE28" i="41"/>
  <c r="O16" i="37"/>
  <c r="R5" i="59"/>
  <c r="I19" i="37"/>
  <c r="E8" i="59"/>
  <c r="D16" i="60"/>
  <c r="I17" i="37"/>
  <c r="E6" i="59"/>
  <c r="D14" i="60"/>
  <c r="I18" i="37"/>
  <c r="E7" i="59"/>
  <c r="D15" i="60"/>
  <c r="I16" i="37"/>
  <c r="E5" i="59"/>
  <c r="D13" i="60"/>
  <c r="H17" i="37"/>
  <c r="H18" i="37"/>
  <c r="H19" i="37"/>
  <c r="H16" i="37"/>
  <c r="E17" i="37"/>
  <c r="E18" i="37"/>
  <c r="E19" i="37"/>
  <c r="E16" i="37"/>
  <c r="D19" i="37"/>
  <c r="D17" i="37"/>
  <c r="D18" i="37"/>
  <c r="D16" i="37"/>
  <c r="Q55" i="58"/>
  <c r="O13" i="60" s="1"/>
  <c r="P55" i="58"/>
  <c r="AN51" i="64" s="1"/>
  <c r="O55" i="58"/>
  <c r="P25" i="59"/>
  <c r="BG17" i="48"/>
  <c r="F18" i="54"/>
  <c r="P88" i="59"/>
  <c r="BE18" i="45"/>
  <c r="C17" i="67"/>
  <c r="C35" i="69"/>
  <c r="BE19" i="37"/>
  <c r="C43" i="69"/>
  <c r="F17" i="54"/>
  <c r="P87" i="59"/>
  <c r="E35" i="58"/>
  <c r="I31" i="64" s="1"/>
  <c r="C9" i="64"/>
  <c r="E38" i="58"/>
  <c r="I34" i="64" s="1"/>
  <c r="C31" i="64"/>
  <c r="C22" i="67"/>
  <c r="BE18" i="37"/>
  <c r="C33" i="64"/>
  <c r="C15" i="67"/>
  <c r="C24" i="67"/>
  <c r="C25" i="67"/>
  <c r="J55" i="64"/>
  <c r="J79" i="64"/>
  <c r="C12" i="69"/>
  <c r="BE18" i="44"/>
  <c r="J90" i="64"/>
  <c r="C91" i="64"/>
  <c r="C14" i="69"/>
  <c r="Q66" i="59"/>
  <c r="E122" i="60"/>
  <c r="N122" i="60"/>
  <c r="W122" i="60"/>
  <c r="AF122" i="60"/>
  <c r="J60" i="64"/>
  <c r="J61" i="64"/>
  <c r="J65" i="64"/>
  <c r="J37" i="64"/>
  <c r="P71" i="59"/>
  <c r="C24" i="69"/>
  <c r="F137" i="60"/>
  <c r="AV21" i="47"/>
  <c r="W66" i="58"/>
  <c r="AU62" i="64" s="1"/>
  <c r="AW22" i="47"/>
  <c r="AI174" i="60"/>
  <c r="BE35" i="41"/>
  <c r="BE26" i="41"/>
  <c r="W58" i="60"/>
  <c r="AF58" i="60"/>
  <c r="E19" i="42"/>
  <c r="E20" i="42"/>
  <c r="E39" i="58"/>
  <c r="I35" i="64" s="1"/>
  <c r="E22" i="42"/>
  <c r="AV22" i="42"/>
  <c r="W39" i="58"/>
  <c r="AU35" i="64" s="1"/>
  <c r="BA17" i="43"/>
  <c r="BE17" i="43"/>
  <c r="AW18" i="43"/>
  <c r="AI74" i="60"/>
  <c r="AZ17" i="48"/>
  <c r="BD17" i="48" s="1"/>
  <c r="AD70" i="58" s="1"/>
  <c r="AY16" i="48"/>
  <c r="BC16" i="48" s="1"/>
  <c r="BG16" i="48"/>
  <c r="AZ16" i="48"/>
  <c r="BH16" i="48" s="1"/>
  <c r="AG69" i="58" s="1"/>
  <c r="AX16" i="48"/>
  <c r="BF16" i="48" s="1"/>
  <c r="O98" i="60"/>
  <c r="AV21" i="44"/>
  <c r="W53" i="58"/>
  <c r="AZ33" i="41"/>
  <c r="BD33" i="41" s="1"/>
  <c r="AD30" i="58" s="1"/>
  <c r="W59" i="60"/>
  <c r="AF59" i="60"/>
  <c r="AZ22" i="41"/>
  <c r="BH22" i="41" s="1"/>
  <c r="AG19" i="58" s="1"/>
  <c r="BD22" i="41"/>
  <c r="AD19" i="58" s="1"/>
  <c r="AY22" i="41"/>
  <c r="BC22" i="41" s="1"/>
  <c r="BG22" i="41"/>
  <c r="N33" i="60"/>
  <c r="AO78" i="64"/>
  <c r="O157" i="60"/>
  <c r="G86" i="60"/>
  <c r="AV22" i="47"/>
  <c r="W67" i="58" s="1"/>
  <c r="F63" i="60"/>
  <c r="K63" i="60" s="1"/>
  <c r="AV16" i="43"/>
  <c r="W40" i="58"/>
  <c r="AV19" i="44"/>
  <c r="BA19" i="44" s="1"/>
  <c r="BA23" i="44" s="1"/>
  <c r="W51" i="58"/>
  <c r="AV18" i="42"/>
  <c r="W35" i="58"/>
  <c r="AU31" i="64" s="1"/>
  <c r="AY17" i="43"/>
  <c r="BC17" i="43" s="1"/>
  <c r="BG17" i="43"/>
  <c r="O108" i="60"/>
  <c r="AW16" i="47"/>
  <c r="AW17" i="47"/>
  <c r="AV58" i="64"/>
  <c r="G31" i="69" s="1"/>
  <c r="W130" i="60"/>
  <c r="AF130" i="60"/>
  <c r="AI146" i="60"/>
  <c r="AZ17" i="43"/>
  <c r="BD17" i="43" s="1"/>
  <c r="AD41" i="58" s="1"/>
  <c r="W16" i="60"/>
  <c r="AF16" i="60"/>
  <c r="W72" i="58"/>
  <c r="AU68" i="64" s="1"/>
  <c r="AV18" i="52"/>
  <c r="W77" i="58"/>
  <c r="AU73" i="64" s="1"/>
  <c r="W145" i="60"/>
  <c r="AF145" i="60"/>
  <c r="AI158" i="60"/>
  <c r="AV18" i="54"/>
  <c r="W44" i="60"/>
  <c r="AF44" i="60"/>
  <c r="W172" i="60"/>
  <c r="AF172" i="60"/>
  <c r="W25" i="60"/>
  <c r="AF25" i="60"/>
  <c r="AV20" i="43"/>
  <c r="W44" i="58"/>
  <c r="AW40" i="64" s="1"/>
  <c r="H21" i="69" s="1"/>
  <c r="AU40" i="64"/>
  <c r="F21" i="69" s="1"/>
  <c r="AV22" i="43"/>
  <c r="W46" i="58"/>
  <c r="AW42" i="64" s="1"/>
  <c r="AI147" i="60"/>
  <c r="W173" i="60"/>
  <c r="AF173" i="60"/>
  <c r="AZ17" i="53"/>
  <c r="BH17" i="53" s="1"/>
  <c r="AG80" i="58" s="1"/>
  <c r="BD17" i="53"/>
  <c r="AD80" i="58" s="1"/>
  <c r="AY16" i="53"/>
  <c r="BG16" i="53" s="1"/>
  <c r="AY20" i="53"/>
  <c r="BC20" i="53" s="1"/>
  <c r="AZ16" i="53"/>
  <c r="BD16" i="53"/>
  <c r="AD79" i="58" s="1"/>
  <c r="AW20" i="53"/>
  <c r="AY17" i="53"/>
  <c r="BC17" i="53" s="1"/>
  <c r="F87" i="58"/>
  <c r="J83" i="64"/>
  <c r="O165" i="60"/>
  <c r="AY17" i="47"/>
  <c r="BC17" i="47" s="1"/>
  <c r="AZ20" i="53"/>
  <c r="BH20" i="53" s="1"/>
  <c r="AG83" i="58" s="1"/>
  <c r="W166" i="60"/>
  <c r="AF166" i="60"/>
  <c r="F71" i="76"/>
  <c r="E69" i="76"/>
  <c r="E69" i="77"/>
  <c r="AV18" i="55"/>
  <c r="W92" i="58"/>
  <c r="AU88" i="64" s="1"/>
  <c r="BF16" i="53"/>
  <c r="AX18" i="45"/>
  <c r="BB18" i="45" s="1"/>
  <c r="E78" i="75"/>
  <c r="AQ80" i="64"/>
  <c r="B5" i="75"/>
  <c r="E78" i="76"/>
  <c r="B5" i="63"/>
  <c r="F71" i="63"/>
  <c r="D65" i="63"/>
  <c r="C23" i="67"/>
  <c r="C40" i="64"/>
  <c r="C10" i="69"/>
  <c r="C19" i="69"/>
  <c r="C20" i="64"/>
  <c r="C21" i="69"/>
  <c r="Z128" i="60"/>
  <c r="Z96" i="60"/>
  <c r="Z73" i="60"/>
  <c r="W37" i="58"/>
  <c r="AW33" i="64" s="1"/>
  <c r="AV17" i="42"/>
  <c r="W34" i="58"/>
  <c r="AX16" i="42"/>
  <c r="BB16" i="42" s="1"/>
  <c r="BF16" i="42"/>
  <c r="AZ21" i="44"/>
  <c r="BD21" i="44" s="1"/>
  <c r="AD53" i="58" s="1"/>
  <c r="BH21" i="44"/>
  <c r="AG53" i="58"/>
  <c r="AY21" i="44"/>
  <c r="BC21" i="44" s="1"/>
  <c r="BG21" i="44"/>
  <c r="O61" i="60"/>
  <c r="X76" i="60"/>
  <c r="N88" i="60"/>
  <c r="W88" i="60"/>
  <c r="AF88" i="60"/>
  <c r="AV23" i="43"/>
  <c r="W47" i="58"/>
  <c r="AX19" i="41"/>
  <c r="BB19" i="41" s="1"/>
  <c r="BF19" i="41"/>
  <c r="AX35" i="41"/>
  <c r="BB35" i="41" s="1"/>
  <c r="Z67" i="60"/>
  <c r="AZ26" i="41"/>
  <c r="BH26" i="41" s="1"/>
  <c r="AG23" i="58" s="1"/>
  <c r="BD26" i="41"/>
  <c r="AD23" i="58"/>
  <c r="F84" i="60"/>
  <c r="K84" i="60" s="1"/>
  <c r="Z83" i="60"/>
  <c r="E17" i="42"/>
  <c r="E34" i="58"/>
  <c r="I30" i="64" s="1"/>
  <c r="AI84" i="60"/>
  <c r="N60" i="60"/>
  <c r="W60" i="60"/>
  <c r="AF60" i="60"/>
  <c r="W42" i="58"/>
  <c r="AU38" i="64" s="1"/>
  <c r="F19" i="69" s="1"/>
  <c r="BA18" i="43"/>
  <c r="X96" i="60"/>
  <c r="AI101" i="60"/>
  <c r="W34" i="60"/>
  <c r="AF34" i="60"/>
  <c r="N34" i="60"/>
  <c r="AV17" i="44"/>
  <c r="W49" i="58"/>
  <c r="Y49" i="58" s="1"/>
  <c r="AW45" i="64" s="1"/>
  <c r="G95" i="60"/>
  <c r="AV16" i="44"/>
  <c r="F122" i="60"/>
  <c r="N136" i="60"/>
  <c r="W136" i="60"/>
  <c r="AF136" i="60"/>
  <c r="AV18" i="46"/>
  <c r="W95" i="58"/>
  <c r="AU91" i="64" s="1"/>
  <c r="F45" i="69" s="1"/>
  <c r="P56" i="58"/>
  <c r="I14" i="60" s="1"/>
  <c r="J14" i="60" s="1"/>
  <c r="M14" i="60" s="1"/>
  <c r="AV16" i="50"/>
  <c r="W74" i="58"/>
  <c r="AU70" i="64" s="1"/>
  <c r="F37" i="69" s="1"/>
  <c r="AI114" i="60"/>
  <c r="AV16" i="55"/>
  <c r="W90" i="58"/>
  <c r="O174" i="60"/>
  <c r="G164" i="60"/>
  <c r="Z145" i="60"/>
  <c r="O154" i="60"/>
  <c r="X174" i="60"/>
  <c r="AC174" i="60" s="1"/>
  <c r="AY16" i="47"/>
  <c r="BC16" i="47"/>
  <c r="N165" i="60"/>
  <c r="AI172" i="60"/>
  <c r="AZ17" i="47"/>
  <c r="BD17" i="47" s="1"/>
  <c r="AZ21" i="47"/>
  <c r="BH21" i="47" s="1"/>
  <c r="AG66" i="58" s="1"/>
  <c r="P147" i="60"/>
  <c r="AI155" i="60"/>
  <c r="AL155" i="60" s="1"/>
  <c r="AW19" i="53"/>
  <c r="N158" i="60"/>
  <c r="W158" i="60"/>
  <c r="AF158" i="60"/>
  <c r="F174" i="60"/>
  <c r="K174" i="60" s="1"/>
  <c r="H43" i="60"/>
  <c r="AT92" i="64"/>
  <c r="AI22" i="60"/>
  <c r="N24" i="60"/>
  <c r="W24" i="60"/>
  <c r="W50" i="60"/>
  <c r="AF50" i="60"/>
  <c r="AO55" i="64"/>
  <c r="O50" i="60"/>
  <c r="T50" i="60"/>
  <c r="N51" i="60"/>
  <c r="W51" i="60"/>
  <c r="AF51" i="60"/>
  <c r="AY18" i="53"/>
  <c r="BC18" i="53"/>
  <c r="AW18" i="53"/>
  <c r="AV16" i="54"/>
  <c r="W87" i="58"/>
  <c r="AU83" i="64" s="1"/>
  <c r="AV17" i="55"/>
  <c r="AZ18" i="53"/>
  <c r="BH18" i="53" s="1"/>
  <c r="AG81" i="58" s="1"/>
  <c r="AZ17" i="55"/>
  <c r="BH17" i="55" s="1"/>
  <c r="AG91" i="58" s="1"/>
  <c r="AI51" i="60"/>
  <c r="AS122" i="60"/>
  <c r="AV17" i="46"/>
  <c r="W60" i="58"/>
  <c r="AU56" i="64" s="1"/>
  <c r="F29" i="69" s="1"/>
  <c r="E69" i="63"/>
  <c r="F74" i="77"/>
  <c r="F74" i="76"/>
  <c r="F74" i="75"/>
  <c r="F70" i="75"/>
  <c r="F77" i="76"/>
  <c r="G127" i="59"/>
  <c r="F64" i="77"/>
  <c r="F64" i="76"/>
  <c r="E67" i="63"/>
  <c r="E66" i="77"/>
  <c r="E66" i="75"/>
  <c r="F69" i="63"/>
  <c r="F68" i="77"/>
  <c r="F68" i="75"/>
  <c r="F68" i="76"/>
  <c r="D65" i="76"/>
  <c r="E75" i="76"/>
  <c r="F65" i="63"/>
  <c r="D76" i="63"/>
  <c r="D75" i="75"/>
  <c r="E78" i="63"/>
  <c r="E77" i="76"/>
  <c r="F80" i="63"/>
  <c r="F79" i="76"/>
  <c r="P73" i="59"/>
  <c r="AS82" i="64"/>
  <c r="E68" i="75"/>
  <c r="D65" i="75"/>
  <c r="E75" i="77"/>
  <c r="D75" i="63"/>
  <c r="D74" i="76"/>
  <c r="F127" i="59"/>
  <c r="E68" i="77"/>
  <c r="E76" i="63"/>
  <c r="F69" i="76"/>
  <c r="E67" i="76"/>
  <c r="F75" i="76"/>
  <c r="D70" i="75"/>
  <c r="AI110" i="60"/>
  <c r="D79" i="75"/>
  <c r="E74" i="76"/>
  <c r="C26" i="64"/>
  <c r="C23" i="69"/>
  <c r="N23" i="60"/>
  <c r="E13" i="66"/>
  <c r="R55" i="58"/>
  <c r="AA50" i="58"/>
  <c r="Z33" i="60"/>
  <c r="AY33" i="41"/>
  <c r="BG33" i="41" s="1"/>
  <c r="AX23" i="41"/>
  <c r="BF23" i="41" s="1"/>
  <c r="BB23" i="41"/>
  <c r="AX18" i="51"/>
  <c r="BB18" i="51" s="1"/>
  <c r="BF19" i="43"/>
  <c r="AZ18" i="46"/>
  <c r="BH18" i="46" s="1"/>
  <c r="AG95" i="58" s="1"/>
  <c r="Q155" i="60"/>
  <c r="BG19" i="53"/>
  <c r="AY22" i="47"/>
  <c r="BC22" i="47" s="1"/>
  <c r="BG22" i="47"/>
  <c r="AU19" i="64"/>
  <c r="F11" i="69" s="1"/>
  <c r="BE20" i="53"/>
  <c r="W89" i="58"/>
  <c r="AU85" i="64"/>
  <c r="AV45" i="64"/>
  <c r="W165" i="60"/>
  <c r="AF165" i="60"/>
  <c r="W157" i="60"/>
  <c r="AF157" i="60"/>
  <c r="O73" i="60"/>
  <c r="G147" i="60"/>
  <c r="W23" i="60"/>
  <c r="AF23" i="60"/>
  <c r="W20" i="58"/>
  <c r="AU15" i="64" s="1"/>
  <c r="BG18" i="53"/>
  <c r="AV53" i="64"/>
  <c r="G26" i="69" s="1"/>
  <c r="BC16" i="46"/>
  <c r="AW16" i="46"/>
  <c r="BE16" i="46"/>
  <c r="AX16" i="46"/>
  <c r="BF16" i="46"/>
  <c r="BH16" i="46"/>
  <c r="AG59" i="58" s="1"/>
  <c r="BD16" i="46"/>
  <c r="AD59" i="58"/>
  <c r="W91" i="58"/>
  <c r="AU87" i="64" s="1"/>
  <c r="AV79" i="64"/>
  <c r="BE19" i="53"/>
  <c r="BA19" i="53"/>
  <c r="X85" i="60"/>
  <c r="BE17" i="37"/>
  <c r="W48" i="58"/>
  <c r="AF87" i="60"/>
  <c r="W17" i="58"/>
  <c r="AU13" i="64" s="1"/>
  <c r="BE17" i="44"/>
  <c r="BA17" i="44"/>
  <c r="BA28" i="41"/>
  <c r="W25" i="58"/>
  <c r="AW21" i="64" s="1"/>
  <c r="AU21" i="64"/>
  <c r="AV47" i="64"/>
  <c r="AV46" i="64"/>
  <c r="AV78" i="64"/>
  <c r="AV54" i="64"/>
  <c r="G27" i="69"/>
  <c r="AU55" i="64"/>
  <c r="F28" i="69" s="1"/>
  <c r="BG16" i="46"/>
  <c r="AA98" i="58"/>
  <c r="AB98" i="58" s="1"/>
  <c r="AV94" i="64"/>
  <c r="G47" i="69" s="1"/>
  <c r="W33" i="60"/>
  <c r="AF33" i="60"/>
  <c r="AQ122" i="60"/>
  <c r="AQ130" i="60"/>
  <c r="AQ16" i="64"/>
  <c r="W22" i="60"/>
  <c r="AF22" i="60"/>
  <c r="AJ138" i="60"/>
  <c r="BC18" i="50"/>
  <c r="BB18" i="50"/>
  <c r="N70" i="60"/>
  <c r="W70" i="60"/>
  <c r="AF70" i="60"/>
  <c r="E70" i="60"/>
  <c r="P48" i="58"/>
  <c r="P96" i="58"/>
  <c r="I22" i="60" s="1"/>
  <c r="J22" i="60" s="1"/>
  <c r="M22" i="60" s="1"/>
  <c r="AX16" i="45"/>
  <c r="BB16" i="45" s="1"/>
  <c r="AZ16" i="45"/>
  <c r="BD16" i="45" s="1"/>
  <c r="AY16" i="45"/>
  <c r="BC16" i="45" s="1"/>
  <c r="AZ20" i="41"/>
  <c r="BD20" i="41" s="1"/>
  <c r="AD17" i="58" s="1"/>
  <c r="BH20" i="41"/>
  <c r="AG17" i="58" s="1"/>
  <c r="N14" i="60"/>
  <c r="W14" i="60"/>
  <c r="AW20" i="44"/>
  <c r="P52" i="58"/>
  <c r="I35" i="60" s="1"/>
  <c r="J35" i="60" s="1"/>
  <c r="M35" i="60" s="1"/>
  <c r="BE16" i="37"/>
  <c r="T25" i="58"/>
  <c r="P31" i="58"/>
  <c r="AW34" i="41"/>
  <c r="AM68" i="64"/>
  <c r="Y129" i="60"/>
  <c r="F129" i="60"/>
  <c r="G129" i="60"/>
  <c r="AS72" i="64"/>
  <c r="AG146" i="60"/>
  <c r="AR85" i="64"/>
  <c r="AR95" i="64"/>
  <c r="E16" i="42"/>
  <c r="E33" i="58"/>
  <c r="I29" i="64" s="1"/>
  <c r="BF16" i="37"/>
  <c r="BB16" i="37"/>
  <c r="AW19" i="45"/>
  <c r="P99" i="58"/>
  <c r="H25" i="60" s="1"/>
  <c r="AX19" i="45"/>
  <c r="BF19" i="45" s="1"/>
  <c r="O25" i="60"/>
  <c r="AV19" i="37"/>
  <c r="E79" i="75"/>
  <c r="E79" i="76"/>
  <c r="E79" i="77"/>
  <c r="X24" i="60"/>
  <c r="F156" i="60"/>
  <c r="G156" i="60"/>
  <c r="E64" i="77"/>
  <c r="E64" i="75"/>
  <c r="E64" i="76"/>
  <c r="E73" i="63"/>
  <c r="E72" i="77"/>
  <c r="E72" i="76"/>
  <c r="F73" i="63"/>
  <c r="F81" i="63"/>
  <c r="F72" i="76"/>
  <c r="F80" i="76"/>
  <c r="F72" i="75"/>
  <c r="F72" i="77"/>
  <c r="W63" i="58"/>
  <c r="AU59" i="64" s="1"/>
  <c r="F32" i="69" s="1"/>
  <c r="D14" i="69"/>
  <c r="D29" i="64"/>
  <c r="N35" i="60"/>
  <c r="W35" i="60"/>
  <c r="AF35" i="60"/>
  <c r="BE16" i="44"/>
  <c r="BA16" i="44"/>
  <c r="AW22" i="44"/>
  <c r="P54" i="58"/>
  <c r="I37" i="60" s="1"/>
  <c r="AY22" i="44"/>
  <c r="BC22" i="44" s="1"/>
  <c r="AX22" i="44"/>
  <c r="BB22" i="44" s="1"/>
  <c r="BE16" i="45"/>
  <c r="V58" i="58"/>
  <c r="AT54" i="64" s="1"/>
  <c r="D74" i="63"/>
  <c r="D73" i="75"/>
  <c r="AG145" i="60"/>
  <c r="AW21" i="44"/>
  <c r="P53" i="58"/>
  <c r="AN49" i="64" s="1"/>
  <c r="AX21" i="44"/>
  <c r="BB21" i="44" s="1"/>
  <c r="W32" i="60"/>
  <c r="AF32" i="60"/>
  <c r="N36" i="60"/>
  <c r="W36" i="60"/>
  <c r="AW17" i="45"/>
  <c r="P97" i="58"/>
  <c r="AN93" i="64" s="1"/>
  <c r="N31" i="60"/>
  <c r="I13" i="60"/>
  <c r="J13" i="60"/>
  <c r="M13" i="60" s="1"/>
  <c r="S55" i="58"/>
  <c r="AQ51" i="64" s="1"/>
  <c r="D67" i="77"/>
  <c r="D67" i="76"/>
  <c r="D67" i="75"/>
  <c r="AG23" i="60"/>
  <c r="AM21" i="64"/>
  <c r="BI21" i="64" s="1"/>
  <c r="U73" i="58"/>
  <c r="AS69" i="64" s="1"/>
  <c r="AV18" i="51"/>
  <c r="W73" i="58"/>
  <c r="AU69" i="64" s="1"/>
  <c r="W98" i="58"/>
  <c r="BA18" i="45"/>
  <c r="O57" i="58"/>
  <c r="AH15" i="60" s="1"/>
  <c r="AV18" i="37"/>
  <c r="W15" i="60"/>
  <c r="N15" i="60"/>
  <c r="D77" i="77"/>
  <c r="D76" i="75"/>
  <c r="D76" i="76"/>
  <c r="W62" i="58"/>
  <c r="AU58" i="64" s="1"/>
  <c r="F31" i="69" s="1"/>
  <c r="AX17" i="47"/>
  <c r="BB17" i="47" s="1"/>
  <c r="BF17" i="47"/>
  <c r="AX16" i="47"/>
  <c r="BB16" i="47"/>
  <c r="AX18" i="47"/>
  <c r="BB18" i="47" s="1"/>
  <c r="BA20" i="53"/>
  <c r="AZ16" i="37"/>
  <c r="BH16" i="37" s="1"/>
  <c r="AG55" i="58" s="1"/>
  <c r="AZ19" i="45"/>
  <c r="BD19" i="45" s="1"/>
  <c r="AD99" i="58" s="1"/>
  <c r="AY16" i="56"/>
  <c r="BG16" i="56" s="1"/>
  <c r="W155" i="60"/>
  <c r="AO80" i="64"/>
  <c r="O137" i="60"/>
  <c r="P65" i="59"/>
  <c r="E12" i="66"/>
  <c r="D13" i="69" s="1"/>
  <c r="D31" i="64"/>
  <c r="D15" i="69"/>
  <c r="W23" i="58"/>
  <c r="AW18" i="64" s="1"/>
  <c r="AU18" i="64"/>
  <c r="AS53" i="64"/>
  <c r="AG15" i="60"/>
  <c r="O64" i="58"/>
  <c r="F111" i="60" s="1"/>
  <c r="AV19" i="47"/>
  <c r="W64" i="58"/>
  <c r="AW60" i="64" s="1"/>
  <c r="AR130" i="60"/>
  <c r="AR122" i="60"/>
  <c r="D66" i="75"/>
  <c r="D67" i="63"/>
  <c r="D66" i="77"/>
  <c r="E127" i="59"/>
  <c r="N37" i="60"/>
  <c r="W37" i="60"/>
  <c r="AF37" i="60"/>
  <c r="AT9" i="64"/>
  <c r="AI58" i="60"/>
  <c r="AQ74" i="64"/>
  <c r="AQ92" i="64"/>
  <c r="X22" i="60"/>
  <c r="AC22" i="60" s="1"/>
  <c r="V57" i="58"/>
  <c r="AT53" i="64" s="1"/>
  <c r="W86" i="58"/>
  <c r="AW82" i="64" s="1"/>
  <c r="AU82" i="64"/>
  <c r="BI82" i="64" s="1"/>
  <c r="AW19" i="50"/>
  <c r="BF19" i="50"/>
  <c r="AJ139" i="60"/>
  <c r="AZ17" i="52"/>
  <c r="AJ146" i="60" s="1"/>
  <c r="AK146" i="60"/>
  <c r="AN146" i="60" s="1"/>
  <c r="W76" i="58"/>
  <c r="AX17" i="52"/>
  <c r="BF17" i="52" s="1"/>
  <c r="AW17" i="52"/>
  <c r="AY17" i="52"/>
  <c r="BC17" i="52" s="1"/>
  <c r="AO91" i="64"/>
  <c r="O52" i="60"/>
  <c r="T52" i="60" s="1"/>
  <c r="O30" i="58"/>
  <c r="AV33" i="41"/>
  <c r="T73" i="58"/>
  <c r="AY18" i="51"/>
  <c r="BC18" i="51" s="1"/>
  <c r="AZ18" i="51"/>
  <c r="BD18" i="51" s="1"/>
  <c r="AD73" i="58" s="1"/>
  <c r="AX17" i="54"/>
  <c r="BB17" i="54" s="1"/>
  <c r="AW17" i="54"/>
  <c r="AW18" i="55"/>
  <c r="BE18" i="55"/>
  <c r="AO92" i="64"/>
  <c r="P129" i="60"/>
  <c r="AO51" i="64"/>
  <c r="AV19" i="52"/>
  <c r="W78" i="58"/>
  <c r="D78" i="63"/>
  <c r="D77" i="76"/>
  <c r="D77" i="75"/>
  <c r="E72" i="63"/>
  <c r="E71" i="77"/>
  <c r="AY16" i="37"/>
  <c r="BC16" i="37" s="1"/>
  <c r="BA16" i="37"/>
  <c r="E80" i="75"/>
  <c r="AZ16" i="41"/>
  <c r="BH16" i="41" s="1"/>
  <c r="AG13" i="58" s="1"/>
  <c r="T56" i="58"/>
  <c r="AR52" i="64" s="1"/>
  <c r="AS49" i="64"/>
  <c r="AG36" i="60"/>
  <c r="H71" i="60"/>
  <c r="U31" i="58"/>
  <c r="AV34" i="41"/>
  <c r="AS70" i="64"/>
  <c r="AG136" i="60"/>
  <c r="AM91" i="64"/>
  <c r="BI91" i="64" s="1"/>
  <c r="G52" i="60"/>
  <c r="L52" i="60" s="1"/>
  <c r="N73" i="60"/>
  <c r="W73" i="60"/>
  <c r="AF73" i="60"/>
  <c r="E73" i="60"/>
  <c r="BG17" i="53"/>
  <c r="BE33" i="41"/>
  <c r="E76" i="60"/>
  <c r="N76" i="60"/>
  <c r="W76" i="60"/>
  <c r="AF76" i="60"/>
  <c r="F155" i="60"/>
  <c r="G155" i="60"/>
  <c r="C36" i="64"/>
  <c r="C17" i="69"/>
  <c r="C48" i="69"/>
  <c r="C5" i="75"/>
  <c r="E36" i="75" s="1"/>
  <c r="C37" i="62"/>
  <c r="AS10" i="64"/>
  <c r="AG59" i="60"/>
  <c r="AS22" i="64"/>
  <c r="X77" i="60"/>
  <c r="T36" i="58"/>
  <c r="AR32" i="64" s="1"/>
  <c r="S36" i="58"/>
  <c r="AQ32" i="64" s="1"/>
  <c r="AV19" i="42"/>
  <c r="W36" i="58"/>
  <c r="AW32" i="64" s="1"/>
  <c r="U50" i="58"/>
  <c r="AV18" i="44"/>
  <c r="O68" i="58"/>
  <c r="G115" i="60" s="1"/>
  <c r="AV23" i="47"/>
  <c r="W68" i="58"/>
  <c r="AU64" i="64"/>
  <c r="F34" i="69" s="1"/>
  <c r="T77" i="58"/>
  <c r="AR73" i="64" s="1"/>
  <c r="BE18" i="53"/>
  <c r="P52" i="60"/>
  <c r="U52" i="60"/>
  <c r="AV22" i="44"/>
  <c r="W54" i="58"/>
  <c r="AW50" i="64" s="1"/>
  <c r="AV16" i="45"/>
  <c r="C18" i="67"/>
  <c r="C38" i="64"/>
  <c r="AN15" i="64"/>
  <c r="I65" i="60"/>
  <c r="BB17" i="50"/>
  <c r="X37" i="60"/>
  <c r="O56" i="58"/>
  <c r="AM52" i="64" s="1"/>
  <c r="AV17" i="37"/>
  <c r="Y52" i="60"/>
  <c r="AD52" i="60" s="1"/>
  <c r="BE18" i="43"/>
  <c r="AV17" i="41"/>
  <c r="AQ17" i="64"/>
  <c r="AS16" i="64"/>
  <c r="S38" i="58"/>
  <c r="AV21" i="42"/>
  <c r="W38" i="58"/>
  <c r="AW34" i="64" s="1"/>
  <c r="AU34" i="64"/>
  <c r="BE16" i="53"/>
  <c r="D70" i="77"/>
  <c r="D70" i="63"/>
  <c r="D69" i="76"/>
  <c r="P29" i="58"/>
  <c r="AN25" i="64" s="1"/>
  <c r="Q33" i="58"/>
  <c r="AV16" i="42"/>
  <c r="W33" i="58"/>
  <c r="AW29" i="64" s="1"/>
  <c r="AU29" i="64"/>
  <c r="AM32" i="64"/>
  <c r="F86" i="60"/>
  <c r="AJ137" i="60"/>
  <c r="F71" i="77"/>
  <c r="F80" i="77"/>
  <c r="W79" i="58"/>
  <c r="AZ19" i="53"/>
  <c r="BD19" i="53" s="1"/>
  <c r="AD82" i="58" s="1"/>
  <c r="F79" i="77"/>
  <c r="F79" i="75"/>
  <c r="F80" i="75"/>
  <c r="S13" i="58"/>
  <c r="AQ9" i="64" s="1"/>
  <c r="AV16" i="41"/>
  <c r="O15" i="58"/>
  <c r="G60" i="60" s="1"/>
  <c r="AV18" i="41"/>
  <c r="AQ19" i="64"/>
  <c r="X64" i="60"/>
  <c r="AO26" i="64"/>
  <c r="O52" i="58"/>
  <c r="AV20" i="44"/>
  <c r="W52" i="58"/>
  <c r="AW48" i="64" s="1"/>
  <c r="G157" i="60"/>
  <c r="AN13" i="64"/>
  <c r="H62" i="60"/>
  <c r="I62" i="60"/>
  <c r="J62" i="60" s="1"/>
  <c r="M62" i="60" s="1"/>
  <c r="H68" i="60"/>
  <c r="I68" i="60"/>
  <c r="J68" i="60" s="1"/>
  <c r="M68" i="60" s="1"/>
  <c r="O29" i="58"/>
  <c r="AV32" i="41"/>
  <c r="H102" i="60"/>
  <c r="AN47" i="64"/>
  <c r="H34" i="60"/>
  <c r="I34" i="60"/>
  <c r="J34" i="60" s="1"/>
  <c r="M34" i="60" s="1"/>
  <c r="AV17" i="45"/>
  <c r="W97" i="58"/>
  <c r="AU93" i="64" s="1"/>
  <c r="C5" i="63"/>
  <c r="E8" i="63"/>
  <c r="AS38" i="64"/>
  <c r="AG97" i="60"/>
  <c r="E79" i="63"/>
  <c r="E78" i="77"/>
  <c r="F79" i="63"/>
  <c r="F78" i="77"/>
  <c r="G146" i="60"/>
  <c r="F146" i="60"/>
  <c r="E73" i="77"/>
  <c r="E73" i="76"/>
  <c r="F65" i="77"/>
  <c r="F65" i="76"/>
  <c r="AY16" i="41"/>
  <c r="BG16" i="41" s="1"/>
  <c r="AN14" i="64"/>
  <c r="I75" i="60"/>
  <c r="J75" i="60" s="1"/>
  <c r="M75" i="60" s="1"/>
  <c r="F165" i="60"/>
  <c r="D72" i="63"/>
  <c r="D71" i="76"/>
  <c r="E68" i="63"/>
  <c r="E67" i="77"/>
  <c r="O26" i="58"/>
  <c r="AV29" i="41"/>
  <c r="AM39" i="64"/>
  <c r="BI39" i="64" s="1"/>
  <c r="AS48" i="64"/>
  <c r="AG35" i="60"/>
  <c r="AX18" i="46"/>
  <c r="BB18" i="46" s="1"/>
  <c r="AV27" i="41"/>
  <c r="H70" i="60"/>
  <c r="I70" i="60"/>
  <c r="J70" i="60" s="1"/>
  <c r="M70" i="60" s="1"/>
  <c r="G76" i="60"/>
  <c r="L76" i="60" s="1"/>
  <c r="H156" i="60"/>
  <c r="I156" i="60"/>
  <c r="J156" i="60" s="1"/>
  <c r="M156" i="60" s="1"/>
  <c r="H166" i="60"/>
  <c r="I166" i="60"/>
  <c r="J166" i="60" s="1"/>
  <c r="M166" i="60" s="1"/>
  <c r="F69" i="60"/>
  <c r="G69" i="60"/>
  <c r="AN70" i="64"/>
  <c r="AW16" i="50"/>
  <c r="AY16" i="50"/>
  <c r="BG16" i="50" s="1"/>
  <c r="AU50" i="64"/>
  <c r="AF24" i="60"/>
  <c r="AG137" i="60"/>
  <c r="AS80" i="64"/>
  <c r="O70" i="60"/>
  <c r="BA19" i="45"/>
  <c r="W14" i="58"/>
  <c r="AU10" i="64" s="1"/>
  <c r="AN54" i="64"/>
  <c r="I16" i="60"/>
  <c r="J16" i="60" s="1"/>
  <c r="M16" i="60" s="1"/>
  <c r="N13" i="60"/>
  <c r="W13" i="60"/>
  <c r="W58" i="58"/>
  <c r="AU54" i="64" s="1"/>
  <c r="F27" i="69" s="1"/>
  <c r="BA22" i="44"/>
  <c r="B8" i="59"/>
  <c r="B9" i="59"/>
  <c r="AW17" i="56"/>
  <c r="W94" i="58"/>
  <c r="AU90" i="64" s="1"/>
  <c r="AX17" i="56"/>
  <c r="BF17" i="56" s="1"/>
  <c r="AY17" i="56"/>
  <c r="BG17" i="56" s="1"/>
  <c r="AZ17" i="56"/>
  <c r="BD17" i="56" s="1"/>
  <c r="AD94" i="58" s="1"/>
  <c r="BA23" i="43"/>
  <c r="AV43" i="64"/>
  <c r="BE23" i="43"/>
  <c r="D71" i="77"/>
  <c r="D70" i="76"/>
  <c r="D71" i="63"/>
  <c r="D80" i="63"/>
  <c r="D79" i="76"/>
  <c r="X15" i="60"/>
  <c r="AR129" i="60"/>
  <c r="AR121" i="60"/>
  <c r="BA18" i="53"/>
  <c r="AX16" i="56"/>
  <c r="BF16" i="56" s="1"/>
  <c r="D65" i="77"/>
  <c r="D66" i="63"/>
  <c r="H13" i="60"/>
  <c r="BA16" i="48"/>
  <c r="AW65" i="64"/>
  <c r="AT130" i="60"/>
  <c r="AT122" i="60"/>
  <c r="D74" i="77"/>
  <c r="D73" i="76"/>
  <c r="BE32" i="41"/>
  <c r="AV25" i="64"/>
  <c r="AM20" i="64"/>
  <c r="BA26" i="41"/>
  <c r="AM65" i="64"/>
  <c r="AU129" i="60"/>
  <c r="AU121" i="60"/>
  <c r="BA22" i="47"/>
  <c r="AQ79" i="64"/>
  <c r="X158" i="60"/>
  <c r="D79" i="77"/>
  <c r="D78" i="75"/>
  <c r="D80" i="75"/>
  <c r="D78" i="76"/>
  <c r="AX17" i="53"/>
  <c r="BB17" i="53" s="1"/>
  <c r="BA17" i="54"/>
  <c r="B5" i="77"/>
  <c r="AM76" i="64"/>
  <c r="AW16" i="56"/>
  <c r="W93" i="58"/>
  <c r="W81" i="58"/>
  <c r="AW77" i="64" s="1"/>
  <c r="AM66" i="64"/>
  <c r="AW17" i="48"/>
  <c r="W70" i="58"/>
  <c r="AU66" i="64" s="1"/>
  <c r="AH158" i="60"/>
  <c r="BE18" i="52"/>
  <c r="AX20" i="53"/>
  <c r="BF20" i="53" s="1"/>
  <c r="W80" i="58"/>
  <c r="AW76" i="64" s="1"/>
  <c r="AU76" i="64"/>
  <c r="D78" i="77"/>
  <c r="D68" i="77"/>
  <c r="BE18" i="50"/>
  <c r="AG58" i="60"/>
  <c r="AQ11" i="64"/>
  <c r="AM16" i="64"/>
  <c r="AO12" i="64"/>
  <c r="AM14" i="64"/>
  <c r="BI14" i="64" s="1"/>
  <c r="AO40" i="64"/>
  <c r="P13" i="58"/>
  <c r="H58" i="60" s="1"/>
  <c r="U17" i="58"/>
  <c r="AS13" i="64" s="1"/>
  <c r="Q14" i="58"/>
  <c r="O59" i="60" s="1"/>
  <c r="P21" i="58"/>
  <c r="H66" i="60" s="1"/>
  <c r="S20" i="58"/>
  <c r="S18" i="58"/>
  <c r="X63" i="60" s="1"/>
  <c r="AT18" i="64"/>
  <c r="Q24" i="58"/>
  <c r="AS26" i="64"/>
  <c r="AS50" i="64"/>
  <c r="P78" i="58"/>
  <c r="I148" i="60" s="1"/>
  <c r="J148" i="60" s="1"/>
  <c r="M148" i="60" s="1"/>
  <c r="BG17" i="50"/>
  <c r="P38" i="58"/>
  <c r="I88" i="60" s="1"/>
  <c r="J88" i="60" s="1"/>
  <c r="M88" i="60" s="1"/>
  <c r="P46" i="58"/>
  <c r="I101" i="60" s="1"/>
  <c r="J101" i="60" s="1"/>
  <c r="M101" i="60" s="1"/>
  <c r="AN43" i="64"/>
  <c r="AW18" i="51"/>
  <c r="BE18" i="51"/>
  <c r="P73" i="58"/>
  <c r="AN69" i="64" s="1"/>
  <c r="BH17" i="50"/>
  <c r="AG84" i="58" s="1"/>
  <c r="AG87" i="60"/>
  <c r="P24" i="58"/>
  <c r="AN20" i="64" s="1"/>
  <c r="AV24" i="41"/>
  <c r="AV35" i="41"/>
  <c r="AG75" i="60"/>
  <c r="AY20" i="41"/>
  <c r="BG20" i="41" s="1"/>
  <c r="P16" i="58"/>
  <c r="AV30" i="41"/>
  <c r="AV19" i="41"/>
  <c r="AG72" i="60"/>
  <c r="P22" i="58"/>
  <c r="I67" i="60" s="1"/>
  <c r="J67" i="60" s="1"/>
  <c r="M67" i="60" s="1"/>
  <c r="P27" i="58"/>
  <c r="AN23" i="64" s="1"/>
  <c r="P37" i="58"/>
  <c r="AN33" i="64" s="1"/>
  <c r="AX18" i="43"/>
  <c r="BB18" i="43" s="1"/>
  <c r="AN26" i="64"/>
  <c r="AW20" i="47"/>
  <c r="AV61" i="64"/>
  <c r="P65" i="58"/>
  <c r="AN61" i="64" s="1"/>
  <c r="P92" i="58"/>
  <c r="H174" i="60" s="1"/>
  <c r="AN84" i="64"/>
  <c r="P95" i="58"/>
  <c r="H52" i="60" s="1"/>
  <c r="AW16" i="55"/>
  <c r="AN85" i="64"/>
  <c r="AW18" i="54"/>
  <c r="BE18" i="54"/>
  <c r="BE17" i="54"/>
  <c r="AW16" i="54"/>
  <c r="AX16" i="54"/>
  <c r="BF16" i="54" s="1"/>
  <c r="BA16" i="54"/>
  <c r="AW17" i="46"/>
  <c r="BA18" i="46"/>
  <c r="BA16" i="46"/>
  <c r="BB16" i="46"/>
  <c r="I50" i="60"/>
  <c r="J50" i="60" s="1"/>
  <c r="S50" i="60" s="1"/>
  <c r="H50" i="60"/>
  <c r="R50" i="60"/>
  <c r="AW19" i="52"/>
  <c r="BA18" i="52"/>
  <c r="AV87" i="64"/>
  <c r="BA17" i="55"/>
  <c r="BE17" i="55"/>
  <c r="AX17" i="55"/>
  <c r="BF17" i="55" s="1"/>
  <c r="BF17" i="53"/>
  <c r="AM78" i="64"/>
  <c r="AM77" i="64"/>
  <c r="BE17" i="53"/>
  <c r="BH16" i="53"/>
  <c r="AG79" i="58" s="1"/>
  <c r="BA16" i="53"/>
  <c r="BA21" i="53"/>
  <c r="AV72" i="64"/>
  <c r="G39" i="69" s="1"/>
  <c r="BE17" i="52"/>
  <c r="BD17" i="52"/>
  <c r="AD76" i="58"/>
  <c r="BA17" i="52"/>
  <c r="BH17" i="52"/>
  <c r="AG76" i="58"/>
  <c r="BA18" i="50"/>
  <c r="AM80" i="64"/>
  <c r="BA17" i="50"/>
  <c r="AV80" i="64"/>
  <c r="BA18" i="51"/>
  <c r="AN68" i="64"/>
  <c r="I129" i="60"/>
  <c r="J129" i="60" s="1"/>
  <c r="M129" i="60" s="1"/>
  <c r="AW17" i="51"/>
  <c r="P71" i="58"/>
  <c r="AN67" i="64" s="1"/>
  <c r="AW16" i="51"/>
  <c r="AN66" i="64"/>
  <c r="H122" i="60"/>
  <c r="I122" i="60"/>
  <c r="J122" i="60" s="1"/>
  <c r="M122" i="60" s="1"/>
  <c r="BB17" i="48"/>
  <c r="BA17" i="48"/>
  <c r="BA18" i="48"/>
  <c r="AV65" i="64"/>
  <c r="BE16" i="48"/>
  <c r="AW23" i="47"/>
  <c r="AW21" i="47"/>
  <c r="BE21" i="47"/>
  <c r="BE20" i="47"/>
  <c r="AW19" i="47"/>
  <c r="BE18" i="47"/>
  <c r="BA18" i="47"/>
  <c r="AV59" i="64"/>
  <c r="G32" i="69" s="1"/>
  <c r="BA17" i="47"/>
  <c r="BD16" i="47"/>
  <c r="AD61" i="58"/>
  <c r="BF16" i="47"/>
  <c r="BA16" i="47"/>
  <c r="AV57" i="64"/>
  <c r="G30" i="69" s="1"/>
  <c r="BA22" i="43"/>
  <c r="AW20" i="43"/>
  <c r="BE20" i="43"/>
  <c r="BE19" i="43"/>
  <c r="I98" i="60"/>
  <c r="J98" i="60" s="1"/>
  <c r="M98" i="60" s="1"/>
  <c r="AN39" i="64"/>
  <c r="BJ39" i="64" s="1"/>
  <c r="H98" i="60"/>
  <c r="AY18" i="43"/>
  <c r="BC18" i="43" s="1"/>
  <c r="AV38" i="64"/>
  <c r="G19" i="69" s="1"/>
  <c r="AZ18" i="43"/>
  <c r="BD18" i="43" s="1"/>
  <c r="AD42" i="58" s="1"/>
  <c r="AA41" i="58"/>
  <c r="I96" i="60"/>
  <c r="AW16" i="43"/>
  <c r="BE22" i="42"/>
  <c r="BA22" i="42"/>
  <c r="AV35" i="64"/>
  <c r="AW35" i="64"/>
  <c r="AW21" i="42"/>
  <c r="AZ20" i="42"/>
  <c r="BD20" i="42" s="1"/>
  <c r="AD37" i="58" s="1"/>
  <c r="AW20" i="42"/>
  <c r="BE19" i="42"/>
  <c r="BA19" i="42"/>
  <c r="AX19" i="42"/>
  <c r="BB19" i="42" s="1"/>
  <c r="AV31" i="64"/>
  <c r="BA18" i="42"/>
  <c r="BE18" i="42"/>
  <c r="AW17" i="42"/>
  <c r="BE16" i="42"/>
  <c r="AN28" i="64"/>
  <c r="BJ28" i="64" s="1"/>
  <c r="AV28" i="64"/>
  <c r="BA34" i="41"/>
  <c r="BA33" i="41"/>
  <c r="BA32" i="41"/>
  <c r="BA31" i="41"/>
  <c r="BE31" i="41"/>
  <c r="AX31" i="41"/>
  <c r="BB31" i="41" s="1"/>
  <c r="AX30" i="41"/>
  <c r="BF30" i="41" s="1"/>
  <c r="AW30" i="41"/>
  <c r="AN22" i="64"/>
  <c r="AW29" i="41"/>
  <c r="AZ29" i="41"/>
  <c r="BD29" i="41" s="1"/>
  <c r="AD26" i="58" s="1"/>
  <c r="AX29" i="41"/>
  <c r="BF29" i="41" s="1"/>
  <c r="AW27" i="41"/>
  <c r="AV18" i="64"/>
  <c r="AW25" i="41"/>
  <c r="BE25" i="41"/>
  <c r="AW24" i="41"/>
  <c r="BA24" i="41"/>
  <c r="H65" i="60"/>
  <c r="AV15" i="64"/>
  <c r="AW15" i="64"/>
  <c r="BE23" i="41"/>
  <c r="BA23" i="41"/>
  <c r="AV19" i="64"/>
  <c r="G11" i="69" s="1"/>
  <c r="BA22" i="41"/>
  <c r="BE21" i="41"/>
  <c r="BA21" i="41"/>
  <c r="AX20" i="41"/>
  <c r="BF20" i="41" s="1"/>
  <c r="AW20" i="41"/>
  <c r="BA19" i="41"/>
  <c r="BE19" i="41"/>
  <c r="AY19" i="41"/>
  <c r="BC19" i="41" s="1"/>
  <c r="AW18" i="41"/>
  <c r="AZ18" i="41"/>
  <c r="BD18" i="41" s="1"/>
  <c r="AD15" i="58" s="1"/>
  <c r="AY17" i="41"/>
  <c r="BG17" i="41" s="1"/>
  <c r="AW17" i="41"/>
  <c r="AZ17" i="41"/>
  <c r="BD17" i="41" s="1"/>
  <c r="AD14" i="58" s="1"/>
  <c r="AV9" i="64"/>
  <c r="BE16" i="41"/>
  <c r="AX16" i="41"/>
  <c r="BB16" i="41" s="1"/>
  <c r="BA16" i="41"/>
  <c r="BC19" i="50"/>
  <c r="BG19" i="50"/>
  <c r="BA18" i="55"/>
  <c r="BA19" i="37"/>
  <c r="BH16" i="45"/>
  <c r="AG96" i="58"/>
  <c r="E81" i="63"/>
  <c r="X13" i="60"/>
  <c r="BA17" i="45"/>
  <c r="BE17" i="45"/>
  <c r="W15" i="58"/>
  <c r="AV63" i="64"/>
  <c r="W96" i="58"/>
  <c r="BA16" i="45"/>
  <c r="BA20" i="45"/>
  <c r="BA16" i="42"/>
  <c r="BA17" i="51"/>
  <c r="BE17" i="51"/>
  <c r="W13" i="58"/>
  <c r="AK137" i="60"/>
  <c r="AN137" i="60"/>
  <c r="BD17" i="50"/>
  <c r="AD84" i="58" s="1"/>
  <c r="AO29" i="64"/>
  <c r="O83" i="60"/>
  <c r="AF36" i="60"/>
  <c r="AV44" i="64"/>
  <c r="H22" i="60"/>
  <c r="W26" i="58"/>
  <c r="AW22" i="64" s="1"/>
  <c r="AU22" i="64"/>
  <c r="W29" i="58"/>
  <c r="AU25" i="64" s="1"/>
  <c r="H74" i="60"/>
  <c r="I74" i="60"/>
  <c r="J74" i="60" s="1"/>
  <c r="M74" i="60" s="1"/>
  <c r="AV92" i="64"/>
  <c r="G46" i="69" s="1"/>
  <c r="AV51" i="64"/>
  <c r="G24" i="69" s="1"/>
  <c r="BF18" i="50"/>
  <c r="AM64" i="64"/>
  <c r="BI64" i="64" s="1"/>
  <c r="X86" i="60"/>
  <c r="BE19" i="50"/>
  <c r="BA19" i="50"/>
  <c r="AF15" i="60"/>
  <c r="BE19" i="45"/>
  <c r="I69" i="60"/>
  <c r="L69" i="60" s="1"/>
  <c r="W56" i="58"/>
  <c r="BA17" i="37"/>
  <c r="BA18" i="37"/>
  <c r="W57" i="58"/>
  <c r="AW53" i="64" s="1"/>
  <c r="H26" i="69" s="1"/>
  <c r="BA21" i="44"/>
  <c r="BE21" i="44"/>
  <c r="E80" i="76"/>
  <c r="W24" i="58"/>
  <c r="AU20" i="64" s="1"/>
  <c r="Y14" i="60"/>
  <c r="G14" i="60"/>
  <c r="F14" i="60"/>
  <c r="AC67" i="60"/>
  <c r="W31" i="58"/>
  <c r="AU27" i="64" s="1"/>
  <c r="BA20" i="37"/>
  <c r="W30" i="58"/>
  <c r="AW26" i="64" s="1"/>
  <c r="AU26" i="64"/>
  <c r="AF155" i="60"/>
  <c r="J37" i="60"/>
  <c r="M37" i="60" s="1"/>
  <c r="AN50" i="64"/>
  <c r="BE20" i="44"/>
  <c r="BA20" i="44"/>
  <c r="H101" i="60"/>
  <c r="I66" i="60"/>
  <c r="J66" i="60" s="1"/>
  <c r="M66" i="60" s="1"/>
  <c r="D81" i="63"/>
  <c r="AM48" i="64"/>
  <c r="F35" i="60"/>
  <c r="G35" i="60"/>
  <c r="W50" i="58"/>
  <c r="AU46" i="64" s="1"/>
  <c r="BA18" i="44"/>
  <c r="AM60" i="64"/>
  <c r="BE22" i="44"/>
  <c r="E80" i="77"/>
  <c r="BE34" i="41"/>
  <c r="AF14" i="60"/>
  <c r="BE16" i="50"/>
  <c r="BA16" i="50"/>
  <c r="BA20" i="50"/>
  <c r="AV39" i="64"/>
  <c r="G20" i="69" s="1"/>
  <c r="AV81" i="64"/>
  <c r="BJ81" i="64" s="1"/>
  <c r="AW81" i="64"/>
  <c r="D111" i="59"/>
  <c r="H87" i="60"/>
  <c r="W16" i="58"/>
  <c r="AU12" i="64" s="1"/>
  <c r="W27" i="58"/>
  <c r="AU23" i="64" s="1"/>
  <c r="W32" i="58"/>
  <c r="AW28" i="64" s="1"/>
  <c r="D80" i="77"/>
  <c r="B10" i="59"/>
  <c r="B11" i="59"/>
  <c r="B12" i="59"/>
  <c r="B13" i="59"/>
  <c r="AV68" i="64"/>
  <c r="W21" i="58"/>
  <c r="BA35" i="41"/>
  <c r="AF13" i="60"/>
  <c r="AQ14" i="64"/>
  <c r="BE17" i="48"/>
  <c r="BA17" i="56"/>
  <c r="BE17" i="56"/>
  <c r="BA18" i="54"/>
  <c r="BE16" i="56"/>
  <c r="BA16" i="56"/>
  <c r="BA18" i="56"/>
  <c r="D80" i="76"/>
  <c r="AW85" i="64"/>
  <c r="AN16" i="64"/>
  <c r="AV77" i="64"/>
  <c r="BA16" i="55"/>
  <c r="BA19" i="55"/>
  <c r="BE16" i="55"/>
  <c r="BA19" i="54"/>
  <c r="AV84" i="64"/>
  <c r="BE16" i="54"/>
  <c r="BA17" i="46"/>
  <c r="BA19" i="46"/>
  <c r="BE17" i="46"/>
  <c r="AA95" i="58"/>
  <c r="AB95" i="58" s="1"/>
  <c r="AV91" i="64"/>
  <c r="G45" i="69" s="1"/>
  <c r="AW55" i="64"/>
  <c r="H28" i="69" s="1"/>
  <c r="AV55" i="64"/>
  <c r="BA19" i="52"/>
  <c r="BE19" i="52"/>
  <c r="AV73" i="64"/>
  <c r="AV88" i="64"/>
  <c r="AA92" i="58"/>
  <c r="AV76" i="64"/>
  <c r="AV75" i="64"/>
  <c r="AV69" i="64"/>
  <c r="AA73" i="58"/>
  <c r="AW69" i="64"/>
  <c r="AW68" i="64"/>
  <c r="AA72" i="58"/>
  <c r="BE16" i="51"/>
  <c r="BA16" i="51"/>
  <c r="BA23" i="47"/>
  <c r="BA21" i="47"/>
  <c r="BE19" i="47"/>
  <c r="BA19" i="47"/>
  <c r="AV42" i="64"/>
  <c r="BA20" i="43"/>
  <c r="BG18" i="43"/>
  <c r="J96" i="60"/>
  <c r="M96" i="60" s="1"/>
  <c r="BA16" i="43"/>
  <c r="BE16" i="43"/>
  <c r="BA21" i="42"/>
  <c r="BE21" i="42"/>
  <c r="BA20" i="42"/>
  <c r="BE20" i="42"/>
  <c r="AV32" i="64"/>
  <c r="BA17" i="42"/>
  <c r="BE17" i="42"/>
  <c r="AV29" i="64"/>
  <c r="AV26" i="64"/>
  <c r="AV24" i="64"/>
  <c r="BA30" i="41"/>
  <c r="BE30" i="41"/>
  <c r="BA29" i="41"/>
  <c r="BE29" i="41"/>
  <c r="AV21" i="64"/>
  <c r="BA27" i="41"/>
  <c r="BE27" i="41"/>
  <c r="BA25" i="41"/>
  <c r="BE24" i="41"/>
  <c r="AV14" i="64"/>
  <c r="BA20" i="41"/>
  <c r="BE20" i="41"/>
  <c r="AV12" i="64"/>
  <c r="AW12" i="64"/>
  <c r="BE18" i="41"/>
  <c r="BA18" i="41"/>
  <c r="BA17" i="41"/>
  <c r="BE17" i="41"/>
  <c r="AV27" i="64"/>
  <c r="AA31" i="58"/>
  <c r="AV82" i="64"/>
  <c r="BJ82" i="64"/>
  <c r="AW93" i="64"/>
  <c r="AV93" i="64"/>
  <c r="AU9" i="64"/>
  <c r="AV48" i="64"/>
  <c r="AW46" i="64"/>
  <c r="AV49" i="64"/>
  <c r="AV95" i="64"/>
  <c r="G48" i="69" s="1"/>
  <c r="AV50" i="64"/>
  <c r="BA19" i="51"/>
  <c r="AW27" i="64"/>
  <c r="AU53" i="64"/>
  <c r="F26" i="69" s="1"/>
  <c r="AV70" i="64"/>
  <c r="G37" i="69" s="1"/>
  <c r="AA74" i="58"/>
  <c r="AV90" i="64"/>
  <c r="AA94" i="58"/>
  <c r="C41" i="62"/>
  <c r="C41" i="73"/>
  <c r="C41" i="74"/>
  <c r="C41" i="72"/>
  <c r="B14" i="59"/>
  <c r="B15" i="59"/>
  <c r="B16" i="59"/>
  <c r="B17" i="59"/>
  <c r="B18" i="59"/>
  <c r="B19" i="59"/>
  <c r="B20" i="59"/>
  <c r="AV40" i="64"/>
  <c r="G21" i="69" s="1"/>
  <c r="D112" i="59"/>
  <c r="AV89" i="64"/>
  <c r="AV66" i="64"/>
  <c r="AV16" i="64"/>
  <c r="AV85" i="64"/>
  <c r="AV86" i="64"/>
  <c r="AV83" i="64"/>
  <c r="AW56" i="64"/>
  <c r="H29" i="69" s="1"/>
  <c r="AV56" i="64"/>
  <c r="G29" i="69" s="1"/>
  <c r="AV74" i="64"/>
  <c r="AW67" i="64"/>
  <c r="AV67" i="64"/>
  <c r="AV62" i="64"/>
  <c r="AV60" i="64"/>
  <c r="AV36" i="64"/>
  <c r="G17" i="69" s="1"/>
  <c r="AV34" i="64"/>
  <c r="AV33" i="64"/>
  <c r="BA23" i="42"/>
  <c r="AV30" i="64"/>
  <c r="AW24" i="64"/>
  <c r="AA27" i="58"/>
  <c r="AV23" i="64"/>
  <c r="AV22" i="64"/>
  <c r="BA36" i="41"/>
  <c r="AV20" i="64"/>
  <c r="AV17" i="64"/>
  <c r="AV13" i="64"/>
  <c r="AA17" i="58"/>
  <c r="AV11" i="64"/>
  <c r="AV10" i="64"/>
  <c r="C42" i="73"/>
  <c r="C42" i="74"/>
  <c r="C42" i="72"/>
  <c r="C42" i="62"/>
  <c r="D113" i="59"/>
  <c r="B21" i="59"/>
  <c r="B22" i="59"/>
  <c r="D114" i="59"/>
  <c r="C65" i="63"/>
  <c r="C64" i="75"/>
  <c r="C64" i="76"/>
  <c r="C64" i="77"/>
  <c r="C43" i="72"/>
  <c r="C43" i="74"/>
  <c r="C43" i="62"/>
  <c r="C43" i="73"/>
  <c r="C65" i="75"/>
  <c r="C39" i="75"/>
  <c r="C65" i="77"/>
  <c r="C39" i="77"/>
  <c r="C66" i="63"/>
  <c r="C65" i="76"/>
  <c r="C39" i="76"/>
  <c r="C38" i="77"/>
  <c r="C44" i="73"/>
  <c r="C44" i="74"/>
  <c r="C44" i="62"/>
  <c r="C44" i="72"/>
  <c r="C38" i="76"/>
  <c r="B23" i="59"/>
  <c r="B24" i="59"/>
  <c r="B25" i="59"/>
  <c r="B26" i="59"/>
  <c r="B27" i="59"/>
  <c r="B28" i="59"/>
  <c r="B29" i="59"/>
  <c r="B30" i="59"/>
  <c r="B31" i="59"/>
  <c r="B32" i="59"/>
  <c r="B33" i="59"/>
  <c r="B34" i="59"/>
  <c r="B35" i="59"/>
  <c r="B36" i="59"/>
  <c r="B37" i="59"/>
  <c r="B38" i="59"/>
  <c r="B39" i="59"/>
  <c r="B40" i="59"/>
  <c r="B41" i="59"/>
  <c r="B42" i="59"/>
  <c r="C38" i="75"/>
  <c r="C9" i="75"/>
  <c r="C37" i="63"/>
  <c r="C9" i="77"/>
  <c r="C10" i="63"/>
  <c r="C9" i="76"/>
  <c r="B43" i="59"/>
  <c r="B44" i="59"/>
  <c r="B45" i="59"/>
  <c r="B46" i="59"/>
  <c r="B47" i="59"/>
  <c r="B48" i="59"/>
  <c r="B49" i="59"/>
  <c r="D115" i="59"/>
  <c r="C67" i="76"/>
  <c r="C41" i="76"/>
  <c r="C68" i="63"/>
  <c r="C67" i="77"/>
  <c r="C41" i="77"/>
  <c r="C67" i="75"/>
  <c r="C41" i="75"/>
  <c r="C66" i="77"/>
  <c r="C67" i="63"/>
  <c r="C66" i="76"/>
  <c r="C66" i="75"/>
  <c r="C40" i="75"/>
  <c r="C38" i="63"/>
  <c r="C11" i="63"/>
  <c r="C10" i="75"/>
  <c r="C10" i="76"/>
  <c r="C10" i="77"/>
  <c r="C40" i="77"/>
  <c r="C40" i="76"/>
  <c r="C11" i="77"/>
  <c r="C12" i="63"/>
  <c r="C39" i="63"/>
  <c r="C11" i="75"/>
  <c r="C47" i="72"/>
  <c r="C47" i="73"/>
  <c r="C47" i="74"/>
  <c r="C47" i="62"/>
  <c r="D116" i="59"/>
  <c r="C12" i="77"/>
  <c r="C12" i="76"/>
  <c r="C40" i="63"/>
  <c r="C12" i="75"/>
  <c r="C13" i="63"/>
  <c r="B50" i="59"/>
  <c r="B51" i="59"/>
  <c r="B52" i="59"/>
  <c r="B53" i="59"/>
  <c r="B54" i="59"/>
  <c r="B55" i="59"/>
  <c r="B56" i="59"/>
  <c r="B57" i="59"/>
  <c r="C48" i="74"/>
  <c r="C48" i="72"/>
  <c r="C48" i="62"/>
  <c r="C48" i="73"/>
  <c r="B58" i="59"/>
  <c r="B59" i="59"/>
  <c r="B60" i="59"/>
  <c r="B61" i="59"/>
  <c r="B62" i="59"/>
  <c r="B63" i="59"/>
  <c r="B64" i="59"/>
  <c r="B65" i="59"/>
  <c r="D117" i="59"/>
  <c r="C70" i="63"/>
  <c r="C69" i="75"/>
  <c r="C43" i="75"/>
  <c r="C69" i="76"/>
  <c r="C43" i="76"/>
  <c r="C69" i="77"/>
  <c r="C43" i="77"/>
  <c r="D118" i="59"/>
  <c r="C71" i="63"/>
  <c r="C70" i="77"/>
  <c r="C44" i="77"/>
  <c r="C70" i="75"/>
  <c r="C44" i="75"/>
  <c r="C70" i="76"/>
  <c r="C44" i="76"/>
  <c r="C14" i="76"/>
  <c r="C42" i="63"/>
  <c r="C15" i="63"/>
  <c r="C14" i="77"/>
  <c r="C14" i="75"/>
  <c r="C49" i="74"/>
  <c r="C50" i="74"/>
  <c r="C31" i="74"/>
  <c r="C49" i="73"/>
  <c r="C50" i="73"/>
  <c r="C31" i="73"/>
  <c r="C49" i="62"/>
  <c r="C49" i="72"/>
  <c r="C50" i="72"/>
  <c r="C31" i="72"/>
  <c r="C51" i="62"/>
  <c r="C51" i="74"/>
  <c r="C51" i="73"/>
  <c r="C51" i="72"/>
  <c r="B66" i="59"/>
  <c r="B67" i="59"/>
  <c r="C72" i="75"/>
  <c r="C46" i="75"/>
  <c r="C73" i="63"/>
  <c r="C72" i="77"/>
  <c r="C46" i="77"/>
  <c r="C72" i="76"/>
  <c r="C46" i="76"/>
  <c r="B68" i="59"/>
  <c r="B69" i="59"/>
  <c r="B70" i="59"/>
  <c r="C15" i="77"/>
  <c r="C16" i="63"/>
  <c r="C15" i="76"/>
  <c r="C15" i="75"/>
  <c r="C43" i="63"/>
  <c r="D119" i="59"/>
  <c r="C72" i="63"/>
  <c r="C71" i="77"/>
  <c r="C45" i="77"/>
  <c r="C71" i="76"/>
  <c r="C45" i="76"/>
  <c r="C71" i="75"/>
  <c r="C45" i="75"/>
  <c r="C50" i="62"/>
  <c r="C31" i="62"/>
  <c r="B71" i="59"/>
  <c r="B72" i="59"/>
  <c r="B73" i="59"/>
  <c r="B74" i="59"/>
  <c r="C52" i="74"/>
  <c r="C52" i="72"/>
  <c r="C52" i="73"/>
  <c r="C52" i="62"/>
  <c r="D120" i="59"/>
  <c r="C16" i="75"/>
  <c r="C17" i="63"/>
  <c r="C16" i="77"/>
  <c r="C16" i="76"/>
  <c r="C44" i="63"/>
  <c r="C18" i="63"/>
  <c r="C17" i="75"/>
  <c r="C17" i="77"/>
  <c r="C17" i="76"/>
  <c r="C45" i="63"/>
  <c r="D121" i="59"/>
  <c r="C54" i="73"/>
  <c r="C53" i="74"/>
  <c r="C53" i="73"/>
  <c r="C53" i="62"/>
  <c r="C53" i="72"/>
  <c r="C73" i="75"/>
  <c r="C47" i="75"/>
  <c r="C73" i="76"/>
  <c r="C47" i="76"/>
  <c r="C73" i="77"/>
  <c r="C47" i="77"/>
  <c r="C74" i="63"/>
  <c r="B75" i="59"/>
  <c r="B76" i="59"/>
  <c r="B77" i="59"/>
  <c r="B78" i="59"/>
  <c r="D122" i="59"/>
  <c r="C54" i="72"/>
  <c r="C54" i="74"/>
  <c r="C54" i="62"/>
  <c r="C75" i="76"/>
  <c r="C49" i="76"/>
  <c r="C76" i="63"/>
  <c r="C75" i="75"/>
  <c r="C49" i="75"/>
  <c r="C75" i="77"/>
  <c r="C49" i="77"/>
  <c r="C74" i="77"/>
  <c r="C48" i="77"/>
  <c r="C74" i="76"/>
  <c r="C48" i="76"/>
  <c r="C74" i="75"/>
  <c r="C48" i="75"/>
  <c r="C75" i="63"/>
  <c r="C19" i="63"/>
  <c r="C18" i="75"/>
  <c r="C46" i="63"/>
  <c r="C18" i="77"/>
  <c r="C18" i="76"/>
  <c r="C55" i="74"/>
  <c r="C55" i="73"/>
  <c r="C55" i="62"/>
  <c r="C55" i="72"/>
  <c r="B79" i="59"/>
  <c r="B80" i="59"/>
  <c r="B81" i="59"/>
  <c r="B82" i="59"/>
  <c r="B83" i="59"/>
  <c r="C21" i="63"/>
  <c r="C20" i="77"/>
  <c r="C20" i="76"/>
  <c r="C20" i="75"/>
  <c r="C48" i="63"/>
  <c r="D123" i="59"/>
  <c r="C76" i="76"/>
  <c r="C50" i="76"/>
  <c r="C76" i="77"/>
  <c r="C50" i="77"/>
  <c r="C76" i="75"/>
  <c r="C50" i="75"/>
  <c r="C77" i="63"/>
  <c r="C20" i="63"/>
  <c r="C19" i="75"/>
  <c r="C19" i="76"/>
  <c r="C19" i="77"/>
  <c r="C47" i="63"/>
  <c r="D124" i="59"/>
  <c r="B84" i="59"/>
  <c r="B85" i="59"/>
  <c r="B86" i="59"/>
  <c r="C45" i="62"/>
  <c r="C45" i="74"/>
  <c r="C46" i="74"/>
  <c r="C30" i="74"/>
  <c r="C45" i="73"/>
  <c r="C46" i="73"/>
  <c r="C30" i="73"/>
  <c r="C45" i="72"/>
  <c r="C46" i="72"/>
  <c r="C30" i="72"/>
  <c r="C56" i="62"/>
  <c r="C56" i="74"/>
  <c r="C57" i="74"/>
  <c r="C32" i="74"/>
  <c r="C56" i="73"/>
  <c r="C57" i="73"/>
  <c r="C32" i="73"/>
  <c r="C56" i="72"/>
  <c r="C57" i="72"/>
  <c r="C32" i="72"/>
  <c r="C21" i="77"/>
  <c r="C21" i="76"/>
  <c r="C21" i="75"/>
  <c r="C49" i="63"/>
  <c r="C22" i="63"/>
  <c r="B87" i="59"/>
  <c r="B88" i="59"/>
  <c r="B89" i="59"/>
  <c r="C78" i="63"/>
  <c r="C77" i="75"/>
  <c r="C51" i="75"/>
  <c r="C77" i="77"/>
  <c r="C51" i="77"/>
  <c r="C77" i="76"/>
  <c r="C51" i="76"/>
  <c r="C57" i="62"/>
  <c r="C32" i="62"/>
  <c r="D125" i="59"/>
  <c r="B90" i="59"/>
  <c r="B91" i="59"/>
  <c r="B92" i="59"/>
  <c r="B93" i="59"/>
  <c r="B94" i="59"/>
  <c r="B95" i="59"/>
  <c r="B96" i="59"/>
  <c r="B97" i="59"/>
  <c r="B98" i="59"/>
  <c r="B99" i="59"/>
  <c r="B100" i="59"/>
  <c r="B101" i="59"/>
  <c r="B102" i="59"/>
  <c r="B103" i="59"/>
  <c r="B104" i="59"/>
  <c r="B105" i="59"/>
  <c r="B106" i="59"/>
  <c r="D126" i="59"/>
  <c r="C68" i="76"/>
  <c r="C68" i="75"/>
  <c r="C68" i="77"/>
  <c r="C69" i="63"/>
  <c r="C46" i="62"/>
  <c r="C30" i="62"/>
  <c r="C13" i="75"/>
  <c r="C14" i="63"/>
  <c r="C41" i="63"/>
  <c r="C13" i="77"/>
  <c r="C13" i="76"/>
  <c r="C58" i="62"/>
  <c r="C58" i="73"/>
  <c r="C58" i="74"/>
  <c r="C58" i="72"/>
  <c r="C42" i="77"/>
  <c r="C42" i="75"/>
  <c r="C42" i="76"/>
  <c r="C59" i="74"/>
  <c r="C59" i="62"/>
  <c r="C59" i="72"/>
  <c r="C59" i="73"/>
  <c r="D127" i="59"/>
  <c r="C50" i="63"/>
  <c r="C23" i="63"/>
  <c r="C22" i="76"/>
  <c r="C22" i="77"/>
  <c r="C22" i="75"/>
  <c r="C60" i="73"/>
  <c r="C78" i="75"/>
  <c r="C78" i="77"/>
  <c r="C79" i="63"/>
  <c r="C78" i="76"/>
  <c r="C60" i="62"/>
  <c r="C33" i="73"/>
  <c r="C34" i="73"/>
  <c r="C62" i="73"/>
  <c r="C80" i="63"/>
  <c r="C79" i="77"/>
  <c r="C53" i="77"/>
  <c r="C79" i="76"/>
  <c r="C53" i="76"/>
  <c r="C79" i="75"/>
  <c r="C53" i="75"/>
  <c r="C60" i="72"/>
  <c r="C60" i="74"/>
  <c r="C33" i="62"/>
  <c r="C34" i="62"/>
  <c r="C62" i="62"/>
  <c r="C52" i="76"/>
  <c r="C80" i="76"/>
  <c r="C23" i="77"/>
  <c r="C23" i="75"/>
  <c r="C51" i="63"/>
  <c r="C23" i="76"/>
  <c r="C24" i="63"/>
  <c r="C81" i="63"/>
  <c r="C52" i="77"/>
  <c r="C80" i="77"/>
  <c r="C62" i="72"/>
  <c r="C33" i="72"/>
  <c r="C34" i="72"/>
  <c r="C33" i="74"/>
  <c r="C34" i="74"/>
  <c r="C62" i="74"/>
  <c r="C52" i="75"/>
  <c r="C80" i="75"/>
  <c r="C24" i="77"/>
  <c r="C52" i="63"/>
  <c r="C25" i="63"/>
  <c r="C24" i="76"/>
  <c r="C24" i="75"/>
  <c r="C25" i="77"/>
  <c r="C25" i="76"/>
  <c r="C25" i="75"/>
  <c r="C54" i="76"/>
  <c r="C54" i="77"/>
  <c r="C53" i="63"/>
  <c r="C54" i="75"/>
  <c r="C26" i="63"/>
  <c r="BJ61" i="64" l="1"/>
  <c r="BL61" i="64" s="1"/>
  <c r="BM61" i="64" s="1"/>
  <c r="K129" i="60"/>
  <c r="BL82" i="64"/>
  <c r="BI60" i="64"/>
  <c r="BI23" i="64"/>
  <c r="BI74" i="64"/>
  <c r="BJ77" i="64"/>
  <c r="BL77" i="64" s="1"/>
  <c r="BJ49" i="64"/>
  <c r="BJ16" i="64"/>
  <c r="BJ13" i="64"/>
  <c r="BI68" i="64"/>
  <c r="BJ68" i="64"/>
  <c r="BL68" i="64" s="1"/>
  <c r="BJ79" i="64"/>
  <c r="BL79" i="64" s="1"/>
  <c r="BI86" i="64"/>
  <c r="BJ89" i="64"/>
  <c r="BJ22" i="64"/>
  <c r="BL81" i="64"/>
  <c r="BJ20" i="64"/>
  <c r="BI16" i="64"/>
  <c r="BJ25" i="64"/>
  <c r="L156" i="60"/>
  <c r="BI43" i="64"/>
  <c r="L109" i="60"/>
  <c r="BI70" i="64"/>
  <c r="BI63" i="64"/>
  <c r="BI33" i="64"/>
  <c r="BJ33" i="64"/>
  <c r="BI66" i="64"/>
  <c r="BI90" i="64"/>
  <c r="BL60" i="64"/>
  <c r="BM60" i="64" s="1"/>
  <c r="BI78" i="64"/>
  <c r="J28" i="69"/>
  <c r="BI20" i="64"/>
  <c r="BJ23" i="64"/>
  <c r="BI12" i="64"/>
  <c r="BM55" i="64"/>
  <c r="L28" i="69" s="1"/>
  <c r="D17" i="69"/>
  <c r="D36" i="64"/>
  <c r="D20" i="64"/>
  <c r="D12" i="69"/>
  <c r="D10" i="69"/>
  <c r="D9" i="64"/>
  <c r="D21" i="69"/>
  <c r="D40" i="64"/>
  <c r="D16" i="69"/>
  <c r="D33" i="64"/>
  <c r="C89" i="64"/>
  <c r="C30" i="67"/>
  <c r="C46" i="69"/>
  <c r="C29" i="67"/>
  <c r="C41" i="64"/>
  <c r="C28" i="67"/>
  <c r="D26" i="64"/>
  <c r="C44" i="64"/>
  <c r="K96" i="60"/>
  <c r="AJ101" i="60"/>
  <c r="Z64" i="60"/>
  <c r="AH14" i="60"/>
  <c r="AS30" i="64"/>
  <c r="Z32" i="60"/>
  <c r="O115" i="60"/>
  <c r="AO10" i="64"/>
  <c r="Y115" i="60"/>
  <c r="I113" i="60"/>
  <c r="J113" i="60" s="1"/>
  <c r="M113" i="60" s="1"/>
  <c r="AW87" i="64"/>
  <c r="G112" i="60"/>
  <c r="H37" i="60"/>
  <c r="I89" i="60"/>
  <c r="J89" i="60" s="1"/>
  <c r="M89" i="60" s="1"/>
  <c r="X59" i="60"/>
  <c r="AH77" i="60"/>
  <c r="O37" i="60"/>
  <c r="H88" i="60"/>
  <c r="S88" i="60" s="1"/>
  <c r="V88" i="60" s="1"/>
  <c r="H173" i="60"/>
  <c r="AG148" i="60"/>
  <c r="AA87" i="58"/>
  <c r="H86" i="60"/>
  <c r="K86" i="60" s="1"/>
  <c r="AW78" i="64"/>
  <c r="H69" i="60"/>
  <c r="K69" i="60" s="1"/>
  <c r="Y172" i="60"/>
  <c r="X43" i="60"/>
  <c r="AH101" i="60"/>
  <c r="AW10" i="64"/>
  <c r="Y35" i="60"/>
  <c r="G24" i="60"/>
  <c r="L24" i="60" s="1"/>
  <c r="P51" i="60"/>
  <c r="Z43" i="60"/>
  <c r="AC43" i="60" s="1"/>
  <c r="O36" i="60"/>
  <c r="AL85" i="60"/>
  <c r="AW13" i="64"/>
  <c r="AW90" i="64"/>
  <c r="AU28" i="64"/>
  <c r="F13" i="69" s="1"/>
  <c r="I36" i="60"/>
  <c r="J36" i="60" s="1"/>
  <c r="M36" i="60" s="1"/>
  <c r="I25" i="60"/>
  <c r="J25" i="60" s="1"/>
  <c r="M25" i="60" s="1"/>
  <c r="H64" i="60"/>
  <c r="I32" i="60"/>
  <c r="J32" i="60" s="1"/>
  <c r="M32" i="60" s="1"/>
  <c r="H146" i="60"/>
  <c r="K146" i="60" s="1"/>
  <c r="AU32" i="64"/>
  <c r="F15" i="69" s="1"/>
  <c r="G31" i="60"/>
  <c r="L31" i="60" s="1"/>
  <c r="AQ75" i="64"/>
  <c r="O51" i="60"/>
  <c r="T51" i="60" s="1"/>
  <c r="I60" i="60"/>
  <c r="J60" i="60" s="1"/>
  <c r="M60" i="60" s="1"/>
  <c r="AQ12" i="64"/>
  <c r="G87" i="60"/>
  <c r="P87" i="60" s="1"/>
  <c r="AI88" i="60"/>
  <c r="AI37" i="60"/>
  <c r="AH96" i="60"/>
  <c r="X130" i="60"/>
  <c r="AW62" i="64"/>
  <c r="AN83" i="64"/>
  <c r="BJ83" i="64" s="1"/>
  <c r="AH73" i="60"/>
  <c r="Z76" i="60"/>
  <c r="F112" i="60"/>
  <c r="AN82" i="64"/>
  <c r="AA38" i="58"/>
  <c r="AL61" i="60"/>
  <c r="AW73" i="64"/>
  <c r="I139" i="60"/>
  <c r="J139" i="60" s="1"/>
  <c r="M139" i="60" s="1"/>
  <c r="G73" i="60"/>
  <c r="AA54" i="58"/>
  <c r="AW25" i="64"/>
  <c r="H89" i="60"/>
  <c r="H155" i="60"/>
  <c r="S155" i="60" s="1"/>
  <c r="V155" i="60" s="1"/>
  <c r="I64" i="60"/>
  <c r="J64" i="60" s="1"/>
  <c r="M64" i="60" s="1"/>
  <c r="AM94" i="64"/>
  <c r="BI94" i="64" s="1"/>
  <c r="I146" i="60"/>
  <c r="J146" i="60" s="1"/>
  <c r="M146" i="60" s="1"/>
  <c r="AA37" i="58"/>
  <c r="AA99" i="58"/>
  <c r="AB99" i="58" s="1"/>
  <c r="AA30" i="58"/>
  <c r="AB30" i="58" s="1"/>
  <c r="H128" i="60"/>
  <c r="AW91" i="64"/>
  <c r="H45" i="69" s="1"/>
  <c r="AI15" i="60"/>
  <c r="AL15" i="60" s="1"/>
  <c r="H36" i="60"/>
  <c r="AW39" i="64"/>
  <c r="H20" i="69" s="1"/>
  <c r="AM11" i="64"/>
  <c r="BI11" i="64" s="1"/>
  <c r="I95" i="60"/>
  <c r="AA62" i="58"/>
  <c r="I164" i="60"/>
  <c r="J164" i="60" s="1"/>
  <c r="M164" i="60" s="1"/>
  <c r="M167" i="60" s="1"/>
  <c r="F58" i="62" s="1"/>
  <c r="C23" i="62" s="1"/>
  <c r="AW38" i="64"/>
  <c r="H19" i="69" s="1"/>
  <c r="F102" i="60"/>
  <c r="I83" i="60"/>
  <c r="J83" i="60" s="1"/>
  <c r="M83" i="60" s="1"/>
  <c r="X101" i="60"/>
  <c r="Y70" i="60"/>
  <c r="H60" i="60"/>
  <c r="AG14" i="60"/>
  <c r="X147" i="60"/>
  <c r="AI165" i="60"/>
  <c r="Y96" i="60"/>
  <c r="O138" i="60"/>
  <c r="AU42" i="64"/>
  <c r="X99" i="60"/>
  <c r="Z115" i="60"/>
  <c r="J82" i="64"/>
  <c r="X166" i="60"/>
  <c r="AP30" i="64"/>
  <c r="AQ43" i="64"/>
  <c r="AA77" i="58"/>
  <c r="I84" i="60"/>
  <c r="J84" i="60" s="1"/>
  <c r="M84" i="60" s="1"/>
  <c r="P37" i="60"/>
  <c r="X16" i="60"/>
  <c r="AC16" i="60" s="1"/>
  <c r="AN34" i="64"/>
  <c r="BJ34" i="64" s="1"/>
  <c r="F73" i="60"/>
  <c r="AI16" i="60"/>
  <c r="I128" i="60"/>
  <c r="J128" i="60" s="1"/>
  <c r="M128" i="60" s="1"/>
  <c r="AA80" i="58"/>
  <c r="AH130" i="60"/>
  <c r="H95" i="60"/>
  <c r="AQ30" i="64"/>
  <c r="G102" i="60"/>
  <c r="L102" i="60" s="1"/>
  <c r="AS19" i="64"/>
  <c r="H83" i="60"/>
  <c r="Z66" i="60"/>
  <c r="G70" i="60"/>
  <c r="AA49" i="58"/>
  <c r="X25" i="60"/>
  <c r="AR83" i="64"/>
  <c r="O32" i="60"/>
  <c r="AI85" i="60"/>
  <c r="G130" i="60"/>
  <c r="O72" i="60"/>
  <c r="F87" i="60"/>
  <c r="K87" i="60" s="1"/>
  <c r="J20" i="64"/>
  <c r="J92" i="64"/>
  <c r="AR44" i="64"/>
  <c r="AN62" i="64"/>
  <c r="BJ62" i="64" s="1"/>
  <c r="BL62" i="64" s="1"/>
  <c r="X35" i="60"/>
  <c r="AC99" i="60"/>
  <c r="AN42" i="64"/>
  <c r="Y75" i="60"/>
  <c r="X172" i="60"/>
  <c r="AS66" i="64"/>
  <c r="AA51" i="58"/>
  <c r="Q158" i="60"/>
  <c r="AN95" i="64"/>
  <c r="BJ95" i="64" s="1"/>
  <c r="G96" i="60"/>
  <c r="L96" i="60" s="1"/>
  <c r="Z101" i="60"/>
  <c r="AA40" i="58"/>
  <c r="AB40" i="58" s="1"/>
  <c r="AA32" i="58"/>
  <c r="AU60" i="64"/>
  <c r="Z98" i="60"/>
  <c r="X87" i="60"/>
  <c r="AO66" i="64"/>
  <c r="AO77" i="64"/>
  <c r="BI77" i="64" s="1"/>
  <c r="AA24" i="58"/>
  <c r="J54" i="64"/>
  <c r="AR75" i="64"/>
  <c r="AG50" i="60"/>
  <c r="AL50" i="60" s="1"/>
  <c r="AS55" i="64"/>
  <c r="Z158" i="60"/>
  <c r="AR79" i="64"/>
  <c r="J10" i="64"/>
  <c r="AA14" i="58"/>
  <c r="AM13" i="64"/>
  <c r="G62" i="60"/>
  <c r="L62" i="60" s="1"/>
  <c r="Z85" i="60"/>
  <c r="AR31" i="64"/>
  <c r="H33" i="60"/>
  <c r="AN46" i="64"/>
  <c r="BJ46" i="64" s="1"/>
  <c r="AO85" i="64"/>
  <c r="O166" i="60"/>
  <c r="AN52" i="64"/>
  <c r="H14" i="60"/>
  <c r="K14" i="60" s="1"/>
  <c r="AM50" i="64"/>
  <c r="BI50" i="64" s="1"/>
  <c r="G37" i="60"/>
  <c r="L37" i="60" s="1"/>
  <c r="F37" i="60"/>
  <c r="AR84" i="64"/>
  <c r="Z165" i="60"/>
  <c r="AC165" i="60" s="1"/>
  <c r="AT93" i="64"/>
  <c r="AI23" i="60"/>
  <c r="AL23" i="60" s="1"/>
  <c r="AW74" i="64"/>
  <c r="AU74" i="64"/>
  <c r="F40" i="69" s="1"/>
  <c r="AQ36" i="64"/>
  <c r="X95" i="60"/>
  <c r="AO44" i="64"/>
  <c r="O31" i="60"/>
  <c r="AO83" i="64"/>
  <c r="O164" i="60"/>
  <c r="AQ22" i="64"/>
  <c r="X71" i="60"/>
  <c r="AR28" i="64"/>
  <c r="BL28" i="64" s="1"/>
  <c r="BM28" i="64" s="1"/>
  <c r="Z77" i="60"/>
  <c r="AS35" i="64"/>
  <c r="AG89" i="60"/>
  <c r="AO36" i="64"/>
  <c r="O95" i="60"/>
  <c r="AT37" i="64"/>
  <c r="AI96" i="60"/>
  <c r="P31" i="60"/>
  <c r="AM44" i="64"/>
  <c r="BI44" i="64" s="1"/>
  <c r="AT47" i="64"/>
  <c r="AI34" i="60"/>
  <c r="AT62" i="64"/>
  <c r="AI113" i="60"/>
  <c r="AA66" i="58"/>
  <c r="I111" i="60"/>
  <c r="J111" i="60" s="1"/>
  <c r="AN65" i="64"/>
  <c r="AS46" i="64"/>
  <c r="AG33" i="60"/>
  <c r="O84" i="60"/>
  <c r="T84" i="60" s="1"/>
  <c r="F35" i="69"/>
  <c r="Y158" i="60"/>
  <c r="G158" i="60"/>
  <c r="F158" i="60"/>
  <c r="J84" i="64"/>
  <c r="AQ18" i="64"/>
  <c r="X68" i="60"/>
  <c r="AC68" i="60" s="1"/>
  <c r="AQ20" i="64"/>
  <c r="AM28" i="64"/>
  <c r="F77" i="60"/>
  <c r="K77" i="60" s="1"/>
  <c r="G77" i="60"/>
  <c r="L77" i="60" s="1"/>
  <c r="AR30" i="64"/>
  <c r="Z84" i="60"/>
  <c r="AC84" i="60" s="1"/>
  <c r="AR43" i="64"/>
  <c r="Z102" i="60"/>
  <c r="F110" i="60"/>
  <c r="P110" i="60" s="1"/>
  <c r="AM59" i="64"/>
  <c r="BI59" i="64" s="1"/>
  <c r="AO73" i="64"/>
  <c r="O147" i="60"/>
  <c r="AP77" i="64"/>
  <c r="Q156" i="60"/>
  <c r="AO87" i="64"/>
  <c r="O173" i="60"/>
  <c r="T173" i="60" s="1"/>
  <c r="AQ83" i="64"/>
  <c r="X164" i="60"/>
  <c r="AG130" i="60"/>
  <c r="AL130" i="60" s="1"/>
  <c r="AC158" i="60"/>
  <c r="O35" i="60"/>
  <c r="AH35" i="60"/>
  <c r="AO48" i="64"/>
  <c r="BI48" i="64" s="1"/>
  <c r="AW89" i="64"/>
  <c r="AU89" i="64"/>
  <c r="F44" i="69" s="1"/>
  <c r="I33" i="60"/>
  <c r="J33" i="60" s="1"/>
  <c r="M33" i="60" s="1"/>
  <c r="Y44" i="60"/>
  <c r="Z24" i="60"/>
  <c r="AC24" i="60" s="1"/>
  <c r="AA55" i="58"/>
  <c r="X97" i="60"/>
  <c r="AQ38" i="64"/>
  <c r="Y83" i="60"/>
  <c r="AM58" i="64"/>
  <c r="F62" i="60"/>
  <c r="H111" i="60"/>
  <c r="K111" i="60" s="1"/>
  <c r="AR11" i="64"/>
  <c r="Z60" i="60"/>
  <c r="AC60" i="60" s="1"/>
  <c r="AR90" i="64"/>
  <c r="Z44" i="60"/>
  <c r="AS17" i="64"/>
  <c r="AG67" i="60"/>
  <c r="AL67" i="60" s="1"/>
  <c r="Z86" i="60"/>
  <c r="AS14" i="64"/>
  <c r="P32" i="60"/>
  <c r="F32" i="60"/>
  <c r="K32" i="60" s="1"/>
  <c r="Y32" i="60"/>
  <c r="L155" i="60"/>
  <c r="AM89" i="64"/>
  <c r="BI89" i="64" s="1"/>
  <c r="F43" i="60"/>
  <c r="K43" i="60" s="1"/>
  <c r="AN73" i="64"/>
  <c r="I147" i="60"/>
  <c r="J147" i="60" s="1"/>
  <c r="M147" i="60" s="1"/>
  <c r="AM93" i="64"/>
  <c r="BI93" i="64" s="1"/>
  <c r="F23" i="60"/>
  <c r="K23" i="60" s="1"/>
  <c r="P23" i="60"/>
  <c r="U23" i="60" s="1"/>
  <c r="AH23" i="60"/>
  <c r="G23" i="60"/>
  <c r="L23" i="60" s="1"/>
  <c r="F109" i="60"/>
  <c r="P109" i="60" s="1"/>
  <c r="AA56" i="58"/>
  <c r="AA93" i="58"/>
  <c r="AB93" i="58" s="1"/>
  <c r="J89" i="64"/>
  <c r="AM40" i="64"/>
  <c r="BI40" i="64" s="1"/>
  <c r="G99" i="60"/>
  <c r="L99" i="60" s="1"/>
  <c r="F99" i="60"/>
  <c r="K99" i="60" s="1"/>
  <c r="AW16" i="64"/>
  <c r="AU16" i="64"/>
  <c r="F60" i="60"/>
  <c r="AI59" i="60"/>
  <c r="AL59" i="60" s="1"/>
  <c r="L129" i="60"/>
  <c r="AA43" i="58"/>
  <c r="J39" i="64"/>
  <c r="BL39" i="64" s="1"/>
  <c r="I52" i="60"/>
  <c r="J52" i="60" s="1"/>
  <c r="M52" i="60" s="1"/>
  <c r="P115" i="60"/>
  <c r="Y69" i="60"/>
  <c r="Y139" i="60"/>
  <c r="F71" i="60"/>
  <c r="AM22" i="64"/>
  <c r="BI22" i="64" s="1"/>
  <c r="G71" i="60"/>
  <c r="L71" i="60" s="1"/>
  <c r="I157" i="60"/>
  <c r="J157" i="60" s="1"/>
  <c r="M157" i="60" s="1"/>
  <c r="P122" i="60"/>
  <c r="K122" i="60"/>
  <c r="P157" i="60"/>
  <c r="AO79" i="64"/>
  <c r="BI79" i="64" s="1"/>
  <c r="O158" i="60"/>
  <c r="J85" i="64"/>
  <c r="AA89" i="58"/>
  <c r="J42" i="64"/>
  <c r="F66" i="60"/>
  <c r="AH66" i="60"/>
  <c r="G66" i="60"/>
  <c r="L66" i="60" s="1"/>
  <c r="I63" i="60"/>
  <c r="J63" i="60" s="1"/>
  <c r="M63" i="60" s="1"/>
  <c r="H63" i="60"/>
  <c r="AQ21" i="64"/>
  <c r="X70" i="60"/>
  <c r="AH70" i="60"/>
  <c r="I61" i="60"/>
  <c r="J61" i="60" s="1"/>
  <c r="M61" i="60" s="1"/>
  <c r="H61" i="60"/>
  <c r="AU49" i="64"/>
  <c r="AW49" i="64"/>
  <c r="J59" i="64"/>
  <c r="AA63" i="58"/>
  <c r="AW88" i="64"/>
  <c r="AO69" i="64"/>
  <c r="BI69" i="64" s="1"/>
  <c r="Y130" i="60"/>
  <c r="P130" i="60"/>
  <c r="AW70" i="64"/>
  <c r="H37" i="69" s="1"/>
  <c r="AR92" i="64"/>
  <c r="Z22" i="60"/>
  <c r="AP31" i="64"/>
  <c r="Q85" i="60"/>
  <c r="AC114" i="60"/>
  <c r="H154" i="60"/>
  <c r="I154" i="60"/>
  <c r="J154" i="60" s="1"/>
  <c r="M154" i="60" s="1"/>
  <c r="I121" i="60"/>
  <c r="J121" i="60" s="1"/>
  <c r="M121" i="60" s="1"/>
  <c r="M123" i="60" s="1"/>
  <c r="F52" i="62" s="1"/>
  <c r="C18" i="62" s="1"/>
  <c r="Z137" i="60"/>
  <c r="AR80" i="64"/>
  <c r="Z156" i="60"/>
  <c r="AC156" i="60" s="1"/>
  <c r="AR77" i="64"/>
  <c r="AI148" i="60"/>
  <c r="AN91" i="64"/>
  <c r="F115" i="60"/>
  <c r="K115" i="60" s="1"/>
  <c r="AU92" i="64"/>
  <c r="F46" i="69" s="1"/>
  <c r="AW92" i="64"/>
  <c r="H46" i="69" s="1"/>
  <c r="AW31" i="64"/>
  <c r="H15" i="69" s="1"/>
  <c r="H157" i="60"/>
  <c r="F83" i="60"/>
  <c r="K83" i="60" s="1"/>
  <c r="AC77" i="60"/>
  <c r="G65" i="60"/>
  <c r="L65" i="60" s="1"/>
  <c r="AM15" i="64"/>
  <c r="BI15" i="64" s="1"/>
  <c r="AP75" i="64"/>
  <c r="Q154" i="60"/>
  <c r="T154" i="60" s="1"/>
  <c r="AW51" i="64"/>
  <c r="H24" i="69" s="1"/>
  <c r="AM10" i="64"/>
  <c r="BI10" i="64" s="1"/>
  <c r="AH59" i="60"/>
  <c r="F59" i="60"/>
  <c r="G85" i="60"/>
  <c r="F85" i="60"/>
  <c r="X110" i="60"/>
  <c r="AQ59" i="64"/>
  <c r="AG16" i="60"/>
  <c r="AL16" i="60" s="1"/>
  <c r="AS54" i="64"/>
  <c r="P166" i="60"/>
  <c r="AR91" i="64"/>
  <c r="Z52" i="60"/>
  <c r="F65" i="60"/>
  <c r="P65" i="60" s="1"/>
  <c r="Z172" i="60"/>
  <c r="AR50" i="64"/>
  <c r="Z37" i="60"/>
  <c r="AC37" i="60" s="1"/>
  <c r="I138" i="60"/>
  <c r="J138" i="60" s="1"/>
  <c r="M138" i="60" s="1"/>
  <c r="AN81" i="64"/>
  <c r="H138" i="60"/>
  <c r="AU37" i="64"/>
  <c r="F18" i="69" s="1"/>
  <c r="AM26" i="64"/>
  <c r="BI26" i="64" s="1"/>
  <c r="F75" i="60"/>
  <c r="G75" i="60"/>
  <c r="L75" i="60" s="1"/>
  <c r="Z75" i="60"/>
  <c r="AA15" i="58"/>
  <c r="Y59" i="60"/>
  <c r="AA71" i="58"/>
  <c r="G74" i="60"/>
  <c r="L74" i="60" s="1"/>
  <c r="AM25" i="64"/>
  <c r="AR87" i="64"/>
  <c r="AI77" i="60"/>
  <c r="AL77" i="60" s="1"/>
  <c r="Z65" i="60"/>
  <c r="AA47" i="58"/>
  <c r="AA48" i="58"/>
  <c r="AQ82" i="64"/>
  <c r="X139" i="60"/>
  <c r="AC139" i="60" s="1"/>
  <c r="AT15" i="64"/>
  <c r="AI65" i="60"/>
  <c r="Y76" i="60"/>
  <c r="AQ71" i="64"/>
  <c r="X145" i="60"/>
  <c r="BA145" i="60" s="1"/>
  <c r="AN87" i="64"/>
  <c r="AA39" i="58"/>
  <c r="AB37" i="58" s="1"/>
  <c r="AG32" i="60"/>
  <c r="AU43" i="64"/>
  <c r="AW43" i="64"/>
  <c r="AH97" i="60"/>
  <c r="AI111" i="60"/>
  <c r="AT60" i="64"/>
  <c r="AR10" i="64"/>
  <c r="Z59" i="60"/>
  <c r="AC59" i="60" s="1"/>
  <c r="AM30" i="64"/>
  <c r="BI30" i="64" s="1"/>
  <c r="AH84" i="60"/>
  <c r="AQ57" i="64"/>
  <c r="X44" i="60"/>
  <c r="AC44" i="60" s="1"/>
  <c r="K50" i="60"/>
  <c r="K53" i="60" s="1"/>
  <c r="D45" i="62" s="1"/>
  <c r="AA139" i="60"/>
  <c r="AO65" i="64"/>
  <c r="BI65" i="64" s="1"/>
  <c r="AJ13" i="60"/>
  <c r="P154" i="60"/>
  <c r="AQ29" i="64"/>
  <c r="X83" i="60"/>
  <c r="AC83" i="60" s="1"/>
  <c r="G98" i="60"/>
  <c r="L98" i="60" s="1"/>
  <c r="F98" i="60"/>
  <c r="K98" i="60" s="1"/>
  <c r="X109" i="60"/>
  <c r="AQ58" i="64"/>
  <c r="AT65" i="64"/>
  <c r="AI121" i="60"/>
  <c r="AL121" i="60" s="1"/>
  <c r="AQ70" i="64"/>
  <c r="I37" i="69" s="1"/>
  <c r="X136" i="60"/>
  <c r="AA155" i="60"/>
  <c r="AR48" i="64"/>
  <c r="Z35" i="60"/>
  <c r="AC35" i="60" s="1"/>
  <c r="AG115" i="60"/>
  <c r="AL115" i="60" s="1"/>
  <c r="AS64" i="64"/>
  <c r="Y164" i="60"/>
  <c r="M110" i="60"/>
  <c r="AL88" i="60"/>
  <c r="F147" i="60"/>
  <c r="K147" i="60" s="1"/>
  <c r="AH147" i="60"/>
  <c r="AL22" i="60"/>
  <c r="AA18" i="58"/>
  <c r="AA19" i="58"/>
  <c r="AA79" i="58"/>
  <c r="AW54" i="64"/>
  <c r="H27" i="69" s="1"/>
  <c r="AA67" i="58"/>
  <c r="Y147" i="60"/>
  <c r="G84" i="60"/>
  <c r="Z155" i="60"/>
  <c r="AI95" i="60"/>
  <c r="J74" i="64"/>
  <c r="AA78" i="58"/>
  <c r="AP14" i="64"/>
  <c r="BJ14" i="64" s="1"/>
  <c r="AS20" i="64"/>
  <c r="AO43" i="64"/>
  <c r="O102" i="60"/>
  <c r="AG51" i="60"/>
  <c r="AL51" i="60" s="1"/>
  <c r="AS56" i="64"/>
  <c r="I29" i="69" s="1"/>
  <c r="Y145" i="60"/>
  <c r="AC173" i="60"/>
  <c r="P98" i="60"/>
  <c r="AT20" i="64"/>
  <c r="AI69" i="60"/>
  <c r="AL69" i="60" s="1"/>
  <c r="AM27" i="64"/>
  <c r="BI27" i="64" s="1"/>
  <c r="F76" i="60"/>
  <c r="AS29" i="64"/>
  <c r="AG83" i="60"/>
  <c r="X14" i="60"/>
  <c r="AQ52" i="64"/>
  <c r="G40" i="69"/>
  <c r="AA60" i="58"/>
  <c r="Z14" i="60"/>
  <c r="AN71" i="64"/>
  <c r="AC97" i="60"/>
  <c r="I43" i="60"/>
  <c r="J43" i="60" s="1"/>
  <c r="M43" i="60" s="1"/>
  <c r="I99" i="60"/>
  <c r="J99" i="60" s="1"/>
  <c r="M99" i="60" s="1"/>
  <c r="H99" i="60"/>
  <c r="S99" i="60" s="1"/>
  <c r="V99" i="60" s="1"/>
  <c r="AS42" i="64"/>
  <c r="AG101" i="60"/>
  <c r="AL101" i="60" s="1"/>
  <c r="AJ155" i="60"/>
  <c r="AN76" i="64"/>
  <c r="BJ76" i="64" s="1"/>
  <c r="BL76" i="64" s="1"/>
  <c r="P165" i="60"/>
  <c r="G165" i="60"/>
  <c r="AA53" i="58"/>
  <c r="AA82" i="58"/>
  <c r="AU33" i="64"/>
  <c r="F16" i="69" s="1"/>
  <c r="AA96" i="58"/>
  <c r="AB96" i="58" s="1"/>
  <c r="R138" i="60"/>
  <c r="AR14" i="64"/>
  <c r="AP18" i="64"/>
  <c r="BJ18" i="64" s="1"/>
  <c r="AR33" i="64"/>
  <c r="Y84" i="60"/>
  <c r="AA58" i="58"/>
  <c r="L85" i="60"/>
  <c r="L86" i="60"/>
  <c r="J86" i="60"/>
  <c r="M86" i="60" s="1"/>
  <c r="F52" i="63"/>
  <c r="E52" i="63"/>
  <c r="J24" i="64"/>
  <c r="AA28" i="58"/>
  <c r="Z139" i="60"/>
  <c r="AR82" i="64"/>
  <c r="AH173" i="60"/>
  <c r="Y173" i="60"/>
  <c r="AM87" i="64"/>
  <c r="BI87" i="64" s="1"/>
  <c r="G173" i="60"/>
  <c r="L173" i="60" s="1"/>
  <c r="F173" i="60"/>
  <c r="K173" i="60" s="1"/>
  <c r="P173" i="60"/>
  <c r="U173" i="60" s="1"/>
  <c r="F72" i="60"/>
  <c r="G72" i="60"/>
  <c r="AH72" i="60"/>
  <c r="H35" i="60"/>
  <c r="K35" i="60" s="1"/>
  <c r="Y98" i="60"/>
  <c r="AN48" i="64"/>
  <c r="BJ48" i="64" s="1"/>
  <c r="AN92" i="64"/>
  <c r="Y72" i="60"/>
  <c r="Z61" i="60"/>
  <c r="AR12" i="64"/>
  <c r="I23" i="60"/>
  <c r="J23" i="60" s="1"/>
  <c r="M23" i="60" s="1"/>
  <c r="Z13" i="60"/>
  <c r="AC13" i="60" s="1"/>
  <c r="I165" i="60"/>
  <c r="J165" i="60" s="1"/>
  <c r="M165" i="60" s="1"/>
  <c r="Y87" i="60"/>
  <c r="Y67" i="60"/>
  <c r="AM17" i="64"/>
  <c r="BI17" i="64" s="1"/>
  <c r="F67" i="60"/>
  <c r="P67" i="60" s="1"/>
  <c r="G67" i="60"/>
  <c r="L67" i="60" s="1"/>
  <c r="AC146" i="60"/>
  <c r="AW83" i="64"/>
  <c r="AA88" i="58"/>
  <c r="H23" i="60"/>
  <c r="AB23" i="60" s="1"/>
  <c r="AE23" i="60" s="1"/>
  <c r="H72" i="60"/>
  <c r="Z122" i="60"/>
  <c r="AH148" i="60"/>
  <c r="AM92" i="64"/>
  <c r="AR69" i="64"/>
  <c r="Z130" i="60"/>
  <c r="X33" i="60"/>
  <c r="AC33" i="60" s="1"/>
  <c r="AW36" i="64"/>
  <c r="H17" i="69" s="1"/>
  <c r="AU36" i="64"/>
  <c r="F17" i="69" s="1"/>
  <c r="X98" i="60"/>
  <c r="P121" i="60"/>
  <c r="K121" i="60"/>
  <c r="G52" i="63"/>
  <c r="AJ61" i="60"/>
  <c r="Z71" i="60"/>
  <c r="AR22" i="64"/>
  <c r="AO25" i="64"/>
  <c r="O74" i="60"/>
  <c r="T74" i="60" s="1"/>
  <c r="Y74" i="60"/>
  <c r="AI32" i="60"/>
  <c r="AT45" i="64"/>
  <c r="AQ45" i="64"/>
  <c r="X32" i="60"/>
  <c r="AC32" i="60" s="1"/>
  <c r="AQ67" i="64"/>
  <c r="X128" i="60"/>
  <c r="AQ91" i="64"/>
  <c r="X52" i="60"/>
  <c r="AC52" i="60" s="1"/>
  <c r="AH52" i="60"/>
  <c r="G154" i="60"/>
  <c r="AH154" i="60"/>
  <c r="AM154" i="60" s="1"/>
  <c r="AU52" i="64"/>
  <c r="F25" i="69" s="1"/>
  <c r="AW52" i="64"/>
  <c r="H25" i="69" s="1"/>
  <c r="AN44" i="64"/>
  <c r="H31" i="60"/>
  <c r="K31" i="60" s="1"/>
  <c r="I72" i="60"/>
  <c r="J72" i="60" s="1"/>
  <c r="M72" i="60" s="1"/>
  <c r="I31" i="60"/>
  <c r="J31" i="60" s="1"/>
  <c r="M31" i="60" s="1"/>
  <c r="G22" i="60"/>
  <c r="L22" i="60" s="1"/>
  <c r="AA46" i="58"/>
  <c r="AW84" i="64"/>
  <c r="AA42" i="58"/>
  <c r="G166" i="60"/>
  <c r="L166" i="60" s="1"/>
  <c r="Z72" i="60"/>
  <c r="AH136" i="60"/>
  <c r="AU44" i="64"/>
  <c r="AW44" i="64"/>
  <c r="O97" i="60"/>
  <c r="P13" i="60"/>
  <c r="G13" i="60"/>
  <c r="L13" i="60" s="1"/>
  <c r="F13" i="60"/>
  <c r="K13" i="60" s="1"/>
  <c r="AM51" i="64"/>
  <c r="AT11" i="64"/>
  <c r="AI60" i="60"/>
  <c r="AL60" i="60" s="1"/>
  <c r="AT16" i="64"/>
  <c r="AI66" i="60"/>
  <c r="AL66" i="60" s="1"/>
  <c r="O63" i="60"/>
  <c r="P63" i="60" s="1"/>
  <c r="Y63" i="60"/>
  <c r="AT21" i="64"/>
  <c r="AI70" i="60"/>
  <c r="AL70" i="60" s="1"/>
  <c r="AT27" i="64"/>
  <c r="AI76" i="60"/>
  <c r="AC74" i="60"/>
  <c r="AQ49" i="64"/>
  <c r="X36" i="60"/>
  <c r="AH36" i="60"/>
  <c r="Y112" i="60"/>
  <c r="AQ61" i="64"/>
  <c r="I114" i="60"/>
  <c r="J114" i="60" s="1"/>
  <c r="M114" i="60" s="1"/>
  <c r="H114" i="60"/>
  <c r="AK114" i="60" s="1"/>
  <c r="AN114" i="60" s="1"/>
  <c r="AS73" i="64"/>
  <c r="AG147" i="60"/>
  <c r="AL147" i="60" s="1"/>
  <c r="P172" i="60"/>
  <c r="AH172" i="60"/>
  <c r="AN38" i="64"/>
  <c r="H97" i="60"/>
  <c r="K165" i="60"/>
  <c r="AR55" i="64"/>
  <c r="AJ50" i="60"/>
  <c r="Z50" i="60"/>
  <c r="AB50" i="60" s="1"/>
  <c r="AA50" i="60"/>
  <c r="AT48" i="64"/>
  <c r="AI35" i="60"/>
  <c r="AL35" i="60" s="1"/>
  <c r="AO20" i="64"/>
  <c r="AQ34" i="64"/>
  <c r="AH88" i="60"/>
  <c r="AR81" i="64"/>
  <c r="Q165" i="60"/>
  <c r="AP84" i="64"/>
  <c r="BJ84" i="64" s="1"/>
  <c r="AW20" i="64"/>
  <c r="AW66" i="64"/>
  <c r="H35" i="69" s="1"/>
  <c r="Y157" i="60"/>
  <c r="AL58" i="60"/>
  <c r="AR53" i="64"/>
  <c r="Z15" i="60"/>
  <c r="AC15" i="60" s="1"/>
  <c r="Z68" i="60"/>
  <c r="AB68" i="60" s="1"/>
  <c r="AE68" i="60" s="1"/>
  <c r="AR18" i="64"/>
  <c r="AQ15" i="64"/>
  <c r="X65" i="60"/>
  <c r="AC76" i="60"/>
  <c r="AH87" i="60"/>
  <c r="AM75" i="64"/>
  <c r="BI75" i="64" s="1"/>
  <c r="AN53" i="64"/>
  <c r="H15" i="60"/>
  <c r="J72" i="64"/>
  <c r="AA76" i="58"/>
  <c r="M50" i="60"/>
  <c r="AA26" i="58"/>
  <c r="AA91" i="58"/>
  <c r="H172" i="60"/>
  <c r="G50" i="60"/>
  <c r="L50" i="60" s="1"/>
  <c r="D42" i="75" s="1"/>
  <c r="F166" i="60"/>
  <c r="K166" i="60" s="1"/>
  <c r="K102" i="60"/>
  <c r="P50" i="60"/>
  <c r="U50" i="60" s="1"/>
  <c r="AA69" i="58"/>
  <c r="H77" i="60"/>
  <c r="I77" i="60"/>
  <c r="J77" i="60" s="1"/>
  <c r="M77" i="60" s="1"/>
  <c r="AS47" i="64"/>
  <c r="AG34" i="60"/>
  <c r="O128" i="60"/>
  <c r="AO67" i="64"/>
  <c r="AG129" i="60"/>
  <c r="AL129" i="60" s="1"/>
  <c r="AS68" i="64"/>
  <c r="Y146" i="60"/>
  <c r="AN75" i="64"/>
  <c r="BJ75" i="64" s="1"/>
  <c r="BL75" i="64" s="1"/>
  <c r="AJ154" i="60"/>
  <c r="AT77" i="64"/>
  <c r="AI156" i="60"/>
  <c r="P25" i="60"/>
  <c r="AM95" i="64"/>
  <c r="Y25" i="60"/>
  <c r="AH25" i="60"/>
  <c r="AS89" i="64"/>
  <c r="AG43" i="60"/>
  <c r="AO47" i="64"/>
  <c r="BI47" i="64" s="1"/>
  <c r="O34" i="60"/>
  <c r="Y154" i="60"/>
  <c r="AC148" i="60"/>
  <c r="AH44" i="60"/>
  <c r="AG44" i="60"/>
  <c r="AA97" i="58"/>
  <c r="Y109" i="60"/>
  <c r="AN32" i="64"/>
  <c r="AJ86" i="60"/>
  <c r="AQ24" i="64"/>
  <c r="X73" i="60"/>
  <c r="AM35" i="64"/>
  <c r="Y89" i="60"/>
  <c r="F89" i="60"/>
  <c r="AT85" i="64"/>
  <c r="AI166" i="60"/>
  <c r="AL166" i="60" s="1"/>
  <c r="F68" i="60"/>
  <c r="G68" i="60"/>
  <c r="L68" i="60" s="1"/>
  <c r="AM18" i="64"/>
  <c r="BI18" i="64" s="1"/>
  <c r="AT70" i="64"/>
  <c r="AI136" i="60"/>
  <c r="AL136" i="60" s="1"/>
  <c r="G148" i="60"/>
  <c r="L148" i="60" s="1"/>
  <c r="F148" i="60"/>
  <c r="P148" i="60"/>
  <c r="Y148" i="60"/>
  <c r="AO53" i="64"/>
  <c r="O15" i="60"/>
  <c r="AW23" i="64"/>
  <c r="AA90" i="58"/>
  <c r="AH63" i="60"/>
  <c r="G111" i="60"/>
  <c r="L111" i="60" s="1"/>
  <c r="L35" i="60"/>
  <c r="X88" i="60"/>
  <c r="X58" i="60"/>
  <c r="AH96" i="58"/>
  <c r="I87" i="60"/>
  <c r="K95" i="60"/>
  <c r="AH137" i="60"/>
  <c r="AM137" i="60" s="1"/>
  <c r="AO58" i="64"/>
  <c r="AM85" i="64"/>
  <c r="AH89" i="60"/>
  <c r="AH51" i="60"/>
  <c r="O136" i="60"/>
  <c r="P59" i="60"/>
  <c r="T156" i="60"/>
  <c r="Y51" i="60"/>
  <c r="P137" i="60"/>
  <c r="O62" i="60"/>
  <c r="AO13" i="64"/>
  <c r="AR56" i="64"/>
  <c r="Z51" i="60"/>
  <c r="AK51" i="60" s="1"/>
  <c r="AN51" i="60" s="1"/>
  <c r="AM57" i="64"/>
  <c r="BI57" i="64" s="1"/>
  <c r="AH108" i="60"/>
  <c r="AR59" i="64"/>
  <c r="Z110" i="60"/>
  <c r="AO61" i="64"/>
  <c r="BI61" i="64" s="1"/>
  <c r="P114" i="60"/>
  <c r="F114" i="60"/>
  <c r="AT66" i="64"/>
  <c r="AI122" i="60"/>
  <c r="F128" i="60"/>
  <c r="P128" i="60"/>
  <c r="Y128" i="60"/>
  <c r="G128" i="60"/>
  <c r="L128" i="60" s="1"/>
  <c r="AH128" i="60"/>
  <c r="AM36" i="64"/>
  <c r="BI36" i="64" s="1"/>
  <c r="AH95" i="60"/>
  <c r="Y95" i="60"/>
  <c r="AT44" i="64"/>
  <c r="AI31" i="60"/>
  <c r="AL31" i="60" s="1"/>
  <c r="G25" i="60"/>
  <c r="L25" i="60" s="1"/>
  <c r="F39" i="75" s="1"/>
  <c r="H137" i="60"/>
  <c r="K137" i="60" s="1"/>
  <c r="AH98" i="60"/>
  <c r="F25" i="60"/>
  <c r="K25" i="60" s="1"/>
  <c r="AC154" i="60"/>
  <c r="AQ78" i="64"/>
  <c r="AI64" i="60"/>
  <c r="AL64" i="60" s="1"/>
  <c r="AM38" i="64"/>
  <c r="Y97" i="60"/>
  <c r="G97" i="60"/>
  <c r="F97" i="60"/>
  <c r="K97" i="60" s="1"/>
  <c r="BK82" i="64"/>
  <c r="I137" i="60"/>
  <c r="M17" i="60"/>
  <c r="F41" i="62" s="1"/>
  <c r="C9" i="62" s="1"/>
  <c r="J48" i="64"/>
  <c r="AA52" i="58"/>
  <c r="AI89" i="60"/>
  <c r="AL89" i="60" s="1"/>
  <c r="AO16" i="64"/>
  <c r="O66" i="60"/>
  <c r="AT29" i="64"/>
  <c r="AI83" i="60"/>
  <c r="G28" i="69"/>
  <c r="Y65" i="60"/>
  <c r="AH111" i="60"/>
  <c r="Y88" i="60"/>
  <c r="AN30" i="64"/>
  <c r="BJ30" i="64" s="1"/>
  <c r="AS65" i="64"/>
  <c r="AO35" i="64"/>
  <c r="AI43" i="60"/>
  <c r="L70" i="60"/>
  <c r="AI87" i="60"/>
  <c r="AL87" i="60" s="1"/>
  <c r="X157" i="60"/>
  <c r="AI164" i="60"/>
  <c r="AL164" i="60" s="1"/>
  <c r="AI137" i="60"/>
  <c r="AL137" i="60" s="1"/>
  <c r="AT80" i="64"/>
  <c r="AL73" i="60"/>
  <c r="AS39" i="64"/>
  <c r="AG98" i="60"/>
  <c r="AL98" i="60" s="1"/>
  <c r="AS62" i="64"/>
  <c r="AG113" i="60"/>
  <c r="AM67" i="64"/>
  <c r="AE59" i="58"/>
  <c r="AC95" i="60"/>
  <c r="AI50" i="60"/>
  <c r="AT55" i="64"/>
  <c r="J15" i="64"/>
  <c r="AS18" i="64"/>
  <c r="AG68" i="60"/>
  <c r="AL68" i="60" s="1"/>
  <c r="AH83" i="60"/>
  <c r="AT32" i="64"/>
  <c r="AI86" i="60"/>
  <c r="AR49" i="64"/>
  <c r="Z36" i="60"/>
  <c r="AI13" i="60"/>
  <c r="AT51" i="64"/>
  <c r="Y137" i="60"/>
  <c r="G137" i="60"/>
  <c r="AO19" i="64"/>
  <c r="O64" i="60"/>
  <c r="AN12" i="64"/>
  <c r="BJ12" i="64" s="1"/>
  <c r="AL74" i="60"/>
  <c r="AN74" i="64"/>
  <c r="AU77" i="64"/>
  <c r="K157" i="60"/>
  <c r="AH69" i="58"/>
  <c r="F139" i="60"/>
  <c r="K139" i="60" s="1"/>
  <c r="AM82" i="64"/>
  <c r="AJ69" i="60"/>
  <c r="AT23" i="64"/>
  <c r="AT26" i="64"/>
  <c r="AI75" i="60"/>
  <c r="AL75" i="60" s="1"/>
  <c r="AM37" i="64"/>
  <c r="BI37" i="64" s="1"/>
  <c r="AS44" i="64"/>
  <c r="AR47" i="64"/>
  <c r="Z34" i="60"/>
  <c r="AC34" i="60" s="1"/>
  <c r="AS57" i="64"/>
  <c r="I30" i="69" s="1"/>
  <c r="AS60" i="64"/>
  <c r="AG111" i="60"/>
  <c r="AI24" i="60"/>
  <c r="AL24" i="60" s="1"/>
  <c r="AA36" i="58"/>
  <c r="J32" i="64"/>
  <c r="AA68" i="58"/>
  <c r="J64" i="64"/>
  <c r="AL156" i="60"/>
  <c r="AT14" i="64"/>
  <c r="AI63" i="60"/>
  <c r="AL63" i="60" s="1"/>
  <c r="AL72" i="60"/>
  <c r="Y37" i="60"/>
  <c r="AT46" i="64"/>
  <c r="AI33" i="60"/>
  <c r="AO71" i="64"/>
  <c r="O145" i="60"/>
  <c r="Y174" i="60"/>
  <c r="G174" i="60"/>
  <c r="L174" i="60" s="1"/>
  <c r="AL146" i="60"/>
  <c r="AW17" i="64"/>
  <c r="AU17" i="64"/>
  <c r="R86" i="60"/>
  <c r="AP32" i="64"/>
  <c r="AQ35" i="64"/>
  <c r="X89" i="60"/>
  <c r="AS67" i="64"/>
  <c r="AG128" i="60"/>
  <c r="AT75" i="64"/>
  <c r="AI154" i="60"/>
  <c r="AL158" i="60"/>
  <c r="AC63" i="60"/>
  <c r="Y68" i="60"/>
  <c r="AD68" i="60" s="1"/>
  <c r="AC69" i="60"/>
  <c r="R83" i="60"/>
  <c r="AC96" i="60"/>
  <c r="AE80" i="58"/>
  <c r="AA22" i="58"/>
  <c r="Y86" i="60"/>
  <c r="AH166" i="60"/>
  <c r="AT22" i="64"/>
  <c r="AS43" i="64"/>
  <c r="AR61" i="64"/>
  <c r="P72" i="60"/>
  <c r="P96" i="60"/>
  <c r="J18" i="64"/>
  <c r="J44" i="64"/>
  <c r="R154" i="60"/>
  <c r="AA23" i="58"/>
  <c r="AU72" i="64"/>
  <c r="F39" i="69" s="1"/>
  <c r="AW72" i="64"/>
  <c r="H39" i="69" s="1"/>
  <c r="AO76" i="64"/>
  <c r="BI76" i="64" s="1"/>
  <c r="AH155" i="60"/>
  <c r="AM155" i="60" s="1"/>
  <c r="G64" i="60"/>
  <c r="L64" i="60" s="1"/>
  <c r="F64" i="60"/>
  <c r="AM19" i="64"/>
  <c r="BI19" i="64" s="1"/>
  <c r="Y64" i="60"/>
  <c r="AH64" i="60"/>
  <c r="AR13" i="64"/>
  <c r="AJ62" i="60"/>
  <c r="G58" i="60"/>
  <c r="Y58" i="60"/>
  <c r="Y85" i="60"/>
  <c r="O85" i="60"/>
  <c r="AT90" i="64"/>
  <c r="AI44" i="60"/>
  <c r="F16" i="60"/>
  <c r="K16" i="60" s="1"/>
  <c r="G16" i="60"/>
  <c r="L16" i="60" s="1"/>
  <c r="AM54" i="64"/>
  <c r="BI54" i="64" s="1"/>
  <c r="AH68" i="60"/>
  <c r="J77" i="64"/>
  <c r="AA81" i="58"/>
  <c r="Y60" i="60"/>
  <c r="AI145" i="60"/>
  <c r="AL145" i="60" s="1"/>
  <c r="AT71" i="64"/>
  <c r="X23" i="60"/>
  <c r="AC23" i="60" s="1"/>
  <c r="AQ93" i="64"/>
  <c r="Y23" i="60"/>
  <c r="AD23" i="60" s="1"/>
  <c r="AN10" i="64"/>
  <c r="I158" i="60"/>
  <c r="AH16" i="60"/>
  <c r="J30" i="64"/>
  <c r="AA34" i="58"/>
  <c r="J31" i="64"/>
  <c r="AA35" i="58"/>
  <c r="X31" i="60"/>
  <c r="AC31" i="60" s="1"/>
  <c r="AH31" i="60"/>
  <c r="Y31" i="60"/>
  <c r="AQ44" i="64"/>
  <c r="AQ64" i="64"/>
  <c r="X115" i="60"/>
  <c r="O24" i="60"/>
  <c r="Y24" i="60"/>
  <c r="P24" i="60"/>
  <c r="AO94" i="64"/>
  <c r="AA70" i="58"/>
  <c r="I174" i="60"/>
  <c r="J174" i="60" s="1"/>
  <c r="M174" i="60" s="1"/>
  <c r="M175" i="60" s="1"/>
  <c r="F59" i="62" s="1"/>
  <c r="C24" i="62" s="1"/>
  <c r="AC64" i="60"/>
  <c r="J69" i="60"/>
  <c r="M69" i="60" s="1"/>
  <c r="Z147" i="60"/>
  <c r="I58" i="60"/>
  <c r="J58" i="60" s="1"/>
  <c r="M58" i="60" s="1"/>
  <c r="H158" i="60"/>
  <c r="AU48" i="64"/>
  <c r="AW75" i="64"/>
  <c r="AU75" i="64"/>
  <c r="AG13" i="60"/>
  <c r="Y62" i="60"/>
  <c r="I76" i="60"/>
  <c r="J76" i="60" s="1"/>
  <c r="M76" i="60" s="1"/>
  <c r="AN27" i="64"/>
  <c r="H76" i="60"/>
  <c r="X138" i="60"/>
  <c r="AH138" i="60"/>
  <c r="AM138" i="60" s="1"/>
  <c r="Y138" i="60"/>
  <c r="AJ85" i="60"/>
  <c r="AN31" i="64"/>
  <c r="H85" i="60"/>
  <c r="AT40" i="64"/>
  <c r="AI99" i="60"/>
  <c r="AO42" i="64"/>
  <c r="O101" i="60"/>
  <c r="AN64" i="64"/>
  <c r="I115" i="60"/>
  <c r="J115" i="60" s="1"/>
  <c r="M115" i="60" s="1"/>
  <c r="AR68" i="64"/>
  <c r="Z129" i="60"/>
  <c r="AC136" i="60"/>
  <c r="P136" i="60"/>
  <c r="F136" i="60"/>
  <c r="Y136" i="60"/>
  <c r="G136" i="60"/>
  <c r="AH146" i="60"/>
  <c r="AM146" i="60" s="1"/>
  <c r="O146" i="60"/>
  <c r="P146" i="60" s="1"/>
  <c r="J59" i="60"/>
  <c r="M59" i="60" s="1"/>
  <c r="L59" i="60"/>
  <c r="AR34" i="64"/>
  <c r="Z88" i="60"/>
  <c r="J65" i="60"/>
  <c r="M65" i="60" s="1"/>
  <c r="Y155" i="60"/>
  <c r="AJ157" i="60"/>
  <c r="AM157" i="60" s="1"/>
  <c r="P89" i="60"/>
  <c r="L89" i="60"/>
  <c r="J21" i="64"/>
  <c r="AA25" i="58"/>
  <c r="AU11" i="64"/>
  <c r="AW11" i="64"/>
  <c r="AG76" i="60"/>
  <c r="AH76" i="60"/>
  <c r="AS27" i="64"/>
  <c r="Y16" i="60"/>
  <c r="J12" i="64"/>
  <c r="AA16" i="58"/>
  <c r="Y33" i="60"/>
  <c r="P33" i="60"/>
  <c r="F33" i="60"/>
  <c r="G33" i="60"/>
  <c r="L33" i="60" s="1"/>
  <c r="AM46" i="64"/>
  <c r="BI46" i="64" s="1"/>
  <c r="AW95" i="64"/>
  <c r="H48" i="69" s="1"/>
  <c r="AU95" i="64"/>
  <c r="F48" i="69" s="1"/>
  <c r="P73" i="60"/>
  <c r="H130" i="60"/>
  <c r="K130" i="60" s="1"/>
  <c r="I130" i="60"/>
  <c r="P16" i="60"/>
  <c r="AG62" i="60"/>
  <c r="J85" i="60"/>
  <c r="M85" i="60" s="1"/>
  <c r="H148" i="60"/>
  <c r="AE94" i="58"/>
  <c r="AA44" i="58"/>
  <c r="AN88" i="64"/>
  <c r="AN9" i="64"/>
  <c r="F12" i="69"/>
  <c r="Z62" i="60"/>
  <c r="AB62" i="60" s="1"/>
  <c r="AE62" i="60" s="1"/>
  <c r="AR20" i="64"/>
  <c r="AP24" i="64"/>
  <c r="AO28" i="64"/>
  <c r="Y77" i="60"/>
  <c r="AD77" i="60" s="1"/>
  <c r="O77" i="60"/>
  <c r="T77" i="60" s="1"/>
  <c r="Y101" i="60"/>
  <c r="AD101" i="60" s="1"/>
  <c r="F101" i="60"/>
  <c r="K101" i="60" s="1"/>
  <c r="AM42" i="64"/>
  <c r="BI42" i="64" s="1"/>
  <c r="G101" i="60"/>
  <c r="AU86" i="64"/>
  <c r="F43" i="69" s="1"/>
  <c r="AW86" i="64"/>
  <c r="AR78" i="64"/>
  <c r="Z157" i="60"/>
  <c r="O58" i="60"/>
  <c r="AO9" i="64"/>
  <c r="Y61" i="60"/>
  <c r="F61" i="60"/>
  <c r="AN24" i="64"/>
  <c r="H73" i="60"/>
  <c r="S73" i="60" s="1"/>
  <c r="V73" i="60" s="1"/>
  <c r="I73" i="60"/>
  <c r="J73" i="60" s="1"/>
  <c r="M73" i="60" s="1"/>
  <c r="AS15" i="64"/>
  <c r="AG65" i="60"/>
  <c r="AL65" i="60" s="1"/>
  <c r="AH65" i="60"/>
  <c r="J95" i="60"/>
  <c r="M95" i="60" s="1"/>
  <c r="L95" i="60"/>
  <c r="AH62" i="60"/>
  <c r="R164" i="60"/>
  <c r="AP83" i="64"/>
  <c r="AR88" i="64"/>
  <c r="Z174" i="60"/>
  <c r="AI14" i="60"/>
  <c r="AT52" i="64"/>
  <c r="AT81" i="64"/>
  <c r="AI138" i="60"/>
  <c r="AT87" i="64"/>
  <c r="AI173" i="60"/>
  <c r="AN94" i="64"/>
  <c r="H24" i="60"/>
  <c r="G138" i="60"/>
  <c r="L138" i="60" s="1"/>
  <c r="F138" i="60"/>
  <c r="AM81" i="64"/>
  <c r="AH59" i="58"/>
  <c r="AA59" i="58"/>
  <c r="AO31" i="64"/>
  <c r="BI31" i="64" s="1"/>
  <c r="AW9" i="64"/>
  <c r="AH58" i="60"/>
  <c r="P83" i="60"/>
  <c r="U83" i="60" s="1"/>
  <c r="AA31" i="60"/>
  <c r="AP44" i="64"/>
  <c r="Y22" i="60"/>
  <c r="AD22" i="60" s="1"/>
  <c r="P22" i="60"/>
  <c r="U22" i="60" s="1"/>
  <c r="AH165" i="60"/>
  <c r="AH13" i="60"/>
  <c r="I24" i="60"/>
  <c r="J24" i="60" s="1"/>
  <c r="M24" i="60" s="1"/>
  <c r="AR21" i="64"/>
  <c r="Z70" i="60"/>
  <c r="AU30" i="64"/>
  <c r="F14" i="69" s="1"/>
  <c r="AW30" i="64"/>
  <c r="H14" i="69" s="1"/>
  <c r="AO32" i="64"/>
  <c r="BI32" i="64" s="1"/>
  <c r="O86" i="60"/>
  <c r="P86" i="60" s="1"/>
  <c r="U86" i="60" s="1"/>
  <c r="AH86" i="60"/>
  <c r="AM86" i="60" s="1"/>
  <c r="O113" i="60"/>
  <c r="AO62" i="64"/>
  <c r="BI62" i="64" s="1"/>
  <c r="L14" i="60"/>
  <c r="AH61" i="60"/>
  <c r="F58" i="60"/>
  <c r="O155" i="60"/>
  <c r="T155" i="60" s="1"/>
  <c r="AH74" i="60"/>
  <c r="F74" i="60"/>
  <c r="AH22" i="60"/>
  <c r="AH24" i="60"/>
  <c r="K70" i="60"/>
  <c r="P70" i="60"/>
  <c r="AL157" i="60"/>
  <c r="AT78" i="64"/>
  <c r="AI157" i="60"/>
  <c r="AQ13" i="64"/>
  <c r="X62" i="60"/>
  <c r="Y73" i="60"/>
  <c r="O71" i="60"/>
  <c r="Y71" i="60"/>
  <c r="Y36" i="60"/>
  <c r="P36" i="60"/>
  <c r="AM49" i="64"/>
  <c r="BI49" i="64" s="1"/>
  <c r="F36" i="60"/>
  <c r="G36" i="60"/>
  <c r="L36" i="60" s="1"/>
  <c r="AO46" i="64"/>
  <c r="O33" i="60"/>
  <c r="AA33" i="58"/>
  <c r="AN17" i="64"/>
  <c r="BJ17" i="64" s="1"/>
  <c r="H67" i="60"/>
  <c r="AH85" i="60"/>
  <c r="AM9" i="64"/>
  <c r="BI9" i="64" s="1"/>
  <c r="AC130" i="60"/>
  <c r="AN56" i="64"/>
  <c r="I51" i="60"/>
  <c r="J51" i="60" s="1"/>
  <c r="M51" i="60" s="1"/>
  <c r="AT95" i="64"/>
  <c r="AI25" i="60"/>
  <c r="AL25" i="60" s="1"/>
  <c r="AH33" i="60"/>
  <c r="H59" i="60"/>
  <c r="AQ50" i="64"/>
  <c r="AQ55" i="64"/>
  <c r="X50" i="60"/>
  <c r="AH69" i="60"/>
  <c r="AM69" i="60" s="1"/>
  <c r="P76" i="60"/>
  <c r="K76" i="60"/>
  <c r="P156" i="60"/>
  <c r="K156" i="60"/>
  <c r="AH50" i="60"/>
  <c r="O69" i="60"/>
  <c r="P69" i="60" s="1"/>
  <c r="AA21" i="58"/>
  <c r="O22" i="60"/>
  <c r="T22" i="60" s="1"/>
  <c r="F15" i="60"/>
  <c r="P15" i="60"/>
  <c r="Y15" i="60"/>
  <c r="G15" i="60"/>
  <c r="L15" i="60" s="1"/>
  <c r="AM53" i="64"/>
  <c r="BI53" i="64" s="1"/>
  <c r="X122" i="60"/>
  <c r="H16" i="69"/>
  <c r="O68" i="60"/>
  <c r="AT13" i="64"/>
  <c r="AI62" i="60"/>
  <c r="AP12" i="64"/>
  <c r="G61" i="60"/>
  <c r="AH67" i="60"/>
  <c r="AO17" i="64"/>
  <c r="Y66" i="60"/>
  <c r="X66" i="60"/>
  <c r="AA75" i="60"/>
  <c r="AP26" i="64"/>
  <c r="BJ26" i="64" s="1"/>
  <c r="Q75" i="60"/>
  <c r="S75" i="60" s="1"/>
  <c r="V75" i="60" s="1"/>
  <c r="G88" i="60"/>
  <c r="AM34" i="64"/>
  <c r="BI34" i="64" s="1"/>
  <c r="F88" i="60"/>
  <c r="AT49" i="64"/>
  <c r="AI36" i="60"/>
  <c r="AL36" i="60" s="1"/>
  <c r="G44" i="69"/>
  <c r="G14" i="69"/>
  <c r="AL122" i="60"/>
  <c r="P95" i="60"/>
  <c r="AR54" i="64"/>
  <c r="Y50" i="60"/>
  <c r="Y99" i="60"/>
  <c r="O99" i="60"/>
  <c r="T99" i="60" s="1"/>
  <c r="AH99" i="60"/>
  <c r="AL37" i="60"/>
  <c r="AR58" i="64"/>
  <c r="Z109" i="60"/>
  <c r="AQ68" i="64"/>
  <c r="X129" i="60"/>
  <c r="Y165" i="60"/>
  <c r="AQ84" i="64"/>
  <c r="AH139" i="60"/>
  <c r="AG139" i="60"/>
  <c r="AL139" i="60" s="1"/>
  <c r="AU94" i="64"/>
  <c r="F47" i="69" s="1"/>
  <c r="AW94" i="64"/>
  <c r="H47" i="69" s="1"/>
  <c r="AW47" i="64"/>
  <c r="AU47" i="64"/>
  <c r="AO52" i="64"/>
  <c r="BI52" i="64" s="1"/>
  <c r="O14" i="60"/>
  <c r="P14" i="60"/>
  <c r="AQ77" i="64"/>
  <c r="Y156" i="60"/>
  <c r="AH156" i="60"/>
  <c r="G43" i="60"/>
  <c r="Y43" i="60"/>
  <c r="AH43" i="60"/>
  <c r="P43" i="60"/>
  <c r="Q74" i="60"/>
  <c r="AK74" i="60" s="1"/>
  <c r="AN74" i="60" s="1"/>
  <c r="AP25" i="64"/>
  <c r="Q101" i="60"/>
  <c r="S101" i="60" s="1"/>
  <c r="V101" i="60" s="1"/>
  <c r="AP42" i="64"/>
  <c r="AO60" i="64"/>
  <c r="O111" i="60"/>
  <c r="P111" i="60"/>
  <c r="AT67" i="64"/>
  <c r="AI128" i="60"/>
  <c r="F42" i="69"/>
  <c r="BK81" i="64"/>
  <c r="AM83" i="64"/>
  <c r="BI83" i="64" s="1"/>
  <c r="AH164" i="60"/>
  <c r="P164" i="60"/>
  <c r="F164" i="60"/>
  <c r="K164" i="60" s="1"/>
  <c r="AL97" i="60"/>
  <c r="AC25" i="60"/>
  <c r="AU45" i="64"/>
  <c r="AH121" i="60"/>
  <c r="X121" i="60"/>
  <c r="AH122" i="60"/>
  <c r="G44" i="60"/>
  <c r="P44" i="60"/>
  <c r="F44" i="60"/>
  <c r="J9" i="64"/>
  <c r="AA13" i="58"/>
  <c r="AQ26" i="64"/>
  <c r="AH75" i="60"/>
  <c r="X75" i="60"/>
  <c r="AS32" i="64"/>
  <c r="AG86" i="60"/>
  <c r="AG96" i="60"/>
  <c r="AS37" i="64"/>
  <c r="AE46" i="58"/>
  <c r="Y102" i="60"/>
  <c r="AH102" i="60"/>
  <c r="AM45" i="64"/>
  <c r="BI45" i="64" s="1"/>
  <c r="G32" i="60"/>
  <c r="L32" i="60" s="1"/>
  <c r="AH32" i="60"/>
  <c r="P113" i="60"/>
  <c r="H136" i="60"/>
  <c r="I136" i="60"/>
  <c r="J136" i="60" s="1"/>
  <c r="M136" i="60" s="1"/>
  <c r="G15" i="69"/>
  <c r="AH71" i="60"/>
  <c r="AH60" i="60"/>
  <c r="AL71" i="60"/>
  <c r="AL175" i="60"/>
  <c r="D59" i="74" s="1"/>
  <c r="D52" i="63"/>
  <c r="J53" i="64"/>
  <c r="AA57" i="58"/>
  <c r="AA72" i="60"/>
  <c r="AP23" i="64"/>
  <c r="AJ32" i="60"/>
  <c r="AP45" i="64"/>
  <c r="BJ45" i="64" s="1"/>
  <c r="AR65" i="64"/>
  <c r="Z121" i="60"/>
  <c r="G16" i="69"/>
  <c r="AB85" i="60"/>
  <c r="AE85" i="60" s="1"/>
  <c r="AS36" i="64"/>
  <c r="AG95" i="60"/>
  <c r="AI108" i="60"/>
  <c r="AL108" i="60" s="1"/>
  <c r="AT57" i="64"/>
  <c r="AS59" i="64"/>
  <c r="AG110" i="60"/>
  <c r="AL110" i="60" s="1"/>
  <c r="F172" i="60"/>
  <c r="G172" i="60"/>
  <c r="L172" i="60" s="1"/>
  <c r="AN90" i="64"/>
  <c r="H44" i="60"/>
  <c r="I44" i="60"/>
  <c r="J44" i="60" s="1"/>
  <c r="M44" i="60" s="1"/>
  <c r="M45" i="60" s="1"/>
  <c r="F44" i="62" s="1"/>
  <c r="C12" i="62" s="1"/>
  <c r="Y13" i="60"/>
  <c r="G121" i="60"/>
  <c r="Y121" i="60"/>
  <c r="AM71" i="64"/>
  <c r="BI71" i="64" s="1"/>
  <c r="G145" i="60"/>
  <c r="L145" i="60" s="1"/>
  <c r="F145" i="60"/>
  <c r="P145" i="60" s="1"/>
  <c r="AR72" i="64"/>
  <c r="AM73" i="64"/>
  <c r="AR74" i="64"/>
  <c r="AG52" i="60"/>
  <c r="AL52" i="60" s="1"/>
  <c r="AS91" i="64"/>
  <c r="AA29" i="58"/>
  <c r="G122" i="60"/>
  <c r="L122" i="60" s="1"/>
  <c r="Y122" i="60"/>
  <c r="Q70" i="60"/>
  <c r="T70" i="60" s="1"/>
  <c r="AP21" i="64"/>
  <c r="BJ21" i="64" s="1"/>
  <c r="AG99" i="60"/>
  <c r="AS40" i="64"/>
  <c r="I39" i="69"/>
  <c r="G13" i="69"/>
  <c r="F36" i="69"/>
  <c r="AA62" i="60"/>
  <c r="AH17" i="58"/>
  <c r="AE17" i="58"/>
  <c r="AA61" i="58"/>
  <c r="R85" i="60"/>
  <c r="AM139" i="60"/>
  <c r="AE70" i="58"/>
  <c r="AP29" i="64"/>
  <c r="BJ29" i="64" s="1"/>
  <c r="AJ24" i="60"/>
  <c r="AJ77" i="60"/>
  <c r="AM77" i="60" s="1"/>
  <c r="AJ99" i="60"/>
  <c r="R113" i="60"/>
  <c r="R158" i="60"/>
  <c r="AH110" i="60"/>
  <c r="Y111" i="60"/>
  <c r="AA156" i="60"/>
  <c r="AD156" i="60" s="1"/>
  <c r="AA98" i="60"/>
  <c r="AS58" i="64"/>
  <c r="AO59" i="64"/>
  <c r="P112" i="60"/>
  <c r="AP56" i="64"/>
  <c r="R67" i="60"/>
  <c r="AJ76" i="60"/>
  <c r="Y108" i="60"/>
  <c r="AH109" i="60"/>
  <c r="AH145" i="60"/>
  <c r="AM145" i="60" s="1"/>
  <c r="Q139" i="60"/>
  <c r="T139" i="60" s="1"/>
  <c r="R139" i="60"/>
  <c r="U139" i="60" s="1"/>
  <c r="O100" i="60"/>
  <c r="P100" i="60" s="1"/>
  <c r="AO41" i="64"/>
  <c r="H36" i="69"/>
  <c r="G36" i="69"/>
  <c r="G35" i="69"/>
  <c r="AH53" i="58"/>
  <c r="AE42" i="58"/>
  <c r="G23" i="69"/>
  <c r="AE73" i="58"/>
  <c r="G43" i="69"/>
  <c r="AE41" i="58"/>
  <c r="AE37" i="58"/>
  <c r="AH95" i="58"/>
  <c r="AH79" i="58"/>
  <c r="G41" i="69"/>
  <c r="AH83" i="58"/>
  <c r="H13" i="69"/>
  <c r="G10" i="69"/>
  <c r="AE26" i="58"/>
  <c r="AE19" i="58"/>
  <c r="AE30" i="58"/>
  <c r="AH23" i="58"/>
  <c r="AE23" i="58"/>
  <c r="AE14" i="58"/>
  <c r="AH19" i="58"/>
  <c r="G12" i="69"/>
  <c r="R92" i="58"/>
  <c r="AJ174" i="60" s="1"/>
  <c r="AM174" i="60" s="1"/>
  <c r="R91" i="58"/>
  <c r="R173" i="60" s="1"/>
  <c r="BB17" i="55"/>
  <c r="R90" i="58"/>
  <c r="AJ172" i="60" s="1"/>
  <c r="AM172" i="60" s="1"/>
  <c r="AX18" i="54"/>
  <c r="BF18" i="54" s="1"/>
  <c r="BD18" i="46"/>
  <c r="AD95" i="58" s="1"/>
  <c r="R95" i="58"/>
  <c r="Q52" i="60" s="1"/>
  <c r="S52" i="60" s="1"/>
  <c r="V52" i="60" s="1"/>
  <c r="N111" i="60"/>
  <c r="W111" i="60" s="1"/>
  <c r="AF111" i="60" s="1"/>
  <c r="M111" i="60"/>
  <c r="N114" i="60"/>
  <c r="W114" i="60" s="1"/>
  <c r="AF114" i="60" s="1"/>
  <c r="AL109" i="60"/>
  <c r="N109" i="60"/>
  <c r="W109" i="60" s="1"/>
  <c r="AF109" i="60" s="1"/>
  <c r="M109" i="60"/>
  <c r="AC108" i="60"/>
  <c r="AW59" i="64"/>
  <c r="H32" i="69" s="1"/>
  <c r="H112" i="60"/>
  <c r="I112" i="60"/>
  <c r="AW58" i="64"/>
  <c r="H31" i="69" s="1"/>
  <c r="AN59" i="64"/>
  <c r="BJ59" i="64" s="1"/>
  <c r="BL59" i="64" s="1"/>
  <c r="AC115" i="60"/>
  <c r="BH17" i="47"/>
  <c r="AG62" i="58" s="1"/>
  <c r="AH62" i="58" s="1"/>
  <c r="G108" i="60"/>
  <c r="Y113" i="60"/>
  <c r="AJ112" i="60"/>
  <c r="AV64" i="64"/>
  <c r="G34" i="69" s="1"/>
  <c r="AH115" i="60"/>
  <c r="F113" i="60"/>
  <c r="K113" i="60" s="1"/>
  <c r="F108" i="60"/>
  <c r="AR57" i="64"/>
  <c r="AQ60" i="64"/>
  <c r="AJ111" i="60"/>
  <c r="AM111" i="60" s="1"/>
  <c r="AW64" i="64"/>
  <c r="H34" i="69" s="1"/>
  <c r="H110" i="60"/>
  <c r="AH66" i="58"/>
  <c r="Y114" i="60"/>
  <c r="AA113" i="60"/>
  <c r="AN57" i="64"/>
  <c r="G114" i="60"/>
  <c r="AI112" i="60"/>
  <c r="AL112" i="60" s="1"/>
  <c r="Z113" i="60"/>
  <c r="AA65" i="58"/>
  <c r="H109" i="60"/>
  <c r="K109" i="60" s="1"/>
  <c r="X112" i="60"/>
  <c r="AC112" i="60" s="1"/>
  <c r="BH16" i="47"/>
  <c r="AG61" i="58" s="1"/>
  <c r="AH61" i="58" s="1"/>
  <c r="G113" i="60"/>
  <c r="I108" i="60"/>
  <c r="J108" i="60" s="1"/>
  <c r="M108" i="60" s="1"/>
  <c r="BG16" i="47"/>
  <c r="AW57" i="64"/>
  <c r="H30" i="69" s="1"/>
  <c r="AN58" i="64"/>
  <c r="AH113" i="60"/>
  <c r="Z111" i="60"/>
  <c r="AC111" i="60" s="1"/>
  <c r="G110" i="60"/>
  <c r="L110" i="60" s="1"/>
  <c r="Y110" i="60"/>
  <c r="AQ62" i="64"/>
  <c r="O114" i="60"/>
  <c r="T114" i="60" s="1"/>
  <c r="AS61" i="64"/>
  <c r="AX19" i="52"/>
  <c r="BF19" i="52" s="1"/>
  <c r="AZ19" i="52"/>
  <c r="BD19" i="52" s="1"/>
  <c r="AD78" i="58" s="1"/>
  <c r="AE78" i="58" s="1"/>
  <c r="Q146" i="60"/>
  <c r="AP72" i="64"/>
  <c r="BJ72" i="64" s="1"/>
  <c r="BL72" i="64" s="1"/>
  <c r="AA146" i="60"/>
  <c r="BG17" i="52"/>
  <c r="AP81" i="64"/>
  <c r="BG18" i="50"/>
  <c r="Q138" i="60"/>
  <c r="AA138" i="60"/>
  <c r="BJ80" i="64"/>
  <c r="BL80" i="64" s="1"/>
  <c r="G42" i="69"/>
  <c r="AA84" i="58"/>
  <c r="AW80" i="64"/>
  <c r="H42" i="69" s="1"/>
  <c r="AA137" i="60"/>
  <c r="AP80" i="64"/>
  <c r="Q137" i="60"/>
  <c r="R137" i="60"/>
  <c r="AX16" i="50"/>
  <c r="AZ16" i="50"/>
  <c r="R130" i="60"/>
  <c r="AA130" i="60"/>
  <c r="BH18" i="51"/>
  <c r="AG73" i="58" s="1"/>
  <c r="AH73" i="58" s="1"/>
  <c r="BF18" i="51"/>
  <c r="AJ122" i="60"/>
  <c r="Q122" i="60"/>
  <c r="T122" i="60" s="1"/>
  <c r="AP66" i="64"/>
  <c r="BJ66" i="64" s="1"/>
  <c r="BL66" i="64" s="1"/>
  <c r="AA121" i="60"/>
  <c r="AP65" i="64"/>
  <c r="R121" i="60"/>
  <c r="BD16" i="48"/>
  <c r="AD69" i="58" s="1"/>
  <c r="AE69" i="58" s="1"/>
  <c r="R75" i="60"/>
  <c r="AA71" i="60"/>
  <c r="R71" i="60"/>
  <c r="Q71" i="60"/>
  <c r="AK71" i="60" s="1"/>
  <c r="AN71" i="60" s="1"/>
  <c r="AJ71" i="60"/>
  <c r="Q69" i="60"/>
  <c r="Q67" i="60"/>
  <c r="AY25" i="41"/>
  <c r="BC25" i="41" s="1"/>
  <c r="AZ25" i="41"/>
  <c r="R20" i="58"/>
  <c r="AP13" i="64"/>
  <c r="BD19" i="41"/>
  <c r="AD16" i="58" s="1"/>
  <c r="AE16" i="58" s="1"/>
  <c r="BH19" i="41"/>
  <c r="AG16" i="58" s="1"/>
  <c r="AH16" i="58" s="1"/>
  <c r="BG19" i="41"/>
  <c r="Q61" i="60"/>
  <c r="AA61" i="60"/>
  <c r="R15" i="58"/>
  <c r="R60" i="60" s="1"/>
  <c r="AX17" i="41"/>
  <c r="BF17" i="41" s="1"/>
  <c r="R68" i="58"/>
  <c r="AA115" i="60" s="1"/>
  <c r="AW63" i="64"/>
  <c r="AU63" i="64"/>
  <c r="AS63" i="64"/>
  <c r="AG114" i="60"/>
  <c r="AL114" i="60" s="1"/>
  <c r="AH114" i="60"/>
  <c r="BB21" i="47"/>
  <c r="BF21" i="47"/>
  <c r="Q113" i="60"/>
  <c r="AY21" i="47"/>
  <c r="AJ113" i="60"/>
  <c r="AY20" i="47"/>
  <c r="BA20" i="47"/>
  <c r="BA24" i="47" s="1"/>
  <c r="W65" i="58"/>
  <c r="AH112" i="60"/>
  <c r="BC20" i="47"/>
  <c r="BG18" i="47"/>
  <c r="BG17" i="47"/>
  <c r="R39" i="58"/>
  <c r="AJ89" i="60" s="1"/>
  <c r="AY21" i="42"/>
  <c r="BC21" i="42" s="1"/>
  <c r="AZ21" i="42"/>
  <c r="AA86" i="60"/>
  <c r="BG19" i="42"/>
  <c r="AZ18" i="42"/>
  <c r="AX18" i="42"/>
  <c r="BF18" i="42" s="1"/>
  <c r="AA85" i="60"/>
  <c r="AZ17" i="42"/>
  <c r="BD17" i="42" s="1"/>
  <c r="AD34" i="58" s="1"/>
  <c r="AA84" i="60"/>
  <c r="Q83" i="60"/>
  <c r="T83" i="60" s="1"/>
  <c r="AZ23" i="43"/>
  <c r="AY23" i="43"/>
  <c r="BC23" i="43" s="1"/>
  <c r="R47" i="58"/>
  <c r="AA102" i="60" s="1"/>
  <c r="R101" i="60"/>
  <c r="AY22" i="43"/>
  <c r="AX22" i="43"/>
  <c r="AY20" i="43"/>
  <c r="BC20" i="43" s="1"/>
  <c r="Q99" i="60"/>
  <c r="BC19" i="43"/>
  <c r="AA154" i="60"/>
  <c r="Y34" i="60"/>
  <c r="AH34" i="60"/>
  <c r="G34" i="60"/>
  <c r="L34" i="60" s="1"/>
  <c r="F34" i="60"/>
  <c r="K34" i="60" s="1"/>
  <c r="P34" i="60"/>
  <c r="AZ22" i="44"/>
  <c r="BD22" i="44" s="1"/>
  <c r="AD54" i="58" s="1"/>
  <c r="AE54" i="58" s="1"/>
  <c r="Q36" i="60"/>
  <c r="AB36" i="60" s="1"/>
  <c r="AE36" i="60" s="1"/>
  <c r="AA36" i="60"/>
  <c r="AP49" i="64"/>
  <c r="AX20" i="44"/>
  <c r="BB20" i="44" s="1"/>
  <c r="AY20" i="44"/>
  <c r="AZ20" i="44"/>
  <c r="BD20" i="44" s="1"/>
  <c r="AD52" i="58" s="1"/>
  <c r="AE52" i="58" s="1"/>
  <c r="AZ18" i="44"/>
  <c r="AY18" i="44"/>
  <c r="AX18" i="44"/>
  <c r="AZ16" i="44"/>
  <c r="AY19" i="45"/>
  <c r="BG19" i="45" s="1"/>
  <c r="BG18" i="45"/>
  <c r="BC18" i="45"/>
  <c r="AA24" i="60"/>
  <c r="AZ18" i="45"/>
  <c r="BH18" i="45" s="1"/>
  <c r="AG98" i="58" s="1"/>
  <c r="AH98" i="58" s="1"/>
  <c r="R24" i="60"/>
  <c r="Q24" i="60"/>
  <c r="AP93" i="64"/>
  <c r="BJ93" i="64" s="1"/>
  <c r="AJ22" i="60"/>
  <c r="R22" i="60"/>
  <c r="Q22" i="60"/>
  <c r="AP92" i="64"/>
  <c r="BF16" i="45"/>
  <c r="AX19" i="37"/>
  <c r="R13" i="60"/>
  <c r="BD16" i="37"/>
  <c r="AD55" i="58" s="1"/>
  <c r="BG16" i="37"/>
  <c r="AA13" i="60"/>
  <c r="Q13" i="60"/>
  <c r="AP51" i="64"/>
  <c r="BJ51" i="64" s="1"/>
  <c r="BL51" i="64" s="1"/>
  <c r="L144" i="60"/>
  <c r="L153" i="60"/>
  <c r="L135" i="60"/>
  <c r="L12" i="60"/>
  <c r="E39" i="62" s="1"/>
  <c r="L120" i="60"/>
  <c r="L163" i="60"/>
  <c r="L94" i="60"/>
  <c r="L127" i="60"/>
  <c r="L57" i="60"/>
  <c r="L82" i="60"/>
  <c r="L42" i="60"/>
  <c r="L107" i="60"/>
  <c r="L49" i="60"/>
  <c r="L30" i="60"/>
  <c r="AB122" i="60"/>
  <c r="AE122" i="60" s="1"/>
  <c r="G33" i="69"/>
  <c r="C5" i="67"/>
  <c r="BM68" i="64"/>
  <c r="J20" i="69"/>
  <c r="BF18" i="37"/>
  <c r="BB18" i="37"/>
  <c r="AZ18" i="37"/>
  <c r="R57" i="58"/>
  <c r="AY18" i="37"/>
  <c r="BC19" i="37"/>
  <c r="BG19" i="37"/>
  <c r="R58" i="58"/>
  <c r="AZ19" i="37"/>
  <c r="AX17" i="37"/>
  <c r="Q14" i="60"/>
  <c r="AP52" i="64"/>
  <c r="AJ14" i="60"/>
  <c r="AM14" i="60" s="1"/>
  <c r="R14" i="60"/>
  <c r="AA14" i="60"/>
  <c r="AD14" i="60" s="1"/>
  <c r="AZ17" i="37"/>
  <c r="AY17" i="37"/>
  <c r="BG17" i="55"/>
  <c r="BC17" i="55"/>
  <c r="BD17" i="55"/>
  <c r="AD91" i="58" s="1"/>
  <c r="AZ16" i="55"/>
  <c r="BB16" i="55"/>
  <c r="BF16" i="55"/>
  <c r="AY16" i="55"/>
  <c r="R172" i="60"/>
  <c r="AX18" i="55"/>
  <c r="BF18" i="55" s="1"/>
  <c r="BG18" i="55"/>
  <c r="BC18" i="55"/>
  <c r="AZ18" i="55"/>
  <c r="BB18" i="55"/>
  <c r="AJ52" i="60"/>
  <c r="BC18" i="46"/>
  <c r="BF18" i="46"/>
  <c r="AY17" i="46"/>
  <c r="AX17" i="46"/>
  <c r="BH17" i="46"/>
  <c r="AG60" i="58" s="1"/>
  <c r="BD17" i="46"/>
  <c r="S51" i="60"/>
  <c r="V51" i="60" s="1"/>
  <c r="AJ51" i="60"/>
  <c r="R51" i="60"/>
  <c r="AA51" i="60"/>
  <c r="Q50" i="60"/>
  <c r="AP55" i="64"/>
  <c r="BG20" i="53"/>
  <c r="R156" i="60"/>
  <c r="BB20" i="53"/>
  <c r="AJ156" i="60"/>
  <c r="AP78" i="64"/>
  <c r="BJ78" i="64" s="1"/>
  <c r="BL78" i="64" s="1"/>
  <c r="S156" i="60"/>
  <c r="V156" i="60" s="1"/>
  <c r="BC16" i="53"/>
  <c r="BC21" i="53" s="1"/>
  <c r="R157" i="60"/>
  <c r="BD18" i="53"/>
  <c r="AD81" i="58" s="1"/>
  <c r="AE81" i="58" s="1"/>
  <c r="AJ158" i="60"/>
  <c r="AM158" i="60" s="1"/>
  <c r="BF19" i="53"/>
  <c r="BH19" i="53"/>
  <c r="AG82" i="58" s="1"/>
  <c r="AH82" i="58" s="1"/>
  <c r="AA157" i="60"/>
  <c r="BB18" i="53"/>
  <c r="BB21" i="53" s="1"/>
  <c r="BD20" i="53"/>
  <c r="AD83" i="58" s="1"/>
  <c r="AE83" i="58" s="1"/>
  <c r="Q157" i="60"/>
  <c r="R155" i="60"/>
  <c r="AA158" i="60"/>
  <c r="R78" i="58"/>
  <c r="BC19" i="52"/>
  <c r="BG19" i="52"/>
  <c r="BB19" i="52"/>
  <c r="BH19" i="52"/>
  <c r="AG78" i="58" s="1"/>
  <c r="BH18" i="52"/>
  <c r="AG77" i="58" s="1"/>
  <c r="AH77" i="58" s="1"/>
  <c r="BD18" i="52"/>
  <c r="AD77" i="58" s="1"/>
  <c r="AE77" i="58" s="1"/>
  <c r="AA147" i="60"/>
  <c r="AD147" i="60" s="1"/>
  <c r="AJ147" i="60"/>
  <c r="AM147" i="60" s="1"/>
  <c r="AY18" i="52"/>
  <c r="AX18" i="52"/>
  <c r="Q147" i="60"/>
  <c r="R147" i="60"/>
  <c r="U147" i="60" s="1"/>
  <c r="J145" i="60"/>
  <c r="M145" i="60" s="1"/>
  <c r="H145" i="60"/>
  <c r="BE16" i="52"/>
  <c r="Q145" i="60"/>
  <c r="S145" i="60" s="1"/>
  <c r="V145" i="60" s="1"/>
  <c r="AP71" i="64"/>
  <c r="AA145" i="60"/>
  <c r="AD145" i="60" s="1"/>
  <c r="AY16" i="52"/>
  <c r="R145" i="60"/>
  <c r="W75" i="58"/>
  <c r="AU71" i="64" s="1"/>
  <c r="F38" i="69" s="1"/>
  <c r="AK145" i="60"/>
  <c r="AN145" i="60" s="1"/>
  <c r="BF16" i="52"/>
  <c r="BH16" i="52"/>
  <c r="AG75" i="58" s="1"/>
  <c r="BB17" i="52"/>
  <c r="R146" i="60"/>
  <c r="BD19" i="50"/>
  <c r="AD86" i="58" s="1"/>
  <c r="AE86" i="58" s="1"/>
  <c r="AK139" i="60"/>
  <c r="AN139" i="60" s="1"/>
  <c r="BB19" i="50"/>
  <c r="BH19" i="50"/>
  <c r="AG86" i="58" s="1"/>
  <c r="AH86" i="58" s="1"/>
  <c r="BH18" i="50"/>
  <c r="AG85" i="58" s="1"/>
  <c r="AH85" i="58" s="1"/>
  <c r="AK138" i="60"/>
  <c r="AN138" i="60" s="1"/>
  <c r="BD18" i="50"/>
  <c r="AD85" i="58" s="1"/>
  <c r="AE85" i="58" s="1"/>
  <c r="AP70" i="64"/>
  <c r="BJ70" i="64" s="1"/>
  <c r="BL70" i="64" s="1"/>
  <c r="AA136" i="60"/>
  <c r="Q136" i="60"/>
  <c r="AJ136" i="60"/>
  <c r="R136" i="60"/>
  <c r="BC16" i="50"/>
  <c r="BC20" i="50" s="1"/>
  <c r="S122" i="60"/>
  <c r="V122" i="60" s="1"/>
  <c r="BH17" i="48"/>
  <c r="AG70" i="58" s="1"/>
  <c r="AH70" i="58" s="1"/>
  <c r="AA122" i="60"/>
  <c r="BC18" i="48"/>
  <c r="R122" i="60"/>
  <c r="BB16" i="48"/>
  <c r="BB18" i="48" s="1"/>
  <c r="AJ121" i="60"/>
  <c r="Q121" i="60"/>
  <c r="BD23" i="47"/>
  <c r="AD68" i="58" s="1"/>
  <c r="BH23" i="47"/>
  <c r="AG68" i="58" s="1"/>
  <c r="AY23" i="47"/>
  <c r="AX23" i="47"/>
  <c r="AJ114" i="60"/>
  <c r="AA114" i="60"/>
  <c r="R114" i="60"/>
  <c r="AP63" i="64"/>
  <c r="BF22" i="47"/>
  <c r="BB22" i="47"/>
  <c r="AZ22" i="47"/>
  <c r="BD21" i="47"/>
  <c r="AD66" i="58" s="1"/>
  <c r="AX20" i="47"/>
  <c r="BH20" i="47"/>
  <c r="AG65" i="58" s="1"/>
  <c r="BD20" i="47"/>
  <c r="AD65" i="58" s="1"/>
  <c r="AA112" i="60"/>
  <c r="R112" i="60"/>
  <c r="Q112" i="60"/>
  <c r="BG20" i="47"/>
  <c r="AZ19" i="47"/>
  <c r="BD19" i="47" s="1"/>
  <c r="AD64" i="58" s="1"/>
  <c r="AE64" i="58" s="1"/>
  <c r="AX19" i="47"/>
  <c r="BG19" i="47"/>
  <c r="BC19" i="47"/>
  <c r="Q111" i="60"/>
  <c r="AA111" i="60"/>
  <c r="R111" i="60"/>
  <c r="AJ110" i="60"/>
  <c r="AP59" i="64"/>
  <c r="Q110" i="60"/>
  <c r="T110" i="60" s="1"/>
  <c r="BD18" i="47"/>
  <c r="AD63" i="58" s="1"/>
  <c r="R110" i="60"/>
  <c r="AA110" i="60"/>
  <c r="AP58" i="64"/>
  <c r="Q109" i="60"/>
  <c r="AJ109" i="60"/>
  <c r="AA109" i="60"/>
  <c r="AD109" i="60" s="1"/>
  <c r="R109" i="60"/>
  <c r="AD62" i="58"/>
  <c r="AP57" i="64"/>
  <c r="AA108" i="60"/>
  <c r="Q108" i="60"/>
  <c r="R108" i="60"/>
  <c r="AJ108" i="60"/>
  <c r="AJ44" i="60"/>
  <c r="AA44" i="60"/>
  <c r="AP90" i="64"/>
  <c r="R44" i="60"/>
  <c r="Q44" i="60"/>
  <c r="BB17" i="56"/>
  <c r="BC17" i="56"/>
  <c r="BH17" i="56"/>
  <c r="AG94" i="58" s="1"/>
  <c r="AH94" i="58" s="1"/>
  <c r="AD93" i="58"/>
  <c r="AE93" i="58" s="1"/>
  <c r="BD18" i="56"/>
  <c r="AA43" i="60"/>
  <c r="Q43" i="60"/>
  <c r="AP89" i="64"/>
  <c r="R43" i="60"/>
  <c r="AJ43" i="60"/>
  <c r="BB16" i="56"/>
  <c r="BB18" i="56" s="1"/>
  <c r="BC16" i="56"/>
  <c r="BC18" i="56" s="1"/>
  <c r="BH16" i="56"/>
  <c r="AG93" i="58" s="1"/>
  <c r="AH93" i="58" s="1"/>
  <c r="Q37" i="60"/>
  <c r="T37" i="60" s="1"/>
  <c r="AJ37" i="60"/>
  <c r="AM37" i="60" s="1"/>
  <c r="AA37" i="60"/>
  <c r="R37" i="60"/>
  <c r="AP50" i="64"/>
  <c r="BJ50" i="64" s="1"/>
  <c r="BG22" i="44"/>
  <c r="R36" i="60"/>
  <c r="AJ36" i="60"/>
  <c r="Q32" i="60"/>
  <c r="S32" i="60" s="1"/>
  <c r="V32" i="60" s="1"/>
  <c r="AA32" i="60"/>
  <c r="AD32" i="60" s="1"/>
  <c r="BH22" i="44"/>
  <c r="AG54" i="58" s="1"/>
  <c r="BF22" i="44"/>
  <c r="BF21" i="44"/>
  <c r="AA35" i="60"/>
  <c r="AD35" i="60" s="1"/>
  <c r="Q35" i="60"/>
  <c r="R35" i="60"/>
  <c r="U35" i="60" s="1"/>
  <c r="AP48" i="64"/>
  <c r="AJ35" i="60"/>
  <c r="BF20" i="44"/>
  <c r="BG19" i="44"/>
  <c r="BC19" i="44"/>
  <c r="AX19" i="44"/>
  <c r="R51" i="58"/>
  <c r="AZ19" i="44"/>
  <c r="AJ33" i="60"/>
  <c r="AA33" i="60"/>
  <c r="R33" i="60"/>
  <c r="AP46" i="64"/>
  <c r="Q33" i="60"/>
  <c r="BB17" i="44"/>
  <c r="BF17" i="44"/>
  <c r="AZ17" i="44"/>
  <c r="R32" i="60"/>
  <c r="BG16" i="44"/>
  <c r="BC16" i="44"/>
  <c r="AX16" i="44"/>
  <c r="Q31" i="60"/>
  <c r="AJ31" i="60"/>
  <c r="R31" i="60"/>
  <c r="U31" i="60" s="1"/>
  <c r="BH19" i="45"/>
  <c r="AG99" i="58" s="1"/>
  <c r="AH99" i="58" s="1"/>
  <c r="AP95" i="64"/>
  <c r="Q25" i="60"/>
  <c r="AJ25" i="60"/>
  <c r="AM25" i="60" s="1"/>
  <c r="AA25" i="60"/>
  <c r="R25" i="60"/>
  <c r="BB19" i="45"/>
  <c r="BC19" i="45"/>
  <c r="BD18" i="45"/>
  <c r="AD98" i="58" s="1"/>
  <c r="BF18" i="45"/>
  <c r="BB17" i="45"/>
  <c r="BF17" i="45"/>
  <c r="R23" i="60"/>
  <c r="AJ23" i="60"/>
  <c r="AA23" i="60"/>
  <c r="AY17" i="45"/>
  <c r="AZ17" i="45"/>
  <c r="BG16" i="45"/>
  <c r="AD96" i="58"/>
  <c r="AA22" i="60"/>
  <c r="BG18" i="51"/>
  <c r="Q130" i="60"/>
  <c r="AJ130" i="60"/>
  <c r="AM130" i="60" s="1"/>
  <c r="AP69" i="64"/>
  <c r="BJ69" i="64" s="1"/>
  <c r="BL69" i="64" s="1"/>
  <c r="AY17" i="51"/>
  <c r="BC17" i="51" s="1"/>
  <c r="BD17" i="51"/>
  <c r="AD72" i="58" s="1"/>
  <c r="AE72" i="58" s="1"/>
  <c r="BH17" i="51"/>
  <c r="AG72" i="58" s="1"/>
  <c r="AH72" i="58" s="1"/>
  <c r="AJ129" i="60"/>
  <c r="AM129" i="60" s="1"/>
  <c r="AX17" i="51"/>
  <c r="Q129" i="60"/>
  <c r="R129" i="60"/>
  <c r="U129" i="60" s="1"/>
  <c r="AA129" i="60"/>
  <c r="AD129" i="60" s="1"/>
  <c r="R128" i="60"/>
  <c r="AJ128" i="60"/>
  <c r="AM128" i="60" s="1"/>
  <c r="AP67" i="64"/>
  <c r="Q128" i="60"/>
  <c r="BD16" i="51"/>
  <c r="BH16" i="51"/>
  <c r="AG71" i="58" s="1"/>
  <c r="AH71" i="58" s="1"/>
  <c r="AA128" i="60"/>
  <c r="AY16" i="51"/>
  <c r="AX16" i="51"/>
  <c r="R166" i="60"/>
  <c r="AP85" i="64"/>
  <c r="BJ85" i="64" s="1"/>
  <c r="Q166" i="60"/>
  <c r="AJ166" i="60"/>
  <c r="AA166" i="60"/>
  <c r="AY18" i="54"/>
  <c r="BB18" i="54"/>
  <c r="AZ18" i="54"/>
  <c r="R165" i="60"/>
  <c r="BC17" i="54"/>
  <c r="BG17" i="54"/>
  <c r="AZ17" i="54"/>
  <c r="AJ165" i="60"/>
  <c r="AA165" i="60"/>
  <c r="BF17" i="54"/>
  <c r="AA164" i="60"/>
  <c r="BC16" i="54"/>
  <c r="BG16" i="54"/>
  <c r="BB16" i="54"/>
  <c r="AZ16" i="54"/>
  <c r="AJ164" i="60"/>
  <c r="Q164" i="60"/>
  <c r="BF23" i="43"/>
  <c r="BB23" i="43"/>
  <c r="BG23" i="43"/>
  <c r="BH22" i="43"/>
  <c r="AG46" i="58" s="1"/>
  <c r="AH46" i="58" s="1"/>
  <c r="AN41" i="64"/>
  <c r="AV21" i="43"/>
  <c r="W45" i="58" s="1"/>
  <c r="AU41" i="64" s="1"/>
  <c r="AS41" i="64"/>
  <c r="AG100" i="60"/>
  <c r="AL100" i="60" s="1"/>
  <c r="BE21" i="43"/>
  <c r="BA21" i="43"/>
  <c r="N100" i="60"/>
  <c r="W100" i="60" s="1"/>
  <c r="AF100" i="60" s="1"/>
  <c r="AT41" i="64"/>
  <c r="AI100" i="60"/>
  <c r="Z100" i="60"/>
  <c r="AR41" i="64"/>
  <c r="AM41" i="64"/>
  <c r="BI41" i="64" s="1"/>
  <c r="H100" i="60"/>
  <c r="AH100" i="60"/>
  <c r="AM100" i="60" s="1"/>
  <c r="Y100" i="60"/>
  <c r="AD100" i="60" s="1"/>
  <c r="F100" i="60"/>
  <c r="X100" i="60"/>
  <c r="AY21" i="43"/>
  <c r="R100" i="60"/>
  <c r="AP41" i="64"/>
  <c r="AA100" i="60"/>
  <c r="AJ100" i="60"/>
  <c r="Q100" i="60"/>
  <c r="AZ21" i="43"/>
  <c r="AX21" i="43"/>
  <c r="X45" i="58" s="1"/>
  <c r="AA99" i="60"/>
  <c r="BB20" i="43"/>
  <c r="BF20" i="43"/>
  <c r="BG20" i="43"/>
  <c r="AZ20" i="43"/>
  <c r="R99" i="60"/>
  <c r="BF18" i="43"/>
  <c r="AA97" i="60"/>
  <c r="AP38" i="64"/>
  <c r="R97" i="60"/>
  <c r="AJ97" i="60"/>
  <c r="Q97" i="60"/>
  <c r="BH18" i="43"/>
  <c r="AG42" i="58" s="1"/>
  <c r="AJ98" i="60"/>
  <c r="R98" i="60"/>
  <c r="Q98" i="60"/>
  <c r="S98" i="60" s="1"/>
  <c r="V98" i="60" s="1"/>
  <c r="BH19" i="43"/>
  <c r="AG43" i="58" s="1"/>
  <c r="AH43" i="58" s="1"/>
  <c r="BF17" i="43"/>
  <c r="BH17" i="43"/>
  <c r="AG41" i="58" s="1"/>
  <c r="AH41" i="58" s="1"/>
  <c r="AJ96" i="60"/>
  <c r="AM96" i="60" s="1"/>
  <c r="AP37" i="64"/>
  <c r="BJ37" i="64" s="1"/>
  <c r="BL37" i="64" s="1"/>
  <c r="R96" i="60"/>
  <c r="Q96" i="60"/>
  <c r="AA96" i="60"/>
  <c r="AP36" i="64"/>
  <c r="BJ36" i="64" s="1"/>
  <c r="Q95" i="60"/>
  <c r="AA95" i="60"/>
  <c r="AJ95" i="60"/>
  <c r="R95" i="60"/>
  <c r="AX16" i="43"/>
  <c r="AZ16" i="43"/>
  <c r="AY16" i="43"/>
  <c r="AY35" i="41"/>
  <c r="R77" i="60"/>
  <c r="BD35" i="41"/>
  <c r="AD32" i="58" s="1"/>
  <c r="AE32" i="58" s="1"/>
  <c r="BH35" i="41"/>
  <c r="AG32" i="58" s="1"/>
  <c r="AH32" i="58" s="1"/>
  <c r="Q77" i="60"/>
  <c r="BF35" i="41"/>
  <c r="AA77" i="60"/>
  <c r="Q76" i="60"/>
  <c r="T76" i="60" s="1"/>
  <c r="BD34" i="41"/>
  <c r="AD31" i="58" s="1"/>
  <c r="AE31" i="58" s="1"/>
  <c r="BH34" i="41"/>
  <c r="AG31" i="58" s="1"/>
  <c r="AH31" i="58" s="1"/>
  <c r="AP27" i="64"/>
  <c r="AX34" i="41"/>
  <c r="AY34" i="41"/>
  <c r="R76" i="60"/>
  <c r="U76" i="60" s="1"/>
  <c r="AA76" i="60"/>
  <c r="AJ75" i="60"/>
  <c r="BF33" i="41"/>
  <c r="BB33" i="41"/>
  <c r="BC33" i="41"/>
  <c r="BH33" i="41"/>
  <c r="AG30" i="58" s="1"/>
  <c r="AH30" i="58" s="1"/>
  <c r="AA74" i="60"/>
  <c r="BF32" i="41"/>
  <c r="BB32" i="41"/>
  <c r="AJ74" i="60"/>
  <c r="AY32" i="41"/>
  <c r="R74" i="60"/>
  <c r="AZ32" i="41"/>
  <c r="AZ31" i="41"/>
  <c r="T73" i="60"/>
  <c r="BC31" i="41"/>
  <c r="BG31" i="41"/>
  <c r="BF31" i="41"/>
  <c r="R73" i="60"/>
  <c r="AA73" i="60"/>
  <c r="AJ73" i="60"/>
  <c r="AJ72" i="60"/>
  <c r="BC30" i="41"/>
  <c r="BG30" i="41"/>
  <c r="R72" i="60"/>
  <c r="Q72" i="60"/>
  <c r="AZ30" i="41"/>
  <c r="BB30" i="41"/>
  <c r="BH29" i="41"/>
  <c r="AG26" i="58" s="1"/>
  <c r="BB29" i="41"/>
  <c r="BG29" i="41"/>
  <c r="BH28" i="41"/>
  <c r="AG25" i="58" s="1"/>
  <c r="BD28" i="41"/>
  <c r="AD25" i="58" s="1"/>
  <c r="AE25" i="58" s="1"/>
  <c r="AA70" i="60"/>
  <c r="AX28" i="41"/>
  <c r="AJ70" i="60"/>
  <c r="AM70" i="60" s="1"/>
  <c r="R70" i="60"/>
  <c r="AY28" i="41"/>
  <c r="AA69" i="60"/>
  <c r="AZ27" i="41"/>
  <c r="AX27" i="41"/>
  <c r="BF27" i="41" s="1"/>
  <c r="BC27" i="41"/>
  <c r="BG27" i="41"/>
  <c r="R69" i="60"/>
  <c r="AA68" i="60"/>
  <c r="R68" i="60"/>
  <c r="AK68" i="60"/>
  <c r="AN68" i="60" s="1"/>
  <c r="S68" i="60"/>
  <c r="V68" i="60" s="1"/>
  <c r="BC26" i="41"/>
  <c r="BG26" i="41"/>
  <c r="AJ68" i="60"/>
  <c r="AX26" i="41"/>
  <c r="AA67" i="60"/>
  <c r="BB25" i="41"/>
  <c r="BF25" i="41"/>
  <c r="BG25" i="41"/>
  <c r="AJ67" i="60"/>
  <c r="AP16" i="64"/>
  <c r="AJ66" i="60"/>
  <c r="AM66" i="60" s="1"/>
  <c r="R66" i="60"/>
  <c r="AA66" i="60"/>
  <c r="Q66" i="60"/>
  <c r="AZ24" i="41"/>
  <c r="AX24" i="41"/>
  <c r="AY24" i="41"/>
  <c r="BG23" i="41"/>
  <c r="BC23" i="41"/>
  <c r="AZ23" i="41"/>
  <c r="BB22" i="41"/>
  <c r="AP19" i="64"/>
  <c r="BJ19" i="64" s="1"/>
  <c r="BL19" i="64" s="1"/>
  <c r="R64" i="60"/>
  <c r="Q64" i="60"/>
  <c r="AA64" i="60"/>
  <c r="AJ64" i="60"/>
  <c r="BC20" i="41"/>
  <c r="BB20" i="41"/>
  <c r="R62" i="60"/>
  <c r="S62" i="60"/>
  <c r="V62" i="60" s="1"/>
  <c r="R63" i="60"/>
  <c r="AY21" i="41"/>
  <c r="BC21" i="41" s="1"/>
  <c r="AZ21" i="41"/>
  <c r="BH21" i="41" s="1"/>
  <c r="AG18" i="58" s="1"/>
  <c r="AH18" i="58" s="1"/>
  <c r="S63" i="60"/>
  <c r="V63" i="60" s="1"/>
  <c r="BB21" i="41"/>
  <c r="BF21" i="41"/>
  <c r="AJ63" i="60"/>
  <c r="AM63" i="60" s="1"/>
  <c r="AA63" i="60"/>
  <c r="R61" i="60"/>
  <c r="BH18" i="41"/>
  <c r="AG15" i="58" s="1"/>
  <c r="AY18" i="41"/>
  <c r="BG18" i="41" s="1"/>
  <c r="BF18" i="41"/>
  <c r="BB18" i="41"/>
  <c r="AA59" i="60"/>
  <c r="AD59" i="60" s="1"/>
  <c r="Q59" i="60"/>
  <c r="AP10" i="64"/>
  <c r="AJ59" i="60"/>
  <c r="AM59" i="60" s="1"/>
  <c r="BB17" i="41"/>
  <c r="BH17" i="41"/>
  <c r="AG14" i="58" s="1"/>
  <c r="AH14" i="58" s="1"/>
  <c r="BC17" i="41"/>
  <c r="R59" i="60"/>
  <c r="Q58" i="60"/>
  <c r="AB58" i="60" s="1"/>
  <c r="AE58" i="60" s="1"/>
  <c r="AA58" i="60"/>
  <c r="R58" i="60"/>
  <c r="AP9" i="64"/>
  <c r="BC16" i="41"/>
  <c r="BF16" i="41"/>
  <c r="BD16" i="41"/>
  <c r="AJ58" i="60"/>
  <c r="BF22" i="42"/>
  <c r="BB22" i="42"/>
  <c r="AZ22" i="42"/>
  <c r="AY22" i="42"/>
  <c r="AJ88" i="60"/>
  <c r="AP34" i="64"/>
  <c r="T88" i="60"/>
  <c r="BB21" i="42"/>
  <c r="BF21" i="42"/>
  <c r="R88" i="60"/>
  <c r="BG21" i="42"/>
  <c r="AA88" i="60"/>
  <c r="AP33" i="64"/>
  <c r="AJ87" i="60"/>
  <c r="Q87" i="60"/>
  <c r="R87" i="60"/>
  <c r="AA87" i="60"/>
  <c r="BH20" i="42"/>
  <c r="AG37" i="58" s="1"/>
  <c r="AH37" i="58" s="1"/>
  <c r="AX20" i="42"/>
  <c r="AY20" i="42"/>
  <c r="BD19" i="42"/>
  <c r="AD36" i="58" s="1"/>
  <c r="AE36" i="58" s="1"/>
  <c r="BH19" i="42"/>
  <c r="AG36" i="58" s="1"/>
  <c r="BF19" i="42"/>
  <c r="BB18" i="42"/>
  <c r="BC18" i="42"/>
  <c r="BG18" i="42"/>
  <c r="AJ84" i="60"/>
  <c r="BC17" i="42"/>
  <c r="BG17" i="42"/>
  <c r="S84" i="60"/>
  <c r="V84" i="60" s="1"/>
  <c r="AB84" i="60"/>
  <c r="AE84" i="60" s="1"/>
  <c r="BH17" i="42"/>
  <c r="AG34" i="58" s="1"/>
  <c r="R84" i="60"/>
  <c r="AX17" i="42"/>
  <c r="AJ83" i="60"/>
  <c r="BC16" i="42"/>
  <c r="BG16" i="42"/>
  <c r="AA83" i="60"/>
  <c r="AZ16" i="42"/>
  <c r="H44" i="69" l="1"/>
  <c r="AB87" i="58"/>
  <c r="AB33" i="58"/>
  <c r="AB42" i="58"/>
  <c r="AB13" i="58"/>
  <c r="BI85" i="64"/>
  <c r="AM89" i="60"/>
  <c r="BJ9" i="64"/>
  <c r="U37" i="60"/>
  <c r="U137" i="60"/>
  <c r="K112" i="60"/>
  <c r="BJ88" i="64"/>
  <c r="T101" i="60"/>
  <c r="BJ38" i="64"/>
  <c r="AC45" i="60"/>
  <c r="K37" i="60"/>
  <c r="BI13" i="64"/>
  <c r="AD138" i="60"/>
  <c r="L60" i="60"/>
  <c r="G41" i="63"/>
  <c r="BJ90" i="64"/>
  <c r="BL90" i="64" s="1"/>
  <c r="L164" i="60"/>
  <c r="AL14" i="60"/>
  <c r="I47" i="69"/>
  <c r="K123" i="60"/>
  <c r="D52" i="62" s="1"/>
  <c r="BJ71" i="64"/>
  <c r="BL71" i="64" s="1"/>
  <c r="AC110" i="60"/>
  <c r="D10" i="75"/>
  <c r="BL89" i="64"/>
  <c r="P62" i="60"/>
  <c r="BI58" i="64"/>
  <c r="BK58" i="64" s="1"/>
  <c r="K31" i="69" s="1"/>
  <c r="AB158" i="60"/>
  <c r="AE158" i="60" s="1"/>
  <c r="AM35" i="60"/>
  <c r="BI35" i="64"/>
  <c r="AM98" i="60"/>
  <c r="AD121" i="60"/>
  <c r="F47" i="77" s="1"/>
  <c r="BJ57" i="64"/>
  <c r="BL57" i="64" s="1"/>
  <c r="BJ24" i="64"/>
  <c r="K33" i="60"/>
  <c r="L146" i="60"/>
  <c r="AL83" i="60"/>
  <c r="AC14" i="60"/>
  <c r="BI25" i="64"/>
  <c r="BK25" i="64" s="1"/>
  <c r="BJ42" i="64"/>
  <c r="BK42" i="64" s="1"/>
  <c r="BJ74" i="64"/>
  <c r="BI92" i="64"/>
  <c r="I46" i="69" s="1"/>
  <c r="AM85" i="60"/>
  <c r="D16" i="63" s="1"/>
  <c r="BJ27" i="64"/>
  <c r="AD87" i="60"/>
  <c r="U157" i="60"/>
  <c r="BI73" i="64"/>
  <c r="AM61" i="60"/>
  <c r="AM13" i="60"/>
  <c r="BI38" i="64"/>
  <c r="I19" i="69" s="1"/>
  <c r="BJ32" i="64"/>
  <c r="BL32" i="64" s="1"/>
  <c r="BM32" i="64" s="1"/>
  <c r="S154" i="60"/>
  <c r="V154" i="60" s="1"/>
  <c r="H40" i="69"/>
  <c r="BJ63" i="64"/>
  <c r="BL63" i="64" s="1"/>
  <c r="BM63" i="64" s="1"/>
  <c r="BL94" i="64"/>
  <c r="BM94" i="64" s="1"/>
  <c r="L47" i="69" s="1"/>
  <c r="BJ94" i="64"/>
  <c r="S61" i="60"/>
  <c r="V61" i="60" s="1"/>
  <c r="AC50" i="60"/>
  <c r="AM52" i="60"/>
  <c r="BI51" i="64"/>
  <c r="I24" i="69" s="1"/>
  <c r="AD96" i="60"/>
  <c r="U128" i="60"/>
  <c r="D48" i="76" s="1"/>
  <c r="AB99" i="60"/>
  <c r="AE99" i="60" s="1"/>
  <c r="AD61" i="60"/>
  <c r="T24" i="60"/>
  <c r="BI95" i="64"/>
  <c r="I48" i="69" s="1"/>
  <c r="BJ44" i="64"/>
  <c r="BJ73" i="64"/>
  <c r="BL73" i="64" s="1"/>
  <c r="BM73" i="64" s="1"/>
  <c r="BI28" i="64"/>
  <c r="BJ65" i="64"/>
  <c r="BL65" i="64" s="1"/>
  <c r="BM65" i="64" s="1"/>
  <c r="BJ52" i="64"/>
  <c r="AM101" i="60"/>
  <c r="AK63" i="60"/>
  <c r="AN63" i="60" s="1"/>
  <c r="P158" i="60"/>
  <c r="U158" i="60" s="1"/>
  <c r="BJ58" i="64"/>
  <c r="BL58" i="64" s="1"/>
  <c r="AM87" i="60"/>
  <c r="U70" i="60"/>
  <c r="BJ41" i="64"/>
  <c r="AB69" i="60"/>
  <c r="AE69" i="60" s="1"/>
  <c r="L113" i="60"/>
  <c r="AD50" i="60"/>
  <c r="G42" i="77" s="1"/>
  <c r="BJ56" i="64"/>
  <c r="BK56" i="64" s="1"/>
  <c r="K29" i="69" s="1"/>
  <c r="BJ31" i="64"/>
  <c r="BL31" i="64" s="1"/>
  <c r="BM31" i="64" s="1"/>
  <c r="BN31" i="64" s="1"/>
  <c r="BJ10" i="64"/>
  <c r="BJ92" i="64"/>
  <c r="I26" i="69"/>
  <c r="I21" i="69"/>
  <c r="BL17" i="64"/>
  <c r="BM17" i="64" s="1"/>
  <c r="BL83" i="64"/>
  <c r="BM83" i="64" s="1"/>
  <c r="BM62" i="64"/>
  <c r="BM37" i="64"/>
  <c r="L18" i="69" s="1"/>
  <c r="I44" i="69"/>
  <c r="BL84" i="64"/>
  <c r="BM84" i="64" s="1"/>
  <c r="BK13" i="64"/>
  <c r="I38" i="69"/>
  <c r="BL52" i="64"/>
  <c r="BM52" i="64" s="1"/>
  <c r="L25" i="69" s="1"/>
  <c r="BK50" i="64"/>
  <c r="S86" i="60"/>
  <c r="V86" i="60" s="1"/>
  <c r="G18" i="75"/>
  <c r="K110" i="60"/>
  <c r="H43" i="69"/>
  <c r="S23" i="60"/>
  <c r="V23" i="60" s="1"/>
  <c r="AD130" i="60"/>
  <c r="AB155" i="60"/>
  <c r="AE155" i="60" s="1"/>
  <c r="AL32" i="60"/>
  <c r="D39" i="63" s="1"/>
  <c r="U63" i="60"/>
  <c r="BK30" i="64"/>
  <c r="AK58" i="60"/>
  <c r="AN58" i="60" s="1"/>
  <c r="AH81" i="58"/>
  <c r="E10" i="75"/>
  <c r="BJ67" i="64"/>
  <c r="AK158" i="60"/>
  <c r="AN158" i="60" s="1"/>
  <c r="AB86" i="60"/>
  <c r="AE86" i="60" s="1"/>
  <c r="P60" i="60"/>
  <c r="U60" i="60" s="1"/>
  <c r="F10" i="69"/>
  <c r="BL45" i="64"/>
  <c r="BM45" i="64" s="1"/>
  <c r="AE76" i="58"/>
  <c r="AL13" i="60"/>
  <c r="E37" i="63" s="1"/>
  <c r="U14" i="60"/>
  <c r="I41" i="69"/>
  <c r="AM73" i="60"/>
  <c r="AM22" i="60"/>
  <c r="H41" i="69"/>
  <c r="I27" i="69"/>
  <c r="L154" i="60"/>
  <c r="AK88" i="60"/>
  <c r="AN88" i="60" s="1"/>
  <c r="U62" i="60"/>
  <c r="AM165" i="60"/>
  <c r="AH54" i="58"/>
  <c r="AE66" i="58"/>
  <c r="AA52" i="60"/>
  <c r="BL93" i="64"/>
  <c r="BM93" i="64" s="1"/>
  <c r="BL13" i="64"/>
  <c r="BM13" i="64" s="1"/>
  <c r="U121" i="60"/>
  <c r="AE43" i="58"/>
  <c r="AL86" i="60"/>
  <c r="AZ75" i="60"/>
  <c r="M103" i="60"/>
  <c r="F49" i="62" s="1"/>
  <c r="C16" i="62" s="1"/>
  <c r="H12" i="69"/>
  <c r="AC172" i="60"/>
  <c r="AC175" i="60" s="1"/>
  <c r="D59" i="73" s="1"/>
  <c r="AK156" i="60"/>
  <c r="AN156" i="60" s="1"/>
  <c r="AB63" i="60"/>
  <c r="AE63" i="60" s="1"/>
  <c r="BM72" i="64"/>
  <c r="L39" i="69" s="1"/>
  <c r="U130" i="60"/>
  <c r="AC101" i="60"/>
  <c r="AC87" i="60"/>
  <c r="AC166" i="60"/>
  <c r="K60" i="60"/>
  <c r="AD139" i="60"/>
  <c r="G49" i="77" s="1"/>
  <c r="S114" i="60"/>
  <c r="V114" i="60" s="1"/>
  <c r="AB156" i="60"/>
  <c r="AE156" i="60" s="1"/>
  <c r="AD84" i="60"/>
  <c r="AD146" i="60"/>
  <c r="AE79" i="58"/>
  <c r="L121" i="60"/>
  <c r="F47" i="75" s="1"/>
  <c r="AC109" i="60"/>
  <c r="AD155" i="60"/>
  <c r="I34" i="69"/>
  <c r="F13" i="75"/>
  <c r="U154" i="60"/>
  <c r="K128" i="60"/>
  <c r="E19" i="75" s="1"/>
  <c r="AE82" i="58"/>
  <c r="BL22" i="64"/>
  <c r="BM22" i="64" s="1"/>
  <c r="P102" i="60"/>
  <c r="AB61" i="60"/>
  <c r="AE61" i="60" s="1"/>
  <c r="E18" i="75"/>
  <c r="AH13" i="58"/>
  <c r="AK84" i="60"/>
  <c r="AN84" i="60" s="1"/>
  <c r="K148" i="60"/>
  <c r="BK76" i="64"/>
  <c r="I12" i="69"/>
  <c r="BM39" i="64"/>
  <c r="L20" i="69" s="1"/>
  <c r="AM112" i="60"/>
  <c r="AK165" i="60"/>
  <c r="AN165" i="60" s="1"/>
  <c r="T158" i="60"/>
  <c r="AJ60" i="60"/>
  <c r="AM60" i="60" s="1"/>
  <c r="K155" i="60"/>
  <c r="D18" i="75"/>
  <c r="AL99" i="60"/>
  <c r="Q102" i="60"/>
  <c r="T102" i="60" s="1"/>
  <c r="S158" i="60"/>
  <c r="V158" i="60" s="1"/>
  <c r="I32" i="69"/>
  <c r="AH80" i="58"/>
  <c r="I11" i="69"/>
  <c r="U87" i="60"/>
  <c r="BL9" i="64"/>
  <c r="BM9" i="64" s="1"/>
  <c r="Q60" i="60"/>
  <c r="AB60" i="60" s="1"/>
  <c r="AE60" i="60" s="1"/>
  <c r="AM51" i="60"/>
  <c r="S146" i="60"/>
  <c r="V146" i="60" s="1"/>
  <c r="U113" i="60"/>
  <c r="AL111" i="60"/>
  <c r="F45" i="63" s="1"/>
  <c r="AC157" i="60"/>
  <c r="AL34" i="60"/>
  <c r="AC137" i="60"/>
  <c r="G20" i="77" s="1"/>
  <c r="AL148" i="60"/>
  <c r="AL149" i="60" s="1"/>
  <c r="D55" i="74" s="1"/>
  <c r="AH25" i="58"/>
  <c r="AH68" i="58"/>
  <c r="U32" i="60"/>
  <c r="U51" i="60"/>
  <c r="D42" i="76" s="1"/>
  <c r="AE95" i="58"/>
  <c r="BL29" i="64"/>
  <c r="U98" i="60"/>
  <c r="AM23" i="60"/>
  <c r="U122" i="60"/>
  <c r="E47" i="76" s="1"/>
  <c r="AB51" i="60"/>
  <c r="AE51" i="60" s="1"/>
  <c r="AE91" i="58"/>
  <c r="AD115" i="60"/>
  <c r="AD98" i="60"/>
  <c r="K36" i="60"/>
  <c r="F11" i="75" s="1"/>
  <c r="P85" i="60"/>
  <c r="U85" i="60" s="1"/>
  <c r="M38" i="60"/>
  <c r="F43" i="62" s="1"/>
  <c r="C11" i="62" s="1"/>
  <c r="BM77" i="64"/>
  <c r="I20" i="69"/>
  <c r="BK39" i="64"/>
  <c r="K20" i="69" s="1"/>
  <c r="F38" i="75"/>
  <c r="G38" i="75"/>
  <c r="E38" i="75"/>
  <c r="AD51" i="60"/>
  <c r="F42" i="77" s="1"/>
  <c r="BK21" i="64"/>
  <c r="AK154" i="60"/>
  <c r="AN154" i="60" s="1"/>
  <c r="AH78" i="58"/>
  <c r="BK24" i="64"/>
  <c r="AC85" i="60"/>
  <c r="AM84" i="60"/>
  <c r="AB165" i="60"/>
  <c r="AE165" i="60" s="1"/>
  <c r="AM83" i="60"/>
  <c r="AM90" i="60" s="1"/>
  <c r="E48" i="74" s="1"/>
  <c r="AB74" i="60"/>
  <c r="AE74" i="60" s="1"/>
  <c r="F22" i="69"/>
  <c r="T165" i="60"/>
  <c r="AH63" i="58"/>
  <c r="AE53" i="58"/>
  <c r="L61" i="60"/>
  <c r="E13" i="75"/>
  <c r="AC155" i="60"/>
  <c r="L26" i="60"/>
  <c r="E42" i="62" s="1"/>
  <c r="I45" i="69"/>
  <c r="AB71" i="60"/>
  <c r="AE71" i="60" s="1"/>
  <c r="AD67" i="60"/>
  <c r="AK23" i="60"/>
  <c r="AN23" i="60" s="1"/>
  <c r="BK61" i="64"/>
  <c r="AH15" i="58"/>
  <c r="AM166" i="60"/>
  <c r="F24" i="63" s="1"/>
  <c r="AD37" i="60"/>
  <c r="AD83" i="60"/>
  <c r="K26" i="60"/>
  <c r="D42" i="62" s="1"/>
  <c r="AB48" i="58"/>
  <c r="AM164" i="60"/>
  <c r="AE96" i="58"/>
  <c r="D46" i="63"/>
  <c r="L43" i="60"/>
  <c r="BM75" i="64"/>
  <c r="G13" i="75"/>
  <c r="AH42" i="58"/>
  <c r="BL34" i="64"/>
  <c r="BM34" i="64" s="1"/>
  <c r="S74" i="60"/>
  <c r="V74" i="60" s="1"/>
  <c r="AM97" i="60"/>
  <c r="S165" i="60"/>
  <c r="V165" i="60" s="1"/>
  <c r="U25" i="60"/>
  <c r="BM70" i="64"/>
  <c r="L37" i="69" s="1"/>
  <c r="AH60" i="58"/>
  <c r="AK69" i="60"/>
  <c r="AN69" i="60" s="1"/>
  <c r="U67" i="60"/>
  <c r="I42" i="69"/>
  <c r="AK155" i="60"/>
  <c r="AN155" i="60" s="1"/>
  <c r="AB154" i="60"/>
  <c r="AE154" i="60" s="1"/>
  <c r="BK60" i="64"/>
  <c r="S24" i="60"/>
  <c r="V24" i="60" s="1"/>
  <c r="K73" i="60"/>
  <c r="AL76" i="60"/>
  <c r="D13" i="75"/>
  <c r="T62" i="60"/>
  <c r="P75" i="60"/>
  <c r="U75" i="60" s="1"/>
  <c r="K66" i="60"/>
  <c r="AC164" i="60"/>
  <c r="AC167" i="60" s="1"/>
  <c r="D58" i="73" s="1"/>
  <c r="L147" i="60"/>
  <c r="L149" i="60" s="1"/>
  <c r="E55" i="62" s="1"/>
  <c r="H52" i="63"/>
  <c r="I52" i="63" s="1"/>
  <c r="AB76" i="60"/>
  <c r="AE76" i="60" s="1"/>
  <c r="BL14" i="64"/>
  <c r="BM14" i="64" s="1"/>
  <c r="U166" i="60"/>
  <c r="AD36" i="60"/>
  <c r="AD137" i="60"/>
  <c r="AH55" i="58"/>
  <c r="K154" i="60"/>
  <c r="AM50" i="60"/>
  <c r="E14" i="63" s="1"/>
  <c r="BK17" i="64"/>
  <c r="AB83" i="60"/>
  <c r="AE83" i="60" s="1"/>
  <c r="AD164" i="60"/>
  <c r="U165" i="60"/>
  <c r="AM36" i="60"/>
  <c r="U43" i="60"/>
  <c r="AD44" i="60"/>
  <c r="AH76" i="58"/>
  <c r="AL95" i="60"/>
  <c r="AD72" i="60"/>
  <c r="AL96" i="60"/>
  <c r="F44" i="63" s="1"/>
  <c r="BL42" i="64"/>
  <c r="BM42" i="64" s="1"/>
  <c r="M53" i="60"/>
  <c r="F45" i="62" s="1"/>
  <c r="C13" i="62" s="1"/>
  <c r="K158" i="60"/>
  <c r="AC145" i="60"/>
  <c r="BK12" i="64"/>
  <c r="AL113" i="60"/>
  <c r="D45" i="63" s="1"/>
  <c r="AK122" i="60"/>
  <c r="AN122" i="60" s="1"/>
  <c r="AB24" i="58"/>
  <c r="L157" i="60"/>
  <c r="K65" i="60"/>
  <c r="AD154" i="60"/>
  <c r="K71" i="60"/>
  <c r="AK86" i="60"/>
  <c r="AN86" i="60" s="1"/>
  <c r="AM75" i="60"/>
  <c r="AK59" i="60"/>
  <c r="AN59" i="60" s="1"/>
  <c r="AM88" i="60"/>
  <c r="AZ69" i="60"/>
  <c r="AH26" i="58"/>
  <c r="AD66" i="60"/>
  <c r="AD86" i="60"/>
  <c r="I17" i="69"/>
  <c r="AB55" i="58"/>
  <c r="G43" i="63"/>
  <c r="AD31" i="60"/>
  <c r="AL33" i="60"/>
  <c r="F39" i="63" s="1"/>
  <c r="AL43" i="60"/>
  <c r="G40" i="63" s="1"/>
  <c r="AL44" i="60"/>
  <c r="BI67" i="64"/>
  <c r="H23" i="69"/>
  <c r="K72" i="60"/>
  <c r="K62" i="60"/>
  <c r="AC102" i="60"/>
  <c r="AD33" i="60"/>
  <c r="AD75" i="60"/>
  <c r="AK52" i="60"/>
  <c r="AN52" i="60" s="1"/>
  <c r="AE98" i="58"/>
  <c r="AM136" i="60"/>
  <c r="F21" i="63" s="1"/>
  <c r="AE55" i="58"/>
  <c r="P71" i="60"/>
  <c r="U71" i="60" s="1"/>
  <c r="K75" i="60"/>
  <c r="L84" i="60"/>
  <c r="P84" i="60"/>
  <c r="U84" i="60" s="1"/>
  <c r="AC86" i="60"/>
  <c r="K145" i="60"/>
  <c r="BK66" i="64"/>
  <c r="U66" i="60"/>
  <c r="AD74" i="60"/>
  <c r="AD158" i="60"/>
  <c r="AB52" i="60"/>
  <c r="AE52" i="60" s="1"/>
  <c r="U172" i="60"/>
  <c r="AK61" i="60"/>
  <c r="AN61" i="60" s="1"/>
  <c r="I25" i="69"/>
  <c r="P155" i="60"/>
  <c r="U155" i="60" s="1"/>
  <c r="P66" i="60"/>
  <c r="F51" i="63"/>
  <c r="D51" i="63"/>
  <c r="AL167" i="60"/>
  <c r="D58" i="74" s="1"/>
  <c r="G51" i="63"/>
  <c r="E51" i="63"/>
  <c r="D40" i="63"/>
  <c r="F9" i="77"/>
  <c r="G9" i="77"/>
  <c r="D9" i="77"/>
  <c r="E9" i="77"/>
  <c r="AC17" i="60"/>
  <c r="D41" i="73" s="1"/>
  <c r="BL44" i="64"/>
  <c r="BM44" i="64" s="1"/>
  <c r="BK78" i="64"/>
  <c r="F41" i="63"/>
  <c r="S83" i="60"/>
  <c r="V83" i="60" s="1"/>
  <c r="J87" i="60"/>
  <c r="M87" i="60" s="1"/>
  <c r="M90" i="60" s="1"/>
  <c r="F48" i="62" s="1"/>
  <c r="C15" i="62" s="1"/>
  <c r="L87" i="60"/>
  <c r="E12" i="77"/>
  <c r="AK73" i="60"/>
  <c r="AN73" i="60" s="1"/>
  <c r="AM121" i="60"/>
  <c r="R89" i="60"/>
  <c r="U89" i="60" s="1"/>
  <c r="BK79" i="64"/>
  <c r="AL154" i="60"/>
  <c r="G50" i="63" s="1"/>
  <c r="L165" i="60"/>
  <c r="F52" i="75" s="1"/>
  <c r="AC72" i="60"/>
  <c r="AZ67" i="60"/>
  <c r="AB70" i="60"/>
  <c r="AE70" i="60" s="1"/>
  <c r="U72" i="60"/>
  <c r="AB101" i="60"/>
  <c r="AE101" i="60" s="1"/>
  <c r="AB24" i="60"/>
  <c r="AE24" i="60" s="1"/>
  <c r="BL48" i="64"/>
  <c r="BM48" i="64" s="1"/>
  <c r="G47" i="75"/>
  <c r="K89" i="60"/>
  <c r="AC58" i="60"/>
  <c r="AC61" i="60"/>
  <c r="E39" i="75"/>
  <c r="D12" i="77"/>
  <c r="AE34" i="58"/>
  <c r="F12" i="77"/>
  <c r="AC128" i="60"/>
  <c r="AB114" i="60"/>
  <c r="AE114" i="60" s="1"/>
  <c r="AD157" i="60"/>
  <c r="F41" i="69"/>
  <c r="BK44" i="64"/>
  <c r="U59" i="60"/>
  <c r="S70" i="60"/>
  <c r="V70" i="60" s="1"/>
  <c r="U95" i="60"/>
  <c r="AK101" i="60"/>
  <c r="AN101" i="60" s="1"/>
  <c r="AD128" i="60"/>
  <c r="U112" i="60"/>
  <c r="AM24" i="60"/>
  <c r="K44" i="60"/>
  <c r="K45" i="60" s="1"/>
  <c r="D44" i="62" s="1"/>
  <c r="K15" i="60"/>
  <c r="E9" i="75" s="1"/>
  <c r="E42" i="75"/>
  <c r="L137" i="60"/>
  <c r="J137" i="60"/>
  <c r="M137" i="60" s="1"/>
  <c r="M140" i="60" s="1"/>
  <c r="F54" i="62" s="1"/>
  <c r="C20" i="62" s="1"/>
  <c r="AC65" i="60"/>
  <c r="AC36" i="60"/>
  <c r="F11" i="77" s="1"/>
  <c r="AD24" i="60"/>
  <c r="AD25" i="60"/>
  <c r="AD26" i="60" s="1"/>
  <c r="E42" i="73" s="1"/>
  <c r="AE68" i="58"/>
  <c r="K103" i="60"/>
  <c r="BK85" i="64"/>
  <c r="AM156" i="60"/>
  <c r="F23" i="63" s="1"/>
  <c r="AM44" i="60"/>
  <c r="H10" i="69"/>
  <c r="M26" i="60"/>
  <c r="F42" i="62" s="1"/>
  <c r="C10" i="62" s="1"/>
  <c r="AC98" i="60"/>
  <c r="AZ77" i="60"/>
  <c r="AD112" i="60"/>
  <c r="U114" i="60"/>
  <c r="P77" i="60"/>
  <c r="U77" i="60" s="1"/>
  <c r="AL128" i="60"/>
  <c r="E47" i="63" s="1"/>
  <c r="L53" i="60"/>
  <c r="E45" i="62" s="1"/>
  <c r="D43" i="63"/>
  <c r="AM67" i="60"/>
  <c r="BK73" i="64"/>
  <c r="U96" i="60"/>
  <c r="L136" i="60"/>
  <c r="L72" i="60"/>
  <c r="AC89" i="60"/>
  <c r="U69" i="60"/>
  <c r="U36" i="60"/>
  <c r="AD62" i="60"/>
  <c r="G12" i="77"/>
  <c r="AC73" i="60"/>
  <c r="AM108" i="60"/>
  <c r="T146" i="60"/>
  <c r="K172" i="60"/>
  <c r="T63" i="60"/>
  <c r="AK70" i="60"/>
  <c r="AN70" i="60" s="1"/>
  <c r="AD64" i="60"/>
  <c r="AM72" i="60"/>
  <c r="AD95" i="60"/>
  <c r="BN94" i="64"/>
  <c r="D29" i="67" s="1"/>
  <c r="AM110" i="60"/>
  <c r="AD122" i="60"/>
  <c r="BM51" i="64"/>
  <c r="BM80" i="64"/>
  <c r="L42" i="69" s="1"/>
  <c r="BK23" i="64"/>
  <c r="L44" i="60"/>
  <c r="G10" i="75"/>
  <c r="E43" i="63"/>
  <c r="F42" i="75"/>
  <c r="AB35" i="58"/>
  <c r="AC71" i="60"/>
  <c r="K68" i="60"/>
  <c r="D39" i="75"/>
  <c r="G39" i="75"/>
  <c r="AD99" i="60"/>
  <c r="AK50" i="60"/>
  <c r="AN50" i="60" s="1"/>
  <c r="AN53" i="60" s="1"/>
  <c r="F45" i="74" s="1"/>
  <c r="C13" i="74" s="1"/>
  <c r="AE50" i="60"/>
  <c r="M149" i="60"/>
  <c r="F55" i="62" s="1"/>
  <c r="C21" i="62" s="1"/>
  <c r="F18" i="75"/>
  <c r="H18" i="75" s="1"/>
  <c r="I18" i="75" s="1"/>
  <c r="AH36" i="58"/>
  <c r="U110" i="60"/>
  <c r="L114" i="60"/>
  <c r="AM68" i="60"/>
  <c r="AM95" i="60"/>
  <c r="AK83" i="60"/>
  <c r="AN83" i="60" s="1"/>
  <c r="S85" i="60"/>
  <c r="V85" i="60" s="1"/>
  <c r="BK28" i="64"/>
  <c r="AD165" i="60"/>
  <c r="AM33" i="60"/>
  <c r="AK24" i="60"/>
  <c r="AN24" i="60" s="1"/>
  <c r="AE99" i="58"/>
  <c r="AM76" i="60"/>
  <c r="AH91" i="58"/>
  <c r="I18" i="69"/>
  <c r="F10" i="75"/>
  <c r="P99" i="60"/>
  <c r="U99" i="60" s="1"/>
  <c r="T86" i="60"/>
  <c r="G42" i="75"/>
  <c r="L97" i="60"/>
  <c r="P97" i="60"/>
  <c r="U97" i="60" s="1"/>
  <c r="K114" i="60"/>
  <c r="J21" i="69"/>
  <c r="BL40" i="64"/>
  <c r="BM40" i="64" s="1"/>
  <c r="L21" i="69" s="1"/>
  <c r="D38" i="63"/>
  <c r="E38" i="63"/>
  <c r="AL26" i="60"/>
  <c r="D42" i="74" s="1"/>
  <c r="F38" i="63"/>
  <c r="G38" i="63"/>
  <c r="E12" i="75"/>
  <c r="F12" i="75"/>
  <c r="T75" i="60"/>
  <c r="S36" i="60"/>
  <c r="V36" i="60" s="1"/>
  <c r="T85" i="60"/>
  <c r="AK62" i="60"/>
  <c r="AN62" i="60" s="1"/>
  <c r="P68" i="60"/>
  <c r="U68" i="60" s="1"/>
  <c r="T68" i="60"/>
  <c r="BM76" i="64"/>
  <c r="AB75" i="60"/>
  <c r="AE75" i="60" s="1"/>
  <c r="BK18" i="64"/>
  <c r="AC66" i="60"/>
  <c r="AK76" i="60"/>
  <c r="AN76" i="60" s="1"/>
  <c r="AC121" i="60"/>
  <c r="K67" i="60"/>
  <c r="E46" i="63"/>
  <c r="D39" i="77"/>
  <c r="AL90" i="60"/>
  <c r="D48" i="74" s="1"/>
  <c r="S76" i="60"/>
  <c r="V76" i="60" s="1"/>
  <c r="U111" i="60"/>
  <c r="AD114" i="60"/>
  <c r="G53" i="75"/>
  <c r="L175" i="60"/>
  <c r="E59" i="62" s="1"/>
  <c r="E53" i="75"/>
  <c r="F53" i="75"/>
  <c r="D53" i="75"/>
  <c r="AC75" i="60"/>
  <c r="G23" i="75"/>
  <c r="K167" i="60"/>
  <c r="D58" i="62" s="1"/>
  <c r="F23" i="75"/>
  <c r="E23" i="75"/>
  <c r="D23" i="75"/>
  <c r="H10" i="75"/>
  <c r="I10" i="75" s="1"/>
  <c r="F43" i="63"/>
  <c r="AL123" i="60"/>
  <c r="D52" i="74" s="1"/>
  <c r="G46" i="63"/>
  <c r="AK85" i="60"/>
  <c r="AN85" i="60" s="1"/>
  <c r="T69" i="60"/>
  <c r="AK75" i="60"/>
  <c r="AN75" i="60" s="1"/>
  <c r="J48" i="69"/>
  <c r="AK37" i="60"/>
  <c r="AN37" i="60" s="1"/>
  <c r="AD111" i="60"/>
  <c r="AM114" i="60"/>
  <c r="U136" i="60"/>
  <c r="U145" i="60"/>
  <c r="U156" i="60"/>
  <c r="AP87" i="64"/>
  <c r="D47" i="75"/>
  <c r="AM113" i="60"/>
  <c r="K175" i="60"/>
  <c r="D59" i="62" s="1"/>
  <c r="F24" i="75"/>
  <c r="G24" i="75"/>
  <c r="E24" i="75"/>
  <c r="D24" i="75"/>
  <c r="AC122" i="60"/>
  <c r="P138" i="60"/>
  <c r="U138" i="60" s="1"/>
  <c r="K138" i="60"/>
  <c r="K85" i="60"/>
  <c r="E41" i="63"/>
  <c r="F60" i="62"/>
  <c r="P88" i="60"/>
  <c r="U88" i="60" s="1"/>
  <c r="L88" i="60"/>
  <c r="L158" i="60"/>
  <c r="J158" i="60"/>
  <c r="M158" i="60" s="1"/>
  <c r="M159" i="60" s="1"/>
  <c r="F56" i="62" s="1"/>
  <c r="C22" i="62" s="1"/>
  <c r="AB146" i="60"/>
  <c r="AE146" i="60" s="1"/>
  <c r="F9" i="75"/>
  <c r="K59" i="60"/>
  <c r="T36" i="60"/>
  <c r="M78" i="60"/>
  <c r="F47" i="62" s="1"/>
  <c r="C14" i="62" s="1"/>
  <c r="AD85" i="60"/>
  <c r="AC147" i="60"/>
  <c r="P101" i="60"/>
  <c r="U101" i="60" s="1"/>
  <c r="L101" i="60"/>
  <c r="AZ72" i="60"/>
  <c r="AB73" i="60"/>
  <c r="AE73" i="60" s="1"/>
  <c r="J32" i="69"/>
  <c r="F48" i="63"/>
  <c r="AL140" i="60"/>
  <c r="D54" i="74" s="1"/>
  <c r="E48" i="63"/>
  <c r="G48" i="63"/>
  <c r="D48" i="63"/>
  <c r="AK99" i="60"/>
  <c r="AN99" i="60" s="1"/>
  <c r="U73" i="60"/>
  <c r="AM74" i="60"/>
  <c r="J47" i="69"/>
  <c r="AC62" i="60"/>
  <c r="D38" i="75"/>
  <c r="L17" i="60"/>
  <c r="E41" i="62" s="1"/>
  <c r="AC70" i="60"/>
  <c r="S69" i="60"/>
  <c r="V69" i="60" s="1"/>
  <c r="BK94" i="64"/>
  <c r="K47" i="69" s="1"/>
  <c r="U44" i="60"/>
  <c r="U45" i="60" s="1"/>
  <c r="E44" i="72" s="1"/>
  <c r="AM109" i="60"/>
  <c r="U146" i="60"/>
  <c r="AD13" i="60"/>
  <c r="U24" i="60"/>
  <c r="D39" i="76" s="1"/>
  <c r="AM71" i="60"/>
  <c r="AM122" i="60"/>
  <c r="AE84" i="58"/>
  <c r="AB61" i="58"/>
  <c r="AE15" i="58"/>
  <c r="F23" i="69"/>
  <c r="K88" i="60"/>
  <c r="G13" i="77"/>
  <c r="D13" i="77"/>
  <c r="F13" i="77"/>
  <c r="AC53" i="60"/>
  <c r="D45" i="73" s="1"/>
  <c r="E13" i="77"/>
  <c r="U164" i="60"/>
  <c r="AL62" i="60"/>
  <c r="AL53" i="60"/>
  <c r="D45" i="74" s="1"/>
  <c r="P74" i="60"/>
  <c r="U74" i="60" s="1"/>
  <c r="K74" i="60"/>
  <c r="L130" i="60"/>
  <c r="J130" i="60"/>
  <c r="M130" i="60" s="1"/>
  <c r="M131" i="60" s="1"/>
  <c r="F53" i="62" s="1"/>
  <c r="C19" i="62" s="1"/>
  <c r="AD102" i="60"/>
  <c r="AD43" i="60"/>
  <c r="E41" i="77" s="1"/>
  <c r="P61" i="60"/>
  <c r="U61" i="60" s="1"/>
  <c r="K61" i="60"/>
  <c r="L58" i="60"/>
  <c r="P64" i="60"/>
  <c r="U64" i="60" s="1"/>
  <c r="K64" i="60"/>
  <c r="AK36" i="60"/>
  <c r="AN36" i="60" s="1"/>
  <c r="BK80" i="64"/>
  <c r="K42" i="69" s="1"/>
  <c r="K58" i="60"/>
  <c r="P58" i="60"/>
  <c r="F46" i="63"/>
  <c r="U58" i="60"/>
  <c r="AD108" i="60"/>
  <c r="E10" i="77"/>
  <c r="G10" i="77"/>
  <c r="AC26" i="60"/>
  <c r="D42" i="73" s="1"/>
  <c r="AM62" i="60"/>
  <c r="AD58" i="60"/>
  <c r="K136" i="60"/>
  <c r="T58" i="60"/>
  <c r="S37" i="60"/>
  <c r="V37" i="60" s="1"/>
  <c r="AK44" i="60"/>
  <c r="AN44" i="60" s="1"/>
  <c r="AZ61" i="60"/>
  <c r="D10" i="77"/>
  <c r="BK46" i="64"/>
  <c r="AC88" i="60"/>
  <c r="L73" i="60"/>
  <c r="D41" i="63"/>
  <c r="F33" i="62"/>
  <c r="AH34" i="58"/>
  <c r="AM58" i="60"/>
  <c r="AK67" i="60"/>
  <c r="AN67" i="60" s="1"/>
  <c r="BL27" i="64"/>
  <c r="BM27" i="64" s="1"/>
  <c r="AB88" i="60"/>
  <c r="AE88" i="60" s="1"/>
  <c r="AM64" i="60"/>
  <c r="AM31" i="60"/>
  <c r="U33" i="60"/>
  <c r="AM43" i="60"/>
  <c r="BM90" i="64"/>
  <c r="BM66" i="64"/>
  <c r="AD136" i="60"/>
  <c r="I14" i="69"/>
  <c r="BL49" i="64"/>
  <c r="BM49" i="64" s="1"/>
  <c r="AH84" i="58"/>
  <c r="AB139" i="60"/>
  <c r="AE139" i="60" s="1"/>
  <c r="S139" i="60"/>
  <c r="V139" i="60" s="1"/>
  <c r="AM99" i="60"/>
  <c r="L115" i="60"/>
  <c r="E47" i="75"/>
  <c r="L123" i="60"/>
  <c r="E52" i="62" s="1"/>
  <c r="AM32" i="60"/>
  <c r="AC129" i="60"/>
  <c r="F10" i="77"/>
  <c r="I28" i="69"/>
  <c r="BK55" i="64"/>
  <c r="K28" i="69" s="1"/>
  <c r="AB44" i="58"/>
  <c r="AC138" i="60"/>
  <c r="AH65" i="58"/>
  <c r="J42" i="69"/>
  <c r="AE61" i="58"/>
  <c r="R174" i="60"/>
  <c r="U174" i="60" s="1"/>
  <c r="Q174" i="60"/>
  <c r="AA174" i="60"/>
  <c r="AD174" i="60" s="1"/>
  <c r="AP88" i="64"/>
  <c r="AA173" i="60"/>
  <c r="AD173" i="60" s="1"/>
  <c r="Q173" i="60"/>
  <c r="AJ173" i="60"/>
  <c r="AM173" i="60" s="1"/>
  <c r="G25" i="63" s="1"/>
  <c r="AA172" i="60"/>
  <c r="AD172" i="60" s="1"/>
  <c r="AP86" i="64"/>
  <c r="BJ86" i="64" s="1"/>
  <c r="Q172" i="60"/>
  <c r="BB19" i="54"/>
  <c r="AZ164" i="60"/>
  <c r="R52" i="60"/>
  <c r="AP91" i="64"/>
  <c r="BJ91" i="64" s="1"/>
  <c r="L112" i="60"/>
  <c r="J112" i="60"/>
  <c r="M112" i="60" s="1"/>
  <c r="M116" i="60" s="1"/>
  <c r="F51" i="62" s="1"/>
  <c r="AD113" i="60"/>
  <c r="AD110" i="60"/>
  <c r="Q115" i="60"/>
  <c r="AB115" i="60" s="1"/>
  <c r="AE115" i="60" s="1"/>
  <c r="AE63" i="58"/>
  <c r="R115" i="60"/>
  <c r="U115" i="60" s="1"/>
  <c r="BM57" i="64"/>
  <c r="L30" i="69" s="1"/>
  <c r="AC113" i="60"/>
  <c r="E17" i="77" s="1"/>
  <c r="L108" i="60"/>
  <c r="AE62" i="58"/>
  <c r="K108" i="60"/>
  <c r="P108" i="60"/>
  <c r="J39" i="69"/>
  <c r="BK72" i="64"/>
  <c r="K39" i="69" s="1"/>
  <c r="T145" i="60"/>
  <c r="T138" i="60"/>
  <c r="AB138" i="60"/>
  <c r="AE138" i="60" s="1"/>
  <c r="S138" i="60"/>
  <c r="V138" i="60" s="1"/>
  <c r="AB137" i="60"/>
  <c r="AE137" i="60" s="1"/>
  <c r="T137" i="60"/>
  <c r="S137" i="60"/>
  <c r="V137" i="60" s="1"/>
  <c r="BH16" i="50"/>
  <c r="AG74" i="58" s="1"/>
  <c r="AH74" i="58" s="1"/>
  <c r="BD16" i="50"/>
  <c r="BB16" i="50"/>
  <c r="BB20" i="50" s="1"/>
  <c r="BF16" i="50"/>
  <c r="BG17" i="51"/>
  <c r="BD18" i="48"/>
  <c r="AZ74" i="60"/>
  <c r="S71" i="60"/>
  <c r="V71" i="60" s="1"/>
  <c r="T71" i="60"/>
  <c r="AD71" i="60"/>
  <c r="AZ71" i="60"/>
  <c r="BB27" i="41"/>
  <c r="AD69" i="60"/>
  <c r="BD25" i="41"/>
  <c r="AD22" i="58" s="1"/>
  <c r="AE22" i="58" s="1"/>
  <c r="BH25" i="41"/>
  <c r="AG22" i="58" s="1"/>
  <c r="AH22" i="58" s="1"/>
  <c r="S67" i="60"/>
  <c r="V67" i="60" s="1"/>
  <c r="T67" i="60"/>
  <c r="AB67" i="60"/>
  <c r="AE67" i="60" s="1"/>
  <c r="R65" i="60"/>
  <c r="U65" i="60" s="1"/>
  <c r="AA65" i="60"/>
  <c r="AD65" i="60" s="1"/>
  <c r="AP15" i="64"/>
  <c r="BJ15" i="64" s="1"/>
  <c r="Q65" i="60"/>
  <c r="AJ65" i="60"/>
  <c r="AM65" i="60" s="1"/>
  <c r="T61" i="60"/>
  <c r="BC18" i="41"/>
  <c r="AA60" i="60"/>
  <c r="AP11" i="64"/>
  <c r="BJ11" i="64" s="1"/>
  <c r="S58" i="60"/>
  <c r="V58" i="60" s="1"/>
  <c r="AJ115" i="60"/>
  <c r="AM115" i="60" s="1"/>
  <c r="AP64" i="64"/>
  <c r="BJ64" i="64" s="1"/>
  <c r="BG21" i="47"/>
  <c r="BC21" i="47"/>
  <c r="S113" i="60"/>
  <c r="V113" i="60" s="1"/>
  <c r="AK113" i="60"/>
  <c r="AN113" i="60" s="1"/>
  <c r="T113" i="60"/>
  <c r="AB113" i="60"/>
  <c r="AE113" i="60" s="1"/>
  <c r="AW61" i="64"/>
  <c r="H33" i="69" s="1"/>
  <c r="AU61" i="64"/>
  <c r="F33" i="69" s="1"/>
  <c r="BH19" i="47"/>
  <c r="AG64" i="58" s="1"/>
  <c r="AH64" i="58" s="1"/>
  <c r="AK110" i="60"/>
  <c r="AN110" i="60" s="1"/>
  <c r="S110" i="60"/>
  <c r="V110" i="60" s="1"/>
  <c r="AB110" i="60"/>
  <c r="AE110" i="60" s="1"/>
  <c r="AA89" i="60"/>
  <c r="AP35" i="64"/>
  <c r="BJ35" i="64" s="1"/>
  <c r="Q89" i="60"/>
  <c r="BH21" i="42"/>
  <c r="AG38" i="58" s="1"/>
  <c r="AH38" i="58" s="1"/>
  <c r="BD21" i="42"/>
  <c r="AD38" i="58" s="1"/>
  <c r="AE38" i="58" s="1"/>
  <c r="BD18" i="42"/>
  <c r="AD35" i="58" s="1"/>
  <c r="AE35" i="58" s="1"/>
  <c r="BH18" i="42"/>
  <c r="AG35" i="58" s="1"/>
  <c r="AH35" i="58" s="1"/>
  <c r="AJ102" i="60"/>
  <c r="AM102" i="60" s="1"/>
  <c r="AP43" i="64"/>
  <c r="BJ43" i="64" s="1"/>
  <c r="R102" i="60"/>
  <c r="U102" i="60" s="1"/>
  <c r="BD23" i="43"/>
  <c r="AD47" i="58" s="1"/>
  <c r="AE47" i="58" s="1"/>
  <c r="BH23" i="43"/>
  <c r="AG47" i="58" s="1"/>
  <c r="AH47" i="58" s="1"/>
  <c r="BF22" i="43"/>
  <c r="BB22" i="43"/>
  <c r="BG22" i="43"/>
  <c r="BC22" i="43"/>
  <c r="S44" i="60"/>
  <c r="V44" i="60" s="1"/>
  <c r="T44" i="60"/>
  <c r="L38" i="60"/>
  <c r="E43" i="62" s="1"/>
  <c r="D40" i="75"/>
  <c r="F40" i="75"/>
  <c r="E40" i="75"/>
  <c r="G40" i="75"/>
  <c r="AB37" i="60"/>
  <c r="AE37" i="60" s="1"/>
  <c r="BC20" i="44"/>
  <c r="BG20" i="44"/>
  <c r="BH20" i="44"/>
  <c r="AG52" i="58" s="1"/>
  <c r="AH52" i="58" s="1"/>
  <c r="BG18" i="44"/>
  <c r="BC18" i="44"/>
  <c r="BB18" i="44"/>
  <c r="BF18" i="44"/>
  <c r="BD18" i="44"/>
  <c r="AD50" i="58" s="1"/>
  <c r="AE50" i="58" s="1"/>
  <c r="BH18" i="44"/>
  <c r="AG50" i="58" s="1"/>
  <c r="AH50" i="58" s="1"/>
  <c r="BH16" i="44"/>
  <c r="AG48" i="58" s="1"/>
  <c r="AH48" i="58" s="1"/>
  <c r="BD16" i="44"/>
  <c r="AD48" i="58" s="1"/>
  <c r="AE48" i="58" s="1"/>
  <c r="S22" i="60"/>
  <c r="V22" i="60" s="1"/>
  <c r="AB22" i="60"/>
  <c r="AE22" i="60" s="1"/>
  <c r="AK22" i="60"/>
  <c r="AN22" i="60" s="1"/>
  <c r="BB19" i="37"/>
  <c r="BF19" i="37"/>
  <c r="S13" i="60"/>
  <c r="AK13" i="60"/>
  <c r="AN13" i="60" s="1"/>
  <c r="T13" i="60"/>
  <c r="AB13" i="60"/>
  <c r="AE13" i="60" s="1"/>
  <c r="BL23" i="64"/>
  <c r="BM23" i="64" s="1"/>
  <c r="BL24" i="64"/>
  <c r="BM24" i="64" s="1"/>
  <c r="BK20" i="64"/>
  <c r="BK29" i="64"/>
  <c r="BL18" i="64"/>
  <c r="BM18" i="64" s="1"/>
  <c r="BL20" i="64"/>
  <c r="BM20" i="64" s="1"/>
  <c r="BL25" i="64"/>
  <c r="BM25" i="64" s="1"/>
  <c r="BM78" i="64"/>
  <c r="AP53" i="64"/>
  <c r="BJ53" i="64" s="1"/>
  <c r="AA15" i="60"/>
  <c r="AD15" i="60" s="1"/>
  <c r="R15" i="60"/>
  <c r="U15" i="60" s="1"/>
  <c r="AJ15" i="60"/>
  <c r="AM15" i="60" s="1"/>
  <c r="Q15" i="60"/>
  <c r="BG18" i="37"/>
  <c r="BC18" i="37"/>
  <c r="BD18" i="37"/>
  <c r="AD57" i="58" s="1"/>
  <c r="AE57" i="58" s="1"/>
  <c r="BH18" i="37"/>
  <c r="AG57" i="58" s="1"/>
  <c r="AH57" i="58" s="1"/>
  <c r="BH19" i="37"/>
  <c r="AG58" i="58" s="1"/>
  <c r="AH58" i="58" s="1"/>
  <c r="BD19" i="37"/>
  <c r="AD58" i="58" s="1"/>
  <c r="AE58" i="58" s="1"/>
  <c r="Q16" i="60"/>
  <c r="AP54" i="64"/>
  <c r="BJ54" i="64" s="1"/>
  <c r="R16" i="60"/>
  <c r="U16" i="60" s="1"/>
  <c r="AJ16" i="60"/>
  <c r="AM16" i="60" s="1"/>
  <c r="AA16" i="60"/>
  <c r="AD16" i="60" s="1"/>
  <c r="BB17" i="37"/>
  <c r="BB20" i="37" s="1"/>
  <c r="BF17" i="37"/>
  <c r="BD17" i="37"/>
  <c r="BH17" i="37"/>
  <c r="AG56" i="58" s="1"/>
  <c r="AH56" i="58" s="1"/>
  <c r="BG17" i="37"/>
  <c r="BC17" i="37"/>
  <c r="S14" i="60"/>
  <c r="V14" i="60" s="1"/>
  <c r="AB14" i="60"/>
  <c r="AE14" i="60" s="1"/>
  <c r="T14" i="60"/>
  <c r="AK14" i="60"/>
  <c r="AN14" i="60" s="1"/>
  <c r="BB19" i="55"/>
  <c r="BH16" i="55"/>
  <c r="AG90" i="58" s="1"/>
  <c r="AH90" i="58" s="1"/>
  <c r="BD16" i="55"/>
  <c r="AD90" i="58" s="1"/>
  <c r="AE90" i="58" s="1"/>
  <c r="BG16" i="55"/>
  <c r="BC16" i="55"/>
  <c r="BC19" i="55" s="1"/>
  <c r="BD18" i="55"/>
  <c r="BH18" i="55"/>
  <c r="AG92" i="58" s="1"/>
  <c r="AH92" i="58" s="1"/>
  <c r="AM175" i="60"/>
  <c r="E59" i="74" s="1"/>
  <c r="F45" i="72"/>
  <c r="C13" i="72" s="1"/>
  <c r="BB17" i="46"/>
  <c r="BB19" i="46" s="1"/>
  <c r="BF17" i="46"/>
  <c r="BC17" i="46"/>
  <c r="BC19" i="46" s="1"/>
  <c r="BG17" i="46"/>
  <c r="G13" i="76"/>
  <c r="D13" i="76"/>
  <c r="T53" i="60"/>
  <c r="D45" i="72" s="1"/>
  <c r="F13" i="76"/>
  <c r="E13" i="76"/>
  <c r="BD19" i="46"/>
  <c r="AD60" i="58"/>
  <c r="AE60" i="58" s="1"/>
  <c r="G42" i="76"/>
  <c r="E42" i="76"/>
  <c r="U53" i="60"/>
  <c r="E45" i="72" s="1"/>
  <c r="F42" i="76"/>
  <c r="AK157" i="60"/>
  <c r="AN157" i="60" s="1"/>
  <c r="AB157" i="60"/>
  <c r="AE157" i="60" s="1"/>
  <c r="T157" i="60"/>
  <c r="D22" i="76" s="1"/>
  <c r="S157" i="60"/>
  <c r="V157" i="60" s="1"/>
  <c r="BD21" i="53"/>
  <c r="AA148" i="60"/>
  <c r="AD148" i="60" s="1"/>
  <c r="E50" i="77" s="1"/>
  <c r="AP74" i="64"/>
  <c r="AJ148" i="60"/>
  <c r="AM148" i="60" s="1"/>
  <c r="E22" i="63" s="1"/>
  <c r="R148" i="60"/>
  <c r="U148" i="60" s="1"/>
  <c r="Q148" i="60"/>
  <c r="AB147" i="60"/>
  <c r="AE147" i="60" s="1"/>
  <c r="S147" i="60"/>
  <c r="V147" i="60" s="1"/>
  <c r="T147" i="60"/>
  <c r="AK147" i="60"/>
  <c r="AN147" i="60" s="1"/>
  <c r="BF18" i="52"/>
  <c r="BB18" i="52"/>
  <c r="BB20" i="52" s="1"/>
  <c r="BG18" i="52"/>
  <c r="BC18" i="52"/>
  <c r="BD20" i="52"/>
  <c r="AB145" i="60"/>
  <c r="AE145" i="60" s="1"/>
  <c r="BG16" i="52"/>
  <c r="BC16" i="52"/>
  <c r="AV71" i="64"/>
  <c r="G38" i="69" s="1"/>
  <c r="AA75" i="58"/>
  <c r="AB69" i="58" s="1"/>
  <c r="AK136" i="60"/>
  <c r="AN136" i="60" s="1"/>
  <c r="AN140" i="60" s="1"/>
  <c r="F54" i="74" s="1"/>
  <c r="C20" i="74" s="1"/>
  <c r="S136" i="60"/>
  <c r="V136" i="60" s="1"/>
  <c r="T136" i="60"/>
  <c r="AB136" i="60"/>
  <c r="AE136" i="60" s="1"/>
  <c r="T121" i="60"/>
  <c r="AB121" i="60"/>
  <c r="AE121" i="60" s="1"/>
  <c r="AE123" i="60" s="1"/>
  <c r="F52" i="73" s="1"/>
  <c r="C18" i="73" s="1"/>
  <c r="S121" i="60"/>
  <c r="V121" i="60" s="1"/>
  <c r="V123" i="60" s="1"/>
  <c r="F52" i="72" s="1"/>
  <c r="C18" i="72" s="1"/>
  <c r="AK121" i="60"/>
  <c r="AN121" i="60" s="1"/>
  <c r="AN123" i="60" s="1"/>
  <c r="F52" i="74" s="1"/>
  <c r="C18" i="74" s="1"/>
  <c r="BB23" i="47"/>
  <c r="BF23" i="47"/>
  <c r="BG23" i="47"/>
  <c r="BC23" i="47"/>
  <c r="BC24" i="47" s="1"/>
  <c r="BD22" i="47"/>
  <c r="BH22" i="47"/>
  <c r="AG67" i="58" s="1"/>
  <c r="AH67" i="58" s="1"/>
  <c r="BF20" i="47"/>
  <c r="BB20" i="47"/>
  <c r="AB112" i="60"/>
  <c r="AE112" i="60" s="1"/>
  <c r="S112" i="60"/>
  <c r="V112" i="60" s="1"/>
  <c r="T112" i="60"/>
  <c r="AK112" i="60"/>
  <c r="AN112" i="60" s="1"/>
  <c r="BB19" i="47"/>
  <c r="BB24" i="47" s="1"/>
  <c r="BF19" i="47"/>
  <c r="T111" i="60"/>
  <c r="S111" i="60"/>
  <c r="V111" i="60" s="1"/>
  <c r="AK111" i="60"/>
  <c r="AN111" i="60" s="1"/>
  <c r="AB111" i="60"/>
  <c r="AE111" i="60" s="1"/>
  <c r="U109" i="60"/>
  <c r="AK109" i="60"/>
  <c r="AN109" i="60" s="1"/>
  <c r="T109" i="60"/>
  <c r="S109" i="60"/>
  <c r="V109" i="60" s="1"/>
  <c r="AB109" i="60"/>
  <c r="AE109" i="60" s="1"/>
  <c r="J31" i="69"/>
  <c r="BM58" i="64"/>
  <c r="L31" i="69" s="1"/>
  <c r="S108" i="60"/>
  <c r="V108" i="60" s="1"/>
  <c r="T108" i="60"/>
  <c r="AB108" i="60"/>
  <c r="AE108" i="60" s="1"/>
  <c r="AK108" i="60"/>
  <c r="AN108" i="60" s="1"/>
  <c r="AB44" i="60"/>
  <c r="AE44" i="60" s="1"/>
  <c r="AK43" i="60"/>
  <c r="AN43" i="60" s="1"/>
  <c r="T43" i="60"/>
  <c r="AB43" i="60"/>
  <c r="AE43" i="60" s="1"/>
  <c r="S43" i="60"/>
  <c r="V43" i="60" s="1"/>
  <c r="V45" i="60" s="1"/>
  <c r="F44" i="72" s="1"/>
  <c r="C12" i="72" s="1"/>
  <c r="BM89" i="64"/>
  <c r="BK89" i="64"/>
  <c r="BL50" i="64"/>
  <c r="BM50" i="64" s="1"/>
  <c r="BC23" i="44"/>
  <c r="AB32" i="60"/>
  <c r="AE32" i="60" s="1"/>
  <c r="AK32" i="60"/>
  <c r="AN32" i="60" s="1"/>
  <c r="T32" i="60"/>
  <c r="AK35" i="60"/>
  <c r="AN35" i="60" s="1"/>
  <c r="S35" i="60"/>
  <c r="V35" i="60" s="1"/>
  <c r="T35" i="60"/>
  <c r="AB35" i="60"/>
  <c r="AE35" i="60" s="1"/>
  <c r="BD19" i="44"/>
  <c r="AD51" i="58" s="1"/>
  <c r="AE51" i="58" s="1"/>
  <c r="BH19" i="44"/>
  <c r="AG51" i="58" s="1"/>
  <c r="AH51" i="58" s="1"/>
  <c r="BF19" i="44"/>
  <c r="BB19" i="44"/>
  <c r="AJ34" i="60"/>
  <c r="AM34" i="60" s="1"/>
  <c r="AP47" i="64"/>
  <c r="BJ47" i="64" s="1"/>
  <c r="AA34" i="60"/>
  <c r="AD34" i="60" s="1"/>
  <c r="R34" i="60"/>
  <c r="U34" i="60" s="1"/>
  <c r="Q34" i="60"/>
  <c r="AB33" i="60"/>
  <c r="AE33" i="60" s="1"/>
  <c r="T33" i="60"/>
  <c r="AK33" i="60"/>
  <c r="AN33" i="60" s="1"/>
  <c r="S33" i="60"/>
  <c r="V33" i="60" s="1"/>
  <c r="BL46" i="64"/>
  <c r="BM46" i="64" s="1"/>
  <c r="BD17" i="44"/>
  <c r="BH17" i="44"/>
  <c r="AG49" i="58" s="1"/>
  <c r="AH49" i="58" s="1"/>
  <c r="BB16" i="44"/>
  <c r="BF16" i="44"/>
  <c r="S31" i="60"/>
  <c r="V31" i="60" s="1"/>
  <c r="AB31" i="60"/>
  <c r="AE31" i="60" s="1"/>
  <c r="T31" i="60"/>
  <c r="AK31" i="60"/>
  <c r="AN31" i="60" s="1"/>
  <c r="BB20" i="45"/>
  <c r="T25" i="60"/>
  <c r="F10" i="76" s="1"/>
  <c r="AB25" i="60"/>
  <c r="AE25" i="60" s="1"/>
  <c r="AK25" i="60"/>
  <c r="AN25" i="60" s="1"/>
  <c r="S25" i="60"/>
  <c r="V25" i="60" s="1"/>
  <c r="BH17" i="45"/>
  <c r="BD17" i="45"/>
  <c r="BD20" i="45" s="1"/>
  <c r="BC17" i="45"/>
  <c r="BC20" i="45" s="1"/>
  <c r="BG17" i="45"/>
  <c r="BK69" i="64"/>
  <c r="BM69" i="64"/>
  <c r="T130" i="60"/>
  <c r="AK130" i="60"/>
  <c r="AN130" i="60" s="1"/>
  <c r="AB130" i="60"/>
  <c r="AE130" i="60" s="1"/>
  <c r="S130" i="60"/>
  <c r="V130" i="60" s="1"/>
  <c r="AB129" i="60"/>
  <c r="AE129" i="60" s="1"/>
  <c r="S129" i="60"/>
  <c r="V129" i="60" s="1"/>
  <c r="T129" i="60"/>
  <c r="AK129" i="60"/>
  <c r="AN129" i="60" s="1"/>
  <c r="BF17" i="51"/>
  <c r="BB17" i="51"/>
  <c r="BG16" i="51"/>
  <c r="BC16" i="51"/>
  <c r="BC19" i="51" s="1"/>
  <c r="BD19" i="51"/>
  <c r="AD71" i="58"/>
  <c r="AE71" i="58" s="1"/>
  <c r="AK128" i="60"/>
  <c r="AN128" i="60" s="1"/>
  <c r="S128" i="60"/>
  <c r="V128" i="60" s="1"/>
  <c r="T128" i="60"/>
  <c r="AB128" i="60"/>
  <c r="AE128" i="60" s="1"/>
  <c r="G20" i="63"/>
  <c r="F20" i="63"/>
  <c r="D20" i="63"/>
  <c r="E20" i="63"/>
  <c r="AM131" i="60"/>
  <c r="E53" i="74" s="1"/>
  <c r="BB16" i="51"/>
  <c r="BF16" i="51"/>
  <c r="U131" i="60"/>
  <c r="E53" i="72" s="1"/>
  <c r="E48" i="76"/>
  <c r="G48" i="76"/>
  <c r="BH18" i="54"/>
  <c r="AG89" i="58" s="1"/>
  <c r="AH89" i="58" s="1"/>
  <c r="BD18" i="54"/>
  <c r="AD89" i="58" s="1"/>
  <c r="AE89" i="58" s="1"/>
  <c r="BG18" i="54"/>
  <c r="BC18" i="54"/>
  <c r="AD166" i="60"/>
  <c r="AZ166" i="60"/>
  <c r="T166" i="60"/>
  <c r="AK166" i="60"/>
  <c r="AN166" i="60" s="1"/>
  <c r="AB166" i="60"/>
  <c r="AE166" i="60" s="1"/>
  <c r="S166" i="60"/>
  <c r="V166" i="60" s="1"/>
  <c r="BD17" i="54"/>
  <c r="AD88" i="58" s="1"/>
  <c r="AE88" i="58" s="1"/>
  <c r="BH17" i="54"/>
  <c r="AG88" i="58" s="1"/>
  <c r="AH88" i="58" s="1"/>
  <c r="BC19" i="54"/>
  <c r="T164" i="60"/>
  <c r="S164" i="60"/>
  <c r="V164" i="60" s="1"/>
  <c r="AB164" i="60"/>
  <c r="AE164" i="60" s="1"/>
  <c r="AK164" i="60"/>
  <c r="AN164" i="60" s="1"/>
  <c r="BH16" i="54"/>
  <c r="AG87" i="58" s="1"/>
  <c r="AH87" i="58" s="1"/>
  <c r="BD16" i="54"/>
  <c r="AM167" i="60"/>
  <c r="E58" i="74" s="1"/>
  <c r="AC100" i="60"/>
  <c r="AV41" i="64"/>
  <c r="G22" i="69" s="1"/>
  <c r="F16" i="75"/>
  <c r="D49" i="62"/>
  <c r="G16" i="75"/>
  <c r="D16" i="75"/>
  <c r="E16" i="75"/>
  <c r="AL103" i="60"/>
  <c r="D49" i="74" s="1"/>
  <c r="BC21" i="43"/>
  <c r="BG21" i="43"/>
  <c r="BB21" i="43"/>
  <c r="BF21" i="43"/>
  <c r="BD21" i="43"/>
  <c r="AD45" i="58" s="1"/>
  <c r="BH21" i="43"/>
  <c r="AG45" i="58" s="1"/>
  <c r="S100" i="60"/>
  <c r="AK100" i="60"/>
  <c r="AN100" i="60" s="1"/>
  <c r="AB100" i="60"/>
  <c r="AE100" i="60" s="1"/>
  <c r="BD20" i="43"/>
  <c r="AD44" i="58" s="1"/>
  <c r="AE44" i="58" s="1"/>
  <c r="BH20" i="43"/>
  <c r="AG44" i="58" s="1"/>
  <c r="AH44" i="58" s="1"/>
  <c r="AB97" i="60"/>
  <c r="AE97" i="60" s="1"/>
  <c r="AK97" i="60"/>
  <c r="AN97" i="60" s="1"/>
  <c r="S97" i="60"/>
  <c r="V97" i="60" s="1"/>
  <c r="T97" i="60"/>
  <c r="AD97" i="60"/>
  <c r="AB98" i="60"/>
  <c r="AE98" i="60" s="1"/>
  <c r="T98" i="60"/>
  <c r="AK96" i="60"/>
  <c r="AN96" i="60" s="1"/>
  <c r="S96" i="60"/>
  <c r="V96" i="60" s="1"/>
  <c r="AB96" i="60"/>
  <c r="AE96" i="60" s="1"/>
  <c r="T96" i="60"/>
  <c r="BC16" i="43"/>
  <c r="BG16" i="43"/>
  <c r="BB16" i="43"/>
  <c r="BF16" i="43"/>
  <c r="BH16" i="43"/>
  <c r="AG40" i="58" s="1"/>
  <c r="AH40" i="58" s="1"/>
  <c r="BD16" i="43"/>
  <c r="AK95" i="60"/>
  <c r="AN95" i="60" s="1"/>
  <c r="AB95" i="60"/>
  <c r="AE95" i="60" s="1"/>
  <c r="T95" i="60"/>
  <c r="S95" i="60"/>
  <c r="V95" i="60" s="1"/>
  <c r="BL36" i="64"/>
  <c r="BM36" i="64" s="1"/>
  <c r="J17" i="69"/>
  <c r="BG35" i="41"/>
  <c r="BC35" i="41"/>
  <c r="S77" i="60"/>
  <c r="V77" i="60" s="1"/>
  <c r="AB77" i="60"/>
  <c r="AE77" i="60" s="1"/>
  <c r="AK77" i="60"/>
  <c r="AN77" i="60" s="1"/>
  <c r="BF34" i="41"/>
  <c r="BB34" i="41"/>
  <c r="AZ76" i="60"/>
  <c r="AD76" i="60"/>
  <c r="BC34" i="41"/>
  <c r="BC36" i="41" s="1"/>
  <c r="BG34" i="41"/>
  <c r="BG32" i="41"/>
  <c r="BC32" i="41"/>
  <c r="BD32" i="41"/>
  <c r="AD29" i="58" s="1"/>
  <c r="AE29" i="58" s="1"/>
  <c r="BH32" i="41"/>
  <c r="AG29" i="58" s="1"/>
  <c r="AH29" i="58" s="1"/>
  <c r="BD31" i="41"/>
  <c r="AD28" i="58" s="1"/>
  <c r="AE28" i="58" s="1"/>
  <c r="BH31" i="41"/>
  <c r="AG28" i="58" s="1"/>
  <c r="AH28" i="58" s="1"/>
  <c r="AD73" i="60"/>
  <c r="AZ73" i="60"/>
  <c r="BD30" i="41"/>
  <c r="AD27" i="58" s="1"/>
  <c r="AE27" i="58" s="1"/>
  <c r="BH30" i="41"/>
  <c r="AG27" i="58" s="1"/>
  <c r="AH27" i="58" s="1"/>
  <c r="AK72" i="60"/>
  <c r="AN72" i="60" s="1"/>
  <c r="S72" i="60"/>
  <c r="V72" i="60" s="1"/>
  <c r="AB72" i="60"/>
  <c r="AE72" i="60" s="1"/>
  <c r="T72" i="60"/>
  <c r="BB28" i="41"/>
  <c r="BF28" i="41"/>
  <c r="BG28" i="41"/>
  <c r="BC28" i="41"/>
  <c r="AZ70" i="60"/>
  <c r="AD70" i="60"/>
  <c r="BD27" i="41"/>
  <c r="AD24" i="58" s="1"/>
  <c r="AE24" i="58" s="1"/>
  <c r="BH27" i="41"/>
  <c r="AG24" i="58" s="1"/>
  <c r="AH24" i="58" s="1"/>
  <c r="BB26" i="41"/>
  <c r="BF26" i="41"/>
  <c r="BH24" i="41"/>
  <c r="AG21" i="58" s="1"/>
  <c r="AH21" i="58" s="1"/>
  <c r="BD24" i="41"/>
  <c r="AD21" i="58" s="1"/>
  <c r="AE21" i="58" s="1"/>
  <c r="S66" i="60"/>
  <c r="V66" i="60" s="1"/>
  <c r="AB66" i="60"/>
  <c r="AE66" i="60" s="1"/>
  <c r="T66" i="60"/>
  <c r="AK66" i="60"/>
  <c r="AN66" i="60" s="1"/>
  <c r="BG24" i="41"/>
  <c r="BC24" i="41"/>
  <c r="BB24" i="41"/>
  <c r="BF24" i="41"/>
  <c r="BK16" i="64"/>
  <c r="BL16" i="64"/>
  <c r="BM16" i="64" s="1"/>
  <c r="BH23" i="41"/>
  <c r="AG20" i="58" s="1"/>
  <c r="AH20" i="58" s="1"/>
  <c r="BD23" i="41"/>
  <c r="AD20" i="58" s="1"/>
  <c r="AE20" i="58" s="1"/>
  <c r="T64" i="60"/>
  <c r="S64" i="60"/>
  <c r="V64" i="60" s="1"/>
  <c r="AK64" i="60"/>
  <c r="AN64" i="60" s="1"/>
  <c r="AB64" i="60"/>
  <c r="AE64" i="60" s="1"/>
  <c r="J11" i="69"/>
  <c r="BM19" i="64"/>
  <c r="L11" i="69" s="1"/>
  <c r="BD21" i="41"/>
  <c r="AD18" i="58" s="1"/>
  <c r="AE18" i="58" s="1"/>
  <c r="BG21" i="41"/>
  <c r="AZ63" i="60"/>
  <c r="AD63" i="60"/>
  <c r="S60" i="60"/>
  <c r="V60" i="60" s="1"/>
  <c r="T59" i="60"/>
  <c r="S59" i="60"/>
  <c r="V59" i="60" s="1"/>
  <c r="AB59" i="60"/>
  <c r="AE59" i="60" s="1"/>
  <c r="BK9" i="64"/>
  <c r="AD13" i="58"/>
  <c r="AE13" i="58" s="1"/>
  <c r="BD36" i="41"/>
  <c r="BC22" i="42"/>
  <c r="BC23" i="42" s="1"/>
  <c r="BG22" i="42"/>
  <c r="BD22" i="42"/>
  <c r="AD39" i="58" s="1"/>
  <c r="AE39" i="58" s="1"/>
  <c r="BH22" i="42"/>
  <c r="AG39" i="58" s="1"/>
  <c r="AH39" i="58" s="1"/>
  <c r="AD88" i="60"/>
  <c r="AZ88" i="60"/>
  <c r="BG20" i="42"/>
  <c r="BC20" i="42"/>
  <c r="BB20" i="42"/>
  <c r="BF20" i="42"/>
  <c r="AB87" i="60"/>
  <c r="AE87" i="60" s="1"/>
  <c r="S87" i="60"/>
  <c r="V87" i="60" s="1"/>
  <c r="T87" i="60"/>
  <c r="AK87" i="60"/>
  <c r="AN87" i="60" s="1"/>
  <c r="BK33" i="64"/>
  <c r="BL33" i="64"/>
  <c r="BM33" i="64" s="1"/>
  <c r="BF17" i="42"/>
  <c r="BB17" i="42"/>
  <c r="BD16" i="42"/>
  <c r="BH16" i="42"/>
  <c r="AG33" i="58" s="1"/>
  <c r="AH33" i="58" s="1"/>
  <c r="BM29" i="64"/>
  <c r="G21" i="63" l="1"/>
  <c r="E24" i="63"/>
  <c r="E50" i="75"/>
  <c r="AM140" i="60"/>
  <c r="E54" i="74" s="1"/>
  <c r="F49" i="63"/>
  <c r="BK31" i="64"/>
  <c r="E11" i="75"/>
  <c r="D20" i="77"/>
  <c r="G49" i="63"/>
  <c r="D11" i="75"/>
  <c r="H11" i="75" s="1"/>
  <c r="I11" i="75" s="1"/>
  <c r="AL17" i="60"/>
  <c r="D41" i="74" s="1"/>
  <c r="D50" i="63"/>
  <c r="E49" i="63"/>
  <c r="G39" i="63"/>
  <c r="AM26" i="60"/>
  <c r="E42" i="74" s="1"/>
  <c r="L33" i="69"/>
  <c r="G50" i="75"/>
  <c r="L24" i="69"/>
  <c r="D49" i="63"/>
  <c r="AL38" i="60"/>
  <c r="D43" i="74" s="1"/>
  <c r="E21" i="63"/>
  <c r="AD53" i="60"/>
  <c r="E45" i="74" s="1"/>
  <c r="K38" i="60"/>
  <c r="D43" i="62" s="1"/>
  <c r="G37" i="63"/>
  <c r="E50" i="63"/>
  <c r="I31" i="69"/>
  <c r="BK38" i="64"/>
  <c r="K19" i="69" s="1"/>
  <c r="G16" i="63"/>
  <c r="G24" i="63"/>
  <c r="G11" i="75"/>
  <c r="D21" i="63"/>
  <c r="H21" i="63" s="1"/>
  <c r="I21" i="63" s="1"/>
  <c r="E20" i="77"/>
  <c r="E19" i="63"/>
  <c r="K159" i="60"/>
  <c r="D56" i="62" s="1"/>
  <c r="J36" i="69"/>
  <c r="BL67" i="64"/>
  <c r="F48" i="76"/>
  <c r="G47" i="77"/>
  <c r="F50" i="75"/>
  <c r="J34" i="69"/>
  <c r="G21" i="75"/>
  <c r="E23" i="77"/>
  <c r="D14" i="63"/>
  <c r="E51" i="77"/>
  <c r="G39" i="76"/>
  <c r="J38" i="69"/>
  <c r="F23" i="77"/>
  <c r="E48" i="77"/>
  <c r="H13" i="75"/>
  <c r="I13" i="75" s="1"/>
  <c r="BK63" i="64"/>
  <c r="F39" i="76"/>
  <c r="BJ87" i="64"/>
  <c r="BK87" i="64" s="1"/>
  <c r="J33" i="69"/>
  <c r="BK83" i="64"/>
  <c r="I40" i="69"/>
  <c r="BK62" i="64"/>
  <c r="K33" i="69" s="1"/>
  <c r="J18" i="69"/>
  <c r="BK40" i="64"/>
  <c r="K21" i="69" s="1"/>
  <c r="I13" i="69"/>
  <c r="BM67" i="64"/>
  <c r="BK26" i="64"/>
  <c r="J25" i="69"/>
  <c r="BK45" i="64"/>
  <c r="I22" i="69"/>
  <c r="M47" i="69"/>
  <c r="BL21" i="64"/>
  <c r="BM21" i="64" s="1"/>
  <c r="BN20" i="64" s="1"/>
  <c r="M12" i="69" s="1"/>
  <c r="J35" i="69"/>
  <c r="J29" i="69"/>
  <c r="BK65" i="64"/>
  <c r="K35" i="69" s="1"/>
  <c r="BL85" i="64"/>
  <c r="BM85" i="64" s="1"/>
  <c r="BL56" i="64"/>
  <c r="BM56" i="64" s="1"/>
  <c r="L29" i="69" s="1"/>
  <c r="I16" i="69"/>
  <c r="BK67" i="64"/>
  <c r="BK84" i="64"/>
  <c r="BK19" i="64"/>
  <c r="K11" i="69" s="1"/>
  <c r="BK77" i="64"/>
  <c r="I43" i="69"/>
  <c r="BK10" i="64"/>
  <c r="I10" i="69"/>
  <c r="L35" i="69"/>
  <c r="AL116" i="60"/>
  <c r="D51" i="74" s="1"/>
  <c r="F22" i="77"/>
  <c r="G47" i="76"/>
  <c r="G45" i="63"/>
  <c r="D37" i="63"/>
  <c r="U123" i="60"/>
  <c r="E52" i="72" s="1"/>
  <c r="BK93" i="64"/>
  <c r="D22" i="75"/>
  <c r="E15" i="77"/>
  <c r="BK95" i="64"/>
  <c r="K48" i="69" s="1"/>
  <c r="D47" i="76"/>
  <c r="H47" i="76" s="1"/>
  <c r="I47" i="76" s="1"/>
  <c r="V159" i="60"/>
  <c r="F56" i="72" s="1"/>
  <c r="C22" i="72" s="1"/>
  <c r="I33" i="69"/>
  <c r="F37" i="63"/>
  <c r="F53" i="63" s="1"/>
  <c r="E57" i="63" s="1"/>
  <c r="H24" i="75"/>
  <c r="I24" i="75" s="1"/>
  <c r="BK48" i="64"/>
  <c r="L15" i="69"/>
  <c r="AK102" i="60"/>
  <c r="AN102" i="60" s="1"/>
  <c r="AN103" i="60" s="1"/>
  <c r="F49" i="74" s="1"/>
  <c r="C16" i="74" s="1"/>
  <c r="D21" i="75"/>
  <c r="G14" i="63"/>
  <c r="BK75" i="64"/>
  <c r="AD123" i="60"/>
  <c r="E52" i="73" s="1"/>
  <c r="D23" i="77"/>
  <c r="H23" i="77" s="1"/>
  <c r="I23" i="77" s="1"/>
  <c r="J15" i="69"/>
  <c r="F45" i="75"/>
  <c r="AE53" i="60"/>
  <c r="F45" i="73" s="1"/>
  <c r="C13" i="73" s="1"/>
  <c r="I35" i="69"/>
  <c r="I23" i="69"/>
  <c r="BK14" i="64"/>
  <c r="G22" i="75"/>
  <c r="L45" i="60"/>
  <c r="E44" i="62" s="1"/>
  <c r="E45" i="63"/>
  <c r="H45" i="63" s="1"/>
  <c r="I45" i="63" s="1"/>
  <c r="BK37" i="64"/>
  <c r="K18" i="69" s="1"/>
  <c r="F47" i="76"/>
  <c r="K149" i="60"/>
  <c r="D55" i="62" s="1"/>
  <c r="F14" i="63"/>
  <c r="BL10" i="64"/>
  <c r="BM10" i="64" s="1"/>
  <c r="BL12" i="64"/>
  <c r="BM12" i="64" s="1"/>
  <c r="F19" i="75"/>
  <c r="F24" i="77"/>
  <c r="D44" i="63"/>
  <c r="BL30" i="64"/>
  <c r="BM30" i="64" s="1"/>
  <c r="BN29" i="64" s="1"/>
  <c r="AD140" i="60"/>
  <c r="E54" i="73" s="1"/>
  <c r="AB102" i="60"/>
  <c r="AE102" i="60" s="1"/>
  <c r="AE103" i="60" s="1"/>
  <c r="F49" i="73" s="1"/>
  <c r="C16" i="73" s="1"/>
  <c r="G51" i="77"/>
  <c r="AK60" i="60"/>
  <c r="AN60" i="60" s="1"/>
  <c r="S102" i="60"/>
  <c r="V102" i="60" s="1"/>
  <c r="V103" i="60" s="1"/>
  <c r="F49" i="72" s="1"/>
  <c r="C16" i="72" s="1"/>
  <c r="G11" i="63"/>
  <c r="E21" i="75"/>
  <c r="H21" i="75" s="1"/>
  <c r="I21" i="75" s="1"/>
  <c r="E23" i="63"/>
  <c r="AM53" i="60"/>
  <c r="G49" i="75"/>
  <c r="J14" i="69"/>
  <c r="H9" i="77"/>
  <c r="I9" i="77" s="1"/>
  <c r="D51" i="76"/>
  <c r="G24" i="77"/>
  <c r="D24" i="77"/>
  <c r="H24" i="77" s="1"/>
  <c r="I24" i="77" s="1"/>
  <c r="K14" i="69"/>
  <c r="E49" i="77"/>
  <c r="T60" i="60"/>
  <c r="J41" i="69"/>
  <c r="U149" i="60"/>
  <c r="E55" i="72" s="1"/>
  <c r="E24" i="77"/>
  <c r="E16" i="63"/>
  <c r="D19" i="75"/>
  <c r="G23" i="77"/>
  <c r="F21" i="75"/>
  <c r="BK52" i="64"/>
  <c r="K25" i="69" s="1"/>
  <c r="AC38" i="60"/>
  <c r="D43" i="73" s="1"/>
  <c r="K131" i="60"/>
  <c r="D53" i="62" s="1"/>
  <c r="D11" i="63"/>
  <c r="G19" i="75"/>
  <c r="H19" i="75" s="1"/>
  <c r="I19" i="75" s="1"/>
  <c r="BK22" i="64"/>
  <c r="K12" i="69" s="1"/>
  <c r="U38" i="60"/>
  <c r="E43" i="72" s="1"/>
  <c r="E51" i="76"/>
  <c r="E22" i="75"/>
  <c r="H42" i="75"/>
  <c r="I42" i="75" s="1"/>
  <c r="AC159" i="60"/>
  <c r="D56" i="73" s="1"/>
  <c r="G45" i="75"/>
  <c r="D50" i="75"/>
  <c r="H50" i="75" s="1"/>
  <c r="I50" i="75" s="1"/>
  <c r="AM159" i="60"/>
  <c r="E56" i="74" s="1"/>
  <c r="F51" i="76"/>
  <c r="H51" i="76" s="1"/>
  <c r="I51" i="76" s="1"/>
  <c r="J16" i="69"/>
  <c r="F52" i="76"/>
  <c r="F22" i="75"/>
  <c r="F49" i="76"/>
  <c r="D22" i="77"/>
  <c r="BK36" i="64"/>
  <c r="K17" i="69" s="1"/>
  <c r="J19" i="69"/>
  <c r="G41" i="76"/>
  <c r="BK59" i="64"/>
  <c r="K32" i="69" s="1"/>
  <c r="H13" i="77"/>
  <c r="I13" i="77" s="1"/>
  <c r="G12" i="75"/>
  <c r="E22" i="77"/>
  <c r="E40" i="63"/>
  <c r="H40" i="63" s="1"/>
  <c r="I40" i="63" s="1"/>
  <c r="BL38" i="64"/>
  <c r="BM38" i="64" s="1"/>
  <c r="L19" i="69" s="1"/>
  <c r="AM38" i="60"/>
  <c r="E43" i="74" s="1"/>
  <c r="E52" i="77"/>
  <c r="G15" i="77"/>
  <c r="F41" i="75"/>
  <c r="E18" i="63"/>
  <c r="AL45" i="60"/>
  <c r="AE159" i="60"/>
  <c r="F56" i="73" s="1"/>
  <c r="C22" i="73" s="1"/>
  <c r="E42" i="77"/>
  <c r="BK64" i="64"/>
  <c r="K34" i="69" s="1"/>
  <c r="AL131" i="60"/>
  <c r="D53" i="74" s="1"/>
  <c r="E39" i="63"/>
  <c r="H39" i="63" s="1"/>
  <c r="I39" i="63" s="1"/>
  <c r="E41" i="75"/>
  <c r="H39" i="75"/>
  <c r="I39" i="75" s="1"/>
  <c r="I36" i="69"/>
  <c r="E14" i="77"/>
  <c r="F40" i="63"/>
  <c r="AN159" i="60"/>
  <c r="F56" i="74" s="1"/>
  <c r="C22" i="74" s="1"/>
  <c r="J12" i="69"/>
  <c r="F39" i="77"/>
  <c r="D51" i="77"/>
  <c r="E44" i="63"/>
  <c r="D24" i="63"/>
  <c r="H24" i="63" s="1"/>
  <c r="I24" i="63" s="1"/>
  <c r="D23" i="63"/>
  <c r="D42" i="77"/>
  <c r="BL87" i="64"/>
  <c r="BM87" i="64" s="1"/>
  <c r="F47" i="63"/>
  <c r="D41" i="75"/>
  <c r="G22" i="77"/>
  <c r="BK34" i="64"/>
  <c r="G50" i="76"/>
  <c r="D41" i="77"/>
  <c r="AD45" i="60"/>
  <c r="E44" i="73" s="1"/>
  <c r="D47" i="63"/>
  <c r="G44" i="63"/>
  <c r="BK70" i="64"/>
  <c r="K37" i="69" s="1"/>
  <c r="BK71" i="64"/>
  <c r="K38" i="69" s="1"/>
  <c r="G23" i="63"/>
  <c r="D25" i="63"/>
  <c r="G47" i="63"/>
  <c r="D45" i="75"/>
  <c r="G41" i="75"/>
  <c r="F16" i="63"/>
  <c r="H16" i="63" s="1"/>
  <c r="I16" i="63" s="1"/>
  <c r="D44" i="76"/>
  <c r="E53" i="76"/>
  <c r="AM45" i="60"/>
  <c r="E44" i="74" s="1"/>
  <c r="D13" i="63"/>
  <c r="J37" i="69"/>
  <c r="F25" i="63"/>
  <c r="D10" i="63"/>
  <c r="U159" i="60"/>
  <c r="E56" i="72" s="1"/>
  <c r="H38" i="75"/>
  <c r="I38" i="75" s="1"/>
  <c r="E49" i="75"/>
  <c r="AM123" i="60"/>
  <c r="E52" i="74" s="1"/>
  <c r="AE140" i="60"/>
  <c r="F54" i="73" s="1"/>
  <c r="C20" i="73" s="1"/>
  <c r="D14" i="77"/>
  <c r="D18" i="63"/>
  <c r="AN26" i="60"/>
  <c r="F42" i="74" s="1"/>
  <c r="C10" i="74" s="1"/>
  <c r="E15" i="63"/>
  <c r="F49" i="75"/>
  <c r="AE26" i="60"/>
  <c r="F42" i="73" s="1"/>
  <c r="C10" i="73" s="1"/>
  <c r="AD149" i="60"/>
  <c r="E55" i="73" s="1"/>
  <c r="E39" i="77"/>
  <c r="BL92" i="64"/>
  <c r="BM92" i="64" s="1"/>
  <c r="J46" i="69"/>
  <c r="F14" i="77"/>
  <c r="BK68" i="64"/>
  <c r="K36" i="69" s="1"/>
  <c r="F50" i="62"/>
  <c r="G48" i="77"/>
  <c r="H48" i="77" s="1"/>
  <c r="I48" i="77" s="1"/>
  <c r="F41" i="77"/>
  <c r="E47" i="77"/>
  <c r="E49" i="76"/>
  <c r="D22" i="63"/>
  <c r="AD159" i="60"/>
  <c r="E56" i="73" s="1"/>
  <c r="J30" i="69"/>
  <c r="J24" i="69"/>
  <c r="BK49" i="64"/>
  <c r="H41" i="63"/>
  <c r="I41" i="63" s="1"/>
  <c r="D11" i="77"/>
  <c r="F20" i="77"/>
  <c r="G52" i="75"/>
  <c r="G49" i="76"/>
  <c r="D33" i="74"/>
  <c r="D60" i="74"/>
  <c r="L103" i="60"/>
  <c r="E49" i="62" s="1"/>
  <c r="D41" i="76"/>
  <c r="G41" i="77"/>
  <c r="D49" i="76"/>
  <c r="D48" i="77"/>
  <c r="D19" i="63"/>
  <c r="U140" i="60"/>
  <c r="E54" i="72" s="1"/>
  <c r="F50" i="77"/>
  <c r="F51" i="77"/>
  <c r="BK51" i="64"/>
  <c r="K24" i="69" s="1"/>
  <c r="G17" i="63"/>
  <c r="E11" i="77"/>
  <c r="L167" i="60"/>
  <c r="E58" i="62" s="1"/>
  <c r="E60" i="62" s="1"/>
  <c r="H53" i="75"/>
  <c r="I53" i="75" s="1"/>
  <c r="D47" i="77"/>
  <c r="F30" i="62"/>
  <c r="H51" i="63"/>
  <c r="I51" i="63" s="1"/>
  <c r="D9" i="75"/>
  <c r="G9" i="75"/>
  <c r="AM116" i="60"/>
  <c r="E51" i="74" s="1"/>
  <c r="L140" i="60"/>
  <c r="E54" i="62" s="1"/>
  <c r="D49" i="75"/>
  <c r="E45" i="75"/>
  <c r="V26" i="60"/>
  <c r="F42" i="72" s="1"/>
  <c r="C10" i="72" s="1"/>
  <c r="D52" i="76"/>
  <c r="D50" i="77"/>
  <c r="F48" i="77"/>
  <c r="G19" i="63"/>
  <c r="G11" i="77"/>
  <c r="AL159" i="60"/>
  <c r="D56" i="74" s="1"/>
  <c r="H47" i="75"/>
  <c r="I47" i="75" s="1"/>
  <c r="G39" i="77"/>
  <c r="F46" i="62"/>
  <c r="H12" i="77"/>
  <c r="I12" i="77" s="1"/>
  <c r="H46" i="63"/>
  <c r="I46" i="63" s="1"/>
  <c r="G52" i="76"/>
  <c r="BK57" i="64"/>
  <c r="K30" i="69" s="1"/>
  <c r="D52" i="75"/>
  <c r="BL26" i="64"/>
  <c r="BM26" i="64" s="1"/>
  <c r="L13" i="69" s="1"/>
  <c r="U167" i="60"/>
  <c r="E58" i="72" s="1"/>
  <c r="E52" i="75"/>
  <c r="AD131" i="60"/>
  <c r="E53" i="73" s="1"/>
  <c r="F11" i="63"/>
  <c r="F19" i="63"/>
  <c r="D50" i="76"/>
  <c r="G50" i="77"/>
  <c r="J10" i="69"/>
  <c r="F50" i="63"/>
  <c r="D12" i="75"/>
  <c r="E44" i="76"/>
  <c r="F31" i="62"/>
  <c r="E11" i="63"/>
  <c r="AD103" i="60"/>
  <c r="E49" i="73" s="1"/>
  <c r="AE45" i="60"/>
  <c r="F44" i="73" s="1"/>
  <c r="C12" i="73" s="1"/>
  <c r="D49" i="77"/>
  <c r="BK92" i="64"/>
  <c r="K46" i="69" s="1"/>
  <c r="H48" i="63"/>
  <c r="I48" i="63" s="1"/>
  <c r="K17" i="60"/>
  <c r="D41" i="62" s="1"/>
  <c r="D30" i="62" s="1"/>
  <c r="H43" i="63"/>
  <c r="I43" i="63" s="1"/>
  <c r="E43" i="76"/>
  <c r="G45" i="76"/>
  <c r="U103" i="60"/>
  <c r="E49" i="72" s="1"/>
  <c r="E45" i="76"/>
  <c r="F45" i="76"/>
  <c r="D45" i="76"/>
  <c r="F43" i="76"/>
  <c r="G43" i="76"/>
  <c r="U78" i="60"/>
  <c r="E47" i="72" s="1"/>
  <c r="D43" i="76"/>
  <c r="E51" i="75"/>
  <c r="D51" i="75"/>
  <c r="F51" i="75"/>
  <c r="L159" i="60"/>
  <c r="E56" i="62" s="1"/>
  <c r="G51" i="75"/>
  <c r="F52" i="77"/>
  <c r="F19" i="77"/>
  <c r="E19" i="77"/>
  <c r="D19" i="77"/>
  <c r="AC131" i="60"/>
  <c r="D53" i="73" s="1"/>
  <c r="G19" i="77"/>
  <c r="U90" i="60"/>
  <c r="E48" i="72" s="1"/>
  <c r="G15" i="63"/>
  <c r="T115" i="60"/>
  <c r="E17" i="76" s="1"/>
  <c r="F49" i="77"/>
  <c r="AK115" i="60"/>
  <c r="AN115" i="60" s="1"/>
  <c r="AN116" i="60" s="1"/>
  <c r="F51" i="74" s="1"/>
  <c r="C17" i="74" s="1"/>
  <c r="D21" i="77"/>
  <c r="G21" i="77"/>
  <c r="E21" i="77"/>
  <c r="F21" i="77"/>
  <c r="AC149" i="60"/>
  <c r="D55" i="73" s="1"/>
  <c r="J44" i="69"/>
  <c r="K90" i="60"/>
  <c r="D48" i="62" s="1"/>
  <c r="D15" i="75"/>
  <c r="E15" i="75"/>
  <c r="F15" i="75"/>
  <c r="G15" i="75"/>
  <c r="G18" i="77"/>
  <c r="E18" i="77"/>
  <c r="D18" i="77"/>
  <c r="AC123" i="60"/>
  <c r="D52" i="73" s="1"/>
  <c r="F18" i="77"/>
  <c r="AM78" i="60"/>
  <c r="E47" i="74" s="1"/>
  <c r="F17" i="63"/>
  <c r="E41" i="76"/>
  <c r="G53" i="76"/>
  <c r="G14" i="75"/>
  <c r="E14" i="75"/>
  <c r="F14" i="75"/>
  <c r="K78" i="60"/>
  <c r="D47" i="62" s="1"/>
  <c r="D14" i="75"/>
  <c r="H38" i="63"/>
  <c r="I38" i="63" s="1"/>
  <c r="E48" i="75"/>
  <c r="F48" i="75"/>
  <c r="D48" i="75"/>
  <c r="L131" i="60"/>
  <c r="E53" i="62" s="1"/>
  <c r="G48" i="75"/>
  <c r="F44" i="75"/>
  <c r="G44" i="75"/>
  <c r="L90" i="60"/>
  <c r="E48" i="62" s="1"/>
  <c r="E44" i="75"/>
  <c r="D44" i="75"/>
  <c r="D46" i="77"/>
  <c r="E17" i="63"/>
  <c r="F50" i="76"/>
  <c r="J13" i="69"/>
  <c r="AM103" i="60"/>
  <c r="E49" i="74" s="1"/>
  <c r="D17" i="63"/>
  <c r="BN40" i="64"/>
  <c r="D19" i="67" s="1"/>
  <c r="AC90" i="60"/>
  <c r="D48" i="73" s="1"/>
  <c r="F15" i="77"/>
  <c r="G13" i="63"/>
  <c r="F41" i="76"/>
  <c r="G18" i="63"/>
  <c r="G51" i="76"/>
  <c r="U175" i="60"/>
  <c r="E59" i="72" s="1"/>
  <c r="BM59" i="64"/>
  <c r="L32" i="69" s="1"/>
  <c r="AC78" i="60"/>
  <c r="D47" i="73" s="1"/>
  <c r="I15" i="69"/>
  <c r="BK32" i="64"/>
  <c r="K15" i="69" s="1"/>
  <c r="D15" i="77"/>
  <c r="D60" i="62"/>
  <c r="D33" i="62"/>
  <c r="G44" i="76"/>
  <c r="D15" i="63"/>
  <c r="L78" i="60"/>
  <c r="E47" i="62" s="1"/>
  <c r="G43" i="75"/>
  <c r="E43" i="75"/>
  <c r="D43" i="75"/>
  <c r="F43" i="75"/>
  <c r="AN45" i="60"/>
  <c r="F44" i="74" s="1"/>
  <c r="C12" i="74" s="1"/>
  <c r="AD17" i="60"/>
  <c r="E41" i="73" s="1"/>
  <c r="F15" i="63"/>
  <c r="E20" i="75"/>
  <c r="D20" i="75"/>
  <c r="G20" i="75"/>
  <c r="K140" i="60"/>
  <c r="D54" i="62" s="1"/>
  <c r="F20" i="75"/>
  <c r="BK27" i="64"/>
  <c r="K13" i="69" s="1"/>
  <c r="S115" i="60"/>
  <c r="V115" i="60" s="1"/>
  <c r="G22" i="63"/>
  <c r="F53" i="76"/>
  <c r="F44" i="76"/>
  <c r="F13" i="63"/>
  <c r="L41" i="69"/>
  <c r="D60" i="73"/>
  <c r="D33" i="73"/>
  <c r="BL95" i="64"/>
  <c r="BM95" i="64" s="1"/>
  <c r="L48" i="69" s="1"/>
  <c r="E13" i="63"/>
  <c r="F18" i="63"/>
  <c r="G14" i="77"/>
  <c r="AC140" i="60"/>
  <c r="D54" i="73" s="1"/>
  <c r="Y100" i="58"/>
  <c r="H23" i="75"/>
  <c r="I23" i="75" s="1"/>
  <c r="AH45" i="58"/>
  <c r="H10" i="77"/>
  <c r="I10" i="77" s="1"/>
  <c r="G42" i="63"/>
  <c r="G53" i="63" s="1"/>
  <c r="E58" i="63" s="1"/>
  <c r="AL78" i="60"/>
  <c r="D47" i="74" s="1"/>
  <c r="D50" i="74" s="1"/>
  <c r="E42" i="63"/>
  <c r="D42" i="63"/>
  <c r="F42" i="63"/>
  <c r="BM71" i="64"/>
  <c r="L38" i="69" s="1"/>
  <c r="T103" i="60"/>
  <c r="D49" i="72" s="1"/>
  <c r="G38" i="77"/>
  <c r="J22" i="69"/>
  <c r="V140" i="60"/>
  <c r="F54" i="72" s="1"/>
  <c r="C20" i="72" s="1"/>
  <c r="D53" i="76"/>
  <c r="BK90" i="64"/>
  <c r="K44" i="69" s="1"/>
  <c r="E52" i="76"/>
  <c r="E39" i="76"/>
  <c r="U26" i="60"/>
  <c r="E42" i="72" s="1"/>
  <c r="H49" i="63"/>
  <c r="I49" i="63" s="1"/>
  <c r="BL41" i="64"/>
  <c r="BM41" i="64" s="1"/>
  <c r="BL88" i="64"/>
  <c r="BM88" i="64" s="1"/>
  <c r="BK88" i="64"/>
  <c r="AK174" i="60"/>
  <c r="AN174" i="60" s="1"/>
  <c r="T174" i="60"/>
  <c r="S174" i="60"/>
  <c r="V174" i="60" s="1"/>
  <c r="AB174" i="60"/>
  <c r="AE174" i="60" s="1"/>
  <c r="J43" i="69"/>
  <c r="E25" i="63"/>
  <c r="S173" i="60"/>
  <c r="V173" i="60" s="1"/>
  <c r="AB173" i="60"/>
  <c r="AE173" i="60" s="1"/>
  <c r="AK173" i="60"/>
  <c r="AN173" i="60" s="1"/>
  <c r="BK86" i="64"/>
  <c r="BL86" i="64"/>
  <c r="BM86" i="64" s="1"/>
  <c r="AB172" i="60"/>
  <c r="AE172" i="60" s="1"/>
  <c r="T172" i="60"/>
  <c r="AK172" i="60"/>
  <c r="AN172" i="60" s="1"/>
  <c r="S172" i="60"/>
  <c r="V172" i="60" s="1"/>
  <c r="D53" i="77"/>
  <c r="E53" i="77"/>
  <c r="AD175" i="60"/>
  <c r="E59" i="73" s="1"/>
  <c r="F53" i="77"/>
  <c r="G53" i="77"/>
  <c r="AD167" i="60"/>
  <c r="E58" i="73" s="1"/>
  <c r="BK91" i="64"/>
  <c r="K45" i="69" s="1"/>
  <c r="J45" i="69"/>
  <c r="BL91" i="64"/>
  <c r="BM91" i="64" s="1"/>
  <c r="C17" i="62"/>
  <c r="F57" i="62"/>
  <c r="F32" i="62"/>
  <c r="G17" i="75"/>
  <c r="D17" i="75"/>
  <c r="F17" i="75"/>
  <c r="K116" i="60"/>
  <c r="D51" i="62" s="1"/>
  <c r="E17" i="75"/>
  <c r="E46" i="77"/>
  <c r="AD116" i="60"/>
  <c r="E51" i="73" s="1"/>
  <c r="U108" i="60"/>
  <c r="U116" i="60" s="1"/>
  <c r="E51" i="72" s="1"/>
  <c r="G17" i="77"/>
  <c r="F46" i="77"/>
  <c r="BL64" i="64"/>
  <c r="BM64" i="64" s="1"/>
  <c r="L34" i="69" s="1"/>
  <c r="F17" i="77"/>
  <c r="AC116" i="60"/>
  <c r="D51" i="73" s="1"/>
  <c r="G46" i="77"/>
  <c r="D17" i="77"/>
  <c r="D46" i="75"/>
  <c r="F46" i="75"/>
  <c r="L116" i="60"/>
  <c r="E51" i="62" s="1"/>
  <c r="E46" i="75"/>
  <c r="G46" i="75"/>
  <c r="E50" i="76"/>
  <c r="AD74" i="58"/>
  <c r="AE74" i="58" s="1"/>
  <c r="BD20" i="50"/>
  <c r="AN131" i="60"/>
  <c r="F53" i="74" s="1"/>
  <c r="C19" i="74" s="1"/>
  <c r="V131" i="60"/>
  <c r="F53" i="72" s="1"/>
  <c r="C19" i="72" s="1"/>
  <c r="L12" i="69"/>
  <c r="BB36" i="41"/>
  <c r="AB65" i="60"/>
  <c r="AE65" i="60" s="1"/>
  <c r="AE78" i="60" s="1"/>
  <c r="F47" i="73" s="1"/>
  <c r="C14" i="73" s="1"/>
  <c r="AK65" i="60"/>
  <c r="AN65" i="60" s="1"/>
  <c r="S65" i="60"/>
  <c r="V65" i="60" s="1"/>
  <c r="V78" i="60" s="1"/>
  <c r="F47" i="72" s="1"/>
  <c r="C14" i="72" s="1"/>
  <c r="T65" i="60"/>
  <c r="BL15" i="64"/>
  <c r="BM15" i="64" s="1"/>
  <c r="BK15" i="64"/>
  <c r="BL11" i="64"/>
  <c r="BM11" i="64" s="1"/>
  <c r="BK11" i="64"/>
  <c r="AZ60" i="60"/>
  <c r="AD60" i="60"/>
  <c r="AD78" i="60" s="1"/>
  <c r="E47" i="73" s="1"/>
  <c r="AE65" i="58"/>
  <c r="T89" i="60"/>
  <c r="T90" i="60" s="1"/>
  <c r="D48" i="72" s="1"/>
  <c r="S89" i="60"/>
  <c r="V89" i="60" s="1"/>
  <c r="V90" i="60" s="1"/>
  <c r="F48" i="72" s="1"/>
  <c r="C15" i="72" s="1"/>
  <c r="AB89" i="60"/>
  <c r="AE89" i="60" s="1"/>
  <c r="AE90" i="60" s="1"/>
  <c r="F48" i="73" s="1"/>
  <c r="C15" i="73" s="1"/>
  <c r="AK89" i="60"/>
  <c r="AN89" i="60" s="1"/>
  <c r="AN90" i="60" s="1"/>
  <c r="F48" i="74" s="1"/>
  <c r="C15" i="74" s="1"/>
  <c r="BK35" i="64"/>
  <c r="BL35" i="64"/>
  <c r="BM35" i="64" s="1"/>
  <c r="BN33" i="64" s="1"/>
  <c r="AZ89" i="60"/>
  <c r="AD89" i="60"/>
  <c r="BB23" i="42"/>
  <c r="BK43" i="64"/>
  <c r="BL43" i="64"/>
  <c r="BM43" i="64" s="1"/>
  <c r="BB23" i="44"/>
  <c r="E46" i="62"/>
  <c r="E30" i="62"/>
  <c r="D46" i="62"/>
  <c r="H40" i="75"/>
  <c r="I40" i="75" s="1"/>
  <c r="D12" i="63"/>
  <c r="G12" i="63"/>
  <c r="E12" i="63"/>
  <c r="F12" i="63"/>
  <c r="D10" i="76"/>
  <c r="G10" i="76"/>
  <c r="E10" i="76"/>
  <c r="E10" i="63"/>
  <c r="AM17" i="60"/>
  <c r="E41" i="74" s="1"/>
  <c r="G10" i="63"/>
  <c r="V13" i="60"/>
  <c r="U13" i="60"/>
  <c r="G38" i="76" s="1"/>
  <c r="AB15" i="60"/>
  <c r="AE15" i="60" s="1"/>
  <c r="S15" i="60"/>
  <c r="V15" i="60" s="1"/>
  <c r="T15" i="60"/>
  <c r="D9" i="76" s="1"/>
  <c r="AK15" i="60"/>
  <c r="AN15" i="60" s="1"/>
  <c r="BC20" i="37"/>
  <c r="F10" i="63"/>
  <c r="BK53" i="64"/>
  <c r="K26" i="69" s="1"/>
  <c r="J26" i="69"/>
  <c r="BL53" i="64"/>
  <c r="BM53" i="64" s="1"/>
  <c r="L26" i="69" s="1"/>
  <c r="E38" i="77"/>
  <c r="F38" i="77"/>
  <c r="T16" i="60"/>
  <c r="AB16" i="60"/>
  <c r="AE16" i="60" s="1"/>
  <c r="AE17" i="60" s="1"/>
  <c r="F41" i="73" s="1"/>
  <c r="C9" i="73" s="1"/>
  <c r="AK16" i="60"/>
  <c r="AN16" i="60" s="1"/>
  <c r="S16" i="60"/>
  <c r="V16" i="60" s="1"/>
  <c r="J27" i="69"/>
  <c r="BK54" i="64"/>
  <c r="K27" i="69" s="1"/>
  <c r="BL54" i="64"/>
  <c r="BM54" i="64" s="1"/>
  <c r="BN51" i="64" s="1"/>
  <c r="M24" i="69" s="1"/>
  <c r="D38" i="77"/>
  <c r="BD20" i="37"/>
  <c r="AD56" i="58"/>
  <c r="AE56" i="58" s="1"/>
  <c r="AD92" i="58"/>
  <c r="AE92" i="58" s="1"/>
  <c r="BD19" i="55"/>
  <c r="H42" i="76"/>
  <c r="I42" i="76" s="1"/>
  <c r="H13" i="76"/>
  <c r="I13" i="76" s="1"/>
  <c r="F22" i="76"/>
  <c r="T159" i="60"/>
  <c r="D56" i="72" s="1"/>
  <c r="G22" i="76"/>
  <c r="E22" i="76"/>
  <c r="BK74" i="64"/>
  <c r="K40" i="69" s="1"/>
  <c r="BL74" i="64"/>
  <c r="BM74" i="64" s="1"/>
  <c r="L40" i="69" s="1"/>
  <c r="J40" i="69"/>
  <c r="AM149" i="60"/>
  <c r="E55" i="74" s="1"/>
  <c r="F22" i="63"/>
  <c r="S148" i="60"/>
  <c r="V148" i="60" s="1"/>
  <c r="V149" i="60" s="1"/>
  <c r="F55" i="72" s="1"/>
  <c r="C21" i="72" s="1"/>
  <c r="AK148" i="60"/>
  <c r="AN148" i="60" s="1"/>
  <c r="AN149" i="60" s="1"/>
  <c r="F55" i="74" s="1"/>
  <c r="C21" i="74" s="1"/>
  <c r="T148" i="60"/>
  <c r="AB148" i="60"/>
  <c r="AE148" i="60" s="1"/>
  <c r="AE149" i="60" s="1"/>
  <c r="F55" i="73" s="1"/>
  <c r="C21" i="73" s="1"/>
  <c r="BC20" i="52"/>
  <c r="AH75" i="58"/>
  <c r="AW71" i="64"/>
  <c r="H38" i="69" s="1"/>
  <c r="AE75" i="58"/>
  <c r="G20" i="76"/>
  <c r="D20" i="76"/>
  <c r="F20" i="76"/>
  <c r="T140" i="60"/>
  <c r="D54" i="72" s="1"/>
  <c r="E20" i="76"/>
  <c r="D18" i="76"/>
  <c r="G18" i="76"/>
  <c r="E18" i="76"/>
  <c r="T123" i="60"/>
  <c r="D52" i="72" s="1"/>
  <c r="F18" i="76"/>
  <c r="AD67" i="58"/>
  <c r="AE67" i="58" s="1"/>
  <c r="BD24" i="47"/>
  <c r="AE116" i="60"/>
  <c r="F51" i="73" s="1"/>
  <c r="C17" i="73" s="1"/>
  <c r="V116" i="60"/>
  <c r="F51" i="72" s="1"/>
  <c r="C17" i="72" s="1"/>
  <c r="E46" i="76"/>
  <c r="G46" i="76"/>
  <c r="T45" i="60"/>
  <c r="E12" i="76"/>
  <c r="D12" i="76"/>
  <c r="F12" i="76"/>
  <c r="G12" i="76"/>
  <c r="BN89" i="64"/>
  <c r="L44" i="69"/>
  <c r="BL47" i="64"/>
  <c r="BM47" i="64" s="1"/>
  <c r="L23" i="69" s="1"/>
  <c r="BK47" i="64"/>
  <c r="J23" i="69"/>
  <c r="G40" i="76"/>
  <c r="F40" i="76"/>
  <c r="T34" i="60"/>
  <c r="E11" i="76" s="1"/>
  <c r="S34" i="60"/>
  <c r="V34" i="60" s="1"/>
  <c r="V38" i="60" s="1"/>
  <c r="F43" i="72" s="1"/>
  <c r="AB34" i="60"/>
  <c r="AE34" i="60" s="1"/>
  <c r="AE38" i="60" s="1"/>
  <c r="F43" i="73" s="1"/>
  <c r="AK34" i="60"/>
  <c r="AN34" i="60" s="1"/>
  <c r="AN38" i="60" s="1"/>
  <c r="F43" i="74" s="1"/>
  <c r="E40" i="76"/>
  <c r="G40" i="77"/>
  <c r="E40" i="77"/>
  <c r="F40" i="77"/>
  <c r="AD38" i="60"/>
  <c r="E43" i="73" s="1"/>
  <c r="D40" i="77"/>
  <c r="D40" i="76"/>
  <c r="AD49" i="58"/>
  <c r="AE49" i="58" s="1"/>
  <c r="BD23" i="44"/>
  <c r="T26" i="60"/>
  <c r="D42" i="72" s="1"/>
  <c r="D60" i="67"/>
  <c r="M28" i="66"/>
  <c r="AE131" i="60"/>
  <c r="F53" i="73" s="1"/>
  <c r="C19" i="73" s="1"/>
  <c r="BB19" i="51"/>
  <c r="L36" i="69"/>
  <c r="H48" i="76"/>
  <c r="I48" i="76" s="1"/>
  <c r="F19" i="76"/>
  <c r="G19" i="76"/>
  <c r="T131" i="60"/>
  <c r="D53" i="72" s="1"/>
  <c r="D19" i="76"/>
  <c r="E19" i="76"/>
  <c r="H20" i="63"/>
  <c r="I20" i="63" s="1"/>
  <c r="D52" i="77"/>
  <c r="V167" i="60"/>
  <c r="F58" i="72" s="1"/>
  <c r="C23" i="72" s="1"/>
  <c r="G52" i="77"/>
  <c r="AN167" i="60"/>
  <c r="F58" i="74" s="1"/>
  <c r="AE167" i="60"/>
  <c r="F58" i="73" s="1"/>
  <c r="C23" i="73" s="1"/>
  <c r="E60" i="74"/>
  <c r="E33" i="74"/>
  <c r="AD87" i="58"/>
  <c r="AE87" i="58" s="1"/>
  <c r="BD19" i="54"/>
  <c r="T167" i="60"/>
  <c r="D58" i="72" s="1"/>
  <c r="G23" i="76"/>
  <c r="D23" i="76"/>
  <c r="E23" i="76"/>
  <c r="F23" i="76"/>
  <c r="AW41" i="64"/>
  <c r="H22" i="69" s="1"/>
  <c r="AA45" i="58"/>
  <c r="AB45" i="58" s="1"/>
  <c r="Z100" i="58"/>
  <c r="BK41" i="64"/>
  <c r="G16" i="77"/>
  <c r="AC103" i="60"/>
  <c r="D49" i="73" s="1"/>
  <c r="E16" i="77"/>
  <c r="D16" i="77"/>
  <c r="F16" i="77"/>
  <c r="H16" i="75"/>
  <c r="I16" i="75" s="1"/>
  <c r="AE45" i="58"/>
  <c r="G45" i="77"/>
  <c r="D45" i="77"/>
  <c r="E45" i="77"/>
  <c r="F45" i="77"/>
  <c r="E16" i="76"/>
  <c r="F16" i="76"/>
  <c r="G16" i="76"/>
  <c r="D16" i="76"/>
  <c r="AD40" i="58"/>
  <c r="AE40" i="58" s="1"/>
  <c r="BN36" i="64"/>
  <c r="L17" i="69"/>
  <c r="M15" i="69"/>
  <c r="D15" i="67"/>
  <c r="AD33" i="58"/>
  <c r="AE33" i="58" s="1"/>
  <c r="BD23" i="42"/>
  <c r="L14" i="69"/>
  <c r="H47" i="63" l="1"/>
  <c r="I47" i="63" s="1"/>
  <c r="H37" i="63"/>
  <c r="I37" i="63" s="1"/>
  <c r="E45" i="73"/>
  <c r="H14" i="63"/>
  <c r="I14" i="63" s="1"/>
  <c r="H22" i="75"/>
  <c r="I22" i="75" s="1"/>
  <c r="H23" i="63"/>
  <c r="I23" i="63" s="1"/>
  <c r="H22" i="77"/>
  <c r="I22" i="77" s="1"/>
  <c r="H20" i="77"/>
  <c r="I20" i="77" s="1"/>
  <c r="BN38" i="64"/>
  <c r="M19" i="69" s="1"/>
  <c r="H39" i="76"/>
  <c r="I39" i="76" s="1"/>
  <c r="D17" i="76"/>
  <c r="H17" i="76" s="1"/>
  <c r="I17" i="76" s="1"/>
  <c r="F17" i="76"/>
  <c r="E33" i="72"/>
  <c r="H49" i="76"/>
  <c r="I49" i="76" s="1"/>
  <c r="H45" i="75"/>
  <c r="I45" i="75" s="1"/>
  <c r="H12" i="75"/>
  <c r="I12" i="75" s="1"/>
  <c r="D14" i="76"/>
  <c r="E33" i="62"/>
  <c r="H50" i="63"/>
  <c r="I50" i="63" s="1"/>
  <c r="H25" i="63"/>
  <c r="I25" i="63" s="1"/>
  <c r="BN41" i="64"/>
  <c r="M22" i="69" s="1"/>
  <c r="K41" i="69"/>
  <c r="BN9" i="64"/>
  <c r="D11" i="67" s="1"/>
  <c r="H11" i="63"/>
  <c r="I11" i="63" s="1"/>
  <c r="K23" i="69"/>
  <c r="AN175" i="60"/>
  <c r="F59" i="74" s="1"/>
  <c r="C24" i="74" s="1"/>
  <c r="H44" i="76"/>
  <c r="I44" i="76" s="1"/>
  <c r="H17" i="63"/>
  <c r="I17" i="63" s="1"/>
  <c r="H50" i="77"/>
  <c r="I50" i="77" s="1"/>
  <c r="H50" i="76"/>
  <c r="I50" i="76" s="1"/>
  <c r="D43" i="77"/>
  <c r="D50" i="62"/>
  <c r="F25" i="75"/>
  <c r="E29" i="75" s="1"/>
  <c r="BN26" i="64"/>
  <c r="M13" i="69" s="1"/>
  <c r="K16" i="69"/>
  <c r="H14" i="77"/>
  <c r="I14" i="77" s="1"/>
  <c r="D57" i="74"/>
  <c r="H15" i="77"/>
  <c r="I15" i="77" s="1"/>
  <c r="AN78" i="60"/>
  <c r="F47" i="74" s="1"/>
  <c r="C14" i="74" s="1"/>
  <c r="D53" i="63"/>
  <c r="H41" i="77"/>
  <c r="I41" i="77" s="1"/>
  <c r="H44" i="63"/>
  <c r="I44" i="63" s="1"/>
  <c r="H42" i="77"/>
  <c r="I42" i="77" s="1"/>
  <c r="H41" i="75"/>
  <c r="I41" i="75" s="1"/>
  <c r="E32" i="72"/>
  <c r="L22" i="69"/>
  <c r="H10" i="63"/>
  <c r="I10" i="63" s="1"/>
  <c r="H10" i="76"/>
  <c r="I10" i="76" s="1"/>
  <c r="E53" i="63"/>
  <c r="E56" i="63" s="1"/>
  <c r="D32" i="62"/>
  <c r="H18" i="63"/>
  <c r="I18" i="63" s="1"/>
  <c r="H52" i="76"/>
  <c r="I52" i="76" s="1"/>
  <c r="G54" i="75"/>
  <c r="E59" i="75" s="1"/>
  <c r="E32" i="74"/>
  <c r="E60" i="72"/>
  <c r="H43" i="76"/>
  <c r="I43" i="76" s="1"/>
  <c r="H11" i="77"/>
  <c r="I11" i="77" s="1"/>
  <c r="T116" i="60"/>
  <c r="D51" i="72" s="1"/>
  <c r="H45" i="76"/>
  <c r="I45" i="76" s="1"/>
  <c r="F62" i="62"/>
  <c r="C25" i="62" s="1"/>
  <c r="E57" i="73"/>
  <c r="E46" i="74"/>
  <c r="H39" i="77"/>
  <c r="I39" i="77" s="1"/>
  <c r="G17" i="76"/>
  <c r="G25" i="75"/>
  <c r="E30" i="75" s="1"/>
  <c r="H14" i="75"/>
  <c r="I14" i="75" s="1"/>
  <c r="H49" i="77"/>
  <c r="I49" i="77" s="1"/>
  <c r="H19" i="63"/>
  <c r="I19" i="63" s="1"/>
  <c r="D32" i="74"/>
  <c r="E33" i="73"/>
  <c r="H18" i="77"/>
  <c r="I18" i="77" s="1"/>
  <c r="K10" i="69"/>
  <c r="F34" i="62"/>
  <c r="V175" i="60"/>
  <c r="F59" i="72" s="1"/>
  <c r="C24" i="72" s="1"/>
  <c r="H53" i="76"/>
  <c r="I53" i="76" s="1"/>
  <c r="H44" i="75"/>
  <c r="I44" i="75" s="1"/>
  <c r="D31" i="62"/>
  <c r="H51" i="77"/>
  <c r="I51" i="77" s="1"/>
  <c r="M21" i="69"/>
  <c r="D46" i="76"/>
  <c r="H9" i="75"/>
  <c r="I9" i="75" s="1"/>
  <c r="H49" i="75"/>
  <c r="I49" i="75" s="1"/>
  <c r="F46" i="76"/>
  <c r="BN92" i="64"/>
  <c r="L46" i="69"/>
  <c r="E57" i="62"/>
  <c r="E32" i="73"/>
  <c r="BN44" i="64"/>
  <c r="D21" i="67" s="1"/>
  <c r="M20" i="66" s="1"/>
  <c r="H52" i="75"/>
  <c r="I52" i="75" s="1"/>
  <c r="E50" i="62"/>
  <c r="E62" i="62" s="1"/>
  <c r="H13" i="63"/>
  <c r="I13" i="63" s="1"/>
  <c r="H15" i="63"/>
  <c r="I15" i="63" s="1"/>
  <c r="H48" i="75"/>
  <c r="I48" i="75" s="1"/>
  <c r="H47" i="77"/>
  <c r="I47" i="77" s="1"/>
  <c r="E54" i="75"/>
  <c r="E57" i="75" s="1"/>
  <c r="K43" i="69"/>
  <c r="T78" i="60"/>
  <c r="D47" i="72" s="1"/>
  <c r="K22" i="69"/>
  <c r="D25" i="75"/>
  <c r="E27" i="75" s="1"/>
  <c r="H41" i="76"/>
  <c r="I41" i="76" s="1"/>
  <c r="E50" i="74"/>
  <c r="E50" i="72"/>
  <c r="D15" i="76"/>
  <c r="H42" i="63"/>
  <c r="I42" i="63" s="1"/>
  <c r="D31" i="74"/>
  <c r="G14" i="76"/>
  <c r="D57" i="62"/>
  <c r="U17" i="60"/>
  <c r="E41" i="72" s="1"/>
  <c r="E46" i="72" s="1"/>
  <c r="E14" i="76"/>
  <c r="F14" i="76"/>
  <c r="H21" i="77"/>
  <c r="I21" i="77" s="1"/>
  <c r="BN95" i="64"/>
  <c r="D30" i="67" s="1"/>
  <c r="L10" i="69"/>
  <c r="E31" i="62"/>
  <c r="E25" i="75"/>
  <c r="E28" i="75" s="1"/>
  <c r="E31" i="74"/>
  <c r="H20" i="75"/>
  <c r="I20" i="75" s="1"/>
  <c r="F15" i="76"/>
  <c r="E15" i="76"/>
  <c r="G15" i="76"/>
  <c r="F54" i="75"/>
  <c r="E58" i="75" s="1"/>
  <c r="E31" i="72"/>
  <c r="H17" i="77"/>
  <c r="I17" i="77" s="1"/>
  <c r="H43" i="75"/>
  <c r="I43" i="75" s="1"/>
  <c r="E26" i="63"/>
  <c r="E29" i="63" s="1"/>
  <c r="H15" i="75"/>
  <c r="I15" i="75" s="1"/>
  <c r="H51" i="75"/>
  <c r="I51" i="75" s="1"/>
  <c r="H19" i="77"/>
  <c r="I19" i="77" s="1"/>
  <c r="E25" i="77"/>
  <c r="E28" i="77" s="1"/>
  <c r="H46" i="77"/>
  <c r="I46" i="77" s="1"/>
  <c r="G25" i="77"/>
  <c r="E30" i="77" s="1"/>
  <c r="D54" i="75"/>
  <c r="E56" i="75" s="1"/>
  <c r="BN57" i="64"/>
  <c r="M30" i="69" s="1"/>
  <c r="AE175" i="60"/>
  <c r="F59" i="73" s="1"/>
  <c r="C24" i="73" s="1"/>
  <c r="G24" i="76"/>
  <c r="D24" i="76"/>
  <c r="F24" i="76"/>
  <c r="T175" i="60"/>
  <c r="D59" i="72" s="1"/>
  <c r="D60" i="72" s="1"/>
  <c r="E24" i="76"/>
  <c r="L43" i="69"/>
  <c r="BN83" i="64"/>
  <c r="H53" i="77"/>
  <c r="I53" i="77" s="1"/>
  <c r="F33" i="74"/>
  <c r="F60" i="72"/>
  <c r="E60" i="73"/>
  <c r="BN91" i="64"/>
  <c r="L45" i="69"/>
  <c r="E30" i="74"/>
  <c r="F25" i="77"/>
  <c r="E29" i="77" s="1"/>
  <c r="E32" i="62"/>
  <c r="H17" i="75"/>
  <c r="I17" i="75" s="1"/>
  <c r="H46" i="75"/>
  <c r="I46" i="75" s="1"/>
  <c r="D57" i="73"/>
  <c r="D32" i="73"/>
  <c r="E57" i="74"/>
  <c r="H20" i="76"/>
  <c r="I20" i="76" s="1"/>
  <c r="D12" i="67"/>
  <c r="D43" i="67" s="1"/>
  <c r="G43" i="77"/>
  <c r="F43" i="77"/>
  <c r="E43" i="77"/>
  <c r="L16" i="69"/>
  <c r="G44" i="77"/>
  <c r="F44" i="77"/>
  <c r="D44" i="77"/>
  <c r="D54" i="77" s="1"/>
  <c r="E56" i="77" s="1"/>
  <c r="AD90" i="60"/>
  <c r="E48" i="73" s="1"/>
  <c r="E44" i="77"/>
  <c r="D18" i="67"/>
  <c r="M17" i="66" s="1"/>
  <c r="H22" i="76"/>
  <c r="I22" i="76" s="1"/>
  <c r="H12" i="63"/>
  <c r="I12" i="63" s="1"/>
  <c r="D26" i="63"/>
  <c r="E28" i="63" s="1"/>
  <c r="G26" i="63"/>
  <c r="E31" i="63" s="1"/>
  <c r="D34" i="62"/>
  <c r="F11" i="76"/>
  <c r="H40" i="77"/>
  <c r="I40" i="77" s="1"/>
  <c r="T17" i="60"/>
  <c r="D41" i="72" s="1"/>
  <c r="E9" i="76"/>
  <c r="V17" i="60"/>
  <c r="F41" i="72" s="1"/>
  <c r="C9" i="72" s="1"/>
  <c r="E38" i="76"/>
  <c r="E54" i="76" s="1"/>
  <c r="E57" i="76" s="1"/>
  <c r="F38" i="76"/>
  <c r="D38" i="76"/>
  <c r="H52" i="77"/>
  <c r="I52" i="77" s="1"/>
  <c r="F31" i="73"/>
  <c r="H40" i="76"/>
  <c r="I40" i="76" s="1"/>
  <c r="BN65" i="64"/>
  <c r="F9" i="76"/>
  <c r="G9" i="76"/>
  <c r="AN17" i="60"/>
  <c r="F41" i="74" s="1"/>
  <c r="C9" i="74" s="1"/>
  <c r="F26" i="63"/>
  <c r="E30" i="63" s="1"/>
  <c r="H38" i="77"/>
  <c r="I38" i="77" s="1"/>
  <c r="L27" i="69"/>
  <c r="BL96" i="64"/>
  <c r="F32" i="74"/>
  <c r="D21" i="76"/>
  <c r="E21" i="76"/>
  <c r="G21" i="76"/>
  <c r="F21" i="76"/>
  <c r="T149" i="60"/>
  <c r="D55" i="72" s="1"/>
  <c r="H22" i="63"/>
  <c r="I22" i="63" s="1"/>
  <c r="F57" i="74"/>
  <c r="H18" i="76"/>
  <c r="I18" i="76" s="1"/>
  <c r="F57" i="73"/>
  <c r="F32" i="72"/>
  <c r="F57" i="72"/>
  <c r="F32" i="73"/>
  <c r="E57" i="72"/>
  <c r="G54" i="76"/>
  <c r="E59" i="76" s="1"/>
  <c r="D26" i="67"/>
  <c r="M44" i="69"/>
  <c r="H12" i="76"/>
  <c r="I12" i="76" s="1"/>
  <c r="D44" i="74"/>
  <c r="D44" i="73"/>
  <c r="D44" i="72"/>
  <c r="G11" i="76"/>
  <c r="D11" i="76"/>
  <c r="C11" i="73"/>
  <c r="F30" i="73"/>
  <c r="F46" i="73"/>
  <c r="C11" i="72"/>
  <c r="C11" i="74"/>
  <c r="E30" i="73"/>
  <c r="E46" i="73"/>
  <c r="T38" i="60"/>
  <c r="D43" i="72" s="1"/>
  <c r="H19" i="76"/>
  <c r="I19" i="76" s="1"/>
  <c r="C23" i="74"/>
  <c r="F60" i="74"/>
  <c r="H23" i="76"/>
  <c r="I23" i="76" s="1"/>
  <c r="AB100" i="58"/>
  <c r="H53" i="63"/>
  <c r="I53" i="63" s="1"/>
  <c r="E55" i="63"/>
  <c r="E32" i="63" s="1"/>
  <c r="D50" i="73"/>
  <c r="D31" i="73"/>
  <c r="D25" i="77"/>
  <c r="H16" i="77"/>
  <c r="I16" i="77" s="1"/>
  <c r="F50" i="73"/>
  <c r="F31" i="72"/>
  <c r="F31" i="74"/>
  <c r="F50" i="72"/>
  <c r="F50" i="74"/>
  <c r="H45" i="77"/>
  <c r="I45" i="77" s="1"/>
  <c r="M18" i="66"/>
  <c r="D50" i="67"/>
  <c r="H16" i="76"/>
  <c r="I16" i="76" s="1"/>
  <c r="M17" i="69"/>
  <c r="D17" i="67"/>
  <c r="D31" i="72"/>
  <c r="D16" i="67"/>
  <c r="M16" i="69"/>
  <c r="D50" i="72"/>
  <c r="M14" i="66"/>
  <c r="D46" i="67"/>
  <c r="BO29" i="64"/>
  <c r="M14" i="69"/>
  <c r="D14" i="67"/>
  <c r="BO36" i="64" l="1"/>
  <c r="D62" i="62"/>
  <c r="D20" i="67"/>
  <c r="M10" i="69"/>
  <c r="D52" i="67"/>
  <c r="D23" i="67"/>
  <c r="M22" i="66" s="1"/>
  <c r="D13" i="67"/>
  <c r="M12" i="66" s="1"/>
  <c r="H54" i="75"/>
  <c r="I54" i="75" s="1"/>
  <c r="F54" i="77"/>
  <c r="E58" i="77" s="1"/>
  <c r="E60" i="75"/>
  <c r="H46" i="76"/>
  <c r="I46" i="76" s="1"/>
  <c r="D33" i="72"/>
  <c r="D57" i="72"/>
  <c r="H38" i="76"/>
  <c r="I38" i="76" s="1"/>
  <c r="BO9" i="64"/>
  <c r="C11" i="70" s="1"/>
  <c r="N10" i="66" s="1"/>
  <c r="F54" i="76"/>
  <c r="E58" i="76" s="1"/>
  <c r="G54" i="77"/>
  <c r="E59" i="77" s="1"/>
  <c r="F33" i="72"/>
  <c r="H25" i="75"/>
  <c r="I25" i="75" s="1"/>
  <c r="E34" i="62"/>
  <c r="E34" i="74"/>
  <c r="H15" i="76"/>
  <c r="I15" i="76" s="1"/>
  <c r="F30" i="72"/>
  <c r="M46" i="69"/>
  <c r="D28" i="67"/>
  <c r="E62" i="74"/>
  <c r="M23" i="69"/>
  <c r="H14" i="76"/>
  <c r="I14" i="76" s="1"/>
  <c r="BO92" i="64"/>
  <c r="C15" i="70" s="1"/>
  <c r="N27" i="66" s="1"/>
  <c r="D49" i="67"/>
  <c r="M48" i="69"/>
  <c r="E54" i="77"/>
  <c r="E57" i="77" s="1"/>
  <c r="E30" i="72"/>
  <c r="E34" i="72" s="1"/>
  <c r="E62" i="72"/>
  <c r="M11" i="66"/>
  <c r="F60" i="73"/>
  <c r="F62" i="73" s="1"/>
  <c r="C25" i="73" s="1"/>
  <c r="F33" i="73"/>
  <c r="F34" i="73" s="1"/>
  <c r="E25" i="76"/>
  <c r="E28" i="76" s="1"/>
  <c r="M43" i="69"/>
  <c r="D25" i="67"/>
  <c r="H24" i="76"/>
  <c r="I24" i="76" s="1"/>
  <c r="D27" i="67"/>
  <c r="M45" i="69"/>
  <c r="BO44" i="64"/>
  <c r="C14" i="70" s="1"/>
  <c r="N20" i="66" s="1"/>
  <c r="D25" i="76"/>
  <c r="E27" i="76" s="1"/>
  <c r="D24" i="67"/>
  <c r="M23" i="66" s="1"/>
  <c r="M35" i="69"/>
  <c r="H43" i="77"/>
  <c r="I43" i="77" s="1"/>
  <c r="E31" i="73"/>
  <c r="E34" i="73" s="1"/>
  <c r="E50" i="73"/>
  <c r="E62" i="73" s="1"/>
  <c r="H44" i="77"/>
  <c r="I44" i="77" s="1"/>
  <c r="BN96" i="64"/>
  <c r="F46" i="72"/>
  <c r="F62" i="72" s="1"/>
  <c r="C25" i="72" s="1"/>
  <c r="F25" i="76"/>
  <c r="E29" i="76" s="1"/>
  <c r="H9" i="76"/>
  <c r="I9" i="76" s="1"/>
  <c r="D54" i="76"/>
  <c r="E56" i="76" s="1"/>
  <c r="D32" i="72"/>
  <c r="H26" i="63"/>
  <c r="I26" i="63" s="1"/>
  <c r="H11" i="76"/>
  <c r="I11" i="76" s="1"/>
  <c r="D30" i="72"/>
  <c r="G25" i="76"/>
  <c r="E30" i="76" s="1"/>
  <c r="F30" i="74"/>
  <c r="F34" i="74" s="1"/>
  <c r="F46" i="74"/>
  <c r="F62" i="74" s="1"/>
  <c r="C25" i="74" s="1"/>
  <c r="D22" i="67"/>
  <c r="H21" i="76"/>
  <c r="I21" i="76" s="1"/>
  <c r="D30" i="74"/>
  <c r="D34" i="74" s="1"/>
  <c r="D46" i="74"/>
  <c r="D62" i="74" s="1"/>
  <c r="D30" i="73"/>
  <c r="D34" i="73" s="1"/>
  <c r="D46" i="73"/>
  <c r="D62" i="73" s="1"/>
  <c r="D46" i="72"/>
  <c r="D57" i="67"/>
  <c r="M25" i="66"/>
  <c r="D61" i="67"/>
  <c r="M29" i="66"/>
  <c r="H25" i="77"/>
  <c r="I25" i="77" s="1"/>
  <c r="E27" i="77"/>
  <c r="E60" i="77" s="1"/>
  <c r="M19" i="66"/>
  <c r="D51" i="67"/>
  <c r="M16" i="66"/>
  <c r="D48" i="67"/>
  <c r="C13" i="70"/>
  <c r="N16" i="66" s="1"/>
  <c r="N17" i="69"/>
  <c r="E17" i="67"/>
  <c r="D68" i="67" s="1"/>
  <c r="D42" i="67"/>
  <c r="M10" i="66"/>
  <c r="D47" i="67"/>
  <c r="M15" i="66"/>
  <c r="N14" i="69"/>
  <c r="C12" i="70"/>
  <c r="E14" i="67"/>
  <c r="D45" i="67"/>
  <c r="M13" i="66"/>
  <c r="F34" i="72" l="1"/>
  <c r="D44" i="67"/>
  <c r="D54" i="67"/>
  <c r="D62" i="72"/>
  <c r="N10" i="69"/>
  <c r="E11" i="67"/>
  <c r="D66" i="67" s="1"/>
  <c r="E28" i="67"/>
  <c r="D70" i="67" s="1"/>
  <c r="N46" i="69"/>
  <c r="H54" i="77"/>
  <c r="I54" i="77" s="1"/>
  <c r="D55" i="67"/>
  <c r="M27" i="66"/>
  <c r="D59" i="67"/>
  <c r="D31" i="67"/>
  <c r="BO96" i="64"/>
  <c r="M49" i="69"/>
  <c r="D56" i="67"/>
  <c r="M24" i="66"/>
  <c r="N23" i="69"/>
  <c r="D58" i="67"/>
  <c r="M26" i="66"/>
  <c r="E21" i="67"/>
  <c r="D69" i="67" s="1"/>
  <c r="D34" i="72"/>
  <c r="E60" i="76"/>
  <c r="H25" i="76"/>
  <c r="I25" i="76" s="1"/>
  <c r="H54" i="76"/>
  <c r="I54" i="76" s="1"/>
  <c r="D53" i="67"/>
  <c r="M21" i="66"/>
  <c r="D67" i="67"/>
  <c r="N13" i="66"/>
  <c r="N30" i="66" s="1"/>
  <c r="C16" i="70"/>
  <c r="N49" i="69" l="1"/>
  <c r="M30" i="66"/>
  <c r="E31"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30"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2"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9"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7"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4"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3"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3"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1"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<sst xmlns="http://schemas.openxmlformats.org/spreadsheetml/2006/main" count="4725" uniqueCount="1235">
  <si>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</si>
  <si>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</si>
  <si>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</si>
  <si>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</si>
  <si>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</si>
  <si>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</si>
  <si>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</si>
  <si>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</si>
  <si>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</si>
  <si>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</si>
  <si>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</si>
  <si>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</si>
  <si>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</si>
  <si>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</si>
  <si>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</si>
  <si>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</si>
  <si>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</si>
  <si>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</si>
  <si>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</si>
  <si>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</si>
  <si>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</si>
  <si>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</si>
  <si>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</si>
  <si>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</si>
  <si>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</si>
  <si>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</si>
  <si>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</si>
  <si>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</si>
  <si>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</si>
  <si>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</si>
  <si>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</si>
  <si>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</si>
  <si>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</si>
  <si>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</si>
  <si>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</si>
  <si>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</si>
  <si>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</si>
  <si>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</si>
  <si>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</si>
  <si>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</si>
  <si>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</si>
  <si>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</si>
  <si>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</si>
  <si>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</si>
  <si>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</si>
  <si>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</si>
  <si>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</si>
  <si>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</si>
  <si>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</si>
  <si>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</si>
  <si>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</si>
  <si>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</si>
  <si>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</si>
  <si>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</si>
  <si>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</si>
  <si>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</si>
  <si>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</si>
  <si>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</si>
  <si>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</si>
  <si>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</si>
  <si>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</si>
  <si>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</si>
  <si>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</si>
  <si>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</si>
  <si>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</si>
  <si>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</si>
  <si>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</si>
  <si>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</si>
  <si>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</si>
  <si>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</si>
  <si>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</si>
  <si>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</si>
  <si>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</si>
  <si>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</si>
  <si>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</si>
  <si>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</si>
  <si>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</si>
  <si>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</si>
  <si>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</si>
  <si>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</si>
  <si>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</si>
  <si>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</si>
  <si>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</si>
  <si>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</si>
  <si>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</si>
  <si>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</si>
  <si>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</si>
  <si>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</si>
  <si>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</si>
  <si>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</si>
  <si>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</si>
  <si>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</si>
  <si>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</si>
  <si>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</si>
  <si>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</si>
  <si>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</si>
  <si>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</si>
  <si>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</si>
  <si>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</si>
  <si>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</si>
  <si>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</si>
  <si>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</si>
  <si>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</si>
  <si>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</si>
  <si>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</si>
  <si>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</si>
  <si>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</si>
  <si>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</si>
  <si>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</si>
  <si>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</si>
  <si>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</si>
  <si>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</si>
  <si>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</si>
  <si>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</si>
  <si>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</si>
  <si>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</si>
  <si>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</si>
  <si>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</si>
  <si>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</si>
  <si>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</si>
  <si>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</si>
  <si>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</si>
  <si>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</si>
  <si>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</si>
  <si>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</si>
  <si>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</si>
  <si>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</si>
  <si>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</si>
  <si>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</si>
  <si>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</si>
  <si>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</si>
  <si>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</si>
  <si>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</si>
  <si>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</si>
  <si>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</si>
  <si>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</si>
  <si>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</si>
  <si>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</si>
  <si>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</si>
  <si>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</si>
  <si>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</si>
  <si>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</si>
  <si>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</si>
  <si>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</si>
  <si>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</si>
  <si>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</si>
  <si>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</si>
  <si>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</si>
  <si>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</si>
  <si>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</si>
  <si>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</si>
  <si>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</si>
  <si>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</si>
  <si>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</si>
  <si>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</si>
  <si>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</si>
  <si>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</si>
  <si>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</si>
  <si>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</si>
  <si>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</si>
  <si>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</si>
  <si>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</si>
  <si>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</si>
  <si>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</si>
  <si>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</si>
  <si>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</si>
  <si>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</si>
  <si>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</si>
  <si>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</si>
  <si>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</si>
  <si>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</si>
  <si>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</si>
  <si>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</si>
  <si>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</si>
  <si>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</si>
  <si>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</si>
  <si>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</si>
  <si>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</si>
  <si>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</si>
  <si>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</si>
  <si>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</si>
  <si>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</si>
  <si>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</si>
  <si>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</si>
  <si>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</si>
  <si>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</si>
  <si>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</si>
  <si>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</si>
  <si>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</si>
  <si>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</si>
  <si>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</si>
  <si>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</si>
  <si>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</si>
  <si>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</si>
  <si>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</si>
  <si>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</si>
  <si>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</si>
  <si>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</si>
  <si>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</si>
  <si>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</si>
  <si>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</si>
  <si>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</si>
  <si>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</si>
  <si>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</si>
  <si>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</si>
  <si>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</si>
  <si>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</si>
  <si>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</si>
  <si>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</si>
  <si>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</si>
  <si>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</si>
  <si>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</si>
  <si>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</si>
  <si>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</si>
  <si>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</si>
  <si>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</si>
  <si>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</si>
  <si>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</si>
  <si>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</si>
  <si>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</si>
  <si>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</si>
  <si>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</si>
  <si>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</si>
  <si>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</si>
  <si>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</si>
  <si>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</si>
  <si>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</si>
  <si>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</si>
  <si>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</si>
  <si>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</si>
  <si>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</si>
  <si>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</si>
  <si>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</si>
  <si>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</si>
  <si>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</si>
  <si>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</si>
  <si>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 xml:space="preserve">∑ Número de Estados de vulneración realizados
</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</si>
  <si>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</si>
  <si>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</si>
  <si>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</si>
  <si>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</si>
  <si>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</si>
  <si>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</si>
  <si>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</si>
  <si>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</si>
  <si>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</si>
  <si>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</si>
  <si>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</si>
  <si>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</si>
  <si>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</si>
  <si>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</si>
  <si>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</si>
  <si>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</si>
  <si>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</si>
  <si>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</si>
  <si>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</si>
  <si>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</si>
  <si>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</si>
  <si>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</si>
  <si>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</si>
  <si>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</si>
  <si>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</si>
  <si>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</si>
  <si>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</si>
  <si>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</si>
  <si>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</si>
  <si>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</si>
  <si>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</si>
  <si>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</si>
  <si>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</si>
  <si>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</si>
  <si>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</si>
  <si>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</si>
  <si>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</si>
  <si>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</si>
  <si>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</si>
  <si>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</si>
  <si>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</si>
  <si>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</si>
  <si>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</si>
  <si>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</si>
  <si>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</si>
  <si>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</si>
  <si>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</si>
  <si>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</si>
  <si>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</si>
  <si>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</si>
  <si>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</si>
  <si>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</si>
  <si>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</si>
  <si>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</si>
  <si>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</si>
  <si>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</si>
  <si>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</si>
  <si>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</si>
  <si>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</si>
  <si>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</si>
  <si>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</si>
  <si>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</si>
  <si>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</si>
  <si>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</si>
  <si>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</si>
  <si>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</si>
  <si>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</si>
  <si>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</si>
  <si>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</si>
  <si>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</si>
  <si>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</si>
  <si>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</si>
  <si>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</si>
  <si>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</si>
  <si>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</si>
  <si>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</si>
  <si>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</si>
  <si>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</si>
  <si>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</si>
  <si>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</si>
  <si>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</si>
  <si>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</si>
  <si>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</si>
  <si>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</si>
  <si>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</si>
  <si>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</si>
  <si>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</si>
  <si>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</si>
  <si>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</si>
  <si>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</si>
  <si>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</si>
  <si>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</si>
  <si>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</si>
  <si>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</si>
  <si>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</si>
  <si>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</si>
  <si>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</si>
  <si>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</si>
  <si>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</si>
  <si>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</si>
  <si>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</si>
  <si>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</si>
  <si>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</si>
  <si>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</si>
  <si>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</si>
  <si>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</si>
  <si>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</si>
  <si>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</si>
  <si>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</si>
  <si>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</si>
  <si>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</si>
  <si>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</si>
  <si>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</si>
  <si>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</si>
  <si>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</si>
  <si>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</si>
  <si>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</si>
  <si>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</si>
  <si>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</si>
  <si>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</si>
  <si>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</si>
  <si>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</si>
  <si>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</si>
  <si>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</si>
  <si>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</si>
  <si>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</si>
  <si>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</si>
  <si>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</si>
  <si>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</si>
  <si>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</si>
  <si>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</si>
  <si>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</si>
  <si>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</si>
  <si>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</si>
  <si>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</si>
  <si>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</si>
  <si>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</si>
  <si>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</si>
  <si>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</si>
  <si>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</si>
  <si>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</si>
  <si>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</si>
  <si>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</si>
  <si>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</si>
  <si>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</si>
  <si>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</si>
  <si>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</si>
  <si>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</si>
  <si>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</si>
  <si>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</si>
  <si>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</si>
  <si>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</si>
  <si>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</si>
  <si>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</si>
  <si>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</si>
  <si>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</si>
  <si>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</si>
  <si>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</si>
  <si>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</si>
  <si>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</si>
  <si>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</si>
  <si>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</si>
  <si>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</si>
  <si>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</si>
  <si>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</si>
  <si>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</si>
  <si>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</si>
  <si>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</si>
  <si>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</si>
  <si>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</si>
  <si>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</si>
  <si>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</si>
  <si>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</si>
  <si>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</si>
  <si>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</si>
  <si>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</si>
  <si>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</si>
  <si>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</si>
  <si>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</si>
  <si>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</si>
  <si>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</si>
  <si>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</si>
  <si>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</si>
  <si>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</si>
  <si>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</si>
  <si>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</si>
  <si>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</si>
  <si>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</si>
  <si>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</si>
  <si>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</si>
  <si>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</si>
  <si>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</si>
  <si>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</si>
  <si>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</si>
  <si>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</si>
  <si>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</si>
  <si>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</si>
  <si>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</si>
  <si>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</si>
  <si>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</si>
  <si>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</si>
  <si>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</si>
  <si>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</si>
  <si>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</si>
  <si>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</si>
  <si>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</si>
  <si>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</si>
  <si>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</si>
  <si>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</si>
  <si>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</si>
  <si>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</si>
  <si>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</si>
  <si>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</si>
  <si>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</si>
  <si>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</si>
  <si>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</si>
  <si>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</si>
  <si>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</si>
  <si>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</si>
  <si>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</si>
  <si>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</si>
  <si>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</si>
  <si>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</si>
  <si>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</si>
  <si>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</si>
  <si>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</si>
  <si>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</si>
  <si>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</si>
  <si>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</si>
  <si>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</si>
  <si>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</si>
  <si>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</si>
  <si>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</si>
  <si>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</si>
  <si>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</si>
  <si>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</si>
  <si>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</si>
  <si>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</si>
  <si>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</si>
  <si>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</si>
  <si>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</si>
  <si>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</si>
  <si>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</si>
  <si>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</si>
  <si>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</si>
  <si>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</si>
  <si>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</si>
  <si>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</si>
  <si>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</si>
  <si>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</si>
  <si>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</si>
  <si>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</si>
  <si>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</si>
  <si>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</si>
  <si>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</si>
  <si>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</si>
  <si>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</si>
  <si>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</si>
  <si>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</si>
  <si>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</si>
  <si>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</si>
  <si>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</si>
  <si>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</si>
  <si>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</si>
  <si>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</si>
  <si>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</si>
  <si>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</si>
  <si>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</si>
  <si>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</si>
  <si>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</si>
  <si>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</si>
  <si>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</si>
  <si>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</si>
  <si>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</si>
  <si>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</si>
  <si>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</si>
  <si>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</si>
  <si>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</si>
  <si>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</si>
  <si>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</si>
  <si>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</si>
  <si>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</si>
  <si>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</si>
  <si>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</si>
  <si>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</si>
  <si>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</si>
  <si>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</si>
  <si>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</si>
  <si>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</si>
  <si>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</si>
  <si>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</si>
  <si>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</si>
  <si>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</si>
  <si>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</si>
  <si>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</si>
  <si>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</si>
  <si>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</si>
  <si>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</si>
  <si>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</si>
  <si>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</si>
  <si>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</si>
  <si>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</si>
  <si>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</si>
  <si>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</si>
  <si>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</si>
  <si>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</si>
  <si>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</si>
  <si>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</si>
  <si>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</si>
  <si>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</si>
  <si>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</si>
  <si>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</si>
  <si>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</si>
  <si>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</si>
  <si>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</si>
  <si>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</si>
  <si>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</si>
  <si>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</si>
  <si>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</si>
  <si>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</si>
  <si>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</si>
  <si>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</si>
  <si>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</si>
  <si>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</si>
  <si>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</si>
  <si>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</si>
  <si>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</si>
  <si>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</si>
  <si>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</si>
  <si>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</si>
  <si>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</si>
  <si>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</si>
  <si>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</si>
  <si>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</si>
  <si>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</si>
  <si>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</si>
  <si>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</si>
  <si>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</si>
  <si>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</si>
  <si>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</si>
  <si>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</si>
  <si>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</si>
  <si>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</si>
  <si>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</si>
  <si>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</si>
  <si>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</si>
  <si>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</si>
  <si>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</si>
  <si>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</si>
  <si>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</si>
  <si>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</si>
  <si>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</si>
  <si>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</si>
  <si>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</si>
  <si>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</si>
  <si>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</si>
  <si>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</si>
  <si>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</si>
  <si>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</si>
  <si>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</si>
  <si>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</si>
  <si>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</si>
  <si>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</si>
  <si>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</si>
  <si>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</si>
  <si>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</si>
  <si>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</si>
  <si>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</si>
  <si>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</si>
  <si>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</si>
  <si>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</si>
  <si>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</si>
  <si>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</si>
  <si>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</si>
  <si>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</si>
  <si>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</si>
  <si>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</si>
  <si>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</si>
  <si>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</si>
  <si>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</si>
  <si>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</si>
  <si>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</si>
  <si>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</si>
  <si>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</si>
  <si>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</si>
  <si>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</si>
  <si>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</si>
  <si>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</si>
  <si>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</si>
  <si>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</si>
  <si>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</si>
  <si>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</si>
  <si>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</si>
  <si>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</si>
  <si>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</si>
  <si>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</si>
  <si>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</si>
  <si>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</si>
  <si>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</si>
  <si>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</si>
  <si>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</si>
  <si>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</si>
  <si>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</si>
  <si>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</si>
  <si>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</si>
  <si>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</si>
  <si>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</si>
  <si>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</si>
  <si>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</si>
  <si>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</si>
  <si>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</si>
  <si>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</si>
  <si>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</si>
  <si>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</si>
  <si>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</si>
  <si>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</si>
  <si>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</si>
  <si>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</si>
  <si>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</si>
  <si>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</si>
  <si>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</si>
  <si>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</si>
  <si>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PROGRAMADO</t>
  </si>
  <si>
    <t>EJECUTADO</t>
  </si>
  <si>
    <t>TOTAL EJECUTADO AÑO</t>
  </si>
  <si>
    <t>CONTRIBUCIÓN A META ESTRATEGICA EN EL CUATRIENIO</t>
  </si>
  <si>
    <t>CUATRIENIO</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</si>
  <si>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</si>
  <si>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</si>
  <si>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</si>
  <si>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</si>
  <si>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</si>
  <si>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</si>
  <si>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</si>
  <si>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</si>
  <si>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</si>
  <si>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</si>
  <si>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</si>
  <si>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</si>
  <si>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</si>
  <si>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</si>
  <si>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</si>
  <si>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</si>
  <si>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</si>
  <si>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</si>
  <si>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</si>
  <si>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</si>
  <si>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</si>
  <si>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</si>
  <si>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</si>
  <si>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</si>
  <si>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</si>
  <si>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</si>
  <si>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</si>
  <si>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</si>
  <si>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</si>
  <si>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</si>
  <si>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</si>
  <si>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</si>
  <si>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</si>
  <si>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</si>
  <si>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</si>
  <si>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</si>
  <si>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</si>
  <si>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</si>
  <si>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</si>
  <si>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</si>
  <si>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</si>
  <si>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</si>
  <si>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</si>
  <si>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</si>
  <si>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</si>
  <si>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</si>
  <si>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</si>
  <si>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</si>
  <si>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</si>
  <si>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</si>
  <si>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</si>
  <si>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</si>
  <si>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</si>
  <si>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</si>
  <si>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</si>
  <si>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</si>
  <si>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</si>
  <si>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</si>
  <si>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</si>
  <si>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</si>
  <si>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</si>
  <si>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</si>
  <si>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</si>
  <si>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</si>
  <si>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</si>
  <si>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</si>
  <si>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</si>
  <si>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</si>
  <si>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</si>
  <si>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</si>
  <si>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</si>
  <si>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</si>
  <si>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</si>
  <si>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</si>
  <si>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</si>
  <si>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</si>
  <si>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</si>
  <si>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</si>
  <si>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</si>
  <si>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</si>
  <si>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</si>
  <si>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</si>
  <si>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</si>
  <si>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</si>
  <si>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</si>
  <si>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</si>
  <si>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</si>
  <si>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</si>
  <si>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</si>
  <si>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</si>
  <si>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</si>
  <si>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</si>
  <si>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</si>
  <si>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</si>
  <si>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</si>
  <si>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</si>
  <si>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</si>
  <si>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</si>
  <si>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</si>
  <si>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</si>
  <si>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</si>
  <si>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</si>
  <si>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</si>
  <si>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</si>
  <si>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</si>
  <si>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</si>
  <si>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</si>
  <si>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</si>
  <si>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</si>
  <si>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</si>
  <si>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</si>
  <si>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</si>
  <si>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</si>
  <si>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</si>
  <si>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</si>
  <si>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</si>
  <si>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</si>
  <si>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</si>
  <si>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</si>
  <si>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</si>
  <si>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</si>
  <si>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</si>
  <si>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</si>
  <si>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</si>
  <si>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</si>
  <si>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</si>
  <si>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</si>
  <si>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</si>
  <si>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</si>
  <si>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</si>
  <si>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</si>
  <si>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</si>
  <si>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</si>
  <si>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</si>
  <si>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</si>
  <si>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</si>
  <si>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</si>
  <si>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</si>
  <si>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</si>
  <si>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</si>
  <si>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</si>
  <si>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</si>
  <si>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</si>
  <si>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</si>
  <si>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</si>
  <si>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</si>
  <si>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</si>
  <si>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</si>
  <si>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</si>
  <si>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</si>
  <si>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</si>
  <si>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</si>
  <si>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</si>
  <si>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</si>
  <si>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</si>
  <si>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</si>
  <si>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</si>
  <si>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</si>
  <si>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</si>
  <si>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</si>
  <si>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</si>
  <si>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</si>
  <si>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</si>
  <si>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</si>
  <si>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</si>
  <si>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</si>
  <si>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</si>
  <si>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</si>
  <si>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</si>
  <si>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</si>
  <si>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</si>
  <si>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</si>
  <si>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</si>
  <si>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</si>
  <si>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</si>
  <si>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</si>
  <si>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</si>
  <si>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</si>
  <si>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</si>
  <si>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</si>
  <si>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</si>
  <si>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</si>
  <si>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</si>
  <si>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</si>
  <si>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</si>
  <si>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</si>
  <si>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</si>
  <si>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</si>
  <si>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</si>
  <si>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</si>
  <si>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</si>
  <si>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</si>
  <si>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</si>
  <si>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</si>
  <si>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</si>
  <si>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</si>
  <si>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</si>
  <si>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</si>
  <si>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</si>
  <si>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</si>
  <si>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</si>
  <si>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</si>
  <si>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</si>
  <si>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</si>
  <si>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</si>
  <si>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</si>
  <si>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</si>
  <si>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</si>
  <si>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</si>
  <si>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</si>
  <si>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</si>
  <si>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</si>
  <si>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</si>
  <si>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</si>
  <si>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</si>
  <si>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</si>
  <si>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</si>
  <si>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</si>
  <si>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</si>
  <si>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</si>
  <si>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</si>
  <si>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</si>
  <si>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</si>
  <si>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</si>
  <si>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</si>
  <si>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</si>
  <si>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</si>
  <si>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</si>
  <si>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</si>
  <si>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</si>
  <si>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</si>
  <si>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</si>
  <si>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</si>
  <si>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</si>
  <si>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</si>
  <si>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</si>
  <si>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</si>
  <si>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</si>
  <si>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</si>
  <si>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</si>
  <si>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</si>
  <si>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</si>
  <si>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</si>
  <si>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</si>
  <si>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</si>
  <si>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</si>
  <si>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</si>
  <si>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</si>
  <si>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</si>
  <si>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</si>
  <si>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</si>
  <si>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</si>
  <si>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</si>
  <si>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</si>
  <si>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</si>
  <si>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</si>
  <si>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</si>
  <si>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</si>
  <si>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</si>
  <si>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</si>
  <si>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</si>
  <si>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</si>
  <si>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</si>
  <si>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</si>
  <si>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</si>
  <si>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</si>
  <si>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</si>
  <si>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</si>
  <si>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</si>
  <si>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</si>
  <si>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</si>
  <si>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</si>
  <si>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</si>
  <si>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</si>
  <si>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</si>
  <si>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</si>
  <si>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</si>
  <si>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</si>
  <si>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</si>
  <si>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</si>
  <si>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</si>
  <si>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</si>
  <si>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</si>
  <si>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</si>
  <si>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</si>
  <si>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</si>
  <si>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</si>
  <si>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</si>
  <si>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</si>
  <si>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</si>
  <si>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</si>
  <si>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</si>
  <si>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</si>
  <si>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</si>
  <si>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</si>
  <si>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</si>
  <si>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</si>
  <si>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</si>
  <si>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</si>
  <si>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</si>
  <si>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</si>
  <si>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</si>
  <si>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</si>
  <si>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</si>
  <si>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</si>
  <si>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</si>
  <si>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</si>
  <si>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</si>
  <si>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</si>
  <si>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</si>
  <si>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</si>
  <si>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</si>
  <si>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</si>
  <si>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</si>
  <si>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</si>
  <si>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</si>
  <si>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</si>
  <si>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</si>
  <si>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</si>
  <si>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</si>
  <si>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</si>
  <si>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</si>
  <si>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</si>
  <si>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</si>
  <si>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</si>
  <si>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</si>
  <si>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</si>
  <si>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</si>
  <si>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</si>
  <si>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</si>
  <si>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</si>
  <si>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</si>
  <si>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</si>
  <si>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</si>
  <si>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</si>
  <si>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</si>
  <si>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3.1. Descongestionar 6.700 procesos disciplinarios con criterios de calidad, efectividad y garantía del debido proceso.</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</si>
  <si>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</si>
  <si>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</si>
  <si>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CUMPLIMIENTO PROGRAMACIÓN EN EL PERIODO 
Cuarto Trimestre de 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</si>
  <si>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</si>
  <si>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</si>
  <si>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</si>
  <si>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</si>
  <si>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</si>
  <si>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</si>
  <si>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</si>
  <si>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</si>
  <si>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</si>
  <si>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</si>
  <si>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</si>
  <si>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</si>
  <si>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</si>
  <si>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</si>
  <si>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</si>
  <si>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</si>
  <si>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</si>
  <si>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</si>
  <si>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</si>
  <si>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1.1.11 Establecer de forma periódica, 40 estados de la vulneración de  los derechos humanos en las localidades, dando a conocer a las Entidades correspondientes los hechos observados que requieren su intervención.</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</si>
  <si>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</si>
  <si>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</si>
  <si>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</si>
  <si>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</si>
  <si>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</si>
  <si>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</si>
  <si>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</si>
  <si>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</si>
  <si>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</si>
  <si>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</si>
  <si>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</si>
  <si>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</si>
  <si>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</si>
  <si>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</si>
  <si>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</si>
  <si>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LILY MOTES / JEFE DE OFICINA ASESORA DE COMUNICACIONES</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</si>
  <si>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</si>
  <si>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SANDRA ELIZABETH GARCIA ANGARITA
Personera Delegada para la Coordinación de Prevención y Control a la Función Pública
WILLIAM AUGUSTO SUAREZ SUAREZ
PERSONERO DELEGADO PARA LA COORDINACIÓN DE GESTIÓN DE PERSONERÍAS LOCALES</t>
  </si>
  <si>
    <t>30 Espacios de dialogo realizados</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</si>
  <si>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</si>
  <si>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</si>
  <si>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</si>
  <si>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</si>
  <si>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</si>
  <si>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</si>
  <si>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</si>
  <si>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</si>
  <si>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</si>
  <si>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</si>
  <si>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</si>
  <si>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</si>
  <si>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</si>
  <si>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</si>
  <si>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Ejecución Primer Trimestre</t>
  </si>
  <si>
    <t>Acumulado Corte 
30/09/2022</t>
  </si>
  <si>
    <t xml:space="preserve">Ejecución Corte
30/09/2022 </t>
  </si>
  <si>
    <t>Acumulado Corte 
31/12/2022</t>
  </si>
  <si>
    <t xml:space="preserve">Fecha de corte: </t>
  </si>
  <si>
    <t>Ejecución segundo Trimestre</t>
  </si>
  <si>
    <t>Ejecución tercer Trimestre</t>
  </si>
  <si>
    <t>Año 2022</t>
  </si>
  <si>
    <t>PLAN OPERATIVO ANUAL 2022</t>
  </si>
  <si>
    <t>Desempeño Promedio 
Año 2022</t>
  </si>
  <si>
    <t>Sobre ejecución (Respecto de lo programado al corte)</t>
  </si>
  <si>
    <t>CUMPLIMIENTO PROGRAMACIÓN - ACUMULADO</t>
  </si>
  <si>
    <t>Corte</t>
  </si>
  <si>
    <t>No de Indicadores con Meta Cumplida según progrLación</t>
  </si>
  <si>
    <t>CUMPLIMIENTO PROGRAMACIÓN EN EL PERIODO 
Tercer Trimestre de 2022</t>
  </si>
  <si>
    <t>No programado</t>
  </si>
  <si>
    <t>Verificaciones de cumplimiento realizadas por el Ministerio Público a las medidas de protección impuestas por las Comisarías de Familia</t>
  </si>
  <si>
    <t>Corte Acumulado</t>
  </si>
  <si>
    <t>CUMPLIMIENTO ACUMULADO POA AÑO
POR INDICADOR</t>
  </si>
  <si>
    <t>Identificación del Indicador</t>
  </si>
  <si>
    <t>Fuente: Reportes suministrados por los procesos.</t>
  </si>
  <si>
    <t>Acumulado Corte 
30/11/2022</t>
  </si>
  <si>
    <t xml:space="preserve">Ejecución Corte
01/11/2022 </t>
  </si>
  <si>
    <t>Cuarto Trimestre
30-11-2022</t>
  </si>
  <si>
    <t>Ejecución Cuarto Trimestre
30-11-2022</t>
  </si>
  <si>
    <t>1. Revisar el autodiagnóstico del año anterior y verificar los avances en la ejecución con los responsables
2. Actualizar el Plan de acción para la implementación y sostenimiento del MIPG en la actual vigencia, de acuerdo con las actividades pendientes por ejecutar a diciembre año anterior.
3. Ejecutar el Plan de Acción 2022 (las actividades del Plan se ejecutarán de manera mensual de acuerdo con programación que permitirá cumplir % programado para la actual vigencia)
4. Realizar seguimiento a las actividades ejecutadas por los referentes de manera mensual
5. Generar un informe de avance de la implementación de las actividades del MIPG</t>
  </si>
  <si>
    <t>Cuarto Trimestre
31-12-2022</t>
  </si>
  <si>
    <t>Ejecución Cuarto Trimestre
31-12-2022</t>
  </si>
  <si>
    <t>Ejecución Corte
31/12/2022</t>
  </si>
  <si>
    <t>Lineamientos implementados en el periodo</t>
  </si>
  <si>
    <t>PERSONERÍA DE
BOGOTÁ, D. C.</t>
  </si>
  <si>
    <t>1.1. Realizar 914.879 acciones que promuevan la defensa, garantía y restablecimiento de los derechos de las personas en el Distrito Capital.</t>
  </si>
  <si>
    <t>1.1.1 Realizar 373.106 intervenciones dentro del ejercicio del Ministerio Público para prevenir la vulneración de derechos y/o lograr el  restablecimiento de los mismos.</t>
  </si>
  <si>
    <t>1.1.2 Orientar 317.663 personas en garantía de derechos.</t>
  </si>
  <si>
    <t>1.1.3 Asistir 111.931 personas en garantía de derechos.</t>
  </si>
  <si>
    <t>1.1.4 Asistir a 27.767 personas en mecanismos alternativos de solución de conflictos.</t>
  </si>
  <si>
    <t>1.1.5 Atender y gestionar 53.992 peticiones y/o requerimientos presentados por la comunidad en garantía de derechos.</t>
  </si>
  <si>
    <t>1.1.9 Realizar 9.000 intervenciones de manera oportuna para evitar situaciones de caducidad y perdida de fuerza ejecutoria en las actuaciones administrativas y policivas</t>
  </si>
  <si>
    <t>1.1.10 Impulsar 1.800 expedientes que contengan orden de policía (MULTA) en firme y ejecutoriada, para que se efectúen cobros persuasivos y/o se de traslado para el cobro coactivo.</t>
  </si>
  <si>
    <t>1.2. Realizar 284.891 acciones que propendan por la efectiva defensa y garantía de los derechos de los sujetos de especial protección constitucional, con énfasis en las personas mayores, mujeres y la población migrante en el Distrito Capital</t>
  </si>
  <si>
    <t>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</si>
  <si>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22.448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</si>
  <si>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18.412 acciones constitucionales, la vulneración de derechos  con énfasis en sujetos de especial protección constitucional.</t>
  </si>
  <si>
    <t>P.D. para Asuntos Jurisdiccionales y Víctimas.
P.D. para la Coordinación de la Gestión de Personerías Locales y sus Personerías Locales adscritas</t>
  </si>
  <si>
    <t>1.2.4 Fortalecer el ejercicio del ministerio público ante las comisarías de familia, verificando el cumplimiento a 3.154 medidas de protección que se imponen.</t>
  </si>
  <si>
    <t>1.2.5 Participar en 9.024 comités, mesas y consejos interinstitucionales en garantía de derechos, con énfasis en temas relacionados con sujetos de especial protección constitucional, en particular, persona mayor, mujer y población migrante.</t>
  </si>
  <si>
    <t>1.2.6 Realizar 792 seguimientos a la amenaza y vulneración de los derechos, con énfasis en sujetos de especial protección constitucional, en particular, persona mayor, mujer y población migrante</t>
  </si>
  <si>
    <t>Seguimientos a la Amenaza y Vulneración de los Derechos, realizados</t>
  </si>
  <si>
    <t>2.3. Fortalecer 312 espacios de participación ciudadana en la Personería de Bogotá</t>
  </si>
  <si>
    <t>2.3.1 Realizar 52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</si>
  <si>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</si>
  <si>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4.3.7 Diseñar e implementar el 100 % del Plan Anual de Seguridad y Salud en el Trabajo de la vigencia.</t>
  </si>
  <si>
    <t>Plan Anual de Seguridad y Salud en el Trabajo diseñado y ejecutado</t>
  </si>
  <si>
    <t xml:space="preserve">Porcentaje de contratos en la modalidad de contratación directa elaborados en los tiempos óptimos </t>
  </si>
  <si>
    <r>
      <t>4.5.1 Emitir 152</t>
    </r>
    <r>
      <rPr>
        <b/>
        <sz val="12"/>
        <rFont val="Arial"/>
        <family val="2"/>
      </rPr>
      <t xml:space="preserve"> </t>
    </r>
    <r>
      <rPr>
        <sz val="12"/>
        <rFont val="Arial"/>
        <family val="2"/>
      </rPr>
      <t xml:space="preserve">solicitudes de aplicación de medidas de preservación del orden interno, con el fin de prevenir la materialización de conductas con alcance disciplinario. </t>
    </r>
  </si>
  <si>
    <t>4.5.3 Decidir de fondo 488 procesos disciplinarios que se encuentren en términos o con periodos vencidos, dando prelación a aquellos con mayor antigüedad o aquellos próximos a prescribir o caducar.</t>
  </si>
  <si>
    <t>ALEXANDRA RAMÍREZ SUAREZ
DIRECTORA DE PLANEACIÓN</t>
  </si>
  <si>
    <t>ÁNDRES RODRIGUEZ BECERRA
PERSONERO DELEGADO PARA LA COORDINACIÓN DEL MINISTERIO PÚBLICO Y LOS DERECHOS HUMANOS
WILLIAM AUGUSTO SUAREZ SUAREZ
PERSONERO DELEGADO PARA LA COORDINACIÓN DE GESTIÓN DE PERSONERÍAS LOCALES</t>
  </si>
  <si>
    <t>114.746 Intervenciones realizadas de oficio o a petición de parte por los Agentes del Ministerio Público</t>
  </si>
  <si>
    <t>101.508 Peticiones atendidas y clasificadas como Orientación</t>
  </si>
  <si>
    <t>33.521 Peticiones atendidas y clasificadas como Asistencia</t>
  </si>
  <si>
    <t>9.681 Solicitudes de conciliación y uniones maritales de hecho atendidas</t>
  </si>
  <si>
    <t>19.470 Peticiones o requerimientos ciudadanos atendidos en garantía de derecho o intervención</t>
  </si>
  <si>
    <t>6.500 Audiencias asistidas con actuaciones</t>
  </si>
  <si>
    <t>2.000 Intervenciones realizadas para evitar caducidad y pérdida de fuerza ejecutoria (impulsos procesales)</t>
  </si>
  <si>
    <t>300 Expedientes de policía impulsados</t>
  </si>
  <si>
    <t>20 Informes elaborados del estado de los Derechos Humanos por Localidad
(Esta meta inicia ejecución en 2022)</t>
  </si>
  <si>
    <t>78.131 personas sensibilizadas</t>
  </si>
  <si>
    <t>7.188 acciones en favor de las víctimas del conflicto armado interno realizadas</t>
  </si>
  <si>
    <t>5.832 Acciones constitucionales elaboradas</t>
  </si>
  <si>
    <t>814 verificaciones de cumplimiento realizadas por los Agentes del Ministerio Público a las medidas de protección establecidas por las Comisarias de Familia</t>
  </si>
  <si>
    <t>2.405 espacios de participación interinstitucional con presencia y acompañamiento de la Entidad</t>
  </si>
  <si>
    <t xml:space="preserve">228 Seguimientos realizados a la amenaza y vulneración de los derechos </t>
  </si>
  <si>
    <t>8 Actividades realizadas para acercar la Entidad a la comunidad</t>
  </si>
  <si>
    <t>6 Informes de Prevención y Control a la Función Publica en los cuales se evaluaron políticas ambientales, manejo de recursos hídricos, protección y bienestar animal y desarrollo urbano, en el Distrito Capital.</t>
  </si>
  <si>
    <t>3 Informe de seguimiento a los resultados de  acciones de prevención y control a la función publica en los cuales se evaluaron políticas ambientales, manejo de recursos hídricos, protección y bienestar animal y desarrollo urbano, en el Distrito Capital.</t>
  </si>
  <si>
    <t>259 Informes de Acción de Prevención y Control a la Función Publica en el Distrito Capital, para fortalecer la moralidad pública</t>
  </si>
  <si>
    <t>30 Informes de seguimientos realizados para fortalecer la moralidad pública en el Distrito Capital</t>
  </si>
  <si>
    <t>15 Audiencias públicas y/o mesas de trabajo realizadas.</t>
  </si>
  <si>
    <t xml:space="preserve">40 Acompañamientos a los ciudadanos realizados. </t>
  </si>
  <si>
    <t>MARTHA CECILIA ARAMENDIZ HERRERA
Personera Delegada para la Coordinación de Potestad Disciplinaria</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</si>
  <si>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</si>
  <si>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</si>
  <si>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WILLIAM ALIRIO FUENTES CABALLERO
SUBDIRECTOR DE GESTIÓN DOCUMENTAL Y RECURSOS FÍSICOS</t>
  </si>
  <si>
    <t>VÍCOR ORLANDO SÁNCHEZ BELTRÁN
Subdirector de Gestión Financiera</t>
  </si>
  <si>
    <t>William Javier Murcia Acevedo
Jefe Oficina Aseora Jurídica</t>
  </si>
  <si>
    <t>CARLOS ENRIQUE SILGADO BETANCOURT
SECRETARIO GENERAL</t>
  </si>
  <si>
    <t>Año 2023</t>
  </si>
  <si>
    <t>Acumulado
Corte 
31/03/2023</t>
  </si>
  <si>
    <t>Acumulado
Corte 
30/06/2023</t>
  </si>
  <si>
    <t>Ejecución 
Corte
30/06/2023</t>
  </si>
  <si>
    <t>Acumulado
Corte 
30/09/2023</t>
  </si>
  <si>
    <t>Ejecución 
Corte
30/09/2023</t>
  </si>
  <si>
    <t>Acumulado
Corte 
31/12/2023</t>
  </si>
  <si>
    <t>Ejecución 
Corte
31/12/2023</t>
  </si>
  <si>
    <t>Ejecución Cuarto Trimestre</t>
  </si>
  <si>
    <t>Ejecución 
Corte
31/03/2023</t>
  </si>
  <si>
    <t>CUMPLIMIENTO PROGRAMACIÓN EN EL PERIODO 
Primer Trimestre de 2023</t>
  </si>
  <si>
    <t>PLAN OPERATIVO ANUAL 2023</t>
  </si>
  <si>
    <t>Para el periodo no se programó avance. Su ejecución está prevista para el cuarto trimestre de 2023.</t>
  </si>
  <si>
    <t>Para el periodo no se programó avance. Su ejecución está prevista a partir del tercer  trimestre de 2023.</t>
  </si>
  <si>
    <t>Este indicador esta programado de manera constante en el año con 100% de magnitud esperada en cada periodo, su ejecución promedio en el trimestre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</si>
  <si>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Meta cumplida en las vigencias 2021-2022. No tiene programación en el año 2023.</t>
  </si>
  <si>
    <t>Para el periodo no se programó avance. El inicio de su ejecución está prevista para el cuarto trimestre de 2023.</t>
  </si>
  <si>
    <t>Este indicador esta programado para el cuarto trimestre de 2023</t>
  </si>
  <si>
    <t>Desempeño Promedio 
Año 2023</t>
  </si>
  <si>
    <t>CUMPLIMIENTO PROGRAMACIÓN EN EL PERIODO 
Segundo Trimestre de 2023</t>
  </si>
  <si>
    <t>Corte:30-06-2023</t>
  </si>
  <si>
    <t>META CUMPLIDA EN 2022</t>
  </si>
  <si>
    <t>CUMPLIMIENTO ACUMULADO EN LA VIGENCIA RESPECTO DEL CUATRIENIO</t>
  </si>
  <si>
    <t>CONTRIBUCIÓN EN LA VIGENCIA A LA  META ESTRATEGICA EN EL CUATRIENIO</t>
  </si>
  <si>
    <t>CONTRIBUCIÓN PROMEDIO GRADO DE CUMPLIMIENTO META ESTRATÉGICA</t>
  </si>
  <si>
    <t>CUMPLIMIENTO ACUMULADO
PROMEDIO POR INDICADOR
CORTE 30-06-2023</t>
  </si>
  <si>
    <t>GRADO DE CUMPLIMIENTO 
AÑO 2023</t>
  </si>
  <si>
    <t>SEMESTRE 1</t>
  </si>
  <si>
    <t>Acumulado Corte: 30 de junio de 2023</t>
  </si>
  <si>
    <t>CUMPLIMIENTO PROMEDIO AÑO 30-06-2023
POR INDICADOR</t>
  </si>
  <si>
    <t>GRADO DE CUMPLIMIENTO CUATRIENIO
ACUMULADO CORTE 30/06/2023</t>
  </si>
  <si>
    <t>Para el trimestre su ejecución es en menor gardo inferior a lo planeado.
De acuerdo con los rangos de cumplimiento definidos para este indicador en el periodo y con corte acumulado se encuentra en el nivel satisfactorio.
Se recomienda continuar haciendo monitoreo al indicador para lograr el cumplimiento total de la meta.</t>
  </si>
  <si>
    <t>Para el trimestre su ejecución es conforme a lo planeado.
De acuerdo con los rangos de cumplimiento definidos para este indicador en el periodo y en el corte acumulado se encuentra en el nivel satisfactorio.
Se recomienda continuar haciendo monitoreo a indicador para mantener e nivel de ejecución alcanzado hasta ahora.</t>
  </si>
  <si>
    <t>Para el trimestre su ejecución es conforme a lo planeado.
Sin embargo en el corte acumulado se evidencia una menor ejecución con 2% de avance menos en la estrategia de gestión de datos  equivalente al 16,7% de porcentaje menos de cumplimiento, por cuanto se tenia previsto 5% en el trimestre. 
De acuerdo con los rangos de cumplimiento definidos para este indicador, en este trimestre se encuentra en el nivel satisfactorio pero en el corte acumulado alcanza el nivel aceptable.
Se recomienda continuar haciendo monitoreo al indicador y establecer las acciones de mejora que permitan dar total cumplimiento a la meta y  la coherencia en la ejecución frente a la programación prevista para la vigencia.</t>
  </si>
  <si>
    <r>
      <t xml:space="preserve">Para el periodo no se programó avance. Su ejecución está prevista para el cuarto trimestre de 2023.
</t>
    </r>
    <r>
      <rPr>
        <b/>
        <sz val="10"/>
        <color theme="1"/>
        <rFont val="Arial"/>
        <family val="2"/>
      </rPr>
      <t>Sin embargo, está meta se cumplió en su magnitud total del cuatrienio desde el cuarto trimestre de 2022 con 4 acuerdos interinstitucionales frente a 3 programados para el cuatrienio 2021-2024..</t>
    </r>
  </si>
  <si>
    <r>
      <t xml:space="preserve">Para el trimestre su ejecución es conforme a lo planeado.
De acuerdo con los rangos de cumplimiento definidos para este indicador en el periodo y en el corte acumulado se encuentra en el nivel satisfactorio.
</t>
    </r>
    <r>
      <rPr>
        <b/>
        <sz val="10"/>
        <rFont val="Arial"/>
        <family val="2"/>
      </rPr>
      <t>Esta meta cumple su ejecución anual en el presente periodo.</t>
    </r>
  </si>
  <si>
    <t xml:space="preserve">Este indicador está programado de manera constante en dos periodos en el año con una magnitud del 90% promedio; en el primer trimestre alcanza la meta con el 97,5% de percepción de  los usuarios que califican el servicio en bueno y excelente y un porcentaje de cumplimiento del 108,3%. En el presente periodo no tiene programación por lo cual mantiene el cumplimiento acumulado de 108,3%.
De acuerdo con los rangos de cumplimiento definidos para este indicador en el corte acumulado se ubica en el nivel satisfactorio. </t>
  </si>
  <si>
    <t>Se evidencia una mayor ejecución que supera la programación del trimestre con 920 intervenciones adicionales equivalente al 3% de porcentaje adicional de cumplimiento. La desviación en la ejecución se presenta en el aporte al indicador en las dos instancias de coordinación así.
P.D.C del Ministerio Público y los Derechos Humanos: sobre ejecución con 31.658 intervenciones realizadas en el trimestre frente 30.573; y sobre ejecución con 67.018 intervenciones realizadas frente a 58.136 programadas al corte acumulado.
P.D.C. Prevención y Control a al Función Pública: menor ejecución con 81 intervenciones realizadas  frente 246 programadas en el trimestre; y menor ejecución con 225 intervenciones realizadas frente a 361 programadas al corte acumulado.
En el corte acumulado alcanza una ejecución superior de 8.746 intervenciones adicionales, con un porcentaje superior de cumplimiento del 15%.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</si>
  <si>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4.164 personas orientadas adicionales equivalente al 15% de porcentaje adicional de cumplimiento. La desviación en la ejecución se presenta en el aporte al indicador en las instancias de coordinación así.
P.D.C del Ministerio Público y los Derechos Humanos: sobre ejecución con 26.719 personas orientadas en el trimestre frente 22.774 programadas; y sobre ejecución con 50.694 personas orientadas frente a 41.026 programadas al corte acumulado.
P.D.C. Prevención y Control a al Función Pública: sobre ejecución con 1.710 personas orientadas en el trimestre frente 1.591 programadas; y menor ejecución con 2.715 personas orientadas frente a 2.936 programadas al corte acumulado.
P.D.C. Gestión Personerías Locales: sobre ejecución con 3.500 personas orientadas en el trimestre frente 3.400 programadas; y sobre ejecución con 7.112 personas orientadas frente a 6.400 programadas al corte acumulado.
En el corte acumulado alcanza una ejecución superior de 10.159 personas orientadas, con un porcentaje superior de cumplimiento del 20,2%.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</si>
  <si>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del trimestre con 2 espacios de transferencia menos. 
Sin embargo presenta una ejecución de 7 espacios de transferencia  frente a  7 programados al corte acumulado.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</si>
  <si>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1.591 personas asistidas adicionales equivalente al 17,2% de porcentaje adicional de cumplimiento. La desviación en la ejecución se presenta en el aporte al indicador en las instancias de coordinación así.
P.D.C del Ministerio Público y los Derechos Humanos: sobre ejecución con 5.856 personas asistidas en el trimestre frente 4.183 programadas; y sobre ejecución con  10.756 personas asistidas frente a 7.809 programadas al corte acumulado.
P.D.C. Prevención y Control a al Función Pública: menor ejecución con 2.815 personas asistidas en el trimestre frente 3.954 programadas; y menor ejecución con 6.463 personas asistidas frente a 7.702 programadas al corte acumulado.
P.D.C. Gestión Personerías Locales: sobre ejecución con 2.147 personas asistidas en el trimestre frente 1.100 programadas; y sobre ejecución con 3.466 personas asistidas frente a 2.100 programadas al corte acumulado.
En el corte acumulado alcanza una ejecución superior de 3.074 personas asistidas, con un porcentaje superior de cumplimiento del 17,5%.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</si>
  <si>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 xml:space="preserve">Se evidencia una mayor ejecución que supera la programación del trimestre con 30 audiencias públicas adicionales equivalente al 1,5% de porcentaje adicional de cumplimiento. 
En el corte acumulado alcanza una ejecución superior de 609 audiencias públicas, con un porcentaje superior de cumplimiento del 18,7%. 
 Esta meta esta bajo la responsabilidad de la P.D.C de Gestión de las Personerías Locales.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 </t>
  </si>
  <si>
    <t>El indicador esta previsto para que el % de acciones de tutela, desacatos e impugnaciones previstas para cumplir el criterio sea mayor o igual al 95%, situación evidenciada en el trimestre con y al corte acumulado con un 5,3% adicional.
De acuerdo con los rangos de cumplimiento definidos para este indicador, en este trimestre se encuentra en el nivel satisfactorio.
Se recomienda al proceso revisar la tendencia y evaluar un posible incremento en la magnitud para proyecciones futuras porque desde la vigencia anterior se ha mantenido este comportamiento evidenciando una capacidad de cumplir el criterio en mas del 98%.</t>
  </si>
  <si>
    <t>Se evidencia una mayor ejecución conforme a lo planeado en el trimestre con 9 expedientes adicionales equivalente al 10% de porcentaje adicional de cumplimiento. . 
En el corte acumulado alcanza una ejecución menor de 21expedientes adicionales, con un porcentaje mayor de cumplimiento del 14%. 
Esta meta esta bajo la responsabilidad de la P.D.C de Gestión de las Personerías Locales.De acuerdo con los rangos de cumplimiento definidos para este indicador, en este trimestre se encuentra en el nivel satisfactorio.
Se recomienda al proceso hacer monitoreo al indicador y establecer las acciones de mejora y/o correctivas que permitan dar total cumplimiento a la meta y la coherencia en la ejecución frente a la programación prevista para la vigencia. de tal manera que se cumplan las 300 expedientes con impulso procesal para la gestión de multas programados para el año, en el tiempo restante de la vigencia.</t>
  </si>
  <si>
    <t>Se evidencia una menor ejecución en relación con la programación del trimestre con 29 intervenciones (impulso procesal) menos equivalente al 4.8% de porcentaje menos de cumplimiento. 
En el corte acumulado alcanza una ejecución menor de 22 intervenciones (impulso procesal) menos, con un porcentaje inferior de cumplimiento del 2,2%. 
Esta meta esta bajo la responsabilidad de la P.D.C de Gestión de las Personerías Locales.
De acuerdo con los rangos de cumplimiento definidos para este indicador, en este trimestre se encuentra en el nivel satisfactorio.
Por lo tanto se recomienda al proceso hacer monitoreo al indicador y establecer las acciones de mejora y/o correctivas que permitan dar total cumplimiento a la meta y la coherencia en la ejecución frente a la programación prevista para la vigencia.</t>
  </si>
  <si>
    <t>Se evidencia menor ejecución en relación con la programación del trimestre con 120 seguimientos menos a medidas frente a 276 programados; equivalente al 43,5% de porcentaje inferior de cumplimiento.
En el corte acumulado alcanza una ejecución menor con 87 seguimientos menos a medidas, con un porcentaje inferior de cumplimiento del 20,8%. 
Esta meta esta bajo la responsabilidad de la P.D.C ddel Ministrrio Público y los derechos Humanos.
De acuerdo con los rangos de cumplimiento definidos para este indicador se ubica en el nivel insatisfactorio en el trimestre y aceptable en el corte acumulado.
Se recomienda al proceso realizar monitoreo, seguimiento y establecer las acciones correctivas y/o de mejora que le permitan dar cumplimiento a la meta y  la coherencia en la ejecución frente a la programación prevista para la vigencia.</t>
  </si>
  <si>
    <t>Se evidencia menor ejecución en relación con la programación del trimestre con 1.798 personas asistidas adicionales frente a 1,894 programadas; equivalente al 94,9% de porcentaje superior de cumplimiento.
En el corte acumulado alcanza una ejecución menor con 3.186 personas asistidas adicionales, con un porcentaje superior de cumplimiento del 91,3%. 
Esta meta esta bajo la responsabilidad de la P.D.C ddel Ministerio Público y los Derechos Humanos.
De acuerdo con los rangos de cumplimiento definidos para este indicador se ubica en el nivel insatisfactorio en el trimestre y aceptable en el corte acumulado.
Se recomienda al proceso realizar monitoreo, seguimiento y establecer las acciones correctivas y/o de mejora que le permitan dar cumplimiento a la meta y  la coherencia en la ejecución frente a la programación prevista para la vigencia.</t>
  </si>
  <si>
    <t>Se evidencia una mayor ejecución que supera la programación del trimestre con 2,159 peticiones atendidas adicionales equivalente al 39,6% de porcentaje adicional de cumplimiento. La desviación en la ejecución se presenta en el aporte al indicador en las instancias de coordinación así.
P.D.C del Ministerio Público y los Derechos Humanos: sobre ejecución con 5.034 peticiones atendidas en el trimestre frente 2.318 programadas; y sobre ejecución con  8.702 peticiones atendidas frente a 4.294 programadas al corte acumulado.
P.D.C. Prevención y Control a al Función Pública: menor ejecución con 424 peticiones atendidas en el trimestre frente 740 programadas; y menor ejecución con 882 peticiones atendidas frente a 1.371 programadas al corte acumulado.
P.D.C. Gestión Personerías Locales: menor ejecución con 2.159 peticiones atendidas en el trimestre frente 2.400 programadas; y sobre ejecución con 4.134 peticiones atendidas frente a 4.400 programadas al corte acumulado.
En el corte acumulado alcanza una ejecución superior de 3.593 peticiones atendidas, con un porcentaje superior de cumplimiento del 35,7%.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</si>
  <si>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2,175 personas sensibilizadas adicionales equivalente al 9,4% de porcentaje adicional de cumplimiento. La desviación en la ejecución se presenta en el aporte al indicador en las instancias de coordinación así.
P.D.C del Ministerio Público y los Derechos Humanos: sobre ejecución con 19.183 personas sensibilizadas en el trimestre frente 15.758 programadas; y sobre ejecución con 33.777 personas sensibilizadas frente a 23.138 programadas al corte acumulado.
P.D.C. Gestión Personerías Locales: menor ejecución con 6.250 personas sensibilizadas en el trimestre frente 7.500 programadas; y sobre ejecución con 9.087 personas sensibilizadas frente a 12.250 programadas al corte acumulado.
En el corte acumulado alcanza una ejecución superior de 7.476 personas sensibilizadas, con un porcentaje superior de cumplimiento del 21,1%.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</si>
  <si>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398 acciones en favor de víctimas adicionales equivalente al 18,4% de porcentaje adicional de cumplimiento. La desviación en la ejecución se presenta en el aporte al indicador en las instancias de coordinación así.
P.D.C del Ministerio Público y los Derechos Humanos: sobre ejecución con 1.897 acciones en favor de víctimas en el trimestre frente 1.718 programadas; y sobre ejecución con 3.134 acciones en favor de víctimas frente a 2.756 programadas al corte acumulado.
P.D.C. Gestión Personerías Locales: sobre ejecución con 669 acciones en favor de víctimas en el trimestre frente 450 programadas; y sobre ejecución con 1.447 personas asistidas frente a 750 programadas al corte acumulado.
En el corte acumulado alcanza una ejecución superior de 1.075acciones en favor de víctimas, con un porcentaje superior de cumplimiento del 35,7%.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</si>
  <si>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999 acciones constitucionales elaboradas adicionales equivalente al 64,7% de porcentaje adicional de cumplimiento. La desviación en la ejecución se presenta en el aporte al indicador en las instancias de coordinación así.
P.D.C del Ministerio Público y los Derechos Humanos: sobre ejecución con 2.160 acciones constitucionales elaboradas en el trimestre frente 1.897 programadas; y sobre ejecución con  3.884 acciones constitucionales elaboradas frente a 2.472 programadas al corte acumulado.
P.D.C. Gestión Personerías Locales: sobre ejecución con 384 acciones constitucionales elaboradas en el trimestre frente 240 programadas; y sobre ejecución con 700 acciones constitucionales elaboradas frente a 380 programadas al corte acumulado.
En el corte acumulado alcanza una ejecución superior de 1,732 acciones constitucionales elaboradas, con un porcentaje superior de cumplimiento del 60,7%.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</si>
  <si>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con176 espacios insterinstitucionales adicionales equivalente al 27% de porcentaje adicional de cumplimiento. La desviación en la ejecución se presenta en el aporte al indicador en las instancias de coordinación así.
P.D.C del Ministerio Público y los Derechos Humanos: sobre ejecución con  128 espacios insterinstitucionales en el trimestre frente 112 programadas; y sobre ejecución con  207 espacios insterinstitucionales frente a 196 programadas al corte acumulado.
P.D.C. Gestión Personerías Locales: sobre ejecución con 700 espacios insterinstitucionales en el trimestre frente 540 programadas; y sobre ejecución con 1.104 espacios insterinstitucionales frente a 1.000 programadas al corte acumulado.
En el corte acumulado alcanza una ejecución superior de 115 espacios insterinstitucionales adicionales, con un porcentaje superior de cumplimiento del 9,6%.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</si>
  <si>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que supera altamente la programación del trimestre con 4,4 actividades adicionales equivalente al 220% de porcentaje adicional de cumplimiento. La desviación en la ejecución se presenta en el aporte al indicador en las instancias de coordinación así.
P.D.C del Ministerio Público y los Derechos Humanos: sobre ejecución con 2,4 actividades en el trimestre frente 0 programadas; y sobre ejecución con  2,8 actividades frente a 0 programadas al corte acumulado.
P.D.C. Gestión Personerías Locales: sobre ejecución con 4 actividades en el trimestre frente 2 programadas; y sobre ejecución con 4 actividades frente a 2 programadas al corte acumulado.
En el corte acumulado alcanza una ejecución superior de 4,8 actividades adicionales, con un porcentaje superior de cumplimiento del 240%.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</si>
  <si>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No se evidencia ejecución de la meta en el periodo a pesar de tener programados 3 informes.
La desviación en la ejecución se presenta en el aporte al indicador en la instancia de coordinación responsable así.
P.D.C de Prevención y Control a la Función Pública: menor ejecución con 0 informes en el trimestre frente 3 programadas; y menor ejecución con 0 informes frente a 3 programados al corte acumulado.
De acuerdo con los rangos de cumplimiento definidos para este indicador, en este trimestre se y al corte se encuentra en el nivel insatisfactorio.
Se recomienda continuar haciendo monitoreo al indicador y establecer las acciones de mejora que permitan dar total cumplimiento a la meta y  la coherencia en la ejecución frente a la programación prevista para la vigencia.</t>
  </si>
  <si>
    <t>Se evidencia una menor ejecución inferior con 32 acciones de prevención menos frente a 88 programadas en el trimestre equivalente al 36% de porcentaje de cumplimiento menos al previsto. La desviación en la ejecución se presenta en el aporte al indicador en las instancias de coordinación así.
P.D.C de Prevención y Control a la Función Pública: menor ejecución con 24 acciones de prevención realizadas el trimestre frente 43 programadas; y menor ejecución con  39 acciones de prevención frente a 56 programadas al corte acumulado.
P.D.C. Gestión Personerías Locales: menor ejecución con 32 acciones de prevención en el trimestre frente 45 programadas; y menor ejecución con 46 acciones de prevención frente a 75 programadas al corte acumulado.
En el corte acumulado alcanza una ejecución menor con 46  acciones de prevención menos, con un porcentaje de cumplimiento del 65%. 
De acuerdo con los rangos de cumplimiento definidos para este indicador, en este trimestre  y al corte acumulado se encuentra en el nivel insatisfactorio.
Se recomienda continuar haciendo monitoreo al indicador y establecer las acciones de mejora que permitan dar total cumplimiento a la meta y  la coherencia en la ejecución frente a la programación prevista para la vigencia.</t>
  </si>
  <si>
    <t>Se evidencia una menor ejecución inferior con 1 seguimiento menos frente a 3 programados en el trimestre equivalente al 33% de porcentaje de cumplimiento menos al previsto. La desviación en la ejecución se presenta en el aporte al indicador en las instancias de coordinación así.
P.D.C de Prevención y Control a la Función Pública: menor ejecución con 2 seguimientos realizados en el trimestre frente 3 programados; y menor ejecución con 3 seguimientos realizados frente a 4 programados al corte acumulado.
P.D.C. Gestión Personerías Locales: no tenia programación para el periodo.
En el corte acumulado alcanza una ejecución menor con 1  seguimiento menos, con un porcentaje de cumplimiento del 75%. 
De acuerdo con los rangos de cumplimiento definidos para este indicador, en este trimestre  y al corte acumulado se encuentra en el nivel insatisfactorio.
Se recomienda continuar haciendo monitoreo al indicador y establecer las acciones de mejora que permitan dar total cumplimiento a la meta y  la coherencia en la ejecución frente a la programación prevista para la vigencia.</t>
  </si>
  <si>
    <t>Se evidencia una menor ejecución con 1 audiencia pública menos frente a 9 programados en el trimestre equivalente al 11% de porcentaje menos de cumplimiento.
La desviación en la ejecución se presenta en el aporte al indicador en la instancia de coordinación responsable así.
P.D.C de Prevención y Control a la Función Pública: menor ejecución con 8 audiencias públicas en el trimestre frente 9  programadas; y menor ejecución con 13 audiencias públicas frente a 14 programadas al corte acumulado. 
En el corte acumulado alcanza una ejecución menor con 1  informe de seguimiento menos, con un porcentaje de cumplimiento del 93%. 
De acuerdo con los rangos de cumplimiento definidos para este indicador, en este trimestre y al corte acumulado se encuentra en el nivel aceptable.
Se recomienda continuar haciendo monitoreo al indicador y establecer las acciones de mejora que permitan dar total cumplimiento a la meta y  la coherencia en la ejecución frente a la programación prevista para la vigencia.</t>
  </si>
  <si>
    <t>Se evidencia una mayor ejecución que supera la programación del trimestre con 1 informe de seguimiento adicional equivalente al 100% de porcentaje adicional de cumplimiento.
La desviación en la ejecución se presenta en el aporte al indicador en la instancia de coordinación responsable así.
P.D.C de Prevención y Control a la Función Pública: mayor ejecución con 2 informes en el trimestre frente 1  programado; y mayor ejecución con 2 informes  frente a 1 programado al corte acumulado. 
En el corte acumulado alcanza una ejecución superior con 1  informe de seguimiento adicional, con un porcentaje superior de cumplimiento del 200%. 
De acuerdo con los rangos de cumplimiento definidos para este indicador, en este trimestre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</si>
  <si>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que del trimestre con 10 acompañamientos menos equivalentes al 83% de porcentaje menos de cumplimiento, por cuanto se tenia previsto 12 en el trimestre.
La desviación en la ejecución se presenta en el aporte al indicador en la instancia de coordinación responsable así.
P.D.C . de Gestión de las Personerías Locales: menor ejecución con 2 acompañamientos en el trimestre frente 12  programados; sin embargo en el corte acumulado se observa mayor ejecución con 26 acompañamientos frente a 20 programados al corte acumulado. 
En el corte acumulado alcanza una ejecución mayor con 6 acompañamientos adicionales, con un porcentaje de cumplimiento del 130%. 
En el año alcanza un cumplimiento del 65%.
De acuerdo con los rangos de cumplimiento definidos para este indicador, en este trimestre se encuentra en el nivel insatisfactorio a pesar de ello en el corte acumulado se mantiene en el nivel satisfactorio.
Se recomienda continuar haciendo monitoreo al indicador y establecer las acciones de mejora que permitan dar total cumplimiento a la meta y  la coherencia en la ejecución frente a la programación prevista para la vigencia por se mantiene en sobre ejecución. Se debe revisar la tendencia de este indicador y evaluar una posible reprogramación.</t>
  </si>
  <si>
    <t>Se evidencia una menor ejecución que del trimestre con 5 espacios de diálogo menos equivalentes al 50% de porcentaje menos de cumplimiento, por cuanto se tenia previsto 10 en el trimestre.
La desviación en la ejecución se presenta en el aporte al indicador en la instancia de coordinación responsable así.
P.D.C . de Gestión de las Personerías Locales: menor ejecución con 5 espacios de diálogo en el trimestre frente 10  programados; y en el corte acumulado se observa mayor ejecución con 22 acompañamientos frente a 12 programados al corte acumulado. 
En el corte acumulado alcanza una ejecución mayor con 10 acompañamientos adicionales, con un porcentaje de cumplimiento del 183%. 
En el año alcanza un cumplimiento del 73,3%.
De acuerdo con los rangos de cumplimiento definidos para este indicador, en este trimestre se encuentra en el nivel insatisfactorio a pesar de ello en el corte acumulado se mantiene en el nivel satisfactorio.
Se recomienda continuar haciendo monitoreo al indicador y establecer las acciones de mejora que permitan dar total cumplimiento a la meta y  la coherencia en la ejecución frente a la programación prevista para la vigencia por se mantiene en sobre ejecución alzanzando al core 30-06-2023 la programación prevista hata el tercer trimestre. Se debe revisar la tendencia de este indicador y evaluar una posible reprogramación.</t>
  </si>
  <si>
    <t>Se evidencia una menor ejecución respecto de la programación del trimestre con  36 procesos menos equivalente al 9% de porcentaje en déficit de cumplimiento en el trimestre y 62 procesos menos en el corte acumulado.. 
En el corte acumulado alcanza  un cumplimiento del 91%  y al año alcanza un cumplimiento del 36,3%.
De acuerdo con los rangos de cumplimiento definidos para este indicador, en este trimestre y al corte acumulado se encuentra en el nivel aceptable.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</si>
  <si>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100% de magnitud esperada en cada periodo, su ejecución promedio en el trimestre es menor a la esperada con 9,4% de las noticias disciplinarias menos que la programada y 12% menos en el corte acumulado.
En el corte acumulado alcanza  un cumplimiento del 88%  y al año alcanza un cumplimiento del 43,9%.
De acuerdo con los rangos de cumplimiento definidos para este indicador, en este trimestre y al corte acumulado alcanza el nivel aceptable.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</si>
  <si>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100% de magnitud esperada en cada periodo, su ejecución promedio en el trimestre y al corte acumulado es conforme a la programada. 
De acuerdo con los rangos de cumplimiento definidos para este indicador, en este trimestre alcanza el nivel satisfactorio.
Se recomienda continuar haciendo monitoreo a indicador para mantener e nivel de ejecución alcanzado hasta ahora.</t>
  </si>
  <si>
    <t>Para el periodo no se programó avance. 
Sin embargo presenta un avance en el periodo con 1 escenario de intercambio lo que presenta un avance del 50% frente a la prograamción total del año con 2 escenarios de intercambio.
Su ejecución está prevista a partir del tercer  trimestre de 2023.</t>
  </si>
  <si>
    <t>Se evidencia una menor ejecución respecto de la programación del trimestre con 0,04 avance del sistema menos equivalente al 44% de porcentaje en déficit de cumplimiento en el trimestre y 0,04  avance del sistema menos en el corte acumulado. 
En el corte acumulado alcanza  un cumplimiento del 73%  y al año alcanza un cumplimiento del 36,7%.
De acuerdo con los rangos de cumplimiento definidos para este indicador, en este trimestre y al corte acumulado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</si>
  <si>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Se evidencia una menor ejecución respecto de la programación del trimestre con 11 visitas de seguimiento a las OCI menos equivalente al 52% de porcentaje en déficit de cumplimiento en el trimestre y 11  visitas de seguimiento a las OCI menos en el corte acumulado. 
En el corte acumulado alcanza  un cumplimiento del 48%  y al año alcanza un cumplimiento del 19,6%.
De acuerdo con los rangos de cumplimiento definidos para este indicador, en este trimestre y al corte acumulado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</si>
  <si>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respecto de la programación del trimestre con 0,16 avance de la relatoria adicional equivalente al 133% de porcentaje adicional de cumplimiento en el trimestre y 0,16  avance de la relatoria adicional en el corte acumulado. 
En el corte acumulado alcanza  un cumplimiento del 180%  y al año alcanza un cumplimiento del 90%.
De acuerdo con los rangos de cumplimiento definidos para este indicador, en este trimestre y al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</si>
  <si>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100% de magnitud esperada en cada periodo, su ejecución promedio en el trimestre y al corte es conforme a la programada. 
De acuerdo con los rangos de cumplimiento definidos para este indicador, en este trimestre alcanza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</si>
  <si>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al corte acumulado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</si>
  <si>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98% de magnitud esperada en cada periodo, su ejecución promedio en el trimestre es mayor con 2% novedades incluidas adicionales.
De acuerdo con los rangos de cumplimiento definidos para este indicador, en este periodo y en el corte acumulado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</si>
  <si>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96% de magnitud esperada en cada periodo, su ejecución promedio en el trimestre es acorde a la programada, sin embargo en el acumulado al corte se presenta una mayor ejecución con 1% usuarios satisfechos adicional al esperado.
De acuerdo con los rangos de cumplimiento definidos para este indicador, en este periodoy al corte acumulado alcanza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</si>
  <si>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mucho menor en el trimestre del 33%, del 69% respecto del corte acumulado, su ejecución promedio en el trimestre es menor con 15,6% de avance en la ejecución inferior al programado y en el corte acumulado con 18,2% menos de ejecución del PIC.
De acuerdo con los rangos de cumplimiento definidos para este indicador en el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</si>
  <si>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 cumplimiento mucho menor en el trimestre del 92%, del 97% respecto del corte acumulado, su ejecución promedio en el trimestre es menor con 2% de avance en la ejecución inferior al programado y en el corte acumulado con 2% menos de ejecución del PIB.
De acuerdo con los rangos de cumplimiento definidos para este indicador en el trimestre se encuentra en el nivel insatisfactorio.
Se recomienda al proceso realizar monitoreo, seguimiento y establecer las acciones correctivas y/o de mejora que le permitan dar cumplimiento a la meta y  la coherencia en la ejecución frente a la programación prevista para la vigencia.</t>
  </si>
  <si>
    <t>Para el trimestre y al corte acumulado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</si>
  <si>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y al corte acumulado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</si>
  <si>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97% de magnitud esperada en cada periodo, su ejecución promedio en el trimestre es mayor en relación con lo planeado con un 7% de actividades ejecutadas adicionales y en el corte acumulado con 5% de actividades ejecutadas adicionales del PESV..
De acuerdo con los rangos de cumplimiento definidos para este indicador, en este periodo y en el corte acumulado se encuentra en el nivel satisfactorio.
Se recomienda continuar haciendo monitoreo al indicador y establecer las acciones de mejora que permitan dar total cumplimiento a la meta y  la coherencia en la ejecución frente a la programación prevista para la vigencia.</t>
  </si>
  <si>
    <t>Para el trimestre y al corte su ejecución es conforme a lo planeado.
De acuerdo con los rangos de cumplimiento definidos para este indicador en el corte acumulado se encuentra en el nivel satisfactorio.
Se recomienda continuar haciendo monitoreo a indicador para mantener e nivel de ejecución alcanzado hasta ahora.</t>
  </si>
  <si>
    <t>Se evidencia una mayor ejecución del trimestre con 1% de avance adicional de los compromisos de pago programados y ejecutados equivalente al 3% de porcentaje adicional de cumplimiento, sin emabrgo en el corte acumulado presenta un avance menor del 7% equivalente al 84% de cumplimiento al corte acumulado.
De acuerdo con los rangos de cumplimiento definidos para este indicador, en este trimestre se encuentra en el nivel satisfactorio y en e corte acumulado en nivel aceptable..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</si>
  <si>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2% de avance adicional del presupuesto aprobado y ejecutado equivalente al 7,1% de porcentaje adicional de cumplimiento, y en el corte acumulado presenta un avance adicional también del 2%.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</si>
  <si>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6% de avance adicional del PAA ejecutado equivalente al 27% de porcentaje adicional de cumplimiento, y en el corte acumulado presenta un avance adicional también del 6% equivalente al 11% de porcentaje adicional de cumplimiento al corte acumualdo.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</si>
  <si>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8% de avance adicional de contratos de la modalidad específica en los tiempos ótimos  equivalente al 9% de porcentaje adicional de cumplimiento, y en el corte acumulado presenta un avance adicional también del 3% equivalente al 4% de porcentaje adicional de cumplimiento al corte acumualdo.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</si>
  <si>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10% de avance adicional de contratos de la modalidad específica en los tiempos ótimos  equivalente al 11% de porcentaje adicional de cumplimiento, y en el corte acumulado presenta un avance adicional también del 5% equivalente al 6% de porcentaje adicional de cumplimiento al corte acumualdo.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</si>
  <si>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del trimestre con 5% de avance adicional de contratos de la modalidad específica en los tiempos ótimos  equivalente al 6% de porcentaje adicional de cumplimiento, y en el corte acumulado presenta un avance adicional también del 5% equivalente al 6% de porcentaje adicional de cumplimiento al corte acumualdo.
De acuerdo con los rangos de cumplimiento definidos para este indicador, en este trimestre se encuentra en el nivel satisfactorio.
Se recomienda al proceso realizar monitoreo, seguimiento y establecer las acciones correctivas y/o de mejora que le permitan dar cumplimiento a la meta y  la coherencia en la ejecución frente a la programación prevista para la vigencia.</t>
  </si>
  <si>
    <t>Este indicador esta programado de manera constante en el año con 95% de magnitud esperada en cada periodo, su ejecución promedio en el trimestre  es acorde en relación con lo planeado y la ejecucción acumualda al corte es superior con un  2% de actividades ejecutadas adicionales equivalente al 2% adicional de cumplimiento en elcorte acumulado.
En el año alcanza un cumplimiento del 51%.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</si>
  <si>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esta programado de manera constante en el año con 80% de magnitud esperada en cada periodo, su ejecución promedio en el trimestre es acorde a la programación.
En el año alcanza un cumplimiento del 49,9%.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</si>
  <si>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Este indicador alcanza un ejecución promedio en el trimestre mayor en relación con lo planeado con un 0,95 actividades ejecutadas equivalente al 15% adicional de cumplimiento en el trimestre, en relación con el corte acumulado presenta 1,35 actividades adicionales equivalente al 111% de cumplimiento al corte acumulado.
En el año alcanza un cumplimiento del 52,4%.
De acuerdo con los rangos de cumplimiento definidos para este indicador, en este periodo se encuentra en el nivel satisfactorio.
Se recomienda continuar haciendo monitoreo al indicador y establecer las acciones de mejora que permitan dar total cumplimiento a la meta y  la coherencia en la ejecución frente a la programación prevista para la vigencia.</t>
  </si>
  <si>
    <t>Se evidencia una mayor ejecución del trimestre con 1,3 actividades adicionales realziadas y alcanza un porcentaje de cumplimiento del 20% adicional, en relación con el corte acumulado presenta 1 actividad adicional equivalente al 109% de cumplimiento al corte acumulado.
En el año alcanza un cumplimiento del 51%.
Se recomienda al proceso realizar monitoreo, seguimiento y establecer las acciones correctivas y/o de mejora que le permitan dar cumplimiento a la meta y  la coherencia en la ejecución frente a la programación prevista para la vigencia.</t>
  </si>
  <si>
    <t>Este indicador presenta menor ejecución en el trimestre  con 1 medidas de preservación menos que las programadas equivalente al 10% menos de cumplimiento en el periodo, en el corte acumulado presenta menor ejecución con 5 medidas de preservación menos que las programadas equivalente al 75% de cumplimiento acumulado al corte.
De acuerdo con los rangos de cumplimiento definidos para este indicador, en este periodo y en el corte acumulado se encuentra en el nivel aceptable.
Se recomienda al proceso realizar monitoreo, seguimiento y establecer las acciones correctivas y/o de mejora que le permitan dar cumplimiento a la meta y  la coherencia en la ejecución frente a la programación prevista para la vigencia.</t>
  </si>
  <si>
    <t>Se evidencia mayor ejecución en el trimestre con 1 jornada de sensibilización en la programación para el trimestre sin emabrgo en el corte acumulado se alcanza la ejeccuión acorde. 
De acuerdo con los rangos de cumplimiento definidos para este indicador se ubica en el nivel satisfactorio en esl trimestre y al corte acumulado.
Se recomienda al proceso hacer monitoreo al indicador y establecer las acciones de mejora y/o correctivas que permitan dar total cumplimiento a la meta y la coherencia en la ejecución frente a la programación prevista para la vigencia, de tal manera que se cumplan las jornadas de sensibilización para el año en el tiempo restante de la vigencia teniendo en cuenta que este indicador no depende de la demanda.</t>
  </si>
  <si>
    <t>Se evidencia una mayor ejecución que supera la programación del trimestre con 9 procesos adicionales equivalente al 24% de porcentaje adicional de cumplimiento y al corte acumulado con 13 procesos adicionales equivalente al 118% de cumplimiento al corte. 
De acuerdo con los rangos de cumplimiento definidos para este indicador se ubica en el nivel satisfactorio.
Se recomienda continuar haciendo monitoreo al indicador y establecer las acciones de mejora que permitan dar total cumplimiento a la meta y  la coherencia en la ejecución frente a la programación prevista para la vigencia.</t>
  </si>
  <si>
    <t>Para el trimestre y al corte su ejecución es conforme a lo planeado.
De acuerdo con los rangos de cumplimiento definidos para este indicador en el corte acumulado se encuentra en el nivel satisfactorio.
Esta meta se cumple en el presente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</si>
</sst>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0.0%"/>
    <numFmt numFmtId="171" formatCode="[$-240A]d&quot; de &quot;mmmm&quot; de &quot;yyyy;@"/>
    <numFmt numFmtId="172" formatCode="#,##0.000"/>
    <numFmt numFmtId="173" formatCode="0.0"/>
    <numFmt numFmtId="174" formatCode="0.000%"/>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b/>
      <sz val="12"/>
      <color rgb="FFFF0000"/>
      <name val="Arial"/>
      <family val="2"/>
    </font>
    <font>
      <sz val="12"/>
      <color rgb="FF7030A0"/>
      <name val="Arial"/>
      <family val="2"/>
    </font>
    <font>
      <b/>
      <sz val="14"/>
      <color theme="0" tint="-0.34998626667073579"/>
      <name val="Arial"/>
      <family val="2"/>
    </font>
    <font>
      <b/>
      <sz val="23"/>
      <name val="Arial"/>
      <family val="2"/>
    </font>
    <font>
      <sz val="14"/>
      <name val="Arial"/>
      <family val="2"/>
      <charset val="1"/>
    </font>
    <font>
      <sz val="18"/>
      <color theme="0" tint="-0.249977111117893"/>
      <name val="Arial"/>
      <family val="2"/>
    </font>
    <font>
      <sz val="14"/>
      <color rgb="FFFFFF00"/>
      <name val="Arial"/>
      <family val="2"/>
    </font>
    <font>
      <sz val="14"/>
      <color rgb="FF00B050"/>
      <name val="Arial"/>
      <family val="2"/>
    </font>
    <font>
      <sz val="12"/>
      <color theme="0" tint="-0.249977111117893"/>
      <name val="Arial"/>
      <family val="2"/>
    </font>
    <font>
      <b/>
      <sz val="9"/>
      <color theme="0"/>
      <name val="Century Gothic"/>
      <family val="2"/>
    </font>
    <font>
      <b/>
      <sz val="10"/>
      <color theme="1"/>
      <name val="Arial"/>
      <family val="2"/>
    </font>
  </fonts>
  <fills count="4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6" tint="0.39997558519241921"/>
        <bgColor rgb="FFFBD4B4"/>
      </patternFill>
    </fill>
    <fill>
      <patternFill patternType="solid">
        <fgColor theme="1" tint="0.249977111117893"/>
        <bgColor rgb="FFFBD4B4"/>
      </patternFill>
    </fill>
    <fill>
      <patternFill patternType="solid">
        <fgColor theme="0" tint="-0.249977111117893"/>
        <bgColor rgb="FFFBD4B4"/>
      </patternFill>
    </fill>
    <fill>
      <patternFill patternType="solid">
        <fgColor rgb="FF92D050"/>
        <bgColor rgb="FFFBD4B4"/>
      </patternFill>
    </fill>
  </fills>
  <borders count="8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auto="1"/>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554">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25" fillId="3" borderId="18" xfId="0" applyFont="1" applyFill="1" applyBorder="1" applyAlignment="1">
      <alignment horizontal="left"/>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25" fillId="3" borderId="31" xfId="0" applyFont="1" applyFill="1" applyBorder="1" applyAlignment="1">
      <alignment horizontal="left"/>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lignment horizontal="center" vertical="center"/>
    </xf>
    <xf numFmtId="3" fontId="21" fillId="7" borderId="3" xfId="6" applyNumberFormat="1" applyFont="1" applyFill="1" applyBorder="1" applyAlignment="1" applyProtection="1">
      <alignment horizontal="center" vertical="center"/>
    </xf>
    <xf numFmtId="0" fontId="24" fillId="3" borderId="19" xfId="0" applyFont="1" applyFill="1" applyBorder="1" applyAlignment="1">
      <alignment horizontal="center"/>
    </xf>
    <xf numFmtId="0" fontId="20" fillId="0" borderId="2" xfId="0" applyFont="1" applyBorder="1" applyAlignment="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3" fillId="0" borderId="6" xfId="20" applyFont="1" applyBorder="1" applyAlignment="1">
      <alignment horizontal="left" vertical="center" wrapText="1"/>
    </xf>
    <xf numFmtId="0" fontId="25" fillId="3" borderId="32" xfId="0" applyFont="1" applyFill="1" applyBorder="1"/>
    <xf numFmtId="0" fontId="24" fillId="3" borderId="17" xfId="0" applyFont="1" applyFill="1" applyBorder="1"/>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14" fontId="20" fillId="0" borderId="1" xfId="1" applyNumberFormat="1" applyFont="1" applyAlignment="1" applyProtection="1">
      <alignment vertical="center"/>
      <protection locked="0"/>
    </xf>
    <xf numFmtId="0" fontId="11" fillId="0" borderId="1" xfId="1" applyFont="1" applyAlignment="1">
      <alignment horizontal="center" vertical="center"/>
    </xf>
    <xf numFmtId="0" fontId="9" fillId="0" borderId="1" xfId="1" applyFont="1" applyAlignment="1">
      <alignment horizontal="left" vertical="center"/>
    </xf>
    <xf numFmtId="0" fontId="15" fillId="0" borderId="1" xfId="1" applyFont="1" applyAlignment="1">
      <alignment vertical="center" wrapText="1"/>
    </xf>
    <xf numFmtId="9" fontId="20" fillId="0" borderId="2" xfId="8" applyFont="1" applyBorder="1" applyAlignment="1" applyProtection="1">
      <alignment horizontal="center" vertical="center" wrapText="1"/>
    </xf>
    <xf numFmtId="3" fontId="43"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9" fontId="20" fillId="0" borderId="3" xfId="8" applyFont="1" applyBorder="1" applyAlignment="1" applyProtection="1">
      <alignment horizontal="center" vertical="center" wrapText="1"/>
    </xf>
    <xf numFmtId="0" fontId="20" fillId="0" borderId="2" xfId="34" applyFont="1" applyBorder="1" applyAlignment="1" applyProtection="1">
      <alignment horizontal="left" vertical="center" wrapText="1"/>
      <protection locked="0"/>
    </xf>
    <xf numFmtId="0" fontId="23" fillId="0" borderId="6" xfId="34" applyFont="1" applyBorder="1" applyAlignment="1">
      <alignment horizontal="left"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lignment horizontal="center" vertical="center" wrapText="1"/>
    </xf>
    <xf numFmtId="9" fontId="22" fillId="4" borderId="9" xfId="3" applyFont="1" applyFill="1" applyBorder="1" applyAlignment="1" applyProtection="1">
      <alignment horizontal="center" vertical="center"/>
    </xf>
    <xf numFmtId="0" fontId="20" fillId="0" borderId="6" xfId="34" applyFont="1" applyBorder="1" applyAlignment="1" applyProtection="1">
      <alignment horizontal="left" vertical="center" wrapText="1"/>
      <protection locked="0"/>
    </xf>
    <xf numFmtId="0" fontId="20" fillId="2" borderId="2" xfId="1" applyFont="1" applyFill="1" applyBorder="1" applyAlignment="1" applyProtection="1">
      <alignment horizontal="center" vertical="center" wrapText="1"/>
      <protection locked="0"/>
    </xf>
    <xf numFmtId="3" fontId="21" fillId="7" borderId="3" xfId="8" applyNumberFormat="1" applyFont="1" applyFill="1" applyBorder="1" applyAlignment="1" applyProtection="1">
      <alignment horizontal="center" vertical="center"/>
    </xf>
    <xf numFmtId="0" fontId="23" fillId="0" borderId="6" xfId="34" applyFont="1" applyBorder="1" applyAlignment="1">
      <alignment horizontal="left" vertical="center" wrapText="1"/>
    </xf>
    <xf numFmtId="9" fontId="11" fillId="4" borderId="9" xfId="3"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1" xfId="0" applyBorder="1"/>
    <xf numFmtId="3" fontId="20" fillId="0" borderId="2" xfId="0" applyNumberFormat="1" applyFont="1" applyBorder="1" applyAlignment="1">
      <alignment horizontal="center" vertical="center" wrapText="1"/>
    </xf>
    <xf numFmtId="0" fontId="20" fillId="0" borderId="3"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6" xfId="20" applyFont="1" applyBorder="1" applyAlignment="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9" fontId="20" fillId="0" borderId="2" xfId="8" applyFont="1" applyFill="1" applyBorder="1" applyAlignment="1" applyProtection="1">
      <alignment horizontal="center" vertical="center" wrapText="1"/>
    </xf>
    <xf numFmtId="0" fontId="20" fillId="0" borderId="12" xfId="0" applyFont="1" applyBorder="1" applyAlignment="1">
      <alignment horizontal="justify" vertical="center" wrapText="1"/>
    </xf>
    <xf numFmtId="0" fontId="20" fillId="18" borderId="2" xfId="0" applyFont="1" applyFill="1" applyBorder="1" applyAlignment="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lignment horizontal="center" vertical="center" wrapText="1"/>
    </xf>
    <xf numFmtId="0" fontId="20" fillId="18" borderId="3" xfId="0" applyFont="1" applyFill="1" applyBorder="1" applyAlignment="1">
      <alignment horizontal="center" vertical="center" wrapText="1"/>
    </xf>
    <xf numFmtId="0" fontId="20" fillId="18" borderId="3" xfId="0" applyFont="1" applyFill="1" applyBorder="1" applyAlignment="1">
      <alignment horizontal="justify" vertical="center" wrapText="1"/>
    </xf>
    <xf numFmtId="0" fontId="20" fillId="18" borderId="31" xfId="0" applyFont="1" applyFill="1" applyBorder="1" applyAlignment="1">
      <alignment horizontal="justify" vertical="center" wrapText="1"/>
    </xf>
    <xf numFmtId="0" fontId="20" fillId="18" borderId="6" xfId="20" applyFont="1" applyFill="1" applyBorder="1" applyAlignment="1">
      <alignment horizontal="justify" vertical="center" wrapText="1"/>
    </xf>
    <xf numFmtId="3" fontId="39" fillId="18" borderId="3" xfId="5" applyNumberFormat="1" applyFont="1" applyFill="1" applyBorder="1" applyAlignment="1" applyProtection="1">
      <alignment horizontal="center" vertical="center" wrapText="1"/>
    </xf>
    <xf numFmtId="9" fontId="20" fillId="0" borderId="2" xfId="0" applyNumberFormat="1" applyFont="1" applyBorder="1" applyAlignment="1">
      <alignment horizontal="center" vertical="center" wrapText="1"/>
    </xf>
    <xf numFmtId="0" fontId="39" fillId="0" borderId="2" xfId="0" applyFont="1" applyBorder="1" applyAlignment="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lignment horizontal="center" vertical="center" wrapText="1"/>
    </xf>
    <xf numFmtId="0" fontId="20" fillId="18" borderId="2" xfId="20" applyFont="1" applyFill="1" applyBorder="1" applyAlignment="1">
      <alignment horizontal="justify" vertical="center" wrapText="1"/>
    </xf>
    <xf numFmtId="9" fontId="39" fillId="18" borderId="2" xfId="5" applyNumberFormat="1" applyFont="1" applyFill="1" applyBorder="1" applyAlignment="1" applyProtection="1">
      <alignment horizontal="center" vertical="center" wrapText="1"/>
    </xf>
    <xf numFmtId="1" fontId="20" fillId="0" borderId="2" xfId="0" applyNumberFormat="1" applyFont="1" applyBorder="1" applyAlignment="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0" fontId="20" fillId="18" borderId="3" xfId="9" applyFont="1" applyFill="1" applyBorder="1" applyAlignment="1">
      <alignment horizontal="justify" vertical="center" wrapText="1"/>
    </xf>
    <xf numFmtId="0" fontId="20" fillId="18" borderId="31" xfId="9" applyFont="1" applyFill="1" applyBorder="1" applyAlignment="1">
      <alignment horizontal="justify" vertical="center" wrapText="1"/>
    </xf>
    <xf numFmtId="0" fontId="20" fillId="18" borderId="2" xfId="34" applyFont="1" applyFill="1" applyBorder="1" applyAlignment="1">
      <alignment horizontal="justify" vertical="center" wrapText="1"/>
    </xf>
    <xf numFmtId="9" fontId="20" fillId="18" borderId="2" xfId="34" applyNumberFormat="1" applyFont="1" applyFill="1" applyBorder="1" applyAlignment="1">
      <alignment horizontal="center" vertical="center" wrapText="1"/>
    </xf>
    <xf numFmtId="0" fontId="20" fillId="18" borderId="2" xfId="9" applyFont="1" applyFill="1" applyBorder="1" applyAlignment="1">
      <alignment horizontal="justify" vertical="center" wrapText="1"/>
    </xf>
    <xf numFmtId="0" fontId="20" fillId="18" borderId="2" xfId="9" applyFont="1" applyFill="1" applyBorder="1" applyAlignment="1">
      <alignment horizontal="center" vertical="center" wrapText="1"/>
    </xf>
    <xf numFmtId="0" fontId="20" fillId="18" borderId="3" xfId="9" applyFont="1" applyFill="1" applyBorder="1" applyAlignment="1">
      <alignment horizontal="center" vertical="center" wrapText="1"/>
    </xf>
    <xf numFmtId="1" fontId="39" fillId="18" borderId="3" xfId="5" applyNumberFormat="1" applyFont="1" applyFill="1" applyBorder="1" applyAlignment="1" applyProtection="1">
      <alignment horizontal="center" vertical="center" wrapText="1"/>
    </xf>
    <xf numFmtId="0" fontId="20" fillId="0" borderId="6" xfId="34" applyFont="1" applyBorder="1" applyAlignment="1">
      <alignment horizontal="justify" vertical="center" wrapText="1"/>
    </xf>
    <xf numFmtId="1" fontId="20" fillId="18" borderId="2" xfId="0" applyNumberFormat="1" applyFont="1" applyFill="1" applyBorder="1" applyAlignment="1">
      <alignment horizontal="center" vertical="center" wrapText="1"/>
    </xf>
    <xf numFmtId="0" fontId="20" fillId="18" borderId="2" xfId="0" applyFont="1" applyFill="1" applyBorder="1" applyAlignment="1">
      <alignment horizontal="center" vertical="center" wrapText="1"/>
    </xf>
    <xf numFmtId="0" fontId="20" fillId="0" borderId="3" xfId="34" applyFont="1" applyBorder="1" applyAlignment="1">
      <alignment horizontal="justify" vertical="center" wrapText="1"/>
    </xf>
    <xf numFmtId="0" fontId="39" fillId="18" borderId="2" xfId="0" applyFont="1" applyFill="1" applyBorder="1" applyAlignment="1">
      <alignment horizontal="justify" vertical="top" wrapText="1" readingOrder="1"/>
    </xf>
    <xf numFmtId="0" fontId="20" fillId="18" borderId="6" xfId="34" applyFont="1" applyFill="1" applyBorder="1" applyAlignment="1">
      <alignment horizontal="justify" vertical="center" wrapText="1"/>
    </xf>
    <xf numFmtId="0" fontId="41" fillId="0" borderId="2" xfId="0" applyFont="1" applyBorder="1" applyAlignment="1">
      <alignment horizontal="justify" vertical="top" wrapText="1"/>
    </xf>
    <xf numFmtId="0" fontId="41" fillId="3" borderId="2" xfId="0" applyFont="1" applyFill="1" applyBorder="1" applyAlignment="1">
      <alignment horizontal="justify" vertical="top" wrapText="1"/>
    </xf>
    <xf numFmtId="0" fontId="24" fillId="3" borderId="10" xfId="0" applyFont="1" applyFill="1" applyBorder="1" applyAlignment="1">
      <alignment horizontal="left"/>
    </xf>
    <xf numFmtId="0" fontId="25" fillId="3" borderId="33" xfId="0" applyFont="1" applyFill="1" applyBorder="1"/>
    <xf numFmtId="0" fontId="24" fillId="3" borderId="21" xfId="0" applyFont="1" applyFill="1" applyBorder="1"/>
    <xf numFmtId="0" fontId="20" fillId="2" borderId="2" xfId="1" applyFont="1" applyFill="1" applyBorder="1" applyAlignment="1">
      <alignment horizontal="center" vertical="center" wrapText="1"/>
    </xf>
    <xf numFmtId="0" fontId="20" fillId="0" borderId="6" xfId="20" applyFont="1" applyBorder="1" applyAlignment="1">
      <alignment horizontal="left" vertical="center" wrapText="1"/>
    </xf>
    <xf numFmtId="0" fontId="20" fillId="0" borderId="6" xfId="34" applyFont="1" applyBorder="1" applyAlignment="1">
      <alignment horizontal="left" vertical="center" wrapText="1"/>
    </xf>
    <xf numFmtId="0" fontId="20" fillId="0" borderId="2" xfId="34" applyFont="1" applyBorder="1" applyAlignment="1">
      <alignment horizontal="left" vertical="center" wrapText="1"/>
    </xf>
    <xf numFmtId="0" fontId="20" fillId="0" borderId="3" xfId="0" applyFont="1" applyBorder="1" applyAlignment="1">
      <alignment horizontal="left" vertical="center" wrapText="1"/>
    </xf>
    <xf numFmtId="14" fontId="20" fillId="0" borderId="1" xfId="1" applyNumberFormat="1" applyFont="1" applyAlignment="1">
      <alignment vertical="center"/>
    </xf>
    <xf numFmtId="0" fontId="20" fillId="0" borderId="6" xfId="34" applyFont="1" applyBorder="1" applyAlignment="1">
      <alignment horizontal="center" vertical="center" wrapText="1"/>
    </xf>
    <xf numFmtId="3" fontId="39" fillId="7" borderId="3" xfId="0" applyNumberFormat="1" applyFont="1" applyFill="1" applyBorder="1" applyAlignment="1">
      <alignment horizontal="center" vertical="center"/>
    </xf>
    <xf numFmtId="0" fontId="20" fillId="0" borderId="2" xfId="1" applyFont="1" applyBorder="1" applyAlignment="1">
      <alignment horizontal="center" vertical="center" wrapText="1"/>
    </xf>
    <xf numFmtId="0" fontId="20" fillId="0" borderId="2" xfId="34" applyFont="1" applyBorder="1" applyAlignment="1">
      <alignment horizontal="center" vertical="center" wrapText="1"/>
    </xf>
    <xf numFmtId="0" fontId="20" fillId="0" borderId="2" xfId="0" applyFont="1" applyBorder="1" applyAlignment="1">
      <alignment vertical="center" wrapText="1"/>
    </xf>
    <xf numFmtId="0" fontId="26" fillId="0" borderId="2" xfId="1" applyFont="1" applyBorder="1" applyAlignment="1">
      <alignment horizontal="center" vertical="center" wrapText="1"/>
    </xf>
    <xf numFmtId="0" fontId="27" fillId="0" borderId="2" xfId="1" applyFont="1" applyBorder="1" applyAlignment="1">
      <alignment horizontal="center" vertical="center" wrapText="1"/>
    </xf>
    <xf numFmtId="0" fontId="26" fillId="7" borderId="2" xfId="1" applyFont="1" applyFill="1" applyBorder="1" applyAlignment="1">
      <alignment horizontal="center" vertical="center" wrapText="1"/>
    </xf>
    <xf numFmtId="0" fontId="27" fillId="7" borderId="2" xfId="1" applyFont="1" applyFill="1" applyBorder="1" applyAlignment="1">
      <alignment horizontal="center" vertical="center" wrapText="1"/>
    </xf>
    <xf numFmtId="3" fontId="43" fillId="7" borderId="3" xfId="0" applyNumberFormat="1" applyFont="1" applyFill="1" applyBorder="1" applyAlignment="1">
      <alignment horizontal="center" vertical="center"/>
    </xf>
    <xf numFmtId="0" fontId="23" fillId="0" borderId="6" xfId="20" applyFont="1" applyBorder="1" applyAlignment="1">
      <alignment horizontal="center" vertical="center" wrapText="1"/>
    </xf>
    <xf numFmtId="0" fontId="45" fillId="0" borderId="0" xfId="0" applyFont="1" applyAlignment="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lignment horizontal="center" vertical="center" wrapText="1"/>
    </xf>
    <xf numFmtId="166" fontId="20" fillId="0" borderId="3" xfId="0" applyNumberFormat="1" applyFont="1" applyBorder="1" applyAlignment="1">
      <alignment horizontal="center" vertical="center" wrapText="1"/>
    </xf>
    <xf numFmtId="166" fontId="39" fillId="7" borderId="3" xfId="0" applyNumberFormat="1" applyFont="1" applyFill="1" applyBorder="1" applyAlignment="1">
      <alignment horizontal="center" vertical="center"/>
    </xf>
    <xf numFmtId="4" fontId="39" fillId="7" borderId="3" xfId="0" applyNumberFormat="1"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11" fillId="3" borderId="32" xfId="0" applyFont="1" applyFill="1" applyBorder="1"/>
    <xf numFmtId="0" fontId="20" fillId="3" borderId="17" xfId="0" applyFont="1" applyFill="1" applyBorder="1"/>
    <xf numFmtId="0" fontId="11" fillId="3" borderId="31" xfId="0" applyFont="1" applyFill="1" applyBorder="1" applyAlignment="1">
      <alignment horizontal="left"/>
    </xf>
    <xf numFmtId="0" fontId="11" fillId="3" borderId="18" xfId="0" applyFont="1" applyFill="1" applyBorder="1" applyAlignment="1">
      <alignment horizontal="left"/>
    </xf>
    <xf numFmtId="0" fontId="20" fillId="0" borderId="1" xfId="0" applyFont="1" applyBorder="1" applyAlignment="1">
      <alignment horizontal="center" vertical="center"/>
    </xf>
    <xf numFmtId="0" fontId="11" fillId="0" borderId="2" xfId="0" applyFont="1" applyBorder="1" applyAlignment="1">
      <alignment vertical="center"/>
    </xf>
    <xf numFmtId="0" fontId="11" fillId="0" borderId="2" xfId="1" applyFont="1" applyBorder="1" applyAlignment="1">
      <alignment horizontal="center" vertical="top" wrapText="1"/>
    </xf>
    <xf numFmtId="0" fontId="11" fillId="7" borderId="2" xfId="1" applyFont="1" applyFill="1" applyBorder="1" applyAlignment="1">
      <alignment horizontal="center" vertical="top" wrapText="1"/>
    </xf>
    <xf numFmtId="0" fontId="20" fillId="0" borderId="3" xfId="35" applyFont="1" applyBorder="1" applyAlignment="1">
      <alignment horizontal="center" vertical="center" wrapText="1"/>
    </xf>
    <xf numFmtId="0" fontId="8" fillId="0" borderId="37" xfId="34" applyBorder="1" applyAlignment="1">
      <alignment horizontal="left" vertical="center" wrapText="1"/>
    </xf>
    <xf numFmtId="0" fontId="20" fillId="0" borderId="37" xfId="34" applyFont="1" applyBorder="1" applyAlignment="1">
      <alignment horizontal="left" vertical="center" wrapText="1"/>
    </xf>
    <xf numFmtId="0" fontId="20" fillId="0" borderId="2" xfId="23" applyFont="1" applyBorder="1" applyAlignment="1">
      <alignment horizontal="left" vertical="center" wrapText="1"/>
    </xf>
    <xf numFmtId="0" fontId="8" fillId="0" borderId="2" xfId="34" applyBorder="1" applyAlignment="1">
      <alignment horizontal="justify" vertical="center" wrapText="1"/>
    </xf>
    <xf numFmtId="0" fontId="20" fillId="0" borderId="2" xfId="34" applyFont="1" applyBorder="1" applyAlignment="1">
      <alignment horizontal="justify" vertical="center" wrapText="1"/>
    </xf>
    <xf numFmtId="0" fontId="20" fillId="0" borderId="2" xfId="9" applyFont="1" applyBorder="1" applyAlignment="1">
      <alignment horizontal="center" vertical="center" wrapText="1"/>
    </xf>
    <xf numFmtId="0" fontId="23" fillId="0" borderId="2" xfId="34" applyFont="1" applyBorder="1" applyAlignment="1">
      <alignment horizontal="left" vertical="center" wrapText="1"/>
    </xf>
    <xf numFmtId="0" fontId="8" fillId="0" borderId="2" xfId="34" applyBorder="1" applyAlignment="1">
      <alignment horizontal="left" vertical="center" wrapText="1"/>
    </xf>
    <xf numFmtId="0" fontId="20" fillId="0" borderId="1" xfId="1" applyFont="1" applyAlignment="1">
      <alignment horizontal="center" vertical="center"/>
    </xf>
    <xf numFmtId="0" fontId="20" fillId="0" borderId="1" xfId="1" applyFont="1" applyAlignment="1">
      <alignment vertical="center"/>
    </xf>
    <xf numFmtId="0" fontId="20" fillId="0" borderId="1" xfId="1" applyFont="1" applyAlignment="1">
      <alignment vertical="center" wrapText="1"/>
    </xf>
    <xf numFmtId="0" fontId="20" fillId="0" borderId="1" xfId="0" applyFont="1" applyBorder="1" applyAlignment="1">
      <alignment vertical="center" wrapText="1"/>
    </xf>
    <xf numFmtId="10" fontId="20" fillId="0" borderId="2" xfId="0" applyNumberFormat="1" applyFont="1" applyBorder="1" applyAlignment="1">
      <alignment horizontal="center" vertical="center" wrapText="1"/>
    </xf>
    <xf numFmtId="0" fontId="20" fillId="0" borderId="2" xfId="32" applyFont="1" applyBorder="1" applyAlignment="1">
      <alignment vertical="center" wrapText="1"/>
    </xf>
    <xf numFmtId="0" fontId="20" fillId="0" borderId="3" xfId="34" applyFont="1" applyBorder="1" applyAlignment="1">
      <alignment vertical="center" wrapText="1"/>
    </xf>
    <xf numFmtId="0" fontId="9" fillId="0" borderId="0" xfId="0" applyFont="1" applyAlignment="1">
      <alignment horizontal="center" vertical="center"/>
    </xf>
    <xf numFmtId="0" fontId="20" fillId="2" borderId="2" xfId="1" applyFont="1" applyFill="1" applyBorder="1" applyAlignment="1">
      <alignment vertical="center" wrapText="1"/>
    </xf>
    <xf numFmtId="0" fontId="20" fillId="2" borderId="3" xfId="1" applyFont="1" applyFill="1" applyBorder="1" applyAlignment="1">
      <alignment horizontal="center" vertical="center" wrapText="1"/>
    </xf>
    <xf numFmtId="0" fontId="20" fillId="0" borderId="3" xfId="34" applyFont="1" applyBorder="1" applyAlignment="1">
      <alignment horizontal="center" vertical="center" wrapText="1"/>
    </xf>
    <xf numFmtId="9" fontId="20" fillId="3" borderId="3" xfId="0" applyNumberFormat="1" applyFont="1" applyFill="1" applyBorder="1" applyAlignment="1">
      <alignment horizontal="center" vertical="center" wrapText="1"/>
    </xf>
    <xf numFmtId="0" fontId="15" fillId="0" borderId="0" xfId="0" applyFont="1" applyAlignment="1">
      <alignment horizontal="right" vertical="center"/>
    </xf>
    <xf numFmtId="0" fontId="15" fillId="0" borderId="1" xfId="1" applyFont="1" applyAlignment="1">
      <alignment horizontal="right" vertical="center"/>
    </xf>
    <xf numFmtId="0" fontId="15" fillId="0" borderId="1" xfId="1" applyFont="1" applyAlignment="1">
      <alignment horizontal="right" vertical="center" wrapText="1"/>
    </xf>
    <xf numFmtId="0" fontId="20" fillId="2" borderId="2" xfId="1" applyFont="1" applyFill="1" applyBorder="1" applyAlignment="1">
      <alignment horizontal="left" vertical="center" wrapText="1"/>
    </xf>
    <xf numFmtId="0" fontId="20" fillId="0" borderId="6" xfId="34" applyFont="1" applyBorder="1" applyAlignment="1">
      <alignment horizontal="left" vertical="center"/>
    </xf>
    <xf numFmtId="1" fontId="20" fillId="0" borderId="3" xfId="0" applyNumberFormat="1" applyFont="1" applyBorder="1" applyAlignment="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lignment horizontal="center" vertical="center"/>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lignment horizontal="center" vertical="center"/>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22" fillId="4" borderId="43" xfId="3" applyFont="1" applyFill="1" applyBorder="1" applyAlignment="1" applyProtection="1">
      <alignment horizontal="center" vertical="center"/>
    </xf>
    <xf numFmtId="9" fontId="39" fillId="0" borderId="3" xfId="6" applyFont="1" applyBorder="1" applyAlignment="1" applyProtection="1">
      <alignment horizontal="center" vertical="center" wrapText="1"/>
      <protection locked="0"/>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3" fillId="7" borderId="3" xfId="6" applyNumberFormat="1" applyFont="1" applyFill="1" applyBorder="1" applyAlignment="1" applyProtection="1">
      <alignment horizontal="center" vertical="center"/>
    </xf>
    <xf numFmtId="0" fontId="11" fillId="7" borderId="2" xfId="1" applyFont="1" applyFill="1" applyBorder="1" applyAlignment="1">
      <alignment horizontal="center" vertical="center" wrapText="1"/>
    </xf>
    <xf numFmtId="0" fontId="29" fillId="15" borderId="2" xfId="23" applyFont="1" applyFill="1" applyBorder="1" applyAlignment="1">
      <alignment horizontal="center" vertical="center"/>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6" xfId="1" applyFont="1" applyFill="1" applyBorder="1" applyAlignment="1">
      <alignment vertical="center"/>
    </xf>
    <xf numFmtId="0" fontId="52" fillId="0" borderId="0" xfId="0" applyFont="1" applyAlignment="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39" fillId="5" borderId="3" xfId="6"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164" fontId="41" fillId="5" borderId="3" xfId="8" applyNumberFormat="1" applyFont="1" applyFill="1" applyBorder="1" applyAlignment="1" applyProtection="1">
      <alignment horizontal="center" vertical="center"/>
    </xf>
    <xf numFmtId="164" fontId="54" fillId="5" borderId="3" xfId="8" applyNumberFormat="1" applyFont="1" applyFill="1" applyBorder="1" applyAlignment="1" applyProtection="1">
      <alignment horizontal="center" vertical="center"/>
    </xf>
    <xf numFmtId="10" fontId="41" fillId="5" borderId="3" xfId="8" applyNumberFormat="1" applyFont="1" applyFill="1" applyBorder="1" applyAlignment="1" applyProtection="1">
      <alignment horizontal="center" vertical="center"/>
    </xf>
    <xf numFmtId="10" fontId="54" fillId="5" borderId="3" xfId="8" applyNumberFormat="1" applyFont="1" applyFill="1" applyBorder="1" applyAlignment="1" applyProtection="1">
      <alignment horizontal="center" vertical="center"/>
    </xf>
    <xf numFmtId="3" fontId="20" fillId="0" borderId="2" xfId="20" applyNumberFormat="1" applyFont="1" applyBorder="1" applyAlignment="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59" fillId="0" borderId="0" xfId="0" applyFont="1" applyAlignment="1">
      <alignment horizontal="center" vertical="center"/>
    </xf>
    <xf numFmtId="164" fontId="59" fillId="0" borderId="0" xfId="0" applyNumberFormat="1" applyFont="1" applyAlignment="1">
      <alignment horizontal="center" vertical="center"/>
    </xf>
    <xf numFmtId="164" fontId="20" fillId="0" borderId="31" xfId="20" applyNumberFormat="1" applyFont="1" applyBorder="1" applyAlignment="1">
      <alignment horizontal="center" vertical="center" wrapText="1"/>
    </xf>
    <xf numFmtId="0" fontId="9" fillId="0" borderId="1" xfId="0" applyFont="1" applyBorder="1" applyAlignment="1">
      <alignment horizontal="center" vertical="center"/>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lignment horizontal="center" vertical="center" wrapText="1"/>
    </xf>
    <xf numFmtId="166" fontId="20" fillId="0" borderId="2" xfId="20" applyNumberFormat="1" applyFont="1" applyBorder="1" applyAlignment="1">
      <alignment horizontal="center" vertical="center" wrapText="1"/>
    </xf>
    <xf numFmtId="4" fontId="20" fillId="0" borderId="2" xfId="20" applyNumberFormat="1" applyFont="1" applyBorder="1" applyAlignment="1">
      <alignment horizontal="center" vertical="center" wrapText="1"/>
    </xf>
    <xf numFmtId="166" fontId="20" fillId="0" borderId="31" xfId="20" applyNumberFormat="1" applyFont="1" applyBorder="1" applyAlignment="1">
      <alignment horizontal="center" vertical="center" wrapText="1"/>
    </xf>
    <xf numFmtId="4" fontId="20" fillId="0" borderId="31" xfId="20" applyNumberFormat="1" applyFont="1" applyBorder="1" applyAlignment="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3" fillId="5" borderId="3" xfId="8" applyNumberFormat="1" applyFont="1" applyFill="1" applyBorder="1" applyAlignment="1" applyProtection="1">
      <alignment horizontal="center" vertical="center"/>
    </xf>
    <xf numFmtId="164" fontId="51" fillId="5" borderId="3" xfId="8" applyNumberFormat="1" applyFont="1" applyFill="1" applyBorder="1" applyAlignment="1" applyProtection="1">
      <alignment horizontal="center" vertical="center"/>
    </xf>
    <xf numFmtId="9" fontId="20" fillId="0" borderId="2" xfId="20" applyNumberFormat="1" applyFont="1" applyBorder="1" applyAlignment="1">
      <alignment horizontal="center" vertical="center" wrapText="1"/>
    </xf>
    <xf numFmtId="10"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lignment horizontal="center" vertical="center" wrapText="1"/>
    </xf>
    <xf numFmtId="4" fontId="44" fillId="18" borderId="2" xfId="0" applyNumberFormat="1" applyFont="1" applyFill="1" applyBorder="1" applyAlignment="1">
      <alignment horizontal="center" vertical="center" wrapText="1"/>
    </xf>
    <xf numFmtId="3" fontId="44" fillId="18" borderId="2" xfId="0" applyNumberFormat="1" applyFont="1" applyFill="1" applyBorder="1" applyAlignment="1">
      <alignment horizontal="center" vertical="center" wrapText="1"/>
    </xf>
    <xf numFmtId="166" fontId="44" fillId="18" borderId="2" xfId="0" applyNumberFormat="1" applyFont="1" applyFill="1" applyBorder="1" applyAlignment="1">
      <alignment horizontal="center" vertical="center" wrapText="1"/>
    </xf>
    <xf numFmtId="3" fontId="20" fillId="18" borderId="2" xfId="34" applyNumberFormat="1" applyFont="1" applyFill="1" applyBorder="1" applyAlignment="1">
      <alignment horizontal="center" vertical="center" wrapText="1"/>
    </xf>
    <xf numFmtId="164" fontId="21" fillId="18" borderId="31" xfId="34" applyNumberFormat="1" applyFont="1" applyFill="1" applyBorder="1" applyAlignment="1">
      <alignment horizontal="center" vertical="center" wrapText="1"/>
    </xf>
    <xf numFmtId="3" fontId="20" fillId="0" borderId="2" xfId="34" applyNumberFormat="1" applyFont="1" applyBorder="1" applyAlignment="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lignment horizontal="center" vertical="center" wrapText="1"/>
    </xf>
    <xf numFmtId="9" fontId="20" fillId="3" borderId="2" xfId="20" applyNumberFormat="1" applyFont="1" applyFill="1" applyBorder="1" applyAlignment="1">
      <alignment horizontal="center" vertical="center" wrapText="1"/>
    </xf>
    <xf numFmtId="164" fontId="20" fillId="3" borderId="2" xfId="20" applyNumberFormat="1" applyFont="1" applyFill="1" applyBorder="1" applyAlignment="1">
      <alignment horizontal="center" vertical="center" wrapText="1"/>
    </xf>
    <xf numFmtId="164" fontId="20" fillId="3" borderId="31" xfId="20" applyNumberFormat="1" applyFont="1" applyFill="1" applyBorder="1" applyAlignment="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lignment horizontal="center" vertical="center" wrapText="1"/>
    </xf>
    <xf numFmtId="0" fontId="60" fillId="0" borderId="51" xfId="0" applyFont="1" applyBorder="1" applyAlignment="1">
      <alignment horizontal="left" vertical="center"/>
    </xf>
    <xf numFmtId="0" fontId="60" fillId="0" borderId="50" xfId="0" applyFont="1" applyBorder="1" applyAlignment="1">
      <alignment horizontal="center" vertical="center"/>
    </xf>
    <xf numFmtId="0" fontId="60" fillId="0" borderId="49" xfId="0" applyFont="1" applyBorder="1" applyAlignment="1">
      <alignment horizontal="right" vertical="center"/>
    </xf>
    <xf numFmtId="0" fontId="60" fillId="0" borderId="1" xfId="0" applyFont="1" applyBorder="1" applyAlignment="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3"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4" borderId="2" xfId="0" applyFont="1" applyFill="1" applyBorder="1" applyAlignment="1">
      <alignment horizontal="justify" vertical="center"/>
    </xf>
    <xf numFmtId="0" fontId="8" fillId="0" borderId="2" xfId="0" applyFont="1" applyBorder="1" applyAlignment="1">
      <alignment horizontal="center" vertical="center"/>
    </xf>
    <xf numFmtId="0" fontId="0" fillId="25" borderId="2" xfId="0" applyFill="1" applyBorder="1" applyAlignment="1">
      <alignment horizontal="justify" vertical="center"/>
    </xf>
    <xf numFmtId="0" fontId="0" fillId="7" borderId="2" xfId="0" applyFill="1" applyBorder="1" applyAlignment="1">
      <alignment horizontal="justify" vertical="center"/>
    </xf>
    <xf numFmtId="0" fontId="0" fillId="24"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4" fillId="0" borderId="2" xfId="0" applyFont="1" applyBorder="1" applyAlignment="1">
      <alignment horizontal="justify" vertical="center"/>
    </xf>
    <xf numFmtId="3" fontId="8" fillId="0" borderId="2" xfId="0" applyNumberFormat="1" applyFont="1" applyBorder="1" applyAlignment="1">
      <alignment horizontal="center" vertical="center" wrapText="1"/>
    </xf>
    <xf numFmtId="1" fontId="0" fillId="0" borderId="2" xfId="0" applyNumberFormat="1" applyBorder="1" applyAlignment="1">
      <alignment horizontal="center" vertical="center"/>
    </xf>
    <xf numFmtId="0" fontId="64" fillId="0" borderId="2" xfId="0" applyFont="1" applyBorder="1" applyAlignment="1">
      <alignment horizontal="justify" vertical="center" wrapText="1"/>
    </xf>
    <xf numFmtId="0" fontId="0" fillId="3" borderId="2" xfId="0" applyFill="1" applyBorder="1" applyAlignment="1">
      <alignment horizontal="justify" vertical="center"/>
    </xf>
    <xf numFmtId="0" fontId="64" fillId="0" borderId="0" xfId="0" applyFont="1" applyAlignment="1">
      <alignment horizontal="justify" vertical="center"/>
    </xf>
    <xf numFmtId="0" fontId="8" fillId="0" borderId="1" xfId="9"/>
    <xf numFmtId="0" fontId="49" fillId="0" borderId="1" xfId="52" applyFont="1" applyAlignment="1" applyProtection="1">
      <alignment horizontal="center" vertical="center" wrapText="1"/>
      <protection hidden="1"/>
    </xf>
    <xf numFmtId="0" fontId="65" fillId="0" borderId="1" xfId="52" applyFont="1" applyProtection="1">
      <protection hidden="1"/>
    </xf>
    <xf numFmtId="49" fontId="65" fillId="0" borderId="1" xfId="52" applyNumberFormat="1" applyFont="1" applyProtection="1">
      <protection hidden="1"/>
    </xf>
    <xf numFmtId="0" fontId="65" fillId="0" borderId="1" xfId="52" applyFont="1" applyAlignment="1" applyProtection="1">
      <alignment horizontal="center" vertical="center"/>
      <protection hidden="1"/>
    </xf>
    <xf numFmtId="0" fontId="65" fillId="0" borderId="1" xfId="52" applyFont="1" applyAlignment="1" applyProtection="1">
      <alignment horizontal="left" vertical="center"/>
      <protection hidden="1"/>
    </xf>
    <xf numFmtId="0" fontId="4" fillId="0" borderId="1" xfId="52" applyProtection="1">
      <protection hidden="1"/>
    </xf>
    <xf numFmtId="0" fontId="66" fillId="0" borderId="1" xfId="9" applyFont="1" applyProtection="1">
      <protection hidden="1"/>
    </xf>
    <xf numFmtId="0" fontId="49" fillId="0" borderId="1" xfId="52" applyFont="1" applyProtection="1">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2" fillId="0" borderId="1" xfId="0" applyFont="1" applyBorder="1" applyAlignment="1" applyProtection="1">
      <alignment horizontal="justify" vertical="center"/>
      <protection hidden="1"/>
    </xf>
    <xf numFmtId="0" fontId="24" fillId="0" borderId="0" xfId="0" applyFont="1" applyAlignment="1" applyProtection="1">
      <alignment horizontal="center" vertical="center"/>
      <protection hidden="1"/>
    </xf>
    <xf numFmtId="0" fontId="24" fillId="0" borderId="56"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7"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7"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7"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2" fillId="0" borderId="1" xfId="0" applyFont="1" applyBorder="1" applyProtection="1">
      <protection hidden="1"/>
    </xf>
    <xf numFmtId="0" fontId="67" fillId="0" borderId="0" xfId="0" applyFont="1" applyAlignment="1" applyProtection="1">
      <alignment horizontal="justify" vertical="center"/>
      <protection hidden="1"/>
    </xf>
    <xf numFmtId="0" fontId="11" fillId="27" borderId="0" xfId="0" applyFont="1" applyFill="1" applyAlignment="1" applyProtection="1">
      <alignment horizontal="justify" vertical="center"/>
      <protection hidden="1"/>
    </xf>
    <xf numFmtId="0" fontId="25" fillId="27"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3"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68"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58" xfId="0" applyFont="1" applyBorder="1"/>
    <xf numFmtId="9" fontId="25" fillId="0" borderId="1" xfId="0" applyNumberFormat="1" applyFont="1" applyBorder="1" applyAlignment="1">
      <alignment horizontal="center" vertical="center" wrapText="1"/>
    </xf>
    <xf numFmtId="0" fontId="20" fillId="0" borderId="0" xfId="0" applyFont="1"/>
    <xf numFmtId="0" fontId="25" fillId="24" borderId="2" xfId="0" applyFont="1" applyFill="1" applyBorder="1" applyAlignment="1">
      <alignment horizontal="center" vertical="center" wrapText="1"/>
    </xf>
    <xf numFmtId="0" fontId="25" fillId="24" borderId="41" xfId="0" applyFont="1" applyFill="1" applyBorder="1" applyAlignment="1">
      <alignment horizontal="center" vertical="center" wrapText="1"/>
    </xf>
    <xf numFmtId="0" fontId="24" fillId="0" borderId="40" xfId="0" applyFont="1" applyBorder="1"/>
    <xf numFmtId="1" fontId="24" fillId="29" borderId="2" xfId="0" applyNumberFormat="1" applyFont="1" applyFill="1" applyBorder="1" applyAlignment="1">
      <alignment horizontal="center" vertical="center" wrapText="1"/>
    </xf>
    <xf numFmtId="1" fontId="24" fillId="29" borderId="41" xfId="0" applyNumberFormat="1" applyFont="1" applyFill="1" applyBorder="1" applyAlignment="1">
      <alignment horizontal="center" vertical="center" wrapText="1"/>
    </xf>
    <xf numFmtId="0" fontId="25" fillId="0" borderId="54" xfId="0" applyFont="1" applyBorder="1"/>
    <xf numFmtId="1" fontId="25" fillId="29" borderId="55" xfId="0" applyNumberFormat="1" applyFont="1" applyFill="1" applyBorder="1" applyAlignment="1">
      <alignment horizontal="center" vertical="center" wrapText="1"/>
    </xf>
    <xf numFmtId="1" fontId="25" fillId="29" borderId="61" xfId="0" applyNumberFormat="1" applyFont="1" applyFill="1" applyBorder="1" applyAlignment="1">
      <alignment horizontal="center" vertical="center" wrapText="1"/>
    </xf>
    <xf numFmtId="0" fontId="42"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0" borderId="2" xfId="0" applyNumberFormat="1" applyFont="1" applyFill="1" applyBorder="1" applyAlignment="1">
      <alignment horizontal="center" vertical="center" wrapText="1"/>
    </xf>
    <xf numFmtId="1" fontId="24" fillId="31" borderId="2" xfId="0" applyNumberFormat="1" applyFont="1" applyFill="1" applyBorder="1" applyAlignment="1">
      <alignment horizontal="center" vertical="center" wrapText="1"/>
    </xf>
    <xf numFmtId="0" fontId="50"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68"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7"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Border="1" applyAlignment="1">
      <alignment horizontal="center" vertical="center"/>
    </xf>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29" borderId="2" xfId="0" applyNumberFormat="1" applyFont="1" applyFill="1" applyBorder="1" applyAlignment="1">
      <alignment horizontal="center" vertical="center" wrapText="1"/>
    </xf>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2"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12" fillId="0" borderId="2" xfId="1" applyFont="1" applyBorder="1" applyAlignment="1">
      <alignment horizontal="center" vertical="center" wrapText="1"/>
    </xf>
    <xf numFmtId="0" fontId="46"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164" fontId="22" fillId="4" borderId="9" xfId="3" applyNumberFormat="1" applyFont="1" applyFill="1" applyBorder="1" applyAlignment="1" applyProtection="1">
      <alignment horizontal="center" vertical="center"/>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9" fontId="22" fillId="4" borderId="47" xfId="3" applyFont="1" applyFill="1" applyBorder="1" applyAlignment="1" applyProtection="1">
      <alignment horizontal="center" vertical="center"/>
    </xf>
    <xf numFmtId="0" fontId="24" fillId="31" borderId="0" xfId="0" applyFont="1" applyFill="1"/>
    <xf numFmtId="0" fontId="65" fillId="0" borderId="0" xfId="0" applyFont="1"/>
    <xf numFmtId="0" fontId="24" fillId="22" borderId="0" xfId="0" applyFont="1" applyFill="1"/>
    <xf numFmtId="0" fontId="24" fillId="32" borderId="0" xfId="0" applyFont="1" applyFill="1"/>
    <xf numFmtId="0" fontId="20" fillId="3" borderId="63" xfId="34" applyFont="1" applyFill="1" applyBorder="1" applyAlignment="1">
      <alignment horizontal="left" vertical="center" wrapText="1"/>
    </xf>
    <xf numFmtId="0" fontId="20" fillId="3" borderId="63" xfId="34" applyFont="1" applyFill="1" applyBorder="1" applyAlignment="1">
      <alignment horizontal="center" vertical="center" wrapText="1"/>
    </xf>
    <xf numFmtId="9" fontId="20" fillId="3" borderId="2" xfId="0" applyNumberFormat="1"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4" fontId="20" fillId="18" borderId="2" xfId="0" applyNumberFormat="1" applyFont="1" applyFill="1" applyBorder="1" applyAlignment="1">
      <alignment horizontal="center" vertical="center" wrapText="1"/>
    </xf>
    <xf numFmtId="166" fontId="20" fillId="18" borderId="2" xfId="0" applyNumberFormat="1" applyFont="1" applyFill="1" applyBorder="1" applyAlignment="1">
      <alignment horizontal="center" vertical="center" wrapText="1"/>
    </xf>
    <xf numFmtId="0" fontId="42" fillId="0" borderId="1" xfId="0" applyFont="1" applyBorder="1" applyAlignment="1">
      <alignment horizontal="center"/>
    </xf>
    <xf numFmtId="0" fontId="46" fillId="9" borderId="5" xfId="0" applyFont="1" applyFill="1" applyBorder="1" applyAlignment="1">
      <alignment horizontal="center" vertical="center" wrapText="1"/>
    </xf>
    <xf numFmtId="1" fontId="24" fillId="23" borderId="6" xfId="0" applyNumberFormat="1" applyFont="1" applyFill="1" applyBorder="1" applyAlignment="1">
      <alignment horizontal="center" vertical="center" wrapText="1"/>
    </xf>
    <xf numFmtId="1" fontId="25" fillId="23" borderId="6"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1" fontId="20" fillId="29" borderId="2" xfId="0" applyNumberFormat="1" applyFont="1" applyFill="1" applyBorder="1" applyAlignment="1">
      <alignment horizontal="center" vertical="center" wrapText="1"/>
    </xf>
    <xf numFmtId="10" fontId="54" fillId="5" borderId="3" xfId="6" applyNumberFormat="1" applyFont="1" applyFill="1" applyBorder="1" applyAlignment="1" applyProtection="1">
      <alignment horizontal="center" vertical="center"/>
    </xf>
    <xf numFmtId="10" fontId="20" fillId="0" borderId="2" xfId="20" applyNumberFormat="1" applyFont="1" applyBorder="1" applyAlignment="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58" fillId="0" borderId="0" xfId="0" applyFont="1"/>
    <xf numFmtId="0" fontId="58" fillId="0" borderId="0" xfId="0" applyFont="1" applyAlignment="1">
      <alignment horizontal="center" vertical="center"/>
    </xf>
    <xf numFmtId="9" fontId="58" fillId="0" borderId="1" xfId="0" applyNumberFormat="1" applyFont="1" applyBorder="1"/>
    <xf numFmtId="0" fontId="58" fillId="0" borderId="1" xfId="0" applyFont="1" applyBorder="1"/>
    <xf numFmtId="0" fontId="58" fillId="0" borderId="1" xfId="0" applyFont="1" applyBorder="1" applyAlignment="1">
      <alignment horizontal="center" vertical="center"/>
    </xf>
    <xf numFmtId="1" fontId="58" fillId="0" borderId="1" xfId="0" applyNumberFormat="1" applyFont="1" applyBorder="1" applyAlignment="1">
      <alignment horizontal="center" vertical="center"/>
    </xf>
    <xf numFmtId="0" fontId="69" fillId="34" borderId="66" xfId="0" applyFont="1" applyFill="1" applyBorder="1" applyAlignment="1">
      <alignment horizontal="center" vertical="center" wrapText="1" readingOrder="1"/>
    </xf>
    <xf numFmtId="1" fontId="70" fillId="0" borderId="67" xfId="0" applyNumberFormat="1" applyFont="1" applyBorder="1" applyAlignment="1">
      <alignment horizontal="center" vertical="center" wrapText="1" readingOrder="1"/>
    </xf>
    <xf numFmtId="1" fontId="70" fillId="0" borderId="66" xfId="0" applyNumberFormat="1" applyFont="1" applyBorder="1" applyAlignment="1">
      <alignment horizontal="center" vertical="center" wrapText="1" readingOrder="1"/>
    </xf>
    <xf numFmtId="0" fontId="70" fillId="0" borderId="66" xfId="0" applyFont="1" applyBorder="1" applyAlignment="1">
      <alignment horizontal="justify" vertical="center" wrapText="1" readingOrder="1"/>
    </xf>
    <xf numFmtId="9" fontId="72" fillId="34" borderId="66" xfId="0" applyNumberFormat="1" applyFont="1" applyFill="1" applyBorder="1" applyAlignment="1">
      <alignment horizontal="center" vertical="center" wrapText="1" readingOrder="1"/>
    </xf>
    <xf numFmtId="0" fontId="69" fillId="34" borderId="66" xfId="0" applyFont="1" applyFill="1" applyBorder="1" applyAlignment="1">
      <alignment horizontal="right" vertical="center" wrapText="1" readingOrder="1"/>
    </xf>
    <xf numFmtId="0" fontId="69" fillId="0" borderId="1" xfId="0" applyFont="1" applyBorder="1" applyAlignment="1">
      <alignment horizontal="right" vertical="center" wrapText="1" readingOrder="1"/>
    </xf>
    <xf numFmtId="0" fontId="72" fillId="0" borderId="1" xfId="0" applyFont="1" applyBorder="1" applyAlignment="1">
      <alignment horizontal="center" vertical="center" wrapText="1" readingOrder="1"/>
    </xf>
    <xf numFmtId="9" fontId="72" fillId="0" borderId="1" xfId="0" applyNumberFormat="1" applyFont="1" applyBorder="1" applyAlignment="1">
      <alignment horizontal="center" vertical="center" wrapText="1" readingOrder="1"/>
    </xf>
    <xf numFmtId="1" fontId="72" fillId="34" borderId="66" xfId="0" applyNumberFormat="1" applyFont="1" applyFill="1" applyBorder="1" applyAlignment="1">
      <alignment horizontal="center" vertical="center" wrapText="1" readingOrder="1"/>
    </xf>
    <xf numFmtId="0" fontId="74" fillId="0" borderId="1" xfId="0" applyFont="1" applyBorder="1" applyAlignment="1" applyProtection="1">
      <alignment horizontal="center" vertical="center" wrapText="1"/>
      <protection hidden="1"/>
    </xf>
    <xf numFmtId="0" fontId="70" fillId="0" borderId="67" xfId="0" applyFont="1" applyBorder="1" applyAlignment="1">
      <alignment horizontal="justify" vertical="center" wrapText="1" readingOrder="1"/>
    </xf>
    <xf numFmtId="0" fontId="29" fillId="33" borderId="55" xfId="0" applyFont="1" applyFill="1" applyBorder="1" applyAlignment="1" applyProtection="1">
      <alignment horizontal="center" vertical="center" wrapText="1"/>
      <protection hidden="1"/>
    </xf>
    <xf numFmtId="0" fontId="29" fillId="33" borderId="61" xfId="0" applyFont="1" applyFill="1" applyBorder="1" applyAlignment="1" applyProtection="1">
      <alignment horizontal="center" vertical="center"/>
      <protection hidden="1"/>
    </xf>
    <xf numFmtId="0" fontId="14" fillId="11" borderId="58" xfId="0" applyFont="1" applyFill="1" applyBorder="1" applyAlignment="1" applyProtection="1">
      <alignment horizontal="center" vertical="center"/>
      <protection hidden="1"/>
    </xf>
    <xf numFmtId="0" fontId="11" fillId="11" borderId="59" xfId="0" applyFont="1" applyFill="1" applyBorder="1" applyAlignment="1" applyProtection="1">
      <alignment horizontal="center" vertical="center"/>
      <protection hidden="1"/>
    </xf>
    <xf numFmtId="164" fontId="11" fillId="11" borderId="59" xfId="0" applyNumberFormat="1" applyFont="1" applyFill="1" applyBorder="1" applyAlignment="1" applyProtection="1">
      <alignment horizontal="center" vertical="center" wrapText="1"/>
      <protection hidden="1"/>
    </xf>
    <xf numFmtId="0" fontId="14" fillId="11" borderId="58" xfId="0" applyFont="1" applyFill="1" applyBorder="1" applyAlignment="1" applyProtection="1">
      <alignment horizontal="center" vertical="center" wrapText="1"/>
      <protection hidden="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3" fillId="33" borderId="68" xfId="0" applyFont="1" applyFill="1" applyBorder="1" applyAlignment="1">
      <alignment horizontal="center" vertical="center" wrapText="1" readingOrder="1"/>
    </xf>
    <xf numFmtId="9" fontId="70" fillId="0" borderId="69" xfId="0" applyNumberFormat="1" applyFont="1" applyBorder="1" applyAlignment="1">
      <alignment horizontal="center" vertical="center" wrapText="1" readingOrder="1"/>
    </xf>
    <xf numFmtId="9" fontId="70" fillId="0" borderId="70" xfId="0" applyNumberFormat="1" applyFont="1" applyBorder="1" applyAlignment="1">
      <alignment horizontal="center" vertical="center" wrapText="1" readingOrder="1"/>
    </xf>
    <xf numFmtId="9" fontId="71" fillId="0" borderId="70" xfId="0" applyNumberFormat="1" applyFont="1" applyBorder="1" applyAlignment="1">
      <alignment horizontal="center" vertical="center" wrapText="1" readingOrder="1"/>
    </xf>
    <xf numFmtId="0" fontId="73" fillId="33" borderId="71" xfId="0" applyFont="1" applyFill="1" applyBorder="1" applyAlignment="1">
      <alignment horizontal="center" vertical="center" wrapText="1" readingOrder="1"/>
    </xf>
    <xf numFmtId="9" fontId="72" fillId="34" borderId="67" xfId="0" applyNumberFormat="1" applyFont="1" applyFill="1" applyBorder="1" applyAlignment="1">
      <alignment horizontal="center" vertical="center" wrapText="1" readingOrder="1"/>
    </xf>
    <xf numFmtId="0" fontId="73" fillId="33" borderId="72" xfId="0" applyFont="1" applyFill="1" applyBorder="1" applyAlignment="1">
      <alignment horizontal="center" vertical="center" wrapText="1" readingOrder="1"/>
    </xf>
    <xf numFmtId="9" fontId="70" fillId="0" borderId="2" xfId="0" applyNumberFormat="1" applyFont="1" applyBorder="1" applyAlignment="1">
      <alignment horizontal="center" vertical="center" wrapText="1" readingOrder="1"/>
    </xf>
    <xf numFmtId="9" fontId="71" fillId="0" borderId="2" xfId="0" applyNumberFormat="1" applyFont="1" applyBorder="1" applyAlignment="1">
      <alignment horizontal="center" vertical="center" wrapText="1" readingOrder="1"/>
    </xf>
    <xf numFmtId="164" fontId="24" fillId="0" borderId="0" xfId="0" applyNumberFormat="1" applyFont="1"/>
    <xf numFmtId="10" fontId="75" fillId="0" borderId="31" xfId="6" applyNumberFormat="1" applyFont="1" applyFill="1" applyBorder="1" applyAlignment="1" applyProtection="1">
      <alignment horizontal="center" vertical="center" wrapText="1"/>
    </xf>
    <xf numFmtId="164" fontId="75" fillId="0" borderId="31" xfId="6" applyNumberFormat="1" applyFont="1" applyFill="1" applyBorder="1" applyAlignment="1" applyProtection="1">
      <alignment horizontal="center" vertical="center" wrapText="1"/>
    </xf>
    <xf numFmtId="10" fontId="75" fillId="0" borderId="31" xfId="6" applyNumberFormat="1" applyFont="1" applyBorder="1" applyAlignment="1" applyProtection="1">
      <alignment horizontal="center" vertical="center" wrapText="1"/>
    </xf>
    <xf numFmtId="164" fontId="75" fillId="18" borderId="2" xfId="6" applyNumberFormat="1" applyFont="1" applyFill="1" applyBorder="1" applyAlignment="1" applyProtection="1">
      <alignment horizontal="center" vertical="center" wrapText="1"/>
    </xf>
    <xf numFmtId="164" fontId="75" fillId="0" borderId="31" xfId="6" applyNumberFormat="1" applyFont="1" applyBorder="1" applyAlignment="1" applyProtection="1">
      <alignment horizontal="center" vertical="center" wrapText="1"/>
    </xf>
    <xf numFmtId="164" fontId="75" fillId="18" borderId="31" xfId="6" applyNumberFormat="1" applyFont="1" applyFill="1" applyBorder="1" applyAlignment="1" applyProtection="1">
      <alignment horizontal="center" vertical="center" wrapText="1"/>
    </xf>
    <xf numFmtId="10" fontId="75" fillId="3" borderId="3" xfId="6" applyNumberFormat="1" applyFont="1" applyFill="1" applyBorder="1" applyAlignment="1" applyProtection="1">
      <alignment horizontal="center" vertical="center" wrapText="1"/>
    </xf>
    <xf numFmtId="10" fontId="21" fillId="0" borderId="4" xfId="20" applyNumberFormat="1" applyFont="1" applyBorder="1" applyAlignment="1">
      <alignment horizontal="center" vertical="center" wrapText="1"/>
    </xf>
    <xf numFmtId="0" fontId="11" fillId="37" borderId="2" xfId="0" applyFont="1" applyFill="1" applyBorder="1" applyAlignment="1">
      <alignment horizontal="center" vertical="center" wrapText="1"/>
    </xf>
    <xf numFmtId="3" fontId="39" fillId="0" borderId="53" xfId="5" applyNumberFormat="1" applyFont="1" applyBorder="1" applyAlignment="1" applyProtection="1">
      <alignment horizontal="center" vertical="center" wrapText="1"/>
    </xf>
    <xf numFmtId="164" fontId="20" fillId="0" borderId="63" xfId="8" applyNumberFormat="1" applyFont="1" applyBorder="1" applyAlignment="1" applyProtection="1">
      <alignment horizontal="center" vertical="center" wrapText="1"/>
    </xf>
    <xf numFmtId="164" fontId="20" fillId="0" borderId="63"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3" xfId="8" applyFont="1" applyBorder="1" applyAlignment="1" applyProtection="1">
      <alignment horizontal="center" vertical="center" wrapText="1"/>
    </xf>
    <xf numFmtId="0" fontId="20" fillId="18" borderId="63" xfId="0" applyFont="1" applyFill="1" applyBorder="1" applyAlignment="1">
      <alignment horizontal="justify" vertical="center" wrapText="1"/>
    </xf>
    <xf numFmtId="3" fontId="39" fillId="18" borderId="53" xfId="5" applyNumberFormat="1" applyFont="1" applyFill="1" applyBorder="1" applyAlignment="1" applyProtection="1">
      <alignment horizontal="center" vertical="center" wrapText="1"/>
    </xf>
    <xf numFmtId="164" fontId="20" fillId="18" borderId="63" xfId="8" applyNumberFormat="1" applyFont="1" applyFill="1" applyBorder="1" applyAlignment="1" applyProtection="1">
      <alignment horizontal="center" vertical="center" wrapText="1"/>
    </xf>
    <xf numFmtId="166" fontId="20" fillId="0" borderId="2" xfId="34" applyNumberFormat="1" applyFont="1" applyBorder="1" applyAlignment="1">
      <alignment horizontal="center" vertical="center" wrapText="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3" xfId="5" applyNumberFormat="1" applyFont="1" applyBorder="1" applyAlignment="1" applyProtection="1">
      <alignment horizontal="center" vertical="center" wrapText="1"/>
    </xf>
    <xf numFmtId="1" fontId="39" fillId="0" borderId="53" xfId="5" applyNumberFormat="1" applyFont="1" applyBorder="1" applyAlignment="1" applyProtection="1">
      <alignment horizontal="center" vertical="center" wrapText="1"/>
    </xf>
    <xf numFmtId="1" fontId="39" fillId="3" borderId="53" xfId="5" applyNumberFormat="1" applyFont="1" applyFill="1" applyBorder="1" applyAlignment="1" applyProtection="1">
      <alignment horizontal="center" vertical="center" wrapText="1"/>
    </xf>
    <xf numFmtId="9" fontId="39" fillId="18" borderId="53" xfId="5" applyNumberFormat="1" applyFont="1" applyFill="1" applyBorder="1" applyAlignment="1" applyProtection="1">
      <alignment horizontal="center" vertical="center" wrapText="1"/>
    </xf>
    <xf numFmtId="164" fontId="20" fillId="18" borderId="53" xfId="8" applyNumberFormat="1" applyFont="1" applyFill="1" applyBorder="1" applyAlignment="1" applyProtection="1">
      <alignment horizontal="center" vertical="center" wrapText="1"/>
    </xf>
    <xf numFmtId="10" fontId="20" fillId="18" borderId="53" xfId="8" applyNumberFormat="1" applyFont="1" applyFill="1" applyBorder="1" applyAlignment="1" applyProtection="1">
      <alignment horizontal="center" vertical="center" wrapText="1"/>
    </xf>
    <xf numFmtId="1" fontId="39" fillId="18" borderId="53" xfId="5" applyNumberFormat="1" applyFont="1" applyFill="1" applyBorder="1" applyAlignment="1" applyProtection="1">
      <alignment horizontal="center" vertical="center" wrapText="1"/>
    </xf>
    <xf numFmtId="10" fontId="20" fillId="3" borderId="53" xfId="8" applyNumberFormat="1" applyFont="1" applyFill="1" applyBorder="1" applyAlignment="1" applyProtection="1">
      <alignment horizontal="center" vertical="center" wrapText="1"/>
    </xf>
    <xf numFmtId="164" fontId="20" fillId="3" borderId="53" xfId="8" applyNumberFormat="1" applyFont="1" applyFill="1" applyBorder="1" applyAlignment="1" applyProtection="1">
      <alignment horizontal="center" vertical="center" wrapText="1"/>
    </xf>
    <xf numFmtId="0" fontId="20" fillId="0" borderId="53" xfId="0" applyFont="1" applyBorder="1" applyAlignment="1">
      <alignment horizontal="justify" vertical="center" wrapText="1"/>
    </xf>
    <xf numFmtId="9" fontId="39" fillId="18" borderId="2" xfId="0" applyNumberFormat="1" applyFont="1" applyFill="1" applyBorder="1" applyAlignment="1">
      <alignment horizontal="center" vertical="center" wrapText="1" readingOrder="1"/>
    </xf>
    <xf numFmtId="9" fontId="41" fillId="0" borderId="5" xfId="0" applyNumberFormat="1" applyFont="1" applyBorder="1" applyAlignment="1">
      <alignment horizontal="center" vertical="center" wrapText="1"/>
    </xf>
    <xf numFmtId="10" fontId="20" fillId="0" borderId="63" xfId="8" applyNumberFormat="1" applyFont="1" applyBorder="1" applyAlignment="1" applyProtection="1">
      <alignment horizontal="center" vertical="center" wrapText="1"/>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0" fillId="0" borderId="1" xfId="0" applyFont="1" applyBorder="1" applyAlignment="1">
      <alignment horizontal="center" vertical="center"/>
    </xf>
    <xf numFmtId="0" fontId="60" fillId="0" borderId="1" xfId="0" applyFont="1" applyBorder="1" applyAlignment="1">
      <alignment horizontal="left" vertical="center"/>
    </xf>
    <xf numFmtId="0" fontId="24" fillId="38"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9" fontId="24" fillId="0" borderId="2" xfId="6" applyFont="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0" fontId="24" fillId="0" borderId="5" xfId="0" applyFont="1" applyBorder="1" applyAlignment="1">
      <alignment horizontal="justify"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77" fillId="9" borderId="2" xfId="0" applyFont="1" applyFill="1" applyBorder="1" applyAlignment="1">
      <alignment horizontal="center"/>
    </xf>
    <xf numFmtId="0" fontId="77" fillId="9" borderId="2" xfId="0" applyFont="1" applyFill="1" applyBorder="1" applyAlignment="1">
      <alignment horizontal="center" vertical="center"/>
    </xf>
    <xf numFmtId="169" fontId="24" fillId="38" borderId="0" xfId="0" applyNumberFormat="1" applyFont="1" applyFill="1"/>
    <xf numFmtId="0" fontId="25" fillId="38" borderId="7" xfId="0" applyFont="1" applyFill="1" applyBorder="1"/>
    <xf numFmtId="0" fontId="25" fillId="38" borderId="2" xfId="0" applyFont="1" applyFill="1" applyBorder="1" applyAlignment="1">
      <alignment wrapText="1"/>
    </xf>
    <xf numFmtId="1" fontId="24" fillId="5"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8" borderId="6" xfId="0" applyNumberFormat="1" applyFont="1" applyFill="1" applyBorder="1" applyAlignment="1">
      <alignment horizontal="center" vertical="center" wrapText="1"/>
    </xf>
    <xf numFmtId="0" fontId="24" fillId="38" borderId="1" xfId="0" applyFont="1" applyFill="1" applyBorder="1" applyAlignment="1">
      <alignment horizontal="center" vertical="center" wrapText="1"/>
    </xf>
    <xf numFmtId="9" fontId="39" fillId="0" borderId="53" xfId="6" applyFont="1" applyBorder="1" applyAlignment="1" applyProtection="1">
      <alignment horizontal="center" vertical="center" wrapText="1"/>
    </xf>
    <xf numFmtId="166" fontId="39" fillId="0" borderId="53" xfId="5" applyNumberFormat="1" applyFont="1" applyBorder="1" applyAlignment="1" applyProtection="1">
      <alignment horizontal="center" vertical="center" wrapText="1"/>
    </xf>
    <xf numFmtId="9" fontId="20" fillId="0" borderId="2" xfId="6" applyFont="1" applyBorder="1" applyAlignment="1">
      <alignment horizontal="center" vertical="center" wrapText="1"/>
    </xf>
    <xf numFmtId="0" fontId="39" fillId="0" borderId="53"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3" fontId="20" fillId="0" borderId="53"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10" fontId="20" fillId="18" borderId="2" xfId="34" applyNumberFormat="1" applyFont="1" applyFill="1" applyBorder="1" applyAlignment="1">
      <alignment horizontal="center" vertical="center" wrapText="1"/>
    </xf>
    <xf numFmtId="2" fontId="39" fillId="18" borderId="53"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9" fontId="20" fillId="0" borderId="63" xfId="6" applyFont="1" applyBorder="1" applyAlignment="1" applyProtection="1">
      <alignment horizontal="center" vertical="center" wrapText="1"/>
    </xf>
    <xf numFmtId="4" fontId="20" fillId="0" borderId="63" xfId="8" applyNumberFormat="1" applyFont="1" applyBorder="1" applyAlignment="1" applyProtection="1">
      <alignment horizontal="center" vertical="center" wrapText="1"/>
    </xf>
    <xf numFmtId="4" fontId="20" fillId="18" borderId="63" xfId="8" applyNumberFormat="1" applyFont="1" applyFill="1" applyBorder="1" applyAlignment="1" applyProtection="1">
      <alignment horizontal="center" vertical="center" wrapText="1"/>
    </xf>
    <xf numFmtId="10" fontId="21" fillId="0" borderId="2" xfId="20" applyNumberFormat="1" applyFont="1" applyBorder="1" applyAlignment="1">
      <alignment horizontal="center" vertical="center" wrapText="1"/>
    </xf>
    <xf numFmtId="0" fontId="39" fillId="0" borderId="53" xfId="0" applyFont="1" applyBorder="1" applyAlignment="1">
      <alignment horizontal="justify" vertical="top" wrapText="1" readingOrder="1"/>
    </xf>
    <xf numFmtId="0" fontId="39" fillId="18" borderId="53" xfId="0" applyFont="1" applyFill="1" applyBorder="1" applyAlignment="1">
      <alignment horizontal="justify" vertical="top" wrapText="1" readingOrder="1"/>
    </xf>
    <xf numFmtId="0" fontId="28" fillId="0" borderId="1" xfId="0" applyFont="1" applyBorder="1" applyAlignment="1">
      <alignment horizontal="center" vertical="center" wrapText="1"/>
    </xf>
    <xf numFmtId="164" fontId="21" fillId="18" borderId="4" xfId="20" applyNumberFormat="1" applyFont="1" applyFill="1" applyBorder="1" applyAlignment="1">
      <alignment horizontal="center" vertical="center" wrapText="1"/>
    </xf>
    <xf numFmtId="0" fontId="14" fillId="12" borderId="2" xfId="1" applyFont="1" applyFill="1" applyBorder="1" applyAlignment="1">
      <alignment vertical="center"/>
    </xf>
    <xf numFmtId="9" fontId="20" fillId="18" borderId="63" xfId="6" applyFont="1" applyFill="1" applyBorder="1" applyAlignment="1">
      <alignment horizontal="center" vertical="center" wrapText="1"/>
    </xf>
    <xf numFmtId="14" fontId="74" fillId="33" borderId="6" xfId="0" applyNumberFormat="1" applyFont="1" applyFill="1" applyBorder="1" applyAlignment="1">
      <alignment horizontal="center" vertical="center"/>
    </xf>
    <xf numFmtId="10" fontId="21" fillId="0" borderId="8" xfId="20" applyNumberFormat="1" applyFont="1" applyBorder="1" applyAlignment="1">
      <alignment horizontal="center" vertical="center" wrapText="1"/>
    </xf>
    <xf numFmtId="164" fontId="21" fillId="18" borderId="65" xfId="34" applyNumberFormat="1" applyFont="1" applyFill="1" applyBorder="1" applyAlignment="1">
      <alignment horizontal="center" vertical="center" wrapText="1"/>
    </xf>
    <xf numFmtId="10" fontId="21" fillId="0" borderId="65" xfId="34" applyNumberFormat="1" applyFont="1" applyBorder="1" applyAlignment="1">
      <alignment horizontal="center" vertical="center" wrapText="1"/>
    </xf>
    <xf numFmtId="10" fontId="21" fillId="0" borderId="2" xfId="34"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64" fontId="21" fillId="0" borderId="1" xfId="34" applyNumberFormat="1" applyFont="1" applyAlignment="1">
      <alignment horizontal="center" vertical="center" wrapText="1"/>
    </xf>
    <xf numFmtId="0" fontId="21" fillId="0" borderId="1" xfId="34" applyFont="1" applyAlignment="1">
      <alignment horizontal="center" vertical="center" wrapText="1"/>
    </xf>
    <xf numFmtId="10" fontId="21" fillId="0" borderId="1" xfId="34" applyNumberFormat="1" applyFont="1" applyAlignment="1">
      <alignment horizontal="center" vertical="center" wrapText="1"/>
    </xf>
    <xf numFmtId="10" fontId="14" fillId="0" borderId="1" xfId="1" applyNumberFormat="1" applyFont="1" applyAlignment="1">
      <alignment horizontal="center"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10" fontId="21" fillId="0" borderId="1" xfId="20" applyNumberFormat="1" applyFont="1" applyAlignment="1">
      <alignment horizontal="center" vertical="center" wrapText="1"/>
    </xf>
    <xf numFmtId="164" fontId="21" fillId="0" borderId="1" xfId="20" applyNumberFormat="1" applyFont="1" applyAlignment="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Alignment="1">
      <alignment horizontal="center" vertical="center" wrapText="1"/>
    </xf>
    <xf numFmtId="164" fontId="14" fillId="12" borderId="48" xfId="1" applyNumberFormat="1" applyFont="1" applyFill="1" applyBorder="1" applyAlignment="1">
      <alignment horizontal="center" vertical="center"/>
    </xf>
    <xf numFmtId="10" fontId="21" fillId="0" borderId="7" xfId="20" applyNumberFormat="1" applyFont="1" applyBorder="1" applyAlignment="1">
      <alignment horizontal="center" vertical="center" wrapText="1"/>
    </xf>
    <xf numFmtId="0" fontId="14" fillId="12" borderId="73" xfId="1" applyFont="1" applyFill="1" applyBorder="1" applyAlignment="1">
      <alignment vertical="center"/>
    </xf>
    <xf numFmtId="0" fontId="79" fillId="0" borderId="2" xfId="0" applyFont="1" applyBorder="1" applyAlignment="1">
      <alignment horizontal="right" vertical="center"/>
    </xf>
    <xf numFmtId="0" fontId="14" fillId="8" borderId="73" xfId="0" applyFont="1" applyFill="1" applyBorder="1" applyAlignment="1">
      <alignment horizontal="center" vertical="center" wrapText="1"/>
    </xf>
    <xf numFmtId="0" fontId="39" fillId="0" borderId="1" xfId="0" applyFont="1" applyBorder="1" applyAlignment="1">
      <alignment vertical="center"/>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3" borderId="2" xfId="0" applyFont="1" applyFill="1" applyBorder="1" applyAlignment="1">
      <alignment horizontal="center" vertical="center"/>
    </xf>
    <xf numFmtId="0" fontId="25" fillId="23" borderId="2" xfId="0" applyFont="1" applyFill="1" applyBorder="1" applyAlignment="1">
      <alignment horizontal="center" vertical="center" wrapText="1"/>
    </xf>
    <xf numFmtId="0" fontId="79" fillId="0" borderId="1" xfId="0" applyFont="1" applyBorder="1" applyAlignment="1">
      <alignment horizontal="center" vertical="center"/>
    </xf>
    <xf numFmtId="0" fontId="14" fillId="12" borderId="1" xfId="1" applyFont="1" applyFill="1" applyAlignment="1">
      <alignment vertical="center"/>
    </xf>
    <xf numFmtId="3" fontId="39" fillId="0" borderId="53" xfId="0" applyNumberFormat="1" applyFont="1" applyBorder="1" applyAlignment="1">
      <alignment horizontal="justify" vertical="center" wrapText="1" readingOrder="1"/>
    </xf>
    <xf numFmtId="3" fontId="39" fillId="0" borderId="53" xfId="0" applyNumberFormat="1" applyFont="1" applyBorder="1" applyAlignment="1">
      <alignment horizontal="center" vertical="center" wrapText="1" readingOrder="1"/>
    </xf>
    <xf numFmtId="3" fontId="39" fillId="18" borderId="53" xfId="0" applyNumberFormat="1" applyFont="1" applyFill="1" applyBorder="1" applyAlignment="1">
      <alignment horizontal="center" vertical="center" wrapText="1" readingOrder="1"/>
    </xf>
    <xf numFmtId="9" fontId="39" fillId="0" borderId="53" xfId="6" applyFont="1" applyBorder="1" applyAlignment="1">
      <alignment horizontal="center" vertical="center" wrapText="1" readingOrder="1"/>
    </xf>
    <xf numFmtId="9" fontId="39" fillId="18" borderId="53" xfId="6" applyFont="1" applyFill="1" applyBorder="1" applyAlignment="1">
      <alignment horizontal="center" vertical="center" wrapText="1" readingOrder="1"/>
    </xf>
    <xf numFmtId="3" fontId="39" fillId="18" borderId="53" xfId="0" applyNumberFormat="1" applyFont="1" applyFill="1" applyBorder="1" applyAlignment="1">
      <alignment horizontal="justify" vertical="center" wrapText="1" readingOrder="1"/>
    </xf>
    <xf numFmtId="9" fontId="39" fillId="0" borderId="53" xfId="6" applyFont="1" applyBorder="1" applyAlignment="1">
      <alignment horizontal="justify" vertical="center" wrapText="1" readingOrder="1"/>
    </xf>
    <xf numFmtId="9" fontId="39" fillId="18" borderId="53" xfId="6" applyFont="1" applyFill="1" applyBorder="1" applyAlignment="1">
      <alignment horizontal="justify" vertical="center" wrapText="1" readingOrder="1"/>
    </xf>
    <xf numFmtId="164" fontId="37" fillId="12" borderId="76" xfId="1" applyNumberFormat="1" applyFont="1" applyFill="1" applyBorder="1" applyAlignment="1">
      <alignment horizontal="center" vertical="center"/>
    </xf>
    <xf numFmtId="0" fontId="80" fillId="0" borderId="40" xfId="0" applyFont="1" applyBorder="1" applyAlignment="1">
      <alignment horizontal="justify" vertical="center" wrapText="1"/>
    </xf>
    <xf numFmtId="0" fontId="80" fillId="18" borderId="40" xfId="0" applyFont="1" applyFill="1" applyBorder="1" applyAlignment="1">
      <alignment horizontal="justify" vertical="center" wrapText="1"/>
    </xf>
    <xf numFmtId="0" fontId="37" fillId="12" borderId="35" xfId="1" applyFont="1" applyFill="1" applyBorder="1" applyAlignment="1">
      <alignment horizontal="right" vertical="center"/>
    </xf>
    <xf numFmtId="0" fontId="82" fillId="3" borderId="1" xfId="0" applyFont="1" applyFill="1" applyBorder="1" applyAlignment="1">
      <alignment vertical="center"/>
    </xf>
    <xf numFmtId="0" fontId="83" fillId="3" borderId="1" xfId="0" applyFont="1" applyFill="1" applyBorder="1" applyAlignment="1">
      <alignment vertical="center"/>
    </xf>
    <xf numFmtId="0" fontId="82" fillId="3" borderId="1" xfId="0" applyFont="1" applyFill="1" applyBorder="1" applyAlignment="1" applyProtection="1">
      <alignment vertical="center"/>
      <protection hidden="1"/>
    </xf>
    <xf numFmtId="0" fontId="83" fillId="3" borderId="1" xfId="0" applyFont="1" applyFill="1" applyBorder="1" applyAlignment="1" applyProtection="1">
      <alignment vertical="center"/>
      <protection hidden="1"/>
    </xf>
    <xf numFmtId="0" fontId="56" fillId="3" borderId="1" xfId="0" applyFont="1" applyFill="1" applyBorder="1" applyAlignment="1" applyProtection="1">
      <alignment horizontal="justify" vertical="top" wrapText="1" readingOrder="1"/>
      <protection hidden="1"/>
    </xf>
    <xf numFmtId="164" fontId="55" fillId="3" borderId="1" xfId="20" applyNumberFormat="1" applyFont="1" applyFill="1" applyAlignment="1" applyProtection="1">
      <alignment horizontal="center" vertical="center" wrapText="1"/>
      <protection hidden="1"/>
    </xf>
    <xf numFmtId="164" fontId="57" fillId="3" borderId="1" xfId="0" applyNumberFormat="1" applyFont="1" applyFill="1" applyBorder="1" applyAlignment="1" applyProtection="1">
      <alignment horizontal="center" vertical="center"/>
      <protection hidden="1"/>
    </xf>
    <xf numFmtId="10" fontId="83" fillId="3" borderId="1" xfId="0" applyNumberFormat="1" applyFont="1" applyFill="1" applyBorder="1" applyAlignment="1">
      <alignment vertical="center"/>
    </xf>
    <xf numFmtId="164" fontId="39" fillId="0" borderId="53" xfId="6" applyNumberFormat="1" applyFont="1" applyBorder="1" applyAlignment="1">
      <alignment horizontal="center" vertical="center" wrapText="1" readingOrder="1"/>
    </xf>
    <xf numFmtId="4" fontId="39" fillId="0" borderId="53"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2" xfId="6" applyFont="1" applyBorder="1" applyAlignment="1">
      <alignment horizontal="center" vertical="center" wrapText="1" readingOrder="1"/>
    </xf>
    <xf numFmtId="9" fontId="39" fillId="18" borderId="52"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64" fontId="39" fillId="18" borderId="53" xfId="6" applyNumberFormat="1" applyFont="1" applyFill="1" applyBorder="1" applyAlignment="1">
      <alignment horizontal="center" vertical="center" wrapText="1" readingOrder="1"/>
    </xf>
    <xf numFmtId="0" fontId="39" fillId="18" borderId="73" xfId="0" applyFont="1" applyFill="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28" fillId="0" borderId="1" xfId="0" applyFont="1" applyBorder="1" applyAlignment="1">
      <alignment vertical="center" wrapText="1"/>
    </xf>
    <xf numFmtId="0" fontId="28" fillId="0" borderId="49" xfId="0" applyFont="1" applyBorder="1" applyAlignment="1">
      <alignment horizontal="center" vertical="center" wrapText="1"/>
    </xf>
    <xf numFmtId="0" fontId="84" fillId="0" borderId="49" xfId="0" applyFont="1" applyBorder="1" applyAlignment="1">
      <alignment horizontal="center" vertical="center" wrapText="1"/>
    </xf>
    <xf numFmtId="3" fontId="39" fillId="0" borderId="53" xfId="57" applyNumberFormat="1" applyFont="1" applyBorder="1" applyAlignment="1" applyProtection="1">
      <alignment horizontal="center" vertical="center" wrapText="1"/>
    </xf>
    <xf numFmtId="0" fontId="43" fillId="0" borderId="53" xfId="7" applyNumberFormat="1" applyFont="1" applyBorder="1" applyAlignment="1" applyProtection="1">
      <alignment horizontal="center" vertical="center" wrapText="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70" fillId="0" borderId="2" xfId="0" applyNumberFormat="1" applyFont="1" applyBorder="1" applyAlignment="1">
      <alignment horizontal="center" vertical="center" wrapText="1" readingOrder="1"/>
    </xf>
    <xf numFmtId="164" fontId="71" fillId="0" borderId="2" xfId="0" applyNumberFormat="1" applyFont="1" applyBorder="1" applyAlignment="1">
      <alignment horizontal="center" vertical="center" wrapText="1" readingOrder="1"/>
    </xf>
    <xf numFmtId="0" fontId="24" fillId="43"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Border="1" applyAlignment="1">
      <alignment horizontal="center" vertical="center" wrapText="1"/>
    </xf>
    <xf numFmtId="0" fontId="86" fillId="0" borderId="1" xfId="0" applyFont="1" applyBorder="1" applyAlignment="1">
      <alignment horizontal="center" vertical="center" wrapText="1"/>
    </xf>
    <xf numFmtId="1" fontId="86" fillId="0" borderId="1" xfId="0" applyNumberFormat="1" applyFont="1" applyBorder="1" applyAlignment="1">
      <alignment horizontal="center" vertical="center"/>
    </xf>
    <xf numFmtId="0" fontId="85" fillId="0" borderId="1" xfId="0" applyFont="1" applyBorder="1" applyAlignment="1">
      <alignment horizontal="center" vertical="center"/>
    </xf>
    <xf numFmtId="9" fontId="85" fillId="0" borderId="1" xfId="6" applyFont="1" applyBorder="1" applyAlignment="1">
      <alignment horizontal="center" vertical="center"/>
    </xf>
    <xf numFmtId="0" fontId="85" fillId="0" borderId="1" xfId="0" applyFont="1" applyBorder="1"/>
    <xf numFmtId="9" fontId="39" fillId="0" borderId="53" xfId="6" applyFont="1" applyFill="1" applyBorder="1" applyAlignment="1">
      <alignment horizontal="center" vertical="center" wrapText="1" readingOrder="1"/>
    </xf>
    <xf numFmtId="0" fontId="87" fillId="0" borderId="2" xfId="0" applyFont="1" applyBorder="1" applyAlignment="1">
      <alignment horizontal="center" vertical="center"/>
    </xf>
    <xf numFmtId="3" fontId="39" fillId="18" borderId="53"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3" xfId="0" applyFont="1" applyBorder="1" applyAlignment="1">
      <alignment horizontal="center" vertical="center" wrapText="1"/>
    </xf>
    <xf numFmtId="0" fontId="39" fillId="0" borderId="53" xfId="7" applyNumberFormat="1" applyFont="1" applyBorder="1" applyAlignment="1" applyProtection="1">
      <alignment horizontal="center" vertical="center" wrapText="1"/>
    </xf>
    <xf numFmtId="3" fontId="24" fillId="0" borderId="2" xfId="0" applyNumberFormat="1" applyFont="1" applyBorder="1" applyAlignment="1" applyProtection="1">
      <alignment horizontal="center" vertical="center" wrapText="1"/>
      <protection locked="0"/>
    </xf>
    <xf numFmtId="3" fontId="24" fillId="5" borderId="2" xfId="0" applyNumberFormat="1" applyFont="1" applyFill="1" applyBorder="1" applyAlignment="1" applyProtection="1">
      <alignment horizontal="center" vertical="center" wrapText="1"/>
      <protection locked="0"/>
    </xf>
    <xf numFmtId="0" fontId="25" fillId="9" borderId="44" xfId="0" applyFont="1" applyFill="1" applyBorder="1" applyAlignment="1">
      <alignment horizontal="center"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lignment horizontal="center" vertical="center" wrapText="1"/>
    </xf>
    <xf numFmtId="164" fontId="24" fillId="0" borderId="2" xfId="6" applyNumberFormat="1" applyFont="1" applyBorder="1" applyAlignment="1" applyProtection="1">
      <alignment horizontal="center" vertical="center"/>
      <protection hidden="1"/>
    </xf>
    <xf numFmtId="0" fontId="88" fillId="0" borderId="0" xfId="0" applyFont="1" applyAlignment="1">
      <alignment vertical="center"/>
    </xf>
    <xf numFmtId="0" fontId="89" fillId="0" borderId="0" xfId="0" applyFont="1" applyAlignment="1">
      <alignment vertical="center"/>
    </xf>
    <xf numFmtId="0" fontId="88" fillId="3" borderId="1" xfId="0" applyFont="1" applyFill="1" applyBorder="1" applyAlignment="1">
      <alignment vertical="center"/>
    </xf>
    <xf numFmtId="0" fontId="89" fillId="3" borderId="1" xfId="0" applyFont="1" applyFill="1" applyBorder="1" applyAlignment="1">
      <alignment vertical="center"/>
    </xf>
    <xf numFmtId="0" fontId="39" fillId="0" borderId="53" xfId="0" applyFont="1" applyBorder="1" applyAlignment="1">
      <alignment horizontal="justify" vertical="center" wrapText="1" readingOrder="1"/>
    </xf>
    <xf numFmtId="0" fontId="39" fillId="18" borderId="53" xfId="0" applyFont="1" applyFill="1" applyBorder="1" applyAlignment="1">
      <alignment horizontal="justify" vertical="center" wrapText="1" readingOrder="1"/>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1" fillId="0" borderId="2" xfId="0" applyFont="1" applyBorder="1" applyAlignment="1">
      <alignment horizontal="justify" vertical="center" wrapText="1"/>
    </xf>
    <xf numFmtId="0" fontId="41" fillId="3" borderId="2" xfId="0" applyFont="1" applyFill="1" applyBorder="1" applyAlignment="1">
      <alignment horizontal="justify" vertical="center" wrapText="1"/>
    </xf>
    <xf numFmtId="0" fontId="76" fillId="38" borderId="65" xfId="0" applyFont="1" applyFill="1" applyBorder="1" applyAlignment="1">
      <alignment vertical="center"/>
    </xf>
    <xf numFmtId="0" fontId="76" fillId="38" borderId="1" xfId="0" applyFont="1" applyFill="1" applyBorder="1" applyAlignment="1">
      <alignment vertical="center"/>
    </xf>
    <xf numFmtId="0" fontId="76" fillId="38" borderId="45" xfId="0" applyFont="1" applyFill="1" applyBorder="1" applyAlignment="1">
      <alignment vertical="center"/>
    </xf>
    <xf numFmtId="168" fontId="24" fillId="38" borderId="74" xfId="0" applyNumberFormat="1" applyFont="1" applyFill="1" applyBorder="1" applyAlignment="1">
      <alignment horizontal="left"/>
    </xf>
    <xf numFmtId="168" fontId="24" fillId="38" borderId="81" xfId="0" applyNumberFormat="1" applyFont="1" applyFill="1" applyBorder="1"/>
    <xf numFmtId="0" fontId="25" fillId="38" borderId="6" xfId="0" applyFont="1" applyFill="1" applyBorder="1" applyAlignment="1">
      <alignment horizontal="left"/>
    </xf>
    <xf numFmtId="164" fontId="50" fillId="9" borderId="2" xfId="6" applyNumberFormat="1" applyFont="1" applyFill="1" applyBorder="1" applyAlignment="1" applyProtection="1">
      <alignment horizontal="center"/>
    </xf>
    <xf numFmtId="0" fontId="25" fillId="15" borderId="2" xfId="0" applyFont="1" applyFill="1" applyBorder="1" applyAlignment="1">
      <alignment vertical="center" wrapText="1"/>
    </xf>
    <xf numFmtId="0" fontId="25" fillId="3" borderId="53" xfId="23" applyFont="1" applyFill="1" applyBorder="1" applyAlignment="1">
      <alignment horizontal="left"/>
    </xf>
    <xf numFmtId="0" fontId="25" fillId="3" borderId="78" xfId="23" applyFont="1" applyFill="1" applyBorder="1" applyAlignment="1">
      <alignment horizontal="left"/>
    </xf>
    <xf numFmtId="0" fontId="24" fillId="3" borderId="73" xfId="23" applyFont="1" applyFill="1" applyBorder="1" applyAlignment="1">
      <alignment horizontal="left"/>
    </xf>
    <xf numFmtId="0" fontId="24" fillId="3" borderId="79" xfId="23" applyFont="1" applyFill="1" applyBorder="1" applyAlignment="1">
      <alignment horizontal="center"/>
    </xf>
    <xf numFmtId="0" fontId="25" fillId="9" borderId="2" xfId="23" applyFont="1" applyFill="1" applyBorder="1" applyAlignment="1">
      <alignment horizontal="center" vertical="center"/>
    </xf>
    <xf numFmtId="9" fontId="25" fillId="0" borderId="60" xfId="0" applyNumberFormat="1" applyFont="1" applyBorder="1" applyAlignment="1">
      <alignment horizontal="center" vertical="center" wrapText="1"/>
    </xf>
    <xf numFmtId="164" fontId="20" fillId="18" borderId="2" xfId="0" applyNumberFormat="1" applyFont="1" applyFill="1" applyBorder="1" applyAlignment="1">
      <alignment horizontal="center" vertical="center" wrapText="1"/>
    </xf>
    <xf numFmtId="0" fontId="20" fillId="0" borderId="63" xfId="0" applyFont="1" applyBorder="1" applyAlignment="1">
      <alignment horizontal="justify" vertical="center" wrapText="1"/>
    </xf>
    <xf numFmtId="0" fontId="20" fillId="0" borderId="53" xfId="36" applyNumberFormat="1" applyFont="1" applyBorder="1" applyAlignment="1" applyProtection="1">
      <alignment horizontal="center" vertical="center" wrapText="1"/>
    </xf>
    <xf numFmtId="9" fontId="21" fillId="0" borderId="53" xfId="8" applyFont="1" applyBorder="1" applyAlignment="1" applyProtection="1">
      <alignment horizontal="center" vertical="center" wrapText="1"/>
    </xf>
    <xf numFmtId="10" fontId="21" fillId="0" borderId="53" xfId="8" applyNumberFormat="1" applyFont="1" applyBorder="1" applyAlignment="1" applyProtection="1">
      <alignment horizontal="center" vertical="center" wrapText="1"/>
    </xf>
    <xf numFmtId="0" fontId="21" fillId="0" borderId="53" xfId="57" applyNumberFormat="1" applyFont="1" applyBorder="1" applyAlignment="1" applyProtection="1">
      <alignment horizontal="center" vertical="center" wrapText="1"/>
    </xf>
    <xf numFmtId="9" fontId="21" fillId="0" borderId="53" xfId="8" applyFont="1" applyFill="1" applyBorder="1" applyAlignment="1" applyProtection="1">
      <alignment horizontal="center" vertical="center" wrapText="1"/>
    </xf>
    <xf numFmtId="10" fontId="21" fillId="0" borderId="53" xfId="8" applyNumberFormat="1" applyFont="1" applyFill="1" applyBorder="1" applyAlignment="1" applyProtection="1">
      <alignment horizontal="center" vertical="center" wrapText="1"/>
    </xf>
    <xf numFmtId="0" fontId="21" fillId="0" borderId="53" xfId="57" applyNumberFormat="1" applyFont="1" applyFill="1" applyBorder="1" applyAlignment="1" applyProtection="1">
      <alignment horizontal="center" vertical="center" wrapText="1"/>
    </xf>
    <xf numFmtId="0" fontId="39" fillId="0" borderId="53" xfId="36" applyNumberFormat="1" applyFont="1" applyBorder="1" applyAlignment="1" applyProtection="1">
      <alignment horizontal="center" vertical="center" wrapText="1"/>
    </xf>
    <xf numFmtId="0" fontId="39" fillId="0" borderId="53" xfId="36" applyNumberFormat="1" applyFont="1" applyFill="1" applyBorder="1" applyAlignment="1" applyProtection="1">
      <alignment horizontal="center" vertical="center" wrapText="1"/>
    </xf>
    <xf numFmtId="9" fontId="39" fillId="0" borderId="53" xfId="8" applyFont="1" applyBorder="1" applyAlignment="1" applyProtection="1">
      <alignment horizontal="center" vertical="center" wrapText="1"/>
    </xf>
    <xf numFmtId="9" fontId="43" fillId="0" borderId="53" xfId="8" applyFont="1" applyBorder="1" applyAlignment="1" applyProtection="1">
      <alignment horizontal="center" vertical="center" wrapText="1"/>
    </xf>
    <xf numFmtId="0" fontId="43" fillId="0" borderId="53" xfId="7" applyNumberFormat="1" applyFont="1" applyFill="1" applyBorder="1" applyAlignment="1" applyProtection="1">
      <alignment horizontal="center" vertical="center" wrapText="1"/>
    </xf>
    <xf numFmtId="0" fontId="21" fillId="0" borderId="53" xfId="7" applyNumberFormat="1" applyFont="1" applyBorder="1" applyAlignment="1" applyProtection="1">
      <alignment horizontal="center" vertical="center" wrapText="1"/>
    </xf>
    <xf numFmtId="0" fontId="21" fillId="0" borderId="53" xfId="7" applyNumberFormat="1" applyFont="1" applyFill="1" applyBorder="1" applyAlignment="1" applyProtection="1">
      <alignment horizontal="center" vertical="center" wrapText="1"/>
    </xf>
    <xf numFmtId="9" fontId="39" fillId="0" borderId="53" xfId="7" applyNumberFormat="1" applyFont="1" applyBorder="1" applyAlignment="1" applyProtection="1">
      <alignment horizontal="center" vertical="center" wrapText="1"/>
    </xf>
    <xf numFmtId="2" fontId="39" fillId="0" borderId="53" xfId="7" applyNumberFormat="1" applyFont="1" applyBorder="1" applyAlignment="1" applyProtection="1">
      <alignment horizontal="center" vertical="center" wrapText="1"/>
    </xf>
    <xf numFmtId="2" fontId="39" fillId="0" borderId="53" xfId="8" applyNumberFormat="1" applyFont="1" applyBorder="1" applyAlignment="1" applyProtection="1">
      <alignment horizontal="center" vertical="center" wrapText="1"/>
    </xf>
    <xf numFmtId="10" fontId="39" fillId="0" borderId="53" xfId="7" applyNumberFormat="1" applyFont="1" applyBorder="1" applyAlignment="1" applyProtection="1">
      <alignment horizontal="center" vertical="center" wrapText="1"/>
    </xf>
    <xf numFmtId="164" fontId="39" fillId="0" borderId="53" xfId="8" applyNumberFormat="1" applyFont="1" applyBorder="1" applyAlignment="1" applyProtection="1">
      <alignment horizontal="center" vertical="center" wrapText="1"/>
    </xf>
    <xf numFmtId="0" fontId="39" fillId="0" borderId="53" xfId="7" applyNumberFormat="1" applyFont="1" applyFill="1" applyBorder="1" applyAlignment="1" applyProtection="1">
      <alignment horizontal="center" vertical="center" wrapText="1"/>
    </xf>
    <xf numFmtId="2" fontId="39" fillId="0" borderId="53" xfId="7" applyNumberFormat="1" applyFont="1" applyFill="1" applyBorder="1" applyAlignment="1" applyProtection="1">
      <alignment horizontal="center" vertical="center" wrapText="1"/>
    </xf>
    <xf numFmtId="10" fontId="39" fillId="0" borderId="53" xfId="36" applyNumberFormat="1" applyFont="1" applyBorder="1" applyAlignment="1" applyProtection="1">
      <alignment horizontal="center" vertical="center" wrapText="1"/>
    </xf>
    <xf numFmtId="10" fontId="39" fillId="0" borderId="53" xfId="8" applyNumberFormat="1" applyFont="1" applyBorder="1" applyAlignment="1" applyProtection="1">
      <alignment horizontal="center" vertical="center" wrapText="1"/>
    </xf>
    <xf numFmtId="0" fontId="39" fillId="0" borderId="53" xfId="37" applyNumberFormat="1" applyFont="1" applyBorder="1" applyAlignment="1" applyProtection="1">
      <alignment horizontal="center" vertical="center" wrapText="1"/>
    </xf>
    <xf numFmtId="0" fontId="39" fillId="0" borderId="53" xfId="38" applyNumberFormat="1" applyFont="1" applyBorder="1" applyAlignment="1" applyProtection="1">
      <alignment horizontal="center" vertical="center" wrapText="1"/>
    </xf>
    <xf numFmtId="10" fontId="39" fillId="0" borderId="53" xfId="36" applyNumberFormat="1" applyFont="1" applyFill="1" applyBorder="1" applyAlignment="1" applyProtection="1">
      <alignment horizontal="center" vertical="center" wrapText="1"/>
    </xf>
    <xf numFmtId="0" fontId="39" fillId="0" borderId="53" xfId="39" applyNumberFormat="1" applyFont="1" applyBorder="1" applyAlignment="1" applyProtection="1">
      <alignment horizontal="center" vertical="center" wrapText="1"/>
    </xf>
    <xf numFmtId="0" fontId="39" fillId="0" borderId="53" xfId="39" applyNumberFormat="1" applyFont="1" applyFill="1" applyBorder="1" applyAlignment="1" applyProtection="1">
      <alignment horizontal="center" vertical="center" wrapText="1"/>
    </xf>
    <xf numFmtId="0" fontId="39" fillId="0" borderId="53" xfId="40"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164" fontId="39" fillId="0" borderId="53" xfId="8" applyNumberFormat="1" applyFont="1" applyFill="1" applyBorder="1" applyAlignment="1" applyProtection="1">
      <alignment horizontal="center" vertical="center" wrapText="1"/>
    </xf>
    <xf numFmtId="9" fontId="39" fillId="0" borderId="53" xfId="8" applyFont="1" applyFill="1" applyBorder="1" applyAlignment="1" applyProtection="1">
      <alignment horizontal="center" vertical="center" wrapText="1"/>
    </xf>
    <xf numFmtId="9" fontId="39" fillId="7" borderId="53" xfId="8" applyFont="1" applyFill="1" applyBorder="1" applyAlignment="1" applyProtection="1">
      <alignment horizontal="center" vertical="center"/>
    </xf>
    <xf numFmtId="9" fontId="20" fillId="0" borderId="53" xfId="7" applyNumberFormat="1" applyFont="1" applyBorder="1" applyAlignment="1" applyProtection="1">
      <alignment horizontal="center" vertical="center" wrapText="1"/>
    </xf>
    <xf numFmtId="0" fontId="20" fillId="0" borderId="53" xfId="7" applyNumberFormat="1" applyFont="1" applyBorder="1" applyAlignment="1" applyProtection="1">
      <alignment horizontal="center" vertical="center" wrapText="1"/>
    </xf>
    <xf numFmtId="0" fontId="20" fillId="0" borderId="53" xfId="7" applyNumberFormat="1" applyFont="1" applyFill="1" applyBorder="1" applyAlignment="1" applyProtection="1">
      <alignment horizontal="center" vertical="center" wrapText="1"/>
    </xf>
    <xf numFmtId="0" fontId="14" fillId="0" borderId="0" xfId="0" applyFont="1"/>
    <xf numFmtId="0" fontId="91" fillId="24" borderId="2" xfId="0" applyFont="1" applyFill="1" applyBorder="1" applyAlignment="1">
      <alignment horizontal="justify" vertical="center"/>
    </xf>
    <xf numFmtId="0" fontId="25" fillId="0" borderId="1" xfId="0" applyFont="1" applyBorder="1" applyAlignment="1" applyProtection="1">
      <alignment horizontal="center" vertical="center" wrapText="1"/>
      <protection hidden="1"/>
    </xf>
    <xf numFmtId="14" fontId="92" fillId="0" borderId="0" xfId="0" applyNumberFormat="1" applyFont="1" applyAlignment="1">
      <alignment horizontal="center"/>
    </xf>
    <xf numFmtId="0" fontId="67" fillId="0" borderId="0" xfId="0" applyFont="1" applyAlignment="1" applyProtection="1">
      <alignment horizontal="right"/>
      <protection hidden="1"/>
    </xf>
    <xf numFmtId="9" fontId="55" fillId="0" borderId="3" xfId="8" applyFont="1" applyFill="1" applyBorder="1" applyAlignment="1" applyProtection="1">
      <alignment horizontal="center" vertical="center"/>
    </xf>
    <xf numFmtId="164" fontId="55" fillId="0" borderId="3" xfId="8"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protection hidden="1"/>
    </xf>
    <xf numFmtId="0" fontId="25" fillId="0" borderId="11" xfId="0" applyFont="1" applyBorder="1" applyProtection="1">
      <protection hidden="1"/>
    </xf>
    <xf numFmtId="0" fontId="25" fillId="0" borderId="6" xfId="0" applyFont="1" applyBorder="1" applyProtection="1">
      <protection hidden="1"/>
    </xf>
    <xf numFmtId="0" fontId="25" fillId="0" borderId="2" xfId="0" applyFont="1" applyBorder="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4" xfId="0" applyFont="1" applyFill="1" applyBorder="1" applyAlignment="1">
      <alignment vertical="center" wrapText="1"/>
    </xf>
    <xf numFmtId="0" fontId="25" fillId="9" borderId="81" xfId="0" applyFont="1" applyFill="1" applyBorder="1" applyAlignment="1">
      <alignment vertical="center" wrapText="1"/>
    </xf>
    <xf numFmtId="0" fontId="25" fillId="9" borderId="80" xfId="0" applyFont="1" applyFill="1" applyBorder="1" applyAlignment="1">
      <alignment horizontal="right" vertical="center" wrapText="1"/>
    </xf>
    <xf numFmtId="0" fontId="93"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3" xfId="57" applyNumberFormat="1" applyFont="1" applyFill="1" applyBorder="1" applyAlignment="1" applyProtection="1">
      <alignment horizontal="center" vertical="center" wrapText="1"/>
    </xf>
    <xf numFmtId="1" fontId="39" fillId="0" borderId="53" xfId="57" applyNumberFormat="1" applyFont="1" applyBorder="1" applyAlignment="1" applyProtection="1">
      <alignment horizontal="center" vertical="center" wrapText="1"/>
    </xf>
    <xf numFmtId="2" fontId="39" fillId="18" borderId="53" xfId="57" applyNumberFormat="1" applyFont="1" applyFill="1" applyBorder="1" applyAlignment="1" applyProtection="1">
      <alignment horizontal="center" vertical="center" wrapText="1"/>
    </xf>
    <xf numFmtId="0" fontId="14" fillId="8" borderId="2" xfId="0" applyFont="1" applyFill="1" applyBorder="1" applyAlignment="1">
      <alignment horizontal="center" vertical="center" wrapText="1"/>
    </xf>
    <xf numFmtId="164" fontId="24" fillId="0" borderId="2" xfId="6" applyNumberFormat="1" applyFont="1" applyBorder="1" applyAlignment="1" applyProtection="1">
      <alignment horizontal="center" vertical="center" wrapText="1"/>
    </xf>
    <xf numFmtId="9" fontId="24" fillId="0" borderId="2" xfId="8" applyFont="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166" fontId="21" fillId="7" borderId="3" xfId="8" applyNumberFormat="1" applyFont="1" applyFill="1" applyBorder="1" applyAlignment="1" applyProtection="1">
      <alignment horizontal="center" vertical="center"/>
    </xf>
    <xf numFmtId="164" fontId="43" fillId="0" borderId="53" xfId="8" applyNumberFormat="1" applyFont="1" applyBorder="1" applyAlignment="1" applyProtection="1">
      <alignment horizontal="center" vertical="center" wrapText="1"/>
    </xf>
    <xf numFmtId="0" fontId="11" fillId="44" borderId="3" xfId="0" applyFont="1" applyFill="1" applyBorder="1" applyAlignment="1">
      <alignment horizontal="center" vertical="center" wrapText="1"/>
    </xf>
    <xf numFmtId="9" fontId="20" fillId="3" borderId="2" xfId="6" applyFont="1" applyFill="1" applyBorder="1" applyAlignment="1">
      <alignment horizontal="center" vertical="center" wrapText="1"/>
    </xf>
    <xf numFmtId="0" fontId="29" fillId="33" borderId="2" xfId="0" applyFont="1" applyFill="1" applyBorder="1" applyAlignment="1">
      <alignment horizontal="center" vertical="center"/>
    </xf>
    <xf numFmtId="0" fontId="74" fillId="45" borderId="2" xfId="0" applyFont="1" applyFill="1" applyBorder="1" applyAlignment="1">
      <alignment horizontal="center" vertical="center" wrapText="1"/>
    </xf>
    <xf numFmtId="0" fontId="74" fillId="45" borderId="73" xfId="0" applyFont="1" applyFill="1" applyBorder="1" applyAlignment="1">
      <alignment horizontal="center" vertical="center" wrapText="1"/>
    </xf>
    <xf numFmtId="164" fontId="39" fillId="0" borderId="2" xfId="6" applyNumberFormat="1" applyFont="1" applyFill="1" applyBorder="1" applyAlignment="1">
      <alignment horizontal="center" vertical="center" wrapText="1" readingOrder="1"/>
    </xf>
    <xf numFmtId="10" fontId="39" fillId="0" borderId="2" xfId="6" applyNumberFormat="1" applyFont="1" applyFill="1" applyBorder="1" applyAlignment="1">
      <alignment horizontal="center" vertical="center" wrapText="1" readingOrder="1"/>
    </xf>
    <xf numFmtId="10" fontId="39" fillId="0" borderId="2" xfId="6" applyNumberFormat="1" applyFont="1" applyBorder="1" applyAlignment="1">
      <alignment horizontal="center" vertical="center" wrapText="1" readingOrder="1"/>
    </xf>
    <xf numFmtId="10" fontId="20" fillId="0" borderId="63" xfId="34" applyNumberFormat="1" applyFont="1" applyBorder="1" applyAlignment="1">
      <alignment horizontal="center" vertical="center" wrapText="1"/>
    </xf>
    <xf numFmtId="10" fontId="20" fillId="18" borderId="63" xfId="34" applyNumberFormat="1" applyFont="1" applyFill="1" applyBorder="1" applyAlignment="1">
      <alignment horizontal="center" vertical="center" wrapText="1"/>
    </xf>
    <xf numFmtId="10" fontId="20" fillId="18" borderId="2" xfId="8" applyNumberFormat="1" applyFont="1" applyFill="1" applyBorder="1" applyAlignment="1" applyProtection="1">
      <alignment horizontal="center" vertical="center" wrapText="1"/>
    </xf>
    <xf numFmtId="10" fontId="20" fillId="3" borderId="63" xfId="34" applyNumberFormat="1" applyFont="1" applyFill="1" applyBorder="1" applyAlignment="1">
      <alignment horizontal="center" vertical="center" wrapText="1"/>
    </xf>
    <xf numFmtId="10" fontId="20" fillId="18" borderId="63" xfId="8" applyNumberFormat="1" applyFont="1" applyFill="1" applyBorder="1" applyAlignment="1" applyProtection="1">
      <alignment horizontal="center" vertical="center" wrapText="1"/>
    </xf>
    <xf numFmtId="10" fontId="39" fillId="0" borderId="53" xfId="6" applyNumberFormat="1" applyFont="1" applyBorder="1" applyAlignment="1">
      <alignment horizontal="center" vertical="center" wrapText="1" readingOrder="1"/>
    </xf>
    <xf numFmtId="10" fontId="39" fillId="18" borderId="53" xfId="6" applyNumberFormat="1" applyFont="1" applyFill="1" applyBorder="1" applyAlignment="1">
      <alignment horizontal="center" vertical="center" wrapText="1" readingOrder="1"/>
    </xf>
    <xf numFmtId="10" fontId="39" fillId="0" borderId="53" xfId="6" applyNumberFormat="1" applyFont="1" applyFill="1" applyBorder="1" applyAlignment="1">
      <alignment horizontal="center" vertical="center" wrapText="1" readingOrder="1"/>
    </xf>
    <xf numFmtId="10" fontId="21" fillId="18" borderId="52" xfId="0" applyNumberFormat="1" applyFont="1" applyFill="1" applyBorder="1" applyAlignment="1">
      <alignment horizontal="center" vertical="center" wrapText="1"/>
    </xf>
    <xf numFmtId="10" fontId="21" fillId="18" borderId="52" xfId="34" applyNumberFormat="1" applyFont="1" applyFill="1" applyBorder="1" applyAlignment="1">
      <alignment horizontal="center" vertical="center" wrapText="1"/>
    </xf>
    <xf numFmtId="10" fontId="21" fillId="18" borderId="2" xfId="34" applyNumberFormat="1" applyFont="1" applyFill="1" applyBorder="1" applyAlignment="1">
      <alignment horizontal="center" vertical="center" wrapText="1"/>
    </xf>
    <xf numFmtId="0" fontId="79" fillId="0" borderId="1" xfId="0" applyFont="1" applyBorder="1" applyAlignment="1">
      <alignment vertical="center"/>
    </xf>
    <xf numFmtId="0" fontId="79" fillId="0" borderId="2" xfId="0" applyFont="1" applyBorder="1" applyAlignment="1">
      <alignment vertical="center"/>
    </xf>
    <xf numFmtId="164" fontId="94" fillId="0" borderId="31" xfId="6" applyNumberFormat="1" applyFont="1" applyFill="1" applyBorder="1" applyAlignment="1" applyProtection="1">
      <alignment horizontal="center" vertical="center" wrapText="1"/>
    </xf>
    <xf numFmtId="164" fontId="94" fillId="18" borderId="3" xfId="6" applyNumberFormat="1" applyFont="1" applyFill="1" applyBorder="1" applyAlignment="1" applyProtection="1">
      <alignment horizontal="center" vertical="center" wrapText="1"/>
    </xf>
    <xf numFmtId="164" fontId="94" fillId="0" borderId="31" xfId="6" applyNumberFormat="1" applyFont="1" applyBorder="1" applyAlignment="1" applyProtection="1">
      <alignment horizontal="center" vertical="center" wrapText="1"/>
    </xf>
    <xf numFmtId="4" fontId="24" fillId="0" borderId="2" xfId="0" applyNumberFormat="1" applyFont="1" applyBorder="1" applyAlignment="1" applyProtection="1">
      <alignment horizontal="center" vertical="center"/>
      <protection hidden="1"/>
    </xf>
    <xf numFmtId="172" fontId="24" fillId="0" borderId="0" xfId="0" applyNumberFormat="1" applyFont="1" applyAlignment="1" applyProtection="1">
      <alignment horizontal="center" vertical="center"/>
      <protection hidden="1"/>
    </xf>
    <xf numFmtId="9" fontId="24" fillId="0" borderId="2" xfId="8" applyFont="1" applyFill="1" applyBorder="1" applyAlignment="1" applyProtection="1">
      <alignment horizontal="center" vertical="center"/>
      <protection hidden="1"/>
    </xf>
    <xf numFmtId="173" fontId="39" fillId="0" borderId="3" xfId="5" applyNumberFormat="1" applyFont="1" applyBorder="1" applyAlignment="1" applyProtection="1">
      <alignment horizontal="center" vertical="center" wrapText="1"/>
    </xf>
    <xf numFmtId="9" fontId="14" fillId="12" borderId="2" xfId="1" applyNumberFormat="1" applyFont="1" applyFill="1" applyBorder="1" applyAlignment="1">
      <alignment horizontal="center" vertical="center"/>
    </xf>
    <xf numFmtId="164" fontId="95" fillId="12" borderId="2" xfId="1" applyNumberFormat="1" applyFont="1" applyFill="1" applyBorder="1" applyAlignment="1">
      <alignment horizontal="center" vertical="center"/>
    </xf>
    <xf numFmtId="0" fontId="95" fillId="12" borderId="11" xfId="1" applyFon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9" fontId="41" fillId="0" borderId="3" xfId="6" applyFont="1" applyBorder="1" applyAlignment="1" applyProtection="1">
      <alignment horizontal="center" vertical="center" wrapText="1"/>
      <protection locked="0"/>
    </xf>
    <xf numFmtId="164" fontId="41" fillId="0" borderId="2" xfId="6" applyNumberFormat="1" applyFont="1" applyBorder="1" applyAlignment="1" applyProtection="1">
      <alignment horizontal="center" vertical="center" wrapText="1"/>
    </xf>
    <xf numFmtId="9" fontId="41" fillId="0" borderId="3" xfId="6" applyFont="1" applyBorder="1" applyAlignment="1" applyProtection="1">
      <alignment horizontal="center" vertical="center" wrapText="1"/>
    </xf>
    <xf numFmtId="0" fontId="46" fillId="0" borderId="0" xfId="0" applyFont="1" applyProtection="1">
      <protection hidden="1"/>
    </xf>
    <xf numFmtId="165" fontId="46" fillId="0" borderId="0" xfId="0" applyNumberFormat="1" applyFont="1" applyAlignment="1" applyProtection="1">
      <alignment horizontal="justify"/>
      <protection hidden="1"/>
    </xf>
    <xf numFmtId="0" fontId="25" fillId="0" borderId="58" xfId="0" applyFont="1" applyBorder="1" applyAlignment="1">
      <alignment wrapText="1"/>
    </xf>
    <xf numFmtId="165" fontId="24" fillId="0" borderId="0" xfId="0" applyNumberFormat="1" applyFont="1" applyAlignment="1" applyProtection="1">
      <alignment horizontal="center"/>
      <protection hidden="1"/>
    </xf>
    <xf numFmtId="164" fontId="37" fillId="12" borderId="48" xfId="1" applyNumberFormat="1" applyFont="1" applyFill="1" applyBorder="1" applyAlignment="1">
      <alignment horizontal="center" vertical="center"/>
    </xf>
    <xf numFmtId="9" fontId="37" fillId="12" borderId="27" xfId="1" applyNumberFormat="1" applyFont="1" applyFill="1" applyBorder="1" applyAlignment="1">
      <alignment horizontal="center" vertical="center"/>
    </xf>
    <xf numFmtId="9" fontId="14" fillId="12" borderId="27" xfId="1" applyNumberFormat="1" applyFont="1" applyFill="1" applyBorder="1" applyAlignment="1">
      <alignment horizontal="center" vertical="center"/>
    </xf>
    <xf numFmtId="9" fontId="50" fillId="9" borderId="2" xfId="6" applyFont="1" applyFill="1" applyBorder="1" applyAlignment="1" applyProtection="1">
      <alignment horizontal="center"/>
    </xf>
    <xf numFmtId="9" fontId="20" fillId="0" borderId="73" xfId="8" applyFont="1" applyBorder="1" applyAlignment="1" applyProtection="1">
      <alignment horizontal="center" vertical="center" wrapText="1"/>
    </xf>
    <xf numFmtId="0" fontId="11" fillId="9" borderId="2" xfId="1" applyFont="1" applyFill="1" applyBorder="1" applyAlignment="1">
      <alignment horizontal="center" vertical="center" wrapText="1"/>
    </xf>
    <xf numFmtId="0" fontId="11" fillId="3" borderId="53" xfId="0" applyFont="1" applyFill="1" applyBorder="1" applyAlignment="1">
      <alignment horizontal="left"/>
    </xf>
    <xf numFmtId="0" fontId="11" fillId="3" borderId="78" xfId="0" applyFont="1" applyFill="1" applyBorder="1" applyAlignment="1">
      <alignment horizontal="left"/>
    </xf>
    <xf numFmtId="0" fontId="20" fillId="3" borderId="73" xfId="0" applyFont="1" applyFill="1" applyBorder="1" applyAlignment="1">
      <alignment horizontal="left"/>
    </xf>
    <xf numFmtId="0" fontId="20" fillId="3" borderId="79" xfId="0" applyFont="1" applyFill="1" applyBorder="1" applyAlignment="1">
      <alignment horizontal="center"/>
    </xf>
    <xf numFmtId="0" fontId="11" fillId="0" borderId="2" xfId="1" applyFont="1" applyBorder="1" applyAlignment="1">
      <alignment horizontal="center" vertical="center" wrapText="1"/>
    </xf>
    <xf numFmtId="3" fontId="39" fillId="0" borderId="53" xfId="57" applyNumberFormat="1" applyFont="1" applyFill="1" applyBorder="1" applyAlignment="1" applyProtection="1">
      <alignment horizontal="center" vertical="center" wrapText="1"/>
    </xf>
    <xf numFmtId="3" fontId="39" fillId="11" borderId="53" xfId="0" applyNumberFormat="1" applyFont="1" applyFill="1" applyBorder="1" applyAlignment="1">
      <alignment horizontal="center" vertical="center"/>
    </xf>
    <xf numFmtId="9" fontId="39" fillId="11" borderId="53" xfId="8" applyFont="1" applyFill="1" applyBorder="1" applyAlignment="1" applyProtection="1">
      <alignment horizontal="center" vertical="center"/>
    </xf>
    <xf numFmtId="0" fontId="20" fillId="0" borderId="63" xfId="34" applyFont="1" applyBorder="1" applyAlignment="1">
      <alignment horizontal="justify" vertical="center" wrapText="1"/>
    </xf>
    <xf numFmtId="0" fontId="20" fillId="0" borderId="81" xfId="34" applyFont="1" applyBorder="1" applyAlignment="1">
      <alignment horizontal="justify" vertical="center" wrapText="1"/>
    </xf>
    <xf numFmtId="0" fontId="20" fillId="18" borderId="53" xfId="0" applyFont="1" applyFill="1" applyBorder="1" applyAlignment="1">
      <alignment horizontal="center" vertical="center" wrapText="1"/>
    </xf>
    <xf numFmtId="0" fontId="20" fillId="18" borderId="53" xfId="0" applyFont="1" applyFill="1" applyBorder="1" applyAlignment="1">
      <alignment horizontal="justify" vertical="center" wrapText="1"/>
    </xf>
    <xf numFmtId="0" fontId="20" fillId="0" borderId="11" xfId="34" applyFont="1" applyBorder="1" applyAlignment="1">
      <alignment horizontal="justify" vertical="center" wrapText="1"/>
    </xf>
    <xf numFmtId="3" fontId="39" fillId="11" borderId="63" xfId="0" applyNumberFormat="1" applyFont="1" applyFill="1" applyBorder="1" applyAlignment="1">
      <alignment horizontal="center" vertical="center"/>
    </xf>
    <xf numFmtId="9" fontId="39" fillId="11" borderId="63" xfId="8" applyFont="1" applyFill="1" applyBorder="1" applyAlignment="1" applyProtection="1">
      <alignment horizontal="center" vertical="center"/>
    </xf>
    <xf numFmtId="0" fontId="39" fillId="0" borderId="2" xfId="0" applyFont="1" applyBorder="1" applyAlignment="1">
      <alignment horizontal="center" vertical="center" wrapText="1" readingOrder="1"/>
    </xf>
    <xf numFmtId="9" fontId="39" fillId="18" borderId="2" xfId="57" applyNumberFormat="1" applyFont="1" applyFill="1" applyBorder="1" applyAlignment="1" applyProtection="1">
      <alignment horizontal="center" vertical="center" wrapText="1"/>
    </xf>
    <xf numFmtId="9" fontId="39" fillId="11" borderId="2" xfId="8" applyFont="1" applyFill="1" applyBorder="1" applyAlignment="1" applyProtection="1">
      <alignment horizontal="center" vertical="center"/>
    </xf>
    <xf numFmtId="9" fontId="20" fillId="0" borderId="53" xfId="0" applyNumberFormat="1" applyFont="1" applyBorder="1" applyAlignment="1">
      <alignment horizontal="center" vertical="center" wrapText="1"/>
    </xf>
    <xf numFmtId="9" fontId="20" fillId="0" borderId="2" xfId="8" applyFont="1" applyBorder="1" applyAlignment="1" applyProtection="1">
      <alignment horizontal="justify" vertical="center" wrapText="1"/>
    </xf>
    <xf numFmtId="9" fontId="39" fillId="0" borderId="53" xfId="57" applyNumberFormat="1" applyFont="1" applyBorder="1" applyAlignment="1" applyProtection="1">
      <alignment horizontal="center" vertical="center" wrapText="1"/>
    </xf>
    <xf numFmtId="1" fontId="39" fillId="11" borderId="53" xfId="8" applyNumberFormat="1" applyFont="1" applyFill="1" applyBorder="1" applyAlignment="1" applyProtection="1">
      <alignment horizontal="center" vertical="center"/>
    </xf>
    <xf numFmtId="9" fontId="20" fillId="0" borderId="53" xfId="8" applyFont="1" applyBorder="1" applyAlignment="1" applyProtection="1">
      <alignment horizontal="justify" vertical="center" wrapText="1"/>
    </xf>
    <xf numFmtId="9" fontId="20" fillId="18" borderId="53" xfId="0" applyNumberFormat="1" applyFont="1" applyFill="1" applyBorder="1" applyAlignment="1">
      <alignment horizontal="center" vertical="center" wrapText="1"/>
    </xf>
    <xf numFmtId="0" fontId="20" fillId="18" borderId="53" xfId="9" applyFont="1" applyFill="1" applyBorder="1" applyAlignment="1">
      <alignment horizontal="justify" vertical="center" wrapText="1"/>
    </xf>
    <xf numFmtId="0" fontId="20" fillId="18" borderId="63" xfId="9" applyFont="1" applyFill="1" applyBorder="1" applyAlignment="1">
      <alignment horizontal="justify" vertical="center" wrapText="1"/>
    </xf>
    <xf numFmtId="9" fontId="39" fillId="18" borderId="53" xfId="57" applyNumberFormat="1" applyFont="1" applyFill="1" applyBorder="1" applyAlignment="1" applyProtection="1">
      <alignment horizontal="center" vertical="center" wrapText="1"/>
    </xf>
    <xf numFmtId="9" fontId="39" fillId="18" borderId="53" xfId="8" applyFont="1" applyFill="1" applyBorder="1" applyAlignment="1" applyProtection="1">
      <alignment horizontal="center" vertical="center"/>
    </xf>
    <xf numFmtId="164" fontId="39" fillId="18" borderId="53" xfId="8" applyNumberFormat="1" applyFont="1" applyFill="1" applyBorder="1" applyAlignment="1" applyProtection="1">
      <alignment horizontal="center" vertical="center"/>
    </xf>
    <xf numFmtId="0" fontId="20" fillId="18" borderId="53" xfId="9" applyFont="1" applyFill="1" applyBorder="1" applyAlignment="1">
      <alignment horizontal="center" vertical="center" wrapText="1"/>
    </xf>
    <xf numFmtId="1" fontId="39" fillId="18" borderId="53" xfId="8" applyNumberFormat="1" applyFont="1" applyFill="1" applyBorder="1" applyAlignment="1" applyProtection="1">
      <alignment horizontal="center" vertical="center"/>
    </xf>
    <xf numFmtId="10" fontId="20" fillId="0" borderId="53" xfId="0" applyNumberFormat="1" applyFont="1" applyBorder="1" applyAlignment="1">
      <alignment horizontal="center" vertical="center" wrapText="1"/>
    </xf>
    <xf numFmtId="0" fontId="20" fillId="0" borderId="53" xfId="32" applyFont="1" applyBorder="1" applyAlignment="1">
      <alignment horizontal="justify" vertical="center" wrapText="1"/>
    </xf>
    <xf numFmtId="1" fontId="43" fillId="0" borderId="53" xfId="36" applyNumberFormat="1" applyFont="1" applyFill="1" applyBorder="1" applyAlignment="1" applyProtection="1">
      <alignment horizontal="center" vertical="center" wrapText="1"/>
    </xf>
    <xf numFmtId="9" fontId="20" fillId="0" borderId="53" xfId="36" applyNumberFormat="1" applyFont="1" applyBorder="1" applyAlignment="1" applyProtection="1">
      <alignment horizontal="center" vertical="center" wrapText="1"/>
    </xf>
    <xf numFmtId="167" fontId="20" fillId="18" borderId="53" xfId="36" applyNumberFormat="1" applyFont="1" applyFill="1" applyBorder="1" applyAlignment="1" applyProtection="1">
      <alignment horizontal="center" vertical="center" wrapText="1"/>
    </xf>
    <xf numFmtId="0" fontId="11" fillId="18" borderId="53" xfId="36" applyNumberFormat="1" applyFont="1" applyFill="1" applyBorder="1" applyAlignment="1" applyProtection="1">
      <alignment horizontal="center" vertical="center" wrapText="1"/>
    </xf>
    <xf numFmtId="0" fontId="20" fillId="18" borderId="53" xfId="36" applyNumberFormat="1" applyFont="1" applyFill="1" applyBorder="1" applyAlignment="1" applyProtection="1">
      <alignment horizontal="center" vertical="center" wrapText="1"/>
    </xf>
    <xf numFmtId="0" fontId="20" fillId="0" borderId="53" xfId="34" applyFont="1" applyBorder="1" applyAlignment="1">
      <alignment horizontal="justify" vertical="center" wrapText="1"/>
    </xf>
    <xf numFmtId="1" fontId="20" fillId="18" borderId="53" xfId="57" applyNumberFormat="1" applyFont="1" applyFill="1" applyBorder="1" applyAlignment="1" applyProtection="1">
      <alignment horizontal="center" vertical="center" wrapText="1"/>
    </xf>
    <xf numFmtId="9" fontId="11" fillId="0" borderId="2" xfId="8" applyFont="1" applyBorder="1" applyAlignment="1" applyProtection="1">
      <alignment horizontal="center" vertical="center" wrapText="1"/>
    </xf>
    <xf numFmtId="0" fontId="11" fillId="0" borderId="53" xfId="36" applyNumberFormat="1" applyFont="1" applyBorder="1" applyAlignment="1" applyProtection="1">
      <alignment horizontal="center" vertical="center" wrapText="1"/>
    </xf>
    <xf numFmtId="0" fontId="39" fillId="3" borderId="2" xfId="0" applyFont="1" applyFill="1" applyBorder="1" applyAlignment="1">
      <alignment horizontal="justify" vertical="top" wrapText="1"/>
    </xf>
    <xf numFmtId="0" fontId="11" fillId="0" borderId="1" xfId="1" applyFont="1" applyAlignment="1">
      <alignment vertical="center" wrapText="1"/>
    </xf>
    <xf numFmtId="165" fontId="11" fillId="0" borderId="1" xfId="1" applyNumberFormat="1" applyFont="1" applyAlignment="1">
      <alignment horizontal="center" vertical="center" wrapText="1"/>
    </xf>
    <xf numFmtId="9" fontId="21" fillId="7" borderId="53" xfId="8" applyFont="1" applyFill="1" applyBorder="1" applyAlignment="1" applyProtection="1">
      <alignment horizontal="center" vertical="center"/>
    </xf>
    <xf numFmtId="10" fontId="21" fillId="7" borderId="53" xfId="8" applyNumberFormat="1" applyFont="1" applyFill="1" applyBorder="1" applyAlignment="1" applyProtection="1">
      <alignment horizontal="center" vertical="center" wrapText="1"/>
    </xf>
    <xf numFmtId="164" fontId="21" fillId="0" borderId="53" xfId="8" applyNumberFormat="1" applyFont="1" applyFill="1" applyBorder="1" applyAlignment="1" applyProtection="1">
      <alignment horizontal="center" vertical="center" wrapText="1"/>
    </xf>
    <xf numFmtId="10" fontId="21" fillId="7" borderId="53" xfId="8" applyNumberFormat="1" applyFont="1" applyFill="1" applyBorder="1" applyAlignment="1" applyProtection="1">
      <alignment horizontal="center" vertical="center"/>
    </xf>
    <xf numFmtId="164" fontId="21" fillId="7" borderId="53" xfId="8" applyNumberFormat="1" applyFont="1" applyFill="1" applyBorder="1" applyAlignment="1" applyProtection="1">
      <alignment horizontal="center" vertical="center"/>
    </xf>
    <xf numFmtId="3" fontId="21" fillId="7" borderId="53" xfId="57" applyNumberFormat="1" applyFont="1" applyFill="1" applyBorder="1" applyAlignment="1" applyProtection="1">
      <alignment horizontal="center" vertical="center"/>
    </xf>
    <xf numFmtId="3" fontId="20" fillId="0" borderId="6" xfId="34" applyNumberFormat="1" applyFont="1" applyBorder="1" applyAlignment="1">
      <alignment horizontal="center" vertical="center" wrapText="1"/>
    </xf>
    <xf numFmtId="0" fontId="21" fillId="0" borderId="53" xfId="0" applyFont="1" applyBorder="1" applyAlignment="1">
      <alignment horizontal="center" vertical="center" wrapText="1"/>
    </xf>
    <xf numFmtId="164" fontId="41" fillId="0" borderId="53" xfId="8" applyNumberFormat="1" applyFont="1" applyBorder="1" applyAlignment="1" applyProtection="1">
      <alignment horizontal="center" vertical="center" wrapText="1"/>
    </xf>
    <xf numFmtId="9" fontId="41" fillId="0" borderId="53" xfId="8" applyFont="1" applyBorder="1" applyAlignment="1" applyProtection="1">
      <alignment horizontal="center" vertical="center" wrapText="1"/>
    </xf>
    <xf numFmtId="9" fontId="56" fillId="0" borderId="53" xfId="8" applyFont="1" applyBorder="1" applyAlignment="1" applyProtection="1">
      <alignment horizontal="center" vertical="center" wrapText="1"/>
    </xf>
    <xf numFmtId="10" fontId="39" fillId="3" borderId="53" xfId="36" applyNumberFormat="1" applyFont="1" applyFill="1" applyBorder="1" applyAlignment="1" applyProtection="1">
      <alignment horizontal="center" vertical="center" wrapText="1"/>
      <protection locked="0"/>
    </xf>
    <xf numFmtId="10" fontId="39" fillId="0" borderId="53" xfId="36" applyNumberFormat="1" applyFont="1" applyBorder="1" applyAlignment="1" applyProtection="1">
      <alignment horizontal="center" vertical="center" wrapText="1"/>
      <protection locked="0"/>
    </xf>
    <xf numFmtId="10" fontId="39" fillId="0" borderId="53" xfId="8" applyNumberFormat="1" applyFont="1" applyBorder="1" applyAlignment="1" applyProtection="1">
      <alignment horizontal="center" vertical="center" wrapText="1"/>
      <protection locked="0"/>
    </xf>
    <xf numFmtId="0" fontId="39" fillId="0" borderId="53" xfId="36" applyNumberFormat="1" applyFont="1" applyFill="1" applyBorder="1" applyAlignment="1" applyProtection="1">
      <alignment horizontal="center" vertical="center" wrapText="1"/>
      <protection locked="0"/>
    </xf>
    <xf numFmtId="10" fontId="39" fillId="0" borderId="53" xfId="36" applyNumberFormat="1" applyFont="1" applyFill="1" applyBorder="1" applyAlignment="1" applyProtection="1">
      <alignment horizontal="center" vertical="center" wrapText="1"/>
      <protection locked="0"/>
    </xf>
    <xf numFmtId="9" fontId="97" fillId="0" borderId="53" xfId="36" applyNumberFormat="1" applyFont="1" applyBorder="1" applyAlignment="1" applyProtection="1">
      <alignment horizontal="center" vertical="center" wrapText="1"/>
    </xf>
    <xf numFmtId="0" fontId="97" fillId="0" borderId="53" xfId="36" applyNumberFormat="1" applyFont="1" applyBorder="1" applyAlignment="1" applyProtection="1">
      <alignment horizontal="center" vertical="center" wrapText="1"/>
    </xf>
    <xf numFmtId="0" fontId="97" fillId="0" borderId="53" xfId="36" applyNumberFormat="1" applyFont="1" applyBorder="1" applyAlignment="1" applyProtection="1">
      <alignment horizontal="center" vertical="center" wrapText="1"/>
      <protection locked="0"/>
    </xf>
    <xf numFmtId="9" fontId="20" fillId="3" borderId="3" xfId="8" applyFont="1" applyFill="1" applyBorder="1" applyAlignment="1" applyProtection="1">
      <alignment horizontal="center" vertical="center"/>
    </xf>
    <xf numFmtId="3" fontId="20" fillId="3" borderId="3"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20" fillId="18" borderId="31" xfId="20" applyNumberFormat="1" applyFont="1" applyFill="1" applyBorder="1" applyAlignment="1">
      <alignment horizontal="center" vertical="center" wrapText="1"/>
    </xf>
    <xf numFmtId="3" fontId="20" fillId="18" borderId="31" xfId="0" applyNumberFormat="1" applyFont="1" applyFill="1" applyBorder="1" applyAlignment="1">
      <alignment horizontal="center" vertical="center" wrapText="1"/>
    </xf>
    <xf numFmtId="4" fontId="20" fillId="18" borderId="31" xfId="0" applyNumberFormat="1" applyFont="1" applyFill="1" applyBorder="1" applyAlignment="1">
      <alignment horizontal="center" vertical="center" wrapText="1"/>
    </xf>
    <xf numFmtId="3" fontId="20" fillId="0" borderId="31" xfId="34" applyNumberFormat="1" applyFont="1" applyBorder="1" applyAlignment="1">
      <alignment horizontal="center" vertical="center" wrapText="1"/>
    </xf>
    <xf numFmtId="0" fontId="20" fillId="0" borderId="0" xfId="0" applyFont="1" applyAlignment="1" applyProtection="1">
      <alignment horizontal="center" vertical="center" wrapText="1"/>
      <protection hidden="1"/>
    </xf>
    <xf numFmtId="164" fontId="39" fillId="0" borderId="53" xfId="7" applyNumberFormat="1" applyFont="1" applyBorder="1" applyAlignment="1" applyProtection="1">
      <alignment horizontal="center" vertical="center" wrapText="1"/>
    </xf>
    <xf numFmtId="164" fontId="21" fillId="7" borderId="2" xfId="6" applyNumberFormat="1" applyFont="1" applyFill="1" applyBorder="1" applyAlignment="1" applyProtection="1">
      <alignment horizontal="center" vertical="center"/>
    </xf>
    <xf numFmtId="10" fontId="21" fillId="7" borderId="2" xfId="6" applyNumberFormat="1" applyFont="1" applyFill="1" applyBorder="1" applyAlignment="1" applyProtection="1">
      <alignment horizontal="center" vertical="center"/>
    </xf>
    <xf numFmtId="174" fontId="39" fillId="0" borderId="53" xfId="8" applyNumberFormat="1" applyFont="1" applyBorder="1" applyAlignment="1" applyProtection="1">
      <alignment horizontal="center" vertical="center" wrapText="1"/>
    </xf>
    <xf numFmtId="10" fontId="97" fillId="0" borderId="53" xfId="6" applyNumberFormat="1" applyFont="1" applyBorder="1" applyAlignment="1" applyProtection="1">
      <alignment horizontal="center" vertical="center" wrapText="1"/>
    </xf>
    <xf numFmtId="2" fontId="97" fillId="0" borderId="53" xfId="36" applyNumberFormat="1" applyFont="1" applyBorder="1" applyAlignment="1" applyProtection="1">
      <alignment horizontal="center" vertical="center" wrapText="1"/>
    </xf>
    <xf numFmtId="164" fontId="20" fillId="0" borderId="53" xfId="7" applyNumberFormat="1" applyFont="1" applyBorder="1" applyAlignment="1" applyProtection="1">
      <alignment horizontal="center" vertical="center" wrapText="1"/>
    </xf>
    <xf numFmtId="166" fontId="24" fillId="22" borderId="2" xfId="51" applyNumberFormat="1" applyFont="1" applyFill="1" applyBorder="1" applyAlignment="1" applyProtection="1">
      <alignment horizontal="center" vertical="center"/>
      <protection hidden="1"/>
    </xf>
    <xf numFmtId="0" fontId="35" fillId="0" borderId="5" xfId="0" applyFont="1" applyBorder="1" applyAlignment="1">
      <alignment horizontal="center" vertical="center"/>
    </xf>
    <xf numFmtId="0" fontId="25" fillId="24" borderId="2" xfId="0" applyFont="1" applyFill="1" applyBorder="1" applyAlignment="1">
      <alignment horizontal="center" vertical="center" wrapText="1"/>
    </xf>
    <xf numFmtId="0" fontId="42" fillId="0" borderId="1" xfId="0" applyFont="1" applyBorder="1" applyAlignment="1" applyProtection="1">
      <alignment horizontal="center"/>
      <protection hidden="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164" fontId="40" fillId="0" borderId="2" xfId="0" applyNumberFormat="1" applyFont="1" applyFill="1" applyBorder="1" applyAlignment="1" applyProtection="1">
      <alignment horizontal="justify" vertical="center" wrapText="1"/>
      <protection hidden="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9" fillId="33" borderId="55" xfId="0" applyFont="1" applyFill="1" applyBorder="1" applyAlignment="1" applyProtection="1">
      <alignment horizontal="center" vertical="center" wrapText="1"/>
      <protection hidden="1"/>
    </xf>
    <xf numFmtId="0" fontId="42" fillId="0" borderId="1"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164" fontId="8" fillId="0" borderId="2" xfId="0" applyNumberFormat="1" applyFont="1" applyFill="1" applyBorder="1" applyAlignment="1" applyProtection="1">
      <alignment horizontal="justify" vertical="center" wrapText="1"/>
      <protection hidden="1"/>
    </xf>
    <xf numFmtId="0" fontId="11" fillId="8" borderId="2" xfId="0" applyFont="1" applyFill="1" applyBorder="1" applyAlignment="1">
      <alignment horizontal="center" vertical="center" wrapText="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10" fontId="97" fillId="0" borderId="53" xfId="36" applyNumberFormat="1" applyFont="1" applyBorder="1" applyAlignment="1" applyProtection="1">
      <alignment horizontal="center" vertical="center" wrapText="1"/>
    </xf>
    <xf numFmtId="2" fontId="97" fillId="0" borderId="53" xfId="36" applyNumberFormat="1" applyFont="1" applyBorder="1" applyAlignment="1" applyProtection="1">
      <alignment horizontal="center" vertical="center" wrapText="1"/>
      <protection locked="0"/>
    </xf>
    <xf numFmtId="166" fontId="43" fillId="7" borderId="3" xfId="7" applyNumberFormat="1" applyFont="1" applyFill="1" applyBorder="1" applyAlignment="1" applyProtection="1">
      <alignment horizontal="center" vertical="center"/>
    </xf>
    <xf numFmtId="164" fontId="98" fillId="7" borderId="3" xfId="6" applyNumberFormat="1" applyFont="1" applyFill="1" applyBorder="1" applyAlignment="1" applyProtection="1">
      <alignment horizontal="center" vertical="center"/>
    </xf>
    <xf numFmtId="10" fontId="98" fillId="7" borderId="3" xfId="6" applyNumberFormat="1" applyFont="1" applyFill="1" applyBorder="1" applyAlignment="1" applyProtection="1">
      <alignment horizontal="center" vertical="center"/>
    </xf>
    <xf numFmtId="3" fontId="98" fillId="7" borderId="3" xfId="6" applyNumberFormat="1" applyFont="1" applyFill="1" applyBorder="1" applyAlignment="1" applyProtection="1">
      <alignment horizontal="center" vertical="center"/>
    </xf>
    <xf numFmtId="3" fontId="98" fillId="7" borderId="3" xfId="8" applyNumberFormat="1" applyFont="1" applyFill="1" applyBorder="1" applyAlignment="1" applyProtection="1">
      <alignment horizontal="center" vertical="center"/>
    </xf>
    <xf numFmtId="9" fontId="98" fillId="7" borderId="3" xfId="6" applyFont="1" applyFill="1" applyBorder="1" applyAlignment="1" applyProtection="1">
      <alignment horizontal="center" vertical="center"/>
    </xf>
    <xf numFmtId="9" fontId="99" fillId="5" borderId="3" xfId="8" applyFont="1" applyFill="1" applyBorder="1" applyAlignment="1" applyProtection="1">
      <alignment horizontal="center" vertical="center"/>
    </xf>
    <xf numFmtId="9" fontId="100" fillId="5" borderId="3" xfId="8"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xf>
    <xf numFmtId="4" fontId="98" fillId="7" borderId="3" xfId="8" applyNumberFormat="1" applyFont="1" applyFill="1" applyBorder="1" applyAlignment="1" applyProtection="1">
      <alignment horizontal="center" vertical="center"/>
    </xf>
    <xf numFmtId="0" fontId="20" fillId="0" borderId="1" xfId="1" applyFont="1" applyAlignment="1">
      <alignment vertical="center"/>
    </xf>
    <xf numFmtId="166" fontId="98" fillId="7" borderId="3" xfId="8" applyNumberFormat="1" applyFont="1" applyFill="1" applyBorder="1" applyAlignment="1" applyProtection="1">
      <alignment horizontal="center" vertical="center"/>
    </xf>
    <xf numFmtId="0" fontId="25" fillId="28" borderId="2" xfId="0" applyFont="1" applyFill="1" applyBorder="1" applyAlignment="1" applyProtection="1">
      <alignment horizontal="center" vertical="center" wrapText="1"/>
      <protection hidden="1"/>
    </xf>
    <xf numFmtId="9" fontId="22" fillId="4" borderId="9" xfId="3" applyFont="1" applyFill="1" applyBorder="1" applyAlignment="1" applyProtection="1">
      <alignment horizontal="center" vertical="center"/>
    </xf>
    <xf numFmtId="164" fontId="55" fillId="0" borderId="2" xfId="8" applyNumberFormat="1" applyFont="1" applyFill="1" applyBorder="1" applyAlignment="1" applyProtection="1">
      <alignment horizontal="center" vertical="center"/>
    </xf>
    <xf numFmtId="164" fontId="97" fillId="0" borderId="53" xfId="36" applyNumberFormat="1" applyFont="1" applyBorder="1" applyAlignment="1" applyProtection="1">
      <alignment horizontal="center" vertical="center" wrapText="1"/>
    </xf>
    <xf numFmtId="3" fontId="101" fillId="7" borderId="3" xfId="0" applyNumberFormat="1" applyFont="1" applyFill="1" applyBorder="1" applyAlignment="1">
      <alignment horizontal="center" vertical="center"/>
    </xf>
    <xf numFmtId="164" fontId="55" fillId="0" borderId="3" xfId="6" applyNumberFormat="1" applyFont="1" applyFill="1" applyBorder="1" applyAlignment="1" applyProtection="1">
      <alignment horizontal="center" vertical="center"/>
    </xf>
    <xf numFmtId="9" fontId="55" fillId="0" borderId="3" xfId="6" applyFont="1" applyFill="1" applyBorder="1" applyAlignment="1" applyProtection="1">
      <alignment horizontal="center" vertical="center"/>
    </xf>
    <xf numFmtId="10" fontId="21" fillId="0" borderId="2" xfId="20" applyNumberFormat="1" applyFont="1" applyBorder="1" applyAlignment="1">
      <alignment horizontal="center" vertical="center" wrapText="1"/>
    </xf>
    <xf numFmtId="10" fontId="21" fillId="0" borderId="52" xfId="20" applyNumberFormat="1" applyFont="1" applyBorder="1" applyAlignment="1">
      <alignment horizontal="center" vertical="center" wrapText="1"/>
    </xf>
    <xf numFmtId="164" fontId="20" fillId="18" borderId="53" xfId="8" applyNumberFormat="1" applyFont="1" applyFill="1" applyBorder="1" applyAlignment="1" applyProtection="1">
      <alignment horizontal="center" vertical="center" wrapText="1"/>
    </xf>
    <xf numFmtId="10" fontId="21" fillId="0" borderId="3" xfId="20" applyNumberFormat="1" applyFont="1" applyBorder="1" applyAlignment="1">
      <alignment horizontal="center" vertical="center" wrapText="1"/>
    </xf>
    <xf numFmtId="164" fontId="20" fillId="3" borderId="53" xfId="8" applyNumberFormat="1" applyFont="1" applyFill="1" applyBorder="1" applyAlignment="1" applyProtection="1">
      <alignment horizontal="center" vertical="center" wrapText="1"/>
    </xf>
    <xf numFmtId="10" fontId="21" fillId="0" borderId="7" xfId="20" applyNumberFormat="1" applyFont="1" applyBorder="1" applyAlignment="1">
      <alignment horizontal="center" vertical="center" wrapText="1"/>
    </xf>
    <xf numFmtId="0" fontId="11" fillId="47" borderId="5" xfId="0" applyFont="1" applyFill="1" applyBorder="1" applyAlignment="1">
      <alignment horizontal="center" vertical="center" wrapText="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164" fontId="20" fillId="0" borderId="31" xfId="20" applyNumberFormat="1" applyFont="1" applyFill="1" applyBorder="1" applyAlignment="1">
      <alignment horizontal="center" vertical="center" wrapText="1"/>
    </xf>
    <xf numFmtId="0" fontId="20" fillId="0" borderId="0" xfId="0" applyFont="1" applyFill="1" applyAlignment="1" applyProtection="1">
      <alignment horizontal="justify" vertical="center"/>
      <protection hidden="1"/>
    </xf>
    <xf numFmtId="0" fontId="24" fillId="38" borderId="0" xfId="0" applyFont="1" applyFill="1" applyProtection="1"/>
    <xf numFmtId="0" fontId="24" fillId="9" borderId="2" xfId="0" applyFont="1" applyFill="1" applyBorder="1" applyAlignment="1" applyProtection="1">
      <alignment vertical="center" wrapText="1"/>
    </xf>
    <xf numFmtId="14" fontId="24" fillId="38" borderId="6" xfId="0" applyNumberFormat="1" applyFont="1" applyFill="1" applyBorder="1" applyAlignment="1" applyProtection="1">
      <alignment horizontal="center" vertical="center" wrapText="1"/>
    </xf>
    <xf numFmtId="9" fontId="20" fillId="0" borderId="2" xfId="8" applyNumberFormat="1" applyFont="1" applyBorder="1" applyAlignment="1">
      <alignment horizontal="center" vertical="center" wrapText="1"/>
    </xf>
    <xf numFmtId="0" fontId="60" fillId="0" borderId="1" xfId="0" applyFont="1" applyFill="1" applyBorder="1" applyAlignment="1">
      <alignment vertical="center"/>
    </xf>
    <xf numFmtId="164" fontId="20" fillId="0" borderId="2" xfId="8" applyNumberFormat="1" applyFont="1" applyFill="1" applyBorder="1" applyAlignment="1" applyProtection="1">
      <alignment horizontal="center" vertical="center" wrapText="1"/>
    </xf>
    <xf numFmtId="164" fontId="11" fillId="0" borderId="63" xfId="8" applyNumberFormat="1" applyFont="1" applyFill="1" applyBorder="1" applyAlignment="1" applyProtection="1">
      <alignment horizontal="center" vertical="center" wrapText="1"/>
    </xf>
    <xf numFmtId="164" fontId="11" fillId="18" borderId="53" xfId="8" applyNumberFormat="1" applyFont="1" applyFill="1" applyBorder="1" applyAlignment="1" applyProtection="1">
      <alignment horizontal="center" vertical="center" wrapText="1"/>
    </xf>
    <xf numFmtId="164" fontId="11" fillId="0" borderId="63" xfId="8" applyNumberFormat="1" applyFont="1" applyBorder="1" applyAlignment="1" applyProtection="1">
      <alignment horizontal="center" vertical="center" wrapText="1"/>
    </xf>
    <xf numFmtId="9" fontId="20" fillId="0" borderId="63" xfId="8" applyNumberFormat="1" applyFont="1" applyBorder="1" applyAlignment="1" applyProtection="1">
      <alignment horizontal="center" vertical="center" wrapText="1"/>
    </xf>
    <xf numFmtId="9" fontId="14" fillId="12" borderId="48" xfId="1" applyNumberFormat="1" applyFont="1" applyFill="1" applyBorder="1" applyAlignment="1">
      <alignment horizontal="center" vertical="center"/>
    </xf>
    <xf numFmtId="9" fontId="14" fillId="12" borderId="49" xfId="1" applyNumberFormat="1" applyFont="1" applyFill="1" applyBorder="1" applyAlignment="1">
      <alignment horizontal="center" vertical="center"/>
    </xf>
    <xf numFmtId="10" fontId="21" fillId="18" borderId="2" xfId="20" applyNumberFormat="1" applyFont="1" applyFill="1" applyBorder="1" applyAlignment="1">
      <alignment horizontal="center" vertical="center" wrapText="1"/>
    </xf>
    <xf numFmtId="10" fontId="21" fillId="18" borderId="52" xfId="6" applyNumberFormat="1" applyFont="1" applyFill="1" applyBorder="1" applyAlignment="1" applyProtection="1">
      <alignment horizontal="center" vertical="center" wrapText="1"/>
    </xf>
    <xf numFmtId="10" fontId="21" fillId="0" borderId="52" xfId="34" applyNumberFormat="1" applyFont="1" applyBorder="1" applyAlignment="1">
      <alignment horizontal="center" vertical="center" wrapText="1"/>
    </xf>
    <xf numFmtId="10" fontId="21" fillId="0" borderId="41" xfId="20" applyNumberFormat="1" applyFont="1" applyBorder="1" applyAlignment="1">
      <alignment horizontal="center" vertical="center" wrapText="1"/>
    </xf>
    <xf numFmtId="10" fontId="21" fillId="18" borderId="41" xfId="20" applyNumberFormat="1" applyFont="1" applyFill="1" applyBorder="1" applyAlignment="1">
      <alignment horizontal="center" vertical="center" wrapText="1"/>
    </xf>
    <xf numFmtId="10" fontId="21" fillId="18" borderId="41" xfId="6" applyNumberFormat="1" applyFont="1" applyFill="1" applyBorder="1" applyAlignment="1" applyProtection="1">
      <alignment horizontal="center" vertical="center" wrapText="1"/>
    </xf>
    <xf numFmtId="10" fontId="21" fillId="0" borderId="41" xfId="34" applyNumberFormat="1" applyFont="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vertical="center"/>
    </xf>
    <xf numFmtId="164" fontId="54" fillId="5" borderId="3" xfId="6" applyNumberFormat="1" applyFont="1" applyFill="1" applyBorder="1" applyAlignment="1" applyProtection="1">
      <alignment horizontal="center" vertical="center"/>
    </xf>
    <xf numFmtId="0" fontId="102" fillId="0" borderId="1" xfId="0" applyFont="1" applyFill="1" applyBorder="1" applyAlignment="1">
      <alignment vertical="center" wrapText="1"/>
    </xf>
    <xf numFmtId="166" fontId="24" fillId="0" borderId="0" xfId="0" applyNumberFormat="1" applyFont="1" applyFill="1" applyAlignment="1" applyProtection="1">
      <alignment horizontal="center" vertical="center"/>
      <protection hidden="1"/>
    </xf>
    <xf numFmtId="0" fontId="24" fillId="0" borderId="0" xfId="0" applyFont="1" applyFill="1" applyProtection="1">
      <protection hidden="1"/>
    </xf>
    <xf numFmtId="0" fontId="20" fillId="0" borderId="0" xfId="0" applyFont="1" applyFill="1" applyProtection="1">
      <protection hidden="1"/>
    </xf>
    <xf numFmtId="9" fontId="24" fillId="0" borderId="2" xfId="8" applyNumberFormat="1" applyFont="1" applyFill="1" applyBorder="1" applyAlignment="1" applyProtection="1">
      <alignment horizontal="center" vertical="center" wrapText="1"/>
      <protection hidden="1"/>
    </xf>
    <xf numFmtId="0" fontId="46" fillId="24" borderId="2" xfId="0" applyFont="1" applyFill="1" applyBorder="1" applyAlignment="1" applyProtection="1">
      <alignment horizontal="center" vertical="center"/>
      <protection hidden="1"/>
    </xf>
    <xf numFmtId="0" fontId="46" fillId="24"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1" borderId="52" xfId="0" applyFont="1" applyFill="1" applyBorder="1" applyAlignment="1" applyProtection="1">
      <alignment horizontal="center" vertical="center" wrapText="1"/>
      <protection hidden="1"/>
    </xf>
    <xf numFmtId="0" fontId="35" fillId="21" borderId="11" xfId="0" applyFont="1" applyFill="1" applyBorder="1" applyAlignment="1" applyProtection="1">
      <alignment horizontal="center" vertical="center" wrapText="1"/>
      <protection hidden="1"/>
    </xf>
    <xf numFmtId="0" fontId="35" fillId="22" borderId="7"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2" borderId="6" xfId="0" applyFont="1" applyFill="1" applyBorder="1" applyAlignment="1" applyProtection="1">
      <alignment horizontal="center" vertical="center" wrapText="1"/>
      <protection hidden="1"/>
    </xf>
    <xf numFmtId="0" fontId="61" fillId="20" borderId="7" xfId="0" applyFont="1" applyFill="1" applyBorder="1" applyAlignment="1" applyProtection="1">
      <alignment horizontal="center" vertical="center" wrapText="1"/>
      <protection hidden="1"/>
    </xf>
    <xf numFmtId="0" fontId="61" fillId="20" borderId="11" xfId="0" applyFont="1" applyFill="1" applyBorder="1" applyAlignment="1" applyProtection="1">
      <alignment horizontal="center" vertical="center" wrapText="1"/>
      <protection hidden="1"/>
    </xf>
    <xf numFmtId="0" fontId="25" fillId="24" borderId="2" xfId="0" applyFont="1" applyFill="1" applyBorder="1" applyAlignment="1">
      <alignment horizontal="center" vertical="center" wrapText="1"/>
    </xf>
    <xf numFmtId="0" fontId="84" fillId="0" borderId="2" xfId="0" applyFont="1" applyBorder="1" applyAlignment="1">
      <alignment horizontal="center" vertical="center" wrapText="1"/>
    </xf>
    <xf numFmtId="0" fontId="81" fillId="41" borderId="77" xfId="0" applyFont="1" applyFill="1" applyBorder="1" applyAlignment="1">
      <alignment horizontal="center" vertical="center" wrapText="1"/>
    </xf>
    <xf numFmtId="0" fontId="81" fillId="41" borderId="17" xfId="0" applyFont="1" applyFill="1" applyBorder="1" applyAlignment="1">
      <alignment horizontal="center" vertical="center" wrapText="1"/>
    </xf>
    <xf numFmtId="0" fontId="37" fillId="8" borderId="57" xfId="0" applyFont="1" applyFill="1" applyBorder="1" applyAlignment="1">
      <alignment horizontal="center" vertical="center" wrapText="1"/>
    </xf>
    <xf numFmtId="0" fontId="37" fillId="8" borderId="56" xfId="0" applyFont="1" applyFill="1" applyBorder="1" applyAlignment="1">
      <alignment horizontal="center" vertical="center" wrapText="1"/>
    </xf>
    <xf numFmtId="0" fontId="48" fillId="39" borderId="78" xfId="0" applyFont="1" applyFill="1" applyBorder="1" applyAlignment="1">
      <alignment horizontal="center" vertical="center" wrapText="1"/>
    </xf>
    <xf numFmtId="0" fontId="48" fillId="39" borderId="79" xfId="0" applyFont="1" applyFill="1" applyBorder="1" applyAlignment="1">
      <alignment horizontal="center" vertical="center" wrapText="1"/>
    </xf>
    <xf numFmtId="0" fontId="37" fillId="0" borderId="53" xfId="0" applyFont="1" applyBorder="1" applyAlignment="1">
      <alignment horizontal="center" vertical="center" wrapText="1"/>
    </xf>
    <xf numFmtId="0" fontId="37" fillId="0" borderId="73" xfId="0" applyFont="1" applyBorder="1" applyAlignment="1">
      <alignment horizontal="center" vertical="center" wrapText="1"/>
    </xf>
    <xf numFmtId="10" fontId="21" fillId="0" borderId="53" xfId="20" applyNumberFormat="1" applyFont="1" applyBorder="1" applyAlignment="1">
      <alignment horizontal="center" vertical="center" wrapText="1"/>
    </xf>
    <xf numFmtId="10" fontId="21" fillId="0" borderId="4" xfId="20" applyNumberFormat="1" applyFont="1" applyBorder="1" applyAlignment="1">
      <alignment horizontal="center" vertical="center" wrapText="1"/>
    </xf>
    <xf numFmtId="10" fontId="21" fillId="0" borderId="73" xfId="20" applyNumberFormat="1" applyFont="1" applyBorder="1" applyAlignment="1">
      <alignment horizontal="center" vertical="center" wrapText="1"/>
    </xf>
    <xf numFmtId="0" fontId="14" fillId="35" borderId="53" xfId="0" applyFont="1" applyFill="1" applyBorder="1" applyAlignment="1">
      <alignment horizontal="center" vertical="center" wrapText="1"/>
    </xf>
    <xf numFmtId="0" fontId="14" fillId="35" borderId="5" xfId="0" applyFont="1" applyFill="1" applyBorder="1" applyAlignment="1">
      <alignment horizontal="center" vertical="center" wrapText="1"/>
    </xf>
    <xf numFmtId="0" fontId="50" fillId="39" borderId="53" xfId="0" applyFont="1" applyFill="1" applyBorder="1" applyAlignment="1">
      <alignment horizontal="center" vertical="center" wrapText="1"/>
    </xf>
    <xf numFmtId="0" fontId="50" fillId="39" borderId="73" xfId="0" applyFont="1" applyFill="1" applyBorder="1" applyAlignment="1">
      <alignment horizontal="center" vertical="center" wrapText="1"/>
    </xf>
    <xf numFmtId="0" fontId="42" fillId="0" borderId="53" xfId="0" applyFont="1" applyBorder="1" applyAlignment="1">
      <alignment horizontal="justify" vertical="top" wrapText="1"/>
    </xf>
    <xf numFmtId="0" fontId="42" fillId="0" borderId="4" xfId="0" applyFont="1" applyBorder="1" applyAlignment="1">
      <alignment horizontal="justify" vertical="top" wrapText="1"/>
    </xf>
    <xf numFmtId="0" fontId="84" fillId="0" borderId="29" xfId="0" applyFont="1" applyBorder="1" applyAlignment="1">
      <alignment horizontal="center" vertical="center" wrapText="1"/>
    </xf>
    <xf numFmtId="0" fontId="84" fillId="0" borderId="35" xfId="0" applyFont="1" applyBorder="1" applyAlignment="1">
      <alignment horizontal="center" vertical="center" wrapText="1"/>
    </xf>
    <xf numFmtId="0" fontId="79" fillId="0" borderId="7" xfId="0" applyFont="1" applyBorder="1" applyAlignment="1">
      <alignment horizontal="left" vertical="center"/>
    </xf>
    <xf numFmtId="0" fontId="79" fillId="0" borderId="6" xfId="0" applyFont="1" applyBorder="1" applyAlignment="1">
      <alignment horizontal="left" vertical="center"/>
    </xf>
    <xf numFmtId="0" fontId="74" fillId="42" borderId="1" xfId="0" applyFont="1" applyFill="1" applyBorder="1" applyAlignment="1" applyProtection="1">
      <alignment horizontal="center" vertical="center" wrapText="1"/>
      <protection hidden="1"/>
    </xf>
    <xf numFmtId="0" fontId="74" fillId="3" borderId="1" xfId="0" applyFont="1" applyFill="1" applyBorder="1" applyAlignment="1" applyProtection="1">
      <alignment horizontal="center" vertical="center" wrapText="1"/>
      <protection hidden="1"/>
    </xf>
    <xf numFmtId="0" fontId="42" fillId="0" borderId="5" xfId="0" applyFont="1" applyBorder="1" applyAlignment="1">
      <alignment horizontal="justify" vertical="top" wrapText="1"/>
    </xf>
    <xf numFmtId="10" fontId="21" fillId="0" borderId="53" xfId="34" applyNumberFormat="1" applyFont="1" applyBorder="1" applyAlignment="1">
      <alignment horizontal="center" vertical="center" wrapText="1"/>
    </xf>
    <xf numFmtId="10" fontId="21" fillId="0" borderId="4" xfId="34" applyNumberFormat="1" applyFont="1" applyBorder="1" applyAlignment="1">
      <alignment horizontal="center" vertical="center" wrapText="1"/>
    </xf>
    <xf numFmtId="10" fontId="21" fillId="0" borderId="75" xfId="34" applyNumberFormat="1"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8" borderId="73" xfId="0" applyFont="1" applyFill="1" applyBorder="1" applyAlignment="1">
      <alignment horizontal="center" vertical="center" wrapText="1"/>
    </xf>
    <xf numFmtId="10" fontId="21" fillId="18" borderId="53" xfId="6" applyNumberFormat="1" applyFont="1" applyFill="1" applyBorder="1" applyAlignment="1" applyProtection="1">
      <alignment horizontal="center" vertical="center" wrapText="1"/>
    </xf>
    <xf numFmtId="10" fontId="21" fillId="18" borderId="4" xfId="6" applyNumberFormat="1" applyFont="1" applyFill="1" applyBorder="1" applyAlignment="1" applyProtection="1">
      <alignment horizontal="center" vertical="center" wrapText="1"/>
    </xf>
    <xf numFmtId="10" fontId="21" fillId="18" borderId="73" xfId="6" applyNumberFormat="1" applyFont="1" applyFill="1" applyBorder="1" applyAlignment="1" applyProtection="1">
      <alignment horizontal="center" vertical="center" wrapText="1"/>
    </xf>
    <xf numFmtId="0" fontId="42" fillId="18" borderId="4" xfId="0" applyFont="1" applyFill="1" applyBorder="1" applyAlignment="1">
      <alignment horizontal="justify" vertical="top" wrapText="1"/>
    </xf>
    <xf numFmtId="0" fontId="42" fillId="18" borderId="5" xfId="0" applyFont="1" applyFill="1" applyBorder="1" applyAlignment="1">
      <alignment horizontal="justify" vertical="top" wrapText="1"/>
    </xf>
    <xf numFmtId="10" fontId="21" fillId="18" borderId="53" xfId="20" applyNumberFormat="1" applyFont="1" applyFill="1" applyBorder="1" applyAlignment="1">
      <alignment horizontal="center" vertical="center" wrapText="1"/>
    </xf>
    <xf numFmtId="10" fontId="21" fillId="18" borderId="4" xfId="20" applyNumberFormat="1" applyFont="1" applyFill="1" applyBorder="1" applyAlignment="1">
      <alignment horizontal="center" vertical="center" wrapText="1"/>
    </xf>
    <xf numFmtId="10" fontId="21" fillId="18" borderId="73" xfId="20" applyNumberFormat="1" applyFont="1" applyFill="1" applyBorder="1" applyAlignment="1">
      <alignment horizontal="center" vertical="center" wrapText="1"/>
    </xf>
    <xf numFmtId="0" fontId="42" fillId="18" borderId="53" xfId="0" applyFont="1" applyFill="1" applyBorder="1" applyAlignment="1">
      <alignment horizontal="justify" vertical="top" wrapText="1"/>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14" fillId="8" borderId="65" xfId="0" applyFont="1" applyFill="1" applyBorder="1" applyAlignment="1">
      <alignment horizontal="center" vertical="center" wrapText="1"/>
    </xf>
    <xf numFmtId="0" fontId="14" fillId="35" borderId="63" xfId="0" applyFont="1" applyFill="1" applyBorder="1" applyAlignment="1">
      <alignment horizontal="center" vertical="center" wrapText="1"/>
    </xf>
    <xf numFmtId="0" fontId="50" fillId="39" borderId="2"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35" borderId="53" xfId="0" applyFont="1" applyFill="1" applyBorder="1" applyAlignment="1">
      <alignment horizontal="center" vertical="center" wrapText="1"/>
    </xf>
    <xf numFmtId="0" fontId="11" fillId="35" borderId="5" xfId="0" applyFont="1" applyFill="1" applyBorder="1" applyAlignment="1">
      <alignment horizontal="center" vertical="center" wrapText="1"/>
    </xf>
    <xf numFmtId="10" fontId="21" fillId="0" borderId="2" xfId="20" applyNumberFormat="1" applyFont="1" applyBorder="1" applyAlignment="1">
      <alignment horizontal="center" vertical="center" wrapText="1"/>
    </xf>
    <xf numFmtId="0" fontId="42" fillId="0" borderId="73" xfId="0" applyFont="1" applyBorder="1" applyAlignment="1">
      <alignment horizontal="justify" vertical="top" wrapText="1"/>
    </xf>
    <xf numFmtId="3" fontId="39" fillId="0" borderId="53" xfId="0" applyNumberFormat="1" applyFont="1" applyBorder="1" applyAlignment="1">
      <alignment horizontal="center" vertical="center" wrapText="1" readingOrder="1"/>
    </xf>
    <xf numFmtId="3" fontId="39" fillId="0" borderId="73" xfId="0" applyNumberFormat="1" applyFont="1" applyBorder="1" applyAlignment="1">
      <alignment horizontal="center" vertical="center" wrapText="1" readingOrder="1"/>
    </xf>
    <xf numFmtId="0" fontId="39" fillId="0" borderId="53" xfId="0" applyFont="1" applyBorder="1" applyAlignment="1">
      <alignment horizontal="justify" vertical="center" wrapText="1" readingOrder="1"/>
    </xf>
    <xf numFmtId="0" fontId="39" fillId="0" borderId="73" xfId="0" applyFont="1" applyBorder="1" applyAlignment="1">
      <alignment horizontal="justify" vertical="center" wrapText="1" readingOrder="1"/>
    </xf>
    <xf numFmtId="9" fontId="39" fillId="0" borderId="53" xfId="6" applyFont="1" applyBorder="1" applyAlignment="1">
      <alignment horizontal="center" vertical="center" wrapText="1" readingOrder="1"/>
    </xf>
    <xf numFmtId="9" fontId="39" fillId="0" borderId="73" xfId="6" applyFont="1" applyBorder="1" applyAlignment="1">
      <alignment horizontal="center" vertical="center" wrapText="1" readingOrder="1"/>
    </xf>
    <xf numFmtId="10" fontId="21" fillId="0" borderId="73" xfId="34" applyNumberFormat="1" applyFont="1" applyBorder="1" applyAlignment="1">
      <alignment horizontal="center" vertical="center" wrapText="1"/>
    </xf>
    <xf numFmtId="0" fontId="39" fillId="18" borderId="53"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3" xfId="0" applyFont="1" applyFill="1" applyBorder="1" applyAlignment="1">
      <alignment horizontal="justify" vertical="center" wrapText="1" readingOrder="1"/>
    </xf>
    <xf numFmtId="9" fontId="39" fillId="18" borderId="53"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3" xfId="6" applyFont="1" applyFill="1" applyBorder="1" applyAlignment="1">
      <alignment horizontal="center" vertical="center" wrapText="1" readingOrder="1"/>
    </xf>
    <xf numFmtId="10" fontId="21" fillId="18" borderId="53" xfId="34" applyNumberFormat="1" applyFont="1" applyFill="1" applyBorder="1" applyAlignment="1">
      <alignment horizontal="center" vertical="center" wrapText="1"/>
    </xf>
    <xf numFmtId="10" fontId="21" fillId="18" borderId="4" xfId="34" applyNumberFormat="1" applyFont="1" applyFill="1" applyBorder="1" applyAlignment="1">
      <alignment horizontal="center" vertical="center" wrapText="1"/>
    </xf>
    <xf numFmtId="10" fontId="21" fillId="18" borderId="73" xfId="34" applyNumberFormat="1" applyFont="1" applyFill="1" applyBorder="1" applyAlignment="1">
      <alignment horizontal="center" vertical="center" wrapText="1"/>
    </xf>
    <xf numFmtId="0" fontId="39" fillId="0" borderId="53" xfId="0" applyFont="1" applyBorder="1" applyAlignment="1">
      <alignment horizontal="justify" vertical="top" wrapText="1" readingOrder="1"/>
    </xf>
    <xf numFmtId="0" fontId="39" fillId="0" borderId="5" xfId="0" applyFont="1" applyBorder="1" applyAlignment="1">
      <alignment horizontal="justify" vertical="top" wrapText="1" readingOrder="1"/>
    </xf>
    <xf numFmtId="9" fontId="39" fillId="0" borderId="53"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164" fontId="21" fillId="0" borderId="52" xfId="34" applyNumberFormat="1" applyFont="1" applyBorder="1" applyAlignment="1">
      <alignment horizontal="center" vertical="center" wrapText="1"/>
    </xf>
    <xf numFmtId="0" fontId="21" fillId="0" borderId="74" xfId="34" applyFont="1" applyBorder="1" applyAlignment="1">
      <alignment horizontal="center" vertical="center" wrapText="1"/>
    </xf>
    <xf numFmtId="0" fontId="39" fillId="0" borderId="4" xfId="0" applyFont="1" applyBorder="1" applyAlignment="1">
      <alignment horizontal="justify" vertical="top" wrapText="1" readingOrder="1"/>
    </xf>
    <xf numFmtId="0" fontId="39" fillId="0" borderId="73" xfId="0" applyFont="1" applyBorder="1" applyAlignment="1">
      <alignment horizontal="justify" vertical="top" wrapText="1" readingOrder="1"/>
    </xf>
    <xf numFmtId="0" fontId="39" fillId="0" borderId="2" xfId="0" applyFont="1" applyBorder="1" applyAlignment="1">
      <alignment horizontal="justify" vertical="top" wrapText="1" readingOrder="1"/>
    </xf>
    <xf numFmtId="9" fontId="39" fillId="0" borderId="53"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5" xfId="0" applyNumberFormat="1" applyFont="1" applyBorder="1" applyAlignment="1">
      <alignment horizontal="center" vertical="top" wrapText="1" readingOrder="1"/>
    </xf>
    <xf numFmtId="164" fontId="21" fillId="18" borderId="52" xfId="0" applyNumberFormat="1" applyFont="1" applyFill="1" applyBorder="1" applyAlignment="1">
      <alignment horizontal="center" vertical="center" wrapText="1"/>
    </xf>
    <xf numFmtId="0" fontId="21" fillId="18" borderId="8" xfId="0" applyFont="1" applyFill="1" applyBorder="1" applyAlignment="1">
      <alignment horizontal="center" vertical="center" wrapText="1"/>
    </xf>
    <xf numFmtId="0" fontId="21" fillId="18" borderId="74" xfId="0" applyFont="1" applyFill="1" applyBorder="1" applyAlignment="1">
      <alignment horizontal="center" vertical="center" wrapText="1"/>
    </xf>
    <xf numFmtId="164" fontId="21" fillId="18" borderId="52"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4" xfId="6" applyNumberFormat="1" applyFont="1" applyFill="1" applyBorder="1" applyAlignment="1" applyProtection="1">
      <alignment horizontal="center" vertical="center" wrapText="1"/>
    </xf>
    <xf numFmtId="9" fontId="41" fillId="0" borderId="53" xfId="0" applyNumberFormat="1" applyFont="1" applyBorder="1" applyAlignment="1">
      <alignment horizontal="center" vertical="center" wrapText="1"/>
    </xf>
    <xf numFmtId="9" fontId="41" fillId="0" borderId="73" xfId="0" applyNumberFormat="1" applyFont="1" applyBorder="1" applyAlignment="1">
      <alignment horizontal="center" vertical="center" wrapText="1"/>
    </xf>
    <xf numFmtId="0" fontId="39" fillId="0" borderId="53" xfId="0" applyFont="1" applyBorder="1" applyAlignment="1">
      <alignment horizontal="justify" vertical="center" wrapText="1"/>
    </xf>
    <xf numFmtId="0" fontId="39" fillId="0" borderId="73" xfId="0" applyFont="1" applyBorder="1" applyAlignment="1">
      <alignment horizontal="justify" vertical="center" wrapText="1"/>
    </xf>
    <xf numFmtId="0" fontId="41" fillId="0" borderId="53" xfId="0" applyFont="1" applyBorder="1" applyAlignment="1">
      <alignment horizontal="justify" vertical="center" wrapText="1"/>
    </xf>
    <xf numFmtId="0" fontId="41" fillId="0" borderId="73" xfId="0" applyFont="1" applyBorder="1" applyAlignment="1">
      <alignment horizontal="justify" vertical="center" wrapText="1"/>
    </xf>
    <xf numFmtId="10" fontId="21" fillId="0" borderId="3" xfId="20" applyNumberFormat="1" applyFont="1" applyBorder="1" applyAlignment="1">
      <alignment horizontal="center" vertical="center" wrapText="1"/>
    </xf>
    <xf numFmtId="10" fontId="21" fillId="0" borderId="5" xfId="20" applyNumberFormat="1" applyFont="1" applyBorder="1" applyAlignment="1">
      <alignment horizontal="center" vertical="center" wrapText="1"/>
    </xf>
    <xf numFmtId="10" fontId="21" fillId="0" borderId="52" xfId="20" applyNumberFormat="1" applyFont="1" applyBorder="1" applyAlignment="1">
      <alignment horizontal="center" vertical="center" wrapText="1"/>
    </xf>
    <xf numFmtId="10" fontId="21" fillId="0" borderId="8" xfId="20" applyNumberFormat="1" applyFont="1" applyBorder="1" applyAlignment="1">
      <alignment horizontal="center" vertical="center" wrapText="1"/>
    </xf>
    <xf numFmtId="10" fontId="21" fillId="0" borderId="74" xfId="20" applyNumberFormat="1" applyFont="1" applyBorder="1" applyAlignment="1">
      <alignment horizontal="center" vertical="center" wrapText="1"/>
    </xf>
    <xf numFmtId="10" fontId="21" fillId="0" borderId="7" xfId="20" applyNumberFormat="1"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164" fontId="21" fillId="0" borderId="3" xfId="20" applyNumberFormat="1" applyFont="1" applyBorder="1" applyAlignment="1">
      <alignment horizontal="center" vertical="center" wrapText="1"/>
    </xf>
    <xf numFmtId="164" fontId="21" fillId="0" borderId="4" xfId="20" applyNumberFormat="1" applyFont="1" applyBorder="1" applyAlignment="1">
      <alignment horizontal="center" vertical="center" wrapText="1"/>
    </xf>
    <xf numFmtId="3" fontId="39" fillId="0" borderId="53"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0" fontId="39" fillId="18" borderId="53"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 fontId="39" fillId="0" borderId="53"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9" fontId="39" fillId="18" borderId="53"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2" xfId="34" applyNumberFormat="1" applyFont="1" applyFill="1" applyBorder="1" applyAlignment="1">
      <alignment horizontal="center" vertical="center" wrapText="1"/>
    </xf>
    <xf numFmtId="0" fontId="21" fillId="18" borderId="8" xfId="34" applyFont="1" applyFill="1" applyBorder="1" applyAlignment="1">
      <alignment horizontal="center" vertical="center" wrapText="1"/>
    </xf>
    <xf numFmtId="0" fontId="21" fillId="18" borderId="74" xfId="34" applyFont="1" applyFill="1" applyBorder="1" applyAlignment="1">
      <alignment horizontal="center" vertical="center" wrapText="1"/>
    </xf>
    <xf numFmtId="0" fontId="20" fillId="0" borderId="53"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5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0" fontId="20" fillId="0" borderId="53" xfId="34" applyNumberFormat="1" applyFont="1" applyBorder="1" applyAlignment="1">
      <alignment horizontal="center" vertical="center" wrapText="1"/>
    </xf>
    <xf numFmtId="10"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9" fontId="39" fillId="0" borderId="73" xfId="0" applyNumberFormat="1" applyFont="1" applyBorder="1" applyAlignment="1">
      <alignment horizontal="center" vertical="top" wrapText="1" readingOrder="1"/>
    </xf>
    <xf numFmtId="0" fontId="20" fillId="0" borderId="4" xfId="0" applyFont="1" applyBorder="1" applyAlignment="1">
      <alignment horizontal="justify" vertical="center" wrapText="1"/>
    </xf>
    <xf numFmtId="9" fontId="20" fillId="0" borderId="4" xfId="8" applyFont="1" applyBorder="1" applyAlignment="1" applyProtection="1">
      <alignment horizontal="center" vertical="center" wrapText="1"/>
    </xf>
    <xf numFmtId="9" fontId="20" fillId="0" borderId="73" xfId="8" applyFont="1" applyBorder="1" applyAlignment="1" applyProtection="1">
      <alignment horizontal="center" vertical="center" wrapText="1"/>
    </xf>
    <xf numFmtId="1" fontId="39" fillId="0" borderId="53"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0" fontId="39" fillId="18" borderId="73" xfId="0" applyFont="1" applyFill="1" applyBorder="1" applyAlignment="1">
      <alignment horizontal="justify" vertical="top"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53"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9" fontId="39" fillId="18" borderId="53"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3"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37" borderId="7" xfId="0" applyFont="1" applyFill="1" applyBorder="1" applyAlignment="1">
      <alignment horizontal="center" vertical="center" wrapText="1"/>
    </xf>
    <xf numFmtId="0" fontId="11" fillId="37" borderId="6" xfId="0" applyFont="1" applyFill="1" applyBorder="1" applyAlignment="1">
      <alignment horizontal="center" vertical="center" wrapText="1"/>
    </xf>
    <xf numFmtId="0" fontId="11" fillId="19" borderId="53"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28" fillId="35" borderId="7"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11" fillId="36" borderId="53"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11" fillId="40" borderId="3" xfId="0" applyFont="1" applyFill="1" applyBorder="1" applyAlignment="1">
      <alignment horizontal="center" vertical="center" wrapText="1"/>
    </xf>
    <xf numFmtId="0" fontId="11" fillId="40" borderId="5"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5" fillId="39" borderId="2" xfId="0" applyFont="1" applyFill="1" applyBorder="1" applyAlignment="1">
      <alignment horizontal="center" vertical="center" wrapText="1"/>
    </xf>
    <xf numFmtId="0" fontId="14" fillId="35" borderId="7" xfId="0" applyFont="1" applyFill="1" applyBorder="1" applyAlignment="1">
      <alignment horizontal="center" vertical="center" wrapText="1"/>
    </xf>
    <xf numFmtId="0" fontId="14" fillId="35" borderId="11" xfId="0" applyFont="1" applyFill="1" applyBorder="1" applyAlignment="1">
      <alignment horizontal="center" vertical="center" wrapText="1"/>
    </xf>
    <xf numFmtId="0" fontId="14" fillId="35" borderId="6" xfId="0" applyFont="1" applyFill="1" applyBorder="1" applyAlignment="1">
      <alignment horizontal="center" vertical="center" wrapText="1"/>
    </xf>
    <xf numFmtId="164" fontId="21" fillId="18" borderId="2" xfId="20" applyNumberFormat="1" applyFont="1" applyFill="1" applyBorder="1" applyAlignment="1">
      <alignment horizontal="center" vertical="center" wrapText="1"/>
    </xf>
    <xf numFmtId="164" fontId="21" fillId="18" borderId="4" xfId="20" applyNumberFormat="1" applyFont="1" applyFill="1" applyBorder="1" applyAlignment="1">
      <alignment horizontal="center" vertical="center" wrapText="1"/>
    </xf>
    <xf numFmtId="164" fontId="21" fillId="18" borderId="73" xfId="20" applyNumberFormat="1" applyFont="1" applyFill="1" applyBorder="1" applyAlignment="1">
      <alignment horizontal="center" vertical="center" wrapText="1"/>
    </xf>
    <xf numFmtId="0" fontId="11" fillId="46" borderId="53" xfId="0" applyFont="1" applyFill="1" applyBorder="1" applyAlignment="1">
      <alignment horizontal="center" vertical="center" wrapText="1"/>
    </xf>
    <xf numFmtId="0" fontId="11" fillId="46" borderId="5" xfId="0" applyFont="1" applyFill="1" applyBorder="1" applyAlignment="1">
      <alignment horizontal="center" vertical="center" wrapText="1"/>
    </xf>
    <xf numFmtId="0" fontId="25" fillId="23" borderId="7" xfId="0" applyFont="1" applyFill="1" applyBorder="1" applyAlignment="1">
      <alignment horizontal="center" vertical="center" wrapText="1"/>
    </xf>
    <xf numFmtId="0" fontId="25" fillId="23" borderId="11" xfId="0" applyFont="1" applyFill="1" applyBorder="1" applyAlignment="1">
      <alignment horizontal="center" vertical="center" wrapText="1"/>
    </xf>
    <xf numFmtId="164" fontId="21" fillId="0" borderId="5" xfId="20" applyNumberFormat="1" applyFont="1" applyBorder="1" applyAlignment="1">
      <alignment horizontal="center" vertical="center" wrapText="1"/>
    </xf>
    <xf numFmtId="10" fontId="20" fillId="0" borderId="4" xfId="34" applyNumberFormat="1" applyFont="1" applyBorder="1" applyAlignment="1">
      <alignment horizontal="center" vertical="center" wrapText="1"/>
    </xf>
    <xf numFmtId="10" fontId="20" fillId="0" borderId="73" xfId="34" applyNumberFormat="1" applyFont="1" applyBorder="1" applyAlignment="1">
      <alignment horizontal="center" vertical="center" wrapText="1"/>
    </xf>
    <xf numFmtId="0" fontId="24" fillId="0" borderId="53"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169" fontId="24" fillId="0" borderId="53" xfId="0" applyNumberFormat="1" applyFont="1" applyBorder="1" applyAlignment="1">
      <alignment horizontal="center" vertical="center" wrapText="1"/>
    </xf>
    <xf numFmtId="169" fontId="24" fillId="0" borderId="4" xfId="0" applyNumberFormat="1" applyFont="1" applyBorder="1" applyAlignment="1">
      <alignment horizontal="center" vertical="center" wrapText="1"/>
    </xf>
    <xf numFmtId="169" fontId="24" fillId="0" borderId="5" xfId="0" applyNumberFormat="1" applyFont="1" applyBorder="1" applyAlignment="1">
      <alignment horizontal="center"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69" fontId="24" fillId="0" borderId="2" xfId="0" applyNumberFormat="1" applyFont="1" applyBorder="1" applyAlignment="1">
      <alignment horizontal="center" vertical="center" wrapText="1"/>
    </xf>
    <xf numFmtId="0" fontId="25" fillId="15" borderId="4"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4" fillId="0" borderId="2" xfId="0" applyFont="1" applyBorder="1" applyAlignment="1">
      <alignment horizontal="justify" vertical="center" wrapText="1"/>
    </xf>
    <xf numFmtId="170" fontId="24" fillId="0" borderId="53" xfId="0" applyNumberFormat="1" applyFont="1" applyBorder="1" applyAlignment="1">
      <alignment horizontal="center" vertical="center" wrapText="1"/>
    </xf>
    <xf numFmtId="170" fontId="24" fillId="0" borderId="4" xfId="0" applyNumberFormat="1" applyFont="1" applyBorder="1" applyAlignment="1">
      <alignment horizontal="center" vertical="center" wrapText="1"/>
    </xf>
    <xf numFmtId="170" fontId="24" fillId="0" borderId="5" xfId="0" applyNumberFormat="1" applyFont="1" applyBorder="1" applyAlignment="1">
      <alignment horizontal="center"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73" xfId="0" applyFont="1" applyFill="1" applyBorder="1" applyAlignment="1">
      <alignment horizontal="center" vertical="center" wrapText="1"/>
    </xf>
    <xf numFmtId="0" fontId="78" fillId="38" borderId="53" xfId="0" applyFont="1" applyFill="1" applyBorder="1" applyAlignment="1">
      <alignment horizontal="center" vertical="center" wrapText="1"/>
    </xf>
    <xf numFmtId="0" fontId="78" fillId="38" borderId="4" xfId="0" applyFont="1" applyFill="1" applyBorder="1" applyAlignment="1">
      <alignment horizontal="center" vertical="center"/>
    </xf>
    <xf numFmtId="0" fontId="78" fillId="38" borderId="5" xfId="0" applyFont="1" applyFill="1" applyBorder="1" applyAlignment="1">
      <alignment horizontal="center" vertical="center"/>
    </xf>
    <xf numFmtId="0" fontId="24" fillId="38" borderId="45" xfId="0" applyFont="1" applyFill="1" applyBorder="1" applyAlignment="1">
      <alignment horizontal="center"/>
    </xf>
    <xf numFmtId="0" fontId="25" fillId="38" borderId="52" xfId="0" applyFont="1" applyFill="1" applyBorder="1" applyAlignment="1">
      <alignment horizontal="left"/>
    </xf>
    <xf numFmtId="0" fontId="25" fillId="38" borderId="63" xfId="0" applyFont="1" applyFill="1" applyBorder="1" applyAlignment="1">
      <alignment horizontal="left"/>
    </xf>
    <xf numFmtId="0" fontId="76" fillId="38" borderId="52" xfId="0" applyFont="1" applyFill="1" applyBorder="1" applyAlignment="1">
      <alignment horizontal="center" vertical="center"/>
    </xf>
    <xf numFmtId="0" fontId="76" fillId="38" borderId="65" xfId="0" applyFont="1" applyFill="1" applyBorder="1" applyAlignment="1">
      <alignment horizontal="center" vertical="center"/>
    </xf>
    <xf numFmtId="0" fontId="76" fillId="38" borderId="8" xfId="0" applyFont="1" applyFill="1" applyBorder="1" applyAlignment="1">
      <alignment horizontal="center" vertical="center"/>
    </xf>
    <xf numFmtId="0" fontId="76" fillId="38" borderId="1" xfId="0" applyFont="1" applyFill="1" applyBorder="1" applyAlignment="1">
      <alignment horizontal="center" vertical="center"/>
    </xf>
    <xf numFmtId="0" fontId="76" fillId="38" borderId="74" xfId="0" applyFont="1" applyFill="1" applyBorder="1" applyAlignment="1">
      <alignment horizontal="center" vertical="center"/>
    </xf>
    <xf numFmtId="0" fontId="76" fillId="38" borderId="80" xfId="0" applyFont="1" applyFill="1" applyBorder="1" applyAlignment="1">
      <alignment horizontal="center" vertical="center"/>
    </xf>
    <xf numFmtId="0" fontId="20" fillId="0" borderId="2" xfId="23" applyFont="1" applyBorder="1" applyAlignment="1">
      <alignment horizontal="left" vertical="center" wrapText="1"/>
    </xf>
    <xf numFmtId="0" fontId="90" fillId="0" borderId="13" xfId="23" applyFont="1" applyBorder="1" applyAlignment="1">
      <alignment horizontal="center" vertical="center" wrapText="1"/>
    </xf>
    <xf numFmtId="0" fontId="90" fillId="0" borderId="14" xfId="23" applyFont="1" applyBorder="1" applyAlignment="1">
      <alignment horizontal="center" vertical="center"/>
    </xf>
    <xf numFmtId="0" fontId="90"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2" xfId="23" applyFont="1" applyFill="1" applyBorder="1" applyAlignment="1">
      <alignment horizontal="left"/>
    </xf>
    <xf numFmtId="0" fontId="24" fillId="3" borderId="82" xfId="23" applyFont="1" applyFill="1" applyBorder="1" applyAlignment="1">
      <alignment horizontal="left"/>
    </xf>
    <xf numFmtId="168" fontId="24" fillId="38" borderId="74" xfId="0" applyNumberFormat="1" applyFont="1" applyFill="1" applyBorder="1" applyAlignment="1" applyProtection="1">
      <alignment horizontal="left"/>
      <protection locked="0"/>
    </xf>
    <xf numFmtId="168" fontId="24" fillId="38" borderId="81"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64" fillId="0" borderId="1" xfId="1" applyFont="1" applyAlignment="1">
      <alignment horizontal="left" vertical="center" wrapText="1"/>
    </xf>
    <xf numFmtId="0" fontId="31" fillId="0" borderId="2" xfId="23" applyFont="1" applyBorder="1" applyAlignment="1">
      <alignment horizontal="left" vertical="center" wrapText="1"/>
    </xf>
    <xf numFmtId="0" fontId="50"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42"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58" fillId="0" borderId="1" xfId="0" applyFont="1" applyBorder="1" applyAlignment="1">
      <alignment horizontal="center" vertical="center" wrapText="1"/>
    </xf>
    <xf numFmtId="0" fontId="25" fillId="9" borderId="52"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25" fillId="9" borderId="63" xfId="0" applyFont="1" applyFill="1" applyBorder="1" applyAlignment="1">
      <alignment horizontal="center" vertical="center" wrapText="1"/>
    </xf>
    <xf numFmtId="171" fontId="25" fillId="9" borderId="80" xfId="0" applyNumberFormat="1" applyFont="1" applyFill="1" applyBorder="1" applyAlignment="1">
      <alignment horizontal="left" vertical="center" wrapText="1"/>
    </xf>
    <xf numFmtId="0" fontId="25" fillId="24" borderId="13" xfId="0" applyFont="1" applyFill="1" applyBorder="1" applyAlignment="1">
      <alignment horizontal="center" vertical="center"/>
    </xf>
    <xf numFmtId="0" fontId="25" fillId="24" borderId="56" xfId="0" applyFont="1" applyFill="1" applyBorder="1" applyAlignment="1">
      <alignment horizontal="center" vertical="center"/>
    </xf>
    <xf numFmtId="0" fontId="25" fillId="24" borderId="62" xfId="0" applyFont="1" applyFill="1" applyBorder="1" applyAlignment="1">
      <alignment horizontal="center" vertical="center" wrapText="1"/>
    </xf>
    <xf numFmtId="0" fontId="25" fillId="24" borderId="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9" borderId="74" xfId="0" applyFont="1" applyFill="1" applyBorder="1" applyAlignment="1">
      <alignment horizontal="right" vertical="center" wrapText="1"/>
    </xf>
    <xf numFmtId="0" fontId="25" fillId="9" borderId="80" xfId="0" applyFont="1" applyFill="1" applyBorder="1" applyAlignment="1">
      <alignment horizontal="right" vertical="center" wrapText="1"/>
    </xf>
    <xf numFmtId="0" fontId="29" fillId="33" borderId="38" xfId="0" applyFont="1" applyFill="1" applyBorder="1" applyAlignment="1" applyProtection="1">
      <alignment horizontal="center" vertical="center"/>
      <protection hidden="1"/>
    </xf>
    <xf numFmtId="0" fontId="29" fillId="33" borderId="54" xfId="0" applyFont="1" applyFill="1" applyBorder="1" applyAlignment="1" applyProtection="1">
      <alignment horizontal="center" vertical="center"/>
      <protection hidden="1"/>
    </xf>
    <xf numFmtId="0" fontId="29" fillId="33" borderId="37" xfId="0" applyFont="1" applyFill="1" applyBorder="1" applyAlignment="1" applyProtection="1">
      <alignment horizontal="center" vertical="center" wrapText="1"/>
      <protection hidden="1"/>
    </xf>
    <xf numFmtId="0" fontId="29" fillId="33" borderId="55" xfId="0" applyFont="1" applyFill="1" applyBorder="1" applyAlignment="1" applyProtection="1">
      <alignment horizontal="center" vertical="center" wrapText="1"/>
      <protection hidden="1"/>
    </xf>
    <xf numFmtId="0" fontId="29" fillId="33" borderId="39" xfId="0" applyFont="1" applyFill="1" applyBorder="1" applyAlignment="1" applyProtection="1">
      <alignment horizontal="center" vertical="center" wrapText="1"/>
      <protection hidden="1"/>
    </xf>
    <xf numFmtId="0" fontId="74" fillId="0" borderId="35" xfId="0" applyFont="1" applyBorder="1" applyAlignment="1" applyProtection="1">
      <alignment horizontal="center" vertical="center"/>
      <protection hidden="1"/>
    </xf>
    <xf numFmtId="0" fontId="74" fillId="0" borderId="27" xfId="0" applyFont="1" applyBorder="1" applyAlignment="1" applyProtection="1">
      <alignment horizontal="center" vertical="center"/>
      <protection hidden="1"/>
    </xf>
    <xf numFmtId="0" fontId="74" fillId="0" borderId="23" xfId="0" applyFont="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2" fillId="0" borderId="1" xfId="0" applyFont="1" applyBorder="1" applyAlignment="1" applyProtection="1">
      <alignment horizontal="center"/>
      <protection hidden="1"/>
    </xf>
    <xf numFmtId="0" fontId="73" fillId="33" borderId="29" xfId="0" applyFont="1" applyFill="1" applyBorder="1" applyAlignment="1">
      <alignment horizontal="center" vertical="center" wrapText="1" readingOrder="1"/>
    </xf>
    <xf numFmtId="0" fontId="73" fillId="33" borderId="35" xfId="0" applyFont="1" applyFill="1" applyBorder="1" applyAlignment="1">
      <alignment horizontal="center" vertical="center" wrapText="1" readingOrder="1"/>
    </xf>
    <xf numFmtId="0" fontId="73" fillId="33" borderId="37" xfId="0" applyFont="1" applyFill="1" applyBorder="1" applyAlignment="1">
      <alignment horizontal="center" vertical="center" wrapText="1" readingOrder="1"/>
    </xf>
    <xf numFmtId="0" fontId="73" fillId="33" borderId="55" xfId="0" applyFont="1" applyFill="1" applyBorder="1" applyAlignment="1">
      <alignment horizontal="center" vertical="center" wrapText="1" readingOrder="1"/>
    </xf>
    <xf numFmtId="0" fontId="73" fillId="33" borderId="7" xfId="0" applyFont="1" applyFill="1" applyBorder="1" applyAlignment="1">
      <alignment horizontal="center" vertical="center" wrapText="1" readingOrder="1"/>
    </xf>
    <xf numFmtId="0" fontId="73" fillId="33" borderId="11" xfId="0" applyFont="1" applyFill="1" applyBorder="1" applyAlignment="1">
      <alignment horizontal="center" vertical="center" wrapText="1" readingOrder="1"/>
    </xf>
    <xf numFmtId="0" fontId="73" fillId="33" borderId="6" xfId="0" applyFont="1" applyFill="1" applyBorder="1" applyAlignment="1">
      <alignment horizontal="center" vertical="center" wrapText="1" readingOrder="1"/>
    </xf>
    <xf numFmtId="0" fontId="25" fillId="28" borderId="74" xfId="0" applyFont="1" applyFill="1" applyBorder="1" applyAlignment="1" applyProtection="1">
      <alignment horizontal="center" vertical="center" wrapText="1"/>
      <protection hidden="1"/>
    </xf>
    <xf numFmtId="0" fontId="25" fillId="28" borderId="80" xfId="0" applyFont="1" applyFill="1" applyBorder="1" applyAlignment="1" applyProtection="1">
      <alignment horizontal="center" vertical="center" wrapText="1"/>
      <protection hidden="1"/>
    </xf>
    <xf numFmtId="0" fontId="25" fillId="28" borderId="81" xfId="0" applyFont="1" applyFill="1" applyBorder="1" applyAlignment="1" applyProtection="1">
      <alignment horizontal="center" vertical="center" wrapText="1"/>
      <protection hidden="1"/>
    </xf>
    <xf numFmtId="0" fontId="25" fillId="28" borderId="73"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wrapText="1"/>
      <protection hidden="1"/>
    </xf>
    <xf numFmtId="0" fontId="25" fillId="26" borderId="73"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11" fillId="11" borderId="49" xfId="0" applyFont="1" applyFill="1" applyBorder="1" applyAlignment="1" applyProtection="1">
      <alignment horizontal="center" vertical="center"/>
      <protection hidden="1"/>
    </xf>
    <xf numFmtId="0" fontId="11" fillId="11" borderId="50" xfId="0" applyFont="1" applyFill="1" applyBorder="1" applyAlignment="1" applyProtection="1">
      <alignment horizontal="center" vertical="center"/>
      <protection hidden="1"/>
    </xf>
    <xf numFmtId="0" fontId="11" fillId="11" borderId="51" xfId="0" applyFont="1" applyFill="1" applyBorder="1" applyAlignment="1" applyProtection="1">
      <alignment horizontal="center" vertical="center"/>
      <protection hidden="1"/>
    </xf>
    <xf numFmtId="0" fontId="11" fillId="18" borderId="49" xfId="0" applyFont="1" applyFill="1" applyBorder="1" applyAlignment="1" applyProtection="1">
      <alignment horizontal="center" vertical="center"/>
      <protection hidden="1"/>
    </xf>
    <xf numFmtId="0" fontId="11" fillId="18" borderId="50"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39" borderId="49" xfId="0" applyFont="1" applyFill="1" applyBorder="1" applyAlignment="1" applyProtection="1">
      <alignment horizontal="center" vertical="center"/>
      <protection hidden="1"/>
    </xf>
    <xf numFmtId="0" fontId="11" fillId="39" borderId="50" xfId="0" applyFont="1" applyFill="1" applyBorder="1" applyAlignment="1" applyProtection="1">
      <alignment horizontal="center" vertical="center"/>
      <protection hidden="1"/>
    </xf>
    <xf numFmtId="0" fontId="11" fillId="39" borderId="51" xfId="0" applyFont="1" applyFill="1" applyBorder="1" applyAlignment="1" applyProtection="1">
      <alignment horizontal="center" vertical="center"/>
      <protection hidden="1"/>
    </xf>
    <xf numFmtId="0" fontId="35" fillId="7" borderId="2" xfId="0" applyFont="1" applyFill="1" applyBorder="1" applyAlignment="1" applyProtection="1">
      <alignment horizontal="center" vertical="center"/>
      <protection hidden="1"/>
    </xf>
    <xf numFmtId="0" fontId="25" fillId="28" borderId="2" xfId="0" applyFont="1" applyFill="1" applyBorder="1" applyAlignment="1" applyProtection="1">
      <alignment horizontal="center" vertical="center"/>
      <protection hidden="1"/>
    </xf>
    <xf numFmtId="0" fontId="25" fillId="28" borderId="16" xfId="0" applyFont="1" applyFill="1" applyBorder="1" applyAlignment="1" applyProtection="1">
      <alignment horizontal="center" vertical="center" wrapText="1"/>
      <protection hidden="1"/>
    </xf>
    <xf numFmtId="0" fontId="25" fillId="28" borderId="32" xfId="0" applyFont="1" applyFill="1" applyBorder="1" applyAlignment="1" applyProtection="1">
      <alignment horizontal="center" vertical="center" wrapText="1"/>
      <protection hidden="1"/>
    </xf>
    <xf numFmtId="0" fontId="25" fillId="28" borderId="83" xfId="0" applyFont="1" applyFill="1" applyBorder="1" applyAlignment="1" applyProtection="1">
      <alignment horizontal="center" vertical="center" wrapText="1"/>
      <protection hidden="1"/>
    </xf>
    <xf numFmtId="0" fontId="25" fillId="28" borderId="62" xfId="0" applyFont="1" applyFill="1" applyBorder="1" applyAlignment="1" applyProtection="1">
      <alignment horizontal="center" vertical="center" wrapText="1"/>
      <protection hidden="1"/>
    </xf>
    <xf numFmtId="0" fontId="25" fillId="26" borderId="62" xfId="0" applyFont="1" applyFill="1" applyBorder="1" applyAlignment="1" applyProtection="1">
      <alignment horizontal="center" vertical="center" wrapText="1"/>
      <protection hidden="1"/>
    </xf>
    <xf numFmtId="0" fontId="25" fillId="28" borderId="53" xfId="0" applyFont="1" applyFill="1" applyBorder="1" applyAlignment="1" applyProtection="1">
      <alignment horizontal="center" vertical="center" wrapText="1"/>
      <protection hidden="1"/>
    </xf>
    <xf numFmtId="0" fontId="25" fillId="28" borderId="53" xfId="0" applyFont="1" applyFill="1" applyBorder="1" applyAlignment="1" applyProtection="1">
      <alignment horizontal="center" vertical="center"/>
      <protection hidden="1"/>
    </xf>
    <xf numFmtId="0" fontId="25" fillId="28" borderId="73" xfId="0" applyFont="1" applyFill="1" applyBorder="1" applyAlignment="1" applyProtection="1">
      <alignment horizontal="center" vertical="center"/>
      <protection hidden="1"/>
    </xf>
    <xf numFmtId="0" fontId="50" fillId="0" borderId="7" xfId="0" applyFont="1" applyBorder="1" applyAlignment="1" applyProtection="1">
      <alignment horizontal="center" vertical="center" wrapText="1"/>
      <protection hidden="1"/>
    </xf>
    <xf numFmtId="0" fontId="37" fillId="0" borderId="52"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63"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2" fillId="0" borderId="74" xfId="0" applyFont="1" applyBorder="1" applyAlignment="1" applyProtection="1">
      <alignment horizontal="center"/>
      <protection hidden="1"/>
    </xf>
    <xf numFmtId="0" fontId="42" fillId="0" borderId="80" xfId="0" applyFont="1" applyBorder="1" applyAlignment="1" applyProtection="1">
      <alignment horizontal="center"/>
      <protection hidden="1"/>
    </xf>
    <xf numFmtId="0" fontId="42" fillId="0" borderId="81" xfId="0" applyFont="1" applyBorder="1" applyAlignment="1" applyProtection="1">
      <alignment horizontal="center"/>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25" fillId="0" borderId="6" xfId="0" applyFont="1" applyBorder="1" applyAlignment="1" applyProtection="1">
      <alignment horizontal="center"/>
      <protection hidden="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18" borderId="3" xfId="0" applyFont="1" applyFill="1" applyBorder="1" applyAlignment="1">
      <alignment horizontal="justify" vertical="top" wrapText="1" readingOrder="1"/>
    </xf>
    <xf numFmtId="0" fontId="39" fillId="0" borderId="3" xfId="0" applyFont="1" applyBorder="1" applyAlignment="1">
      <alignment horizontal="justify" vertical="top" wrapText="1" readingOrder="1"/>
    </xf>
    <xf numFmtId="0" fontId="42" fillId="0" borderId="3" xfId="0" applyFont="1" applyBorder="1" applyAlignment="1">
      <alignment horizontal="justify" vertical="top" wrapText="1"/>
    </xf>
    <xf numFmtId="0" fontId="20" fillId="0" borderId="3" xfId="0" applyFont="1" applyBorder="1" applyAlignment="1">
      <alignment horizontal="justify" vertical="center" wrapText="1"/>
    </xf>
    <xf numFmtId="9" fontId="20" fillId="0" borderId="3" xfId="8" applyFont="1" applyBorder="1" applyAlignment="1" applyProtection="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11" fillId="8" borderId="3" xfId="0" applyFont="1" applyFill="1" applyBorder="1" applyAlignment="1">
      <alignment horizontal="center" vertical="center" wrapText="1"/>
    </xf>
    <xf numFmtId="0" fontId="42" fillId="18" borderId="3" xfId="0" applyFont="1" applyFill="1" applyBorder="1" applyAlignment="1">
      <alignment horizontal="justify" vertical="top" wrapText="1"/>
    </xf>
    <xf numFmtId="0" fontId="41" fillId="0" borderId="53" xfId="0" applyFont="1" applyBorder="1" applyAlignment="1">
      <alignment horizontal="left" vertical="top" wrapText="1"/>
    </xf>
    <xf numFmtId="0" fontId="41" fillId="0" borderId="73" xfId="0" applyFont="1" applyBorder="1" applyAlignment="1">
      <alignment horizontal="left" vertical="top" wrapText="1"/>
    </xf>
    <xf numFmtId="0" fontId="28" fillId="0" borderId="25"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3"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37" borderId="3"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19" borderId="3" xfId="0" applyFont="1" applyFill="1" applyBorder="1" applyAlignment="1">
      <alignment horizontal="center" vertical="center" wrapText="1"/>
    </xf>
    <xf numFmtId="164" fontId="21" fillId="0" borderId="3" xfId="34" applyNumberFormat="1" applyFont="1" applyBorder="1" applyAlignment="1">
      <alignment horizontal="center" vertical="center" wrapText="1"/>
    </xf>
    <xf numFmtId="0" fontId="21" fillId="0" borderId="5" xfId="34" applyFont="1" applyBorder="1" applyAlignment="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lignment horizontal="center" vertical="center" wrapText="1"/>
    </xf>
    <xf numFmtId="0" fontId="21" fillId="0" borderId="5" xfId="20" applyFont="1" applyBorder="1" applyAlignment="1">
      <alignment horizontal="center" vertical="center" wrapText="1"/>
    </xf>
    <xf numFmtId="164" fontId="21" fillId="18" borderId="3" xfId="34" applyNumberFormat="1" applyFont="1" applyFill="1" applyBorder="1" applyAlignment="1">
      <alignment horizontal="center" vertical="center" wrapText="1"/>
    </xf>
    <xf numFmtId="0" fontId="21" fillId="18" borderId="4" xfId="34" applyFont="1" applyFill="1" applyBorder="1" applyAlignment="1">
      <alignment horizontal="center" vertical="center" wrapText="1"/>
    </xf>
    <xf numFmtId="0" fontId="21" fillId="18" borderId="5" xfId="34" applyFont="1" applyFill="1" applyBorder="1" applyAlignment="1">
      <alignment horizontal="center" vertical="center" wrapText="1"/>
    </xf>
    <xf numFmtId="164" fontId="20" fillId="0" borderId="3" xfId="20" applyNumberFormat="1" applyFont="1" applyBorder="1" applyAlignment="1">
      <alignment horizontal="center" vertical="center" wrapText="1"/>
    </xf>
    <xf numFmtId="164" fontId="20" fillId="0" borderId="5" xfId="20" applyNumberFormat="1" applyFont="1" applyBorder="1" applyAlignment="1">
      <alignment horizontal="center" vertical="center" wrapText="1"/>
    </xf>
    <xf numFmtId="164" fontId="21" fillId="18" borderId="3" xfId="0" applyNumberFormat="1" applyFont="1" applyFill="1" applyBorder="1" applyAlignment="1">
      <alignment horizontal="center" vertical="center" wrapText="1"/>
    </xf>
    <xf numFmtId="0" fontId="21" fillId="18" borderId="4" xfId="0" applyFont="1" applyFill="1" applyBorder="1" applyAlignment="1">
      <alignment horizontal="center" vertical="center" wrapText="1"/>
    </xf>
    <xf numFmtId="0" fontId="21" fillId="18" borderId="5" xfId="0" applyFont="1" applyFill="1" applyBorder="1" applyAlignment="1">
      <alignment horizontal="center" vertical="center" wrapText="1"/>
    </xf>
    <xf numFmtId="164" fontId="20" fillId="0" borderId="4" xfId="20" applyNumberFormat="1" applyFont="1" applyBorder="1" applyAlignment="1">
      <alignment horizontal="center" vertical="center" wrapText="1"/>
    </xf>
    <xf numFmtId="164" fontId="21" fillId="18" borderId="53" xfId="20" applyNumberFormat="1" applyFont="1" applyFill="1" applyBorder="1" applyAlignment="1">
      <alignment horizontal="center" vertical="center" wrapText="1"/>
    </xf>
    <xf numFmtId="0" fontId="43" fillId="18" borderId="53" xfId="0" applyFont="1" applyFill="1" applyBorder="1" applyAlignment="1">
      <alignment horizontal="justify" vertical="top" wrapText="1"/>
    </xf>
    <xf numFmtId="0" fontId="43" fillId="18" borderId="4" xfId="0" applyFont="1" applyFill="1" applyBorder="1" applyAlignment="1">
      <alignment horizontal="justify" vertical="top" wrapText="1"/>
    </xf>
    <xf numFmtId="0" fontId="43" fillId="18" borderId="73" xfId="0" applyFont="1" applyFill="1" applyBorder="1" applyAlignment="1">
      <alignment horizontal="justify" vertical="top" wrapText="1"/>
    </xf>
    <xf numFmtId="0" fontId="15" fillId="0" borderId="65" xfId="1" applyFont="1" applyBorder="1" applyAlignment="1">
      <alignment horizontal="center" vertical="center"/>
    </xf>
    <xf numFmtId="0" fontId="43" fillId="0" borderId="53" xfId="0" applyFont="1" applyBorder="1" applyAlignment="1">
      <alignment horizontal="justify" vertical="top" wrapText="1"/>
    </xf>
    <xf numFmtId="0" fontId="43" fillId="0" borderId="4" xfId="0" applyFont="1" applyBorder="1" applyAlignment="1">
      <alignment horizontal="justify" vertical="top" wrapText="1"/>
    </xf>
    <xf numFmtId="0" fontId="43" fillId="0" borderId="73" xfId="0" applyFont="1" applyBorder="1" applyAlignment="1">
      <alignment horizontal="justify" vertical="top" wrapText="1"/>
    </xf>
    <xf numFmtId="0" fontId="20" fillId="0" borderId="73" xfId="0" applyFont="1" applyBorder="1" applyAlignment="1">
      <alignment horizontal="justify" vertical="center" wrapText="1"/>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11" fillId="3" borderId="16" xfId="0" applyFont="1" applyFill="1" applyBorder="1" applyAlignment="1">
      <alignment horizontal="left"/>
    </xf>
    <xf numFmtId="0" fontId="20" fillId="3" borderId="17" xfId="0" applyFont="1" applyFill="1" applyBorder="1" applyAlignment="1">
      <alignment horizontal="left"/>
    </xf>
    <xf numFmtId="0" fontId="11" fillId="3" borderId="52" xfId="0" applyFont="1" applyFill="1" applyBorder="1" applyAlignment="1">
      <alignment horizontal="left"/>
    </xf>
    <xf numFmtId="0" fontId="20" fillId="3" borderId="82" xfId="0" applyFont="1" applyFill="1" applyBorder="1" applyAlignment="1">
      <alignment horizontal="left"/>
    </xf>
    <xf numFmtId="165" fontId="20" fillId="3" borderId="22" xfId="0" quotePrefix="1" applyNumberFormat="1" applyFont="1" applyFill="1" applyBorder="1" applyAlignment="1">
      <alignment horizontal="left"/>
    </xf>
    <xf numFmtId="165" fontId="20" fillId="3" borderId="23" xfId="0" applyNumberFormat="1" applyFont="1" applyFill="1" applyBorder="1" applyAlignment="1">
      <alignment horizontal="left"/>
    </xf>
    <xf numFmtId="0" fontId="32" fillId="0" borderId="1" xfId="0" applyFont="1" applyBorder="1" applyAlignment="1">
      <alignment horizontal="left" vertical="center"/>
    </xf>
    <xf numFmtId="0" fontId="11" fillId="8" borderId="73"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8"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14" xfId="0" applyFont="1" applyBorder="1" applyAlignment="1">
      <alignment horizontal="center" vertical="center"/>
    </xf>
    <xf numFmtId="0" fontId="96" fillId="0" borderId="15" xfId="0" applyFont="1" applyBorder="1" applyAlignment="1">
      <alignment horizontal="center" vertical="center"/>
    </xf>
    <xf numFmtId="0" fontId="35" fillId="10"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2" fillId="0" borderId="2" xfId="1" applyFont="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13" fillId="10" borderId="2"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15" fillId="0" borderId="33" xfId="1"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36" fillId="0" borderId="2" xfId="0" applyFont="1" applyBorder="1" applyAlignment="1">
      <alignment horizontal="left" vertical="center"/>
    </xf>
    <xf numFmtId="0" fontId="20" fillId="0" borderId="7" xfId="0" applyFont="1" applyBorder="1" applyAlignment="1">
      <alignment horizontal="justify" vertical="center"/>
    </xf>
    <xf numFmtId="0" fontId="20" fillId="0" borderId="6" xfId="0" applyFont="1" applyBorder="1" applyAlignment="1">
      <alignment horizontal="justify" vertical="center"/>
    </xf>
    <xf numFmtId="0" fontId="36" fillId="0" borderId="7" xfId="0" applyFont="1" applyBorder="1" applyAlignment="1">
      <alignment horizontal="left" vertical="center"/>
    </xf>
    <xf numFmtId="0" fontId="36" fillId="0" borderId="6" xfId="0" applyFont="1" applyBorder="1" applyAlignment="1">
      <alignment horizontal="left"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9" fillId="0" borderId="1" xfId="1" applyFont="1" applyAlignment="1">
      <alignment horizontal="left" vertical="center"/>
    </xf>
    <xf numFmtId="0" fontId="11" fillId="0" borderId="1" xfId="1" applyFont="1" applyAlignment="1">
      <alignment horizontal="left" vertical="center"/>
    </xf>
    <xf numFmtId="0" fontId="9" fillId="0" borderId="1" xfId="1" applyFont="1" applyAlignment="1">
      <alignment vertical="center"/>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11" fillId="7" borderId="2" xfId="1" applyFont="1" applyFill="1" applyBorder="1" applyAlignment="1">
      <alignment horizontal="center" vertical="center" wrapText="1"/>
    </xf>
    <xf numFmtId="0" fontId="20" fillId="0" borderId="2" xfId="1" applyFont="1" applyBorder="1" applyAlignment="1">
      <alignment horizontal="left" vertical="center" wrapText="1"/>
    </xf>
    <xf numFmtId="10" fontId="22" fillId="4" borderId="42" xfId="3" applyNumberFormat="1" applyFont="1" applyFill="1" applyBorder="1" applyAlignment="1" applyProtection="1">
      <alignment horizontal="center" vertical="center"/>
    </xf>
    <xf numFmtId="10" fontId="22" fillId="4" borderId="43"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11" fillId="0" borderId="20" xfId="1" applyFont="1" applyBorder="1" applyAlignment="1">
      <alignment horizontal="left" vertical="center" wrapText="1"/>
    </xf>
    <xf numFmtId="0" fontId="11" fillId="0" borderId="33" xfId="1" applyFont="1" applyBorder="1" applyAlignment="1">
      <alignment horizontal="left" vertical="center" wrapText="1"/>
    </xf>
    <xf numFmtId="0" fontId="11" fillId="0" borderId="31" xfId="1" applyFont="1" applyBorder="1" applyAlignment="1">
      <alignment horizontal="left" vertical="center" wrapText="1"/>
    </xf>
    <xf numFmtId="0" fontId="11" fillId="0" borderId="44" xfId="1" applyFont="1" applyBorder="1" applyAlignment="1">
      <alignment horizontal="left" vertical="center" wrapText="1"/>
    </xf>
    <xf numFmtId="0" fontId="11" fillId="0" borderId="45" xfId="1" applyFont="1" applyBorder="1" applyAlignment="1">
      <alignment horizontal="left" vertical="center" wrapText="1"/>
    </xf>
    <xf numFmtId="0" fontId="11" fillId="0" borderId="10" xfId="1" applyFont="1" applyBorder="1" applyAlignment="1">
      <alignment horizontal="left" vertical="center" wrapText="1"/>
    </xf>
    <xf numFmtId="0" fontId="20" fillId="0" borderId="5" xfId="0" applyFont="1" applyBorder="1" applyAlignment="1">
      <alignment horizontal="center" vertical="center" wrapText="1"/>
    </xf>
    <xf numFmtId="0" fontId="14" fillId="12" borderId="6" xfId="1" applyFont="1" applyFill="1" applyBorder="1" applyAlignment="1">
      <alignment horizontal="right" vertical="center"/>
    </xf>
    <xf numFmtId="0" fontId="39" fillId="0" borderId="7" xfId="0" applyFont="1" applyBorder="1" applyAlignment="1">
      <alignment horizontal="justify" vertical="center"/>
    </xf>
    <xf numFmtId="0" fontId="39" fillId="0" borderId="6" xfId="0" applyFont="1" applyBorder="1" applyAlignment="1">
      <alignment horizontal="justify" vertical="center"/>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9" fillId="0" borderId="2" xfId="0" applyFont="1" applyBorder="1" applyAlignment="1">
      <alignment horizontal="left" vertical="center"/>
    </xf>
    <xf numFmtId="0" fontId="43" fillId="0" borderId="2" xfId="0" applyFont="1" applyBorder="1" applyAlignment="1">
      <alignment horizontal="left" vertical="center"/>
    </xf>
    <xf numFmtId="9" fontId="22" fillId="4" borderId="42" xfId="3" applyFont="1" applyFill="1" applyBorder="1" applyAlignment="1" applyProtection="1">
      <alignment horizontal="center" vertical="center"/>
    </xf>
    <xf numFmtId="9" fontId="22" fillId="4" borderId="43"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20" fillId="0" borderId="1" xfId="1" applyFont="1" applyAlignment="1" applyProtection="1">
      <alignment horizontal="left" vertical="center"/>
      <protection locked="0"/>
    </xf>
    <xf numFmtId="0" fontId="11" fillId="0" borderId="1" xfId="1" applyFont="1" applyAlignment="1" applyProtection="1">
      <alignment horizontal="left" vertical="center"/>
      <protection locked="0"/>
    </xf>
    <xf numFmtId="0" fontId="20" fillId="0" borderId="52" xfId="1" applyFont="1" applyBorder="1" applyAlignment="1" applyProtection="1">
      <alignment horizontal="left" vertical="center" wrapText="1"/>
      <protection locked="0"/>
    </xf>
    <xf numFmtId="0" fontId="20" fillId="0" borderId="65" xfId="1" applyFont="1" applyBorder="1" applyAlignment="1" applyProtection="1">
      <alignment horizontal="left" vertical="center" wrapText="1"/>
      <protection locked="0"/>
    </xf>
    <xf numFmtId="0" fontId="20" fillId="0" borderId="63" xfId="1" applyFont="1" applyBorder="1" applyAlignment="1" applyProtection="1">
      <alignment horizontal="left" vertical="center" wrapText="1"/>
      <protection locked="0"/>
    </xf>
    <xf numFmtId="0" fontId="20" fillId="0" borderId="74" xfId="1" applyFont="1" applyBorder="1" applyAlignment="1" applyProtection="1">
      <alignment horizontal="left" vertical="center" wrapText="1"/>
      <protection locked="0"/>
    </xf>
    <xf numFmtId="0" fontId="20" fillId="0" borderId="80" xfId="1" applyFont="1" applyBorder="1" applyAlignment="1" applyProtection="1">
      <alignment horizontal="left" vertical="center" wrapText="1"/>
      <protection locked="0"/>
    </xf>
    <xf numFmtId="0" fontId="20" fillId="0" borderId="81" xfId="1" applyFont="1" applyBorder="1" applyAlignment="1" applyProtection="1">
      <alignment horizontal="left" vertical="center" wrapText="1"/>
      <protection locked="0"/>
    </xf>
    <xf numFmtId="0" fontId="36" fillId="0" borderId="2" xfId="0" applyFont="1" applyBorder="1" applyAlignment="1" applyProtection="1">
      <alignment horizontal="left" vertical="center"/>
      <protection locked="0"/>
    </xf>
    <xf numFmtId="0" fontId="20" fillId="0" borderId="7" xfId="0" applyFont="1" applyBorder="1" applyAlignment="1" applyProtection="1">
      <alignment horizontal="justify" vertical="center"/>
      <protection locked="0"/>
    </xf>
    <xf numFmtId="0" fontId="20" fillId="0" borderId="6" xfId="0" applyFont="1" applyBorder="1" applyAlignment="1" applyProtection="1">
      <alignment horizontal="justify" vertical="center"/>
      <protection locked="0"/>
    </xf>
    <xf numFmtId="0" fontId="36" fillId="0" borderId="7"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20" fillId="0" borderId="52" xfId="1" applyFont="1" applyBorder="1" applyAlignment="1">
      <alignment horizontal="left" vertical="center" wrapText="1"/>
    </xf>
    <xf numFmtId="0" fontId="20" fillId="0" borderId="65" xfId="1" applyFont="1" applyBorder="1" applyAlignment="1">
      <alignment horizontal="left" vertical="center" wrapText="1"/>
    </xf>
    <xf numFmtId="0" fontId="20" fillId="0" borderId="63" xfId="1" applyFont="1" applyBorder="1" applyAlignment="1">
      <alignment horizontal="left" vertical="center" wrapText="1"/>
    </xf>
    <xf numFmtId="0" fontId="20" fillId="0" borderId="74" xfId="1" applyFont="1" applyBorder="1" applyAlignment="1">
      <alignment horizontal="left" vertical="center" wrapText="1"/>
    </xf>
    <xf numFmtId="0" fontId="20" fillId="0" borderId="80" xfId="1" applyFont="1" applyBorder="1" applyAlignment="1">
      <alignment horizontal="left" vertical="center" wrapText="1"/>
    </xf>
    <xf numFmtId="0" fontId="20" fillId="0" borderId="81" xfId="1" applyFont="1" applyBorder="1" applyAlignment="1">
      <alignment horizontal="left"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4" fillId="6" borderId="2" xfId="1" applyFont="1" applyFill="1" applyBorder="1" applyAlignment="1">
      <alignment horizontal="right" vertical="center"/>
    </xf>
    <xf numFmtId="0" fontId="20" fillId="0" borderId="20" xfId="1" applyFont="1" applyBorder="1" applyAlignment="1">
      <alignment horizontal="left" vertical="center" wrapText="1"/>
    </xf>
    <xf numFmtId="0" fontId="20" fillId="0" borderId="33" xfId="1" applyFont="1" applyBorder="1" applyAlignment="1">
      <alignment horizontal="left" vertical="center" wrapText="1"/>
    </xf>
    <xf numFmtId="0" fontId="20" fillId="0" borderId="31" xfId="1" applyFont="1" applyBorder="1" applyAlignment="1">
      <alignment horizontal="left" vertical="center" wrapText="1"/>
    </xf>
    <xf numFmtId="0" fontId="20" fillId="0" borderId="44" xfId="1" applyFont="1" applyBorder="1" applyAlignment="1">
      <alignment horizontal="left" vertical="center" wrapText="1"/>
    </xf>
    <xf numFmtId="0" fontId="20" fillId="0" borderId="45" xfId="1" applyFont="1" applyBorder="1" applyAlignment="1">
      <alignment horizontal="left" vertical="center" wrapText="1"/>
    </xf>
    <xf numFmtId="0" fontId="20" fillId="0" borderId="10" xfId="1" applyFont="1" applyBorder="1" applyAlignment="1">
      <alignment horizontal="left" vertical="center" wrapText="1"/>
    </xf>
    <xf numFmtId="0" fontId="21" fillId="0" borderId="2" xfId="0" applyFont="1" applyBorder="1" applyAlignment="1">
      <alignment horizontal="left" vertical="center"/>
    </xf>
    <xf numFmtId="0" fontId="11" fillId="0" borderId="2" xfId="1" applyFont="1" applyBorder="1" applyAlignment="1">
      <alignment horizontal="center" vertical="center" wrapText="1"/>
    </xf>
    <xf numFmtId="0" fontId="11" fillId="12" borderId="7" xfId="1" applyFont="1" applyFill="1" applyBorder="1" applyAlignment="1">
      <alignment horizontal="right" vertical="center"/>
    </xf>
    <xf numFmtId="0" fontId="11" fillId="12" borderId="11" xfId="1" applyFont="1" applyFill="1" applyBorder="1" applyAlignment="1">
      <alignment horizontal="right" vertical="center"/>
    </xf>
    <xf numFmtId="0" fontId="11" fillId="12" borderId="6" xfId="1" applyFont="1" applyFill="1" applyBorder="1" applyAlignment="1">
      <alignment horizontal="right" vertical="center"/>
    </xf>
    <xf numFmtId="0" fontId="11" fillId="14" borderId="3" xfId="1" applyFont="1" applyFill="1" applyBorder="1" applyAlignment="1">
      <alignment horizontal="center" vertical="center" wrapText="1"/>
    </xf>
    <xf numFmtId="0" fontId="11" fillId="14" borderId="4" xfId="1" applyFont="1" applyFill="1" applyBorder="1" applyAlignment="1">
      <alignment horizontal="center" vertical="center" wrapText="1"/>
    </xf>
    <xf numFmtId="0" fontId="11" fillId="14" borderId="5"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20" fillId="0" borderId="1" xfId="1" applyFont="1" applyAlignment="1">
      <alignment vertical="center"/>
    </xf>
    <xf numFmtId="0" fontId="43" fillId="0" borderId="3" xfId="0" applyFont="1" applyBorder="1" applyAlignment="1">
      <alignment horizontal="center" vertical="top" wrapText="1"/>
    </xf>
    <xf numFmtId="0" fontId="43" fillId="0" borderId="4" xfId="0" applyFont="1" applyBorder="1" applyAlignment="1">
      <alignment horizontal="center" vertical="top" wrapText="1"/>
    </xf>
    <xf numFmtId="0" fontId="43" fillId="0" borderId="5" xfId="0" applyFont="1" applyBorder="1" applyAlignment="1">
      <alignment horizontal="center" vertical="top"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1" fillId="10" borderId="3" xfId="1" applyFont="1" applyFill="1" applyBorder="1" applyAlignment="1">
      <alignment horizontal="center" vertical="center" wrapText="1"/>
    </xf>
    <xf numFmtId="0" fontId="11" fillId="10" borderId="4" xfId="1" applyFont="1" applyFill="1" applyBorder="1" applyAlignment="1">
      <alignment horizontal="center" vertical="center" wrapText="1"/>
    </xf>
    <xf numFmtId="0" fontId="11" fillId="10" borderId="5" xfId="1" applyFont="1" applyFill="1" applyBorder="1" applyAlignment="1">
      <alignment horizontal="center" vertical="center" wrapText="1"/>
    </xf>
    <xf numFmtId="0" fontId="29" fillId="13" borderId="3" xfId="1" applyFont="1" applyFill="1" applyBorder="1" applyAlignment="1">
      <alignment horizontal="center" vertical="center" wrapText="1"/>
    </xf>
    <xf numFmtId="0" fontId="29" fillId="13" borderId="4" xfId="1" applyFont="1" applyFill="1" applyBorder="1" applyAlignment="1">
      <alignment horizontal="center" vertical="center" wrapText="1"/>
    </xf>
    <xf numFmtId="0" fontId="29" fillId="13" borderId="5" xfId="1" applyFont="1" applyFill="1" applyBorder="1" applyAlignment="1">
      <alignment horizontal="center" vertical="center" wrapText="1"/>
    </xf>
    <xf numFmtId="0" fontId="20" fillId="0" borderId="7" xfId="0" applyFont="1" applyBorder="1" applyAlignment="1">
      <alignment horizontal="justify" vertical="center" wrapText="1"/>
    </xf>
    <xf numFmtId="0" fontId="20" fillId="0" borderId="2" xfId="0" applyFont="1" applyBorder="1" applyAlignment="1">
      <alignment horizontal="left" vertical="center"/>
    </xf>
    <xf numFmtId="9" fontId="11" fillId="4" borderId="42" xfId="3" applyFont="1" applyFill="1" applyBorder="1" applyAlignment="1" applyProtection="1">
      <alignment horizontal="center" vertical="center"/>
    </xf>
    <xf numFmtId="9" fontId="11" fillId="4" borderId="43"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6" borderId="8" xfId="1" applyFont="1" applyFill="1" applyBorder="1" applyAlignment="1">
      <alignment horizontal="right" vertical="center"/>
    </xf>
    <xf numFmtId="0" fontId="11" fillId="6" borderId="1" xfId="1" applyFont="1" applyFill="1" applyAlignment="1">
      <alignment horizontal="right" vertical="center"/>
    </xf>
    <xf numFmtId="9" fontId="22" fillId="4" borderId="46" xfId="3" applyFont="1" applyFill="1" applyBorder="1" applyAlignment="1" applyProtection="1">
      <alignment horizontal="center" vertical="center"/>
    </xf>
    <xf numFmtId="9" fontId="22" fillId="4" borderId="47" xfId="3" applyFont="1" applyFill="1" applyBorder="1" applyAlignment="1" applyProtection="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14" fillId="12" borderId="81" xfId="1" applyFont="1" applyFill="1" applyBorder="1" applyAlignment="1">
      <alignment horizontal="right" vertical="center"/>
    </xf>
    <xf numFmtId="0" fontId="9" fillId="0" borderId="1" xfId="1" applyFont="1" applyAlignment="1">
      <alignment horizontal="right" vertical="center"/>
    </xf>
    <xf numFmtId="0" fontId="14" fillId="12" borderId="45" xfId="1" applyFont="1" applyFill="1" applyBorder="1" applyAlignment="1">
      <alignment horizontal="right" vertical="center"/>
    </xf>
    <xf numFmtId="0" fontId="14" fillId="12" borderId="10" xfId="1" applyFont="1" applyFill="1" applyBorder="1" applyAlignment="1">
      <alignment horizontal="right" vertical="center"/>
    </xf>
    <xf numFmtId="0" fontId="15" fillId="0" borderId="1" xfId="1" applyFont="1" applyAlignment="1">
      <alignment horizontal="left" vertical="center"/>
    </xf>
    <xf numFmtId="9" fontId="22" fillId="4" borderId="64" xfId="3" applyFont="1" applyFill="1" applyBorder="1" applyAlignment="1" applyProtection="1">
      <alignment horizontal="center" vertical="center"/>
    </xf>
    <xf numFmtId="164" fontId="22" fillId="4" borderId="42" xfId="3" applyNumberFormat="1" applyFont="1" applyFill="1" applyBorder="1" applyAlignment="1" applyProtection="1">
      <alignment horizontal="center" vertical="center"/>
    </xf>
    <xf numFmtId="164" fontId="22" fillId="4" borderId="43"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0" fontId="20"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31" fillId="0" borderId="2" xfId="23" applyFont="1" applyBorder="1" applyAlignment="1">
      <alignment horizontal="justify" vertical="center" wrapText="1"/>
    </xf>
    <xf numFmtId="0" fontId="9" fillId="0" borderId="1" xfId="1" applyFont="1" applyAlignment="1">
      <alignment horizontal="left"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437">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s>
  <tableStyles count="0" defaultTableStyle="TableStyleMedium9" defaultPivotStyle="PivotStyleMedium4"/>
  <colors>
    <mruColors>
      <color rgb="FF66FF33"/>
      <color rgb="FF0099FF"/>
      <color rgb="FFFF66FF"/>
      <color rgb="FFFF3300"/>
      <color rgb="FFFF0000"/>
      <color rgb="FFFFFF99"/>
      <color rgb="FF99FF33"/>
      <color rgb="FFFFFFCC"/>
      <color rgb="FF00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0.85650394894571669</c:v>
                </c:pt>
                <c:pt idx="1">
                  <c:v>0.78604629201605547</c:v>
                </c:pt>
                <c:pt idx="2">
                  <c:v>0.67729432133450396</c:v>
                </c:pt>
                <c:pt idx="3">
                  <c:v>0.81568036678057698</c:v>
                </c:pt>
                <c:pt idx="4">
                  <c:v>0.61250000000000004</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0.86438161553529169</c:v>
                </c:pt>
                <c:pt idx="2">
                  <c:v>0.89084772671869927</c:v>
                </c:pt>
                <c:pt idx="3">
                  <c:v>0.73267272727272736</c:v>
                </c:pt>
                <c:pt idx="4">
                  <c:v>0.59090909090909083</c:v>
                </c:pt>
                <c:pt idx="5">
                  <c:v>0.82760796046964957</c:v>
                </c:pt>
                <c:pt idx="6">
                  <c:v>1.1220878846153846</c:v>
                </c:pt>
                <c:pt idx="7">
                  <c:v>0.61764462686567168</c:v>
                </c:pt>
                <c:pt idx="8">
                  <c:v>0.64790980392156861</c:v>
                </c:pt>
                <c:pt idx="9">
                  <c:v>0.625</c:v>
                </c:pt>
                <c:pt idx="10">
                  <c:v>0.77299999999999991</c:v>
                </c:pt>
                <c:pt idx="11">
                  <c:v>0.81720000000000004</c:v>
                </c:pt>
                <c:pt idx="12">
                  <c:v>0.78957094078518941</c:v>
                </c:pt>
                <c:pt idx="13">
                  <c:v>0.66575786742866883</c:v>
                </c:pt>
                <c:pt idx="14">
                  <c:v>0.70942193891002747</c:v>
                </c:pt>
                <c:pt idx="15">
                  <c:v>0.64623490077653156</c:v>
                </c:pt>
                <c:pt idx="16">
                  <c:v>0.75</c:v>
                </c:pt>
                <c:pt idx="17">
                  <c:v>1.3333333333333333</c:v>
                </c:pt>
                <c:pt idx="18">
                  <c:v>0.5</c:v>
                </c:pt>
                <c:pt idx="19">
                  <c:v>0.625</c:v>
                </c:pt>
                <c:pt idx="20">
                  <c:v>0.75</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F0EA-4A8D-9727-27A4A293A0A5}"/>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2</c:v>
                </c:pt>
                <c:pt idx="1">
                  <c:v>4</c:v>
                </c:pt>
                <c:pt idx="2">
                  <c:v>69</c:v>
                </c:pt>
                <c:pt idx="3">
                  <c:v>6</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T2'!$E$27:$E$30</c:f>
              <c:numCache>
                <c:formatCode>0</c:formatCode>
                <c:ptCount val="4"/>
                <c:pt idx="0">
                  <c:v>29</c:v>
                </c:pt>
                <c:pt idx="1">
                  <c:v>29</c:v>
                </c:pt>
                <c:pt idx="2">
                  <c:v>20</c:v>
                </c:pt>
                <c:pt idx="3">
                  <c:v>8</c:v>
                </c:pt>
              </c:numCache>
            </c:numRef>
          </c:val>
          <c:extLst>
            <c:ext xmlns:c16="http://schemas.microsoft.com/office/drawing/2014/chart" uri="{C3380CC4-5D6E-409C-BE32-E72D297353CC}">
              <c16:uniqueId val="{00000008-1018-4B52-978B-81E64BE6C49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T2'!$E$56:$E$59</c:f>
              <c:numCache>
                <c:formatCode>0</c:formatCode>
                <c:ptCount val="4"/>
                <c:pt idx="0">
                  <c:v>33</c:v>
                </c:pt>
                <c:pt idx="1">
                  <c:v>31</c:v>
                </c:pt>
                <c:pt idx="2">
                  <c:v>15</c:v>
                </c:pt>
                <c:pt idx="3">
                  <c:v>7</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981504849392661"/>
          <c:y val="0.8217655689475021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B3D0-401C-99DE-55FADC2BE93C}"/>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extLst>
              <c:ext xmlns:c16="http://schemas.microsoft.com/office/drawing/2014/chart" uri="{C3380CC4-5D6E-409C-BE32-E72D297353CC}">
                <c16:uniqueId val="{00000005-B3D0-401C-99DE-55FADC2BE93C}"/>
              </c:ext>
            </c:extLst>
          </c:dPt>
          <c:dPt>
            <c:idx val="3"/>
            <c:invertIfNegative val="0"/>
            <c:bubble3D val="0"/>
            <c:extLst>
              <c:ext xmlns:c16="http://schemas.microsoft.com/office/drawing/2014/chart" uri="{C3380CC4-5D6E-409C-BE32-E72D297353CC}">
                <c16:uniqueId val="{00000007-B3D0-401C-99DE-55FADC2BE93C}"/>
              </c:ext>
            </c:extLst>
          </c:dPt>
          <c:dPt>
            <c:idx val="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extLst>
              <c:ext xmlns:c16="http://schemas.microsoft.com/office/drawing/2014/chart" uri="{C3380CC4-5D6E-409C-BE32-E72D297353CC}">
                <c16:uniqueId val="{0000000F-B3D0-401C-99DE-55FADC2BE93C}"/>
              </c:ext>
            </c:extLst>
          </c:dPt>
          <c:dPt>
            <c:idx val="8"/>
            <c:invertIfNegative val="0"/>
            <c:bubble3D val="0"/>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0.58143477011494249</c:v>
                </c:pt>
                <c:pt idx="1">
                  <c:v>0.20512820512820512</c:v>
                </c:pt>
                <c:pt idx="2">
                  <c:v>0.46857142857142858</c:v>
                </c:pt>
                <c:pt idx="3">
                  <c:v>0.5</c:v>
                </c:pt>
                <c:pt idx="4">
                  <c:v>0.77083333333333326</c:v>
                </c:pt>
                <c:pt idx="5">
                  <c:v>0.54661830542959755</c:v>
                </c:pt>
                <c:pt idx="6">
                  <c:v>0.47783599926457071</c:v>
                </c:pt>
                <c:pt idx="7">
                  <c:v>0.46643977591036412</c:v>
                </c:pt>
                <c:pt idx="8">
                  <c:v>0.49449506802721094</c:v>
                </c:pt>
                <c:pt idx="9">
                  <c:v>0.51288659793814428</c:v>
                </c:pt>
                <c:pt idx="10">
                  <c:v>0.47606666666666669</c:v>
                </c:pt>
                <c:pt idx="11">
                  <c:v>0.5487353801169591</c:v>
                </c:pt>
                <c:pt idx="12">
                  <c:v>0.51084375000000004</c:v>
                </c:pt>
                <c:pt idx="13">
                  <c:v>0.5</c:v>
                </c:pt>
                <c:pt idx="14">
                  <c:v>0.48611111111111116</c:v>
                </c:pt>
                <c:pt idx="15">
                  <c:v>0.41333333333333333</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chemeClr val="accent2">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7D7C-4746-9A4C-8A612452A573}"/>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2</c:v>
                </c:pt>
                <c:pt idx="1">
                  <c:v>4</c:v>
                </c:pt>
                <c:pt idx="2">
                  <c:v>69</c:v>
                </c:pt>
                <c:pt idx="3">
                  <c:v>6</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T2'!$E$27:$E$30</c:f>
              <c:numCache>
                <c:formatCode>0</c:formatCode>
                <c:ptCount val="4"/>
                <c:pt idx="0">
                  <c:v>29</c:v>
                </c:pt>
                <c:pt idx="1">
                  <c:v>29</c:v>
                </c:pt>
                <c:pt idx="2">
                  <c:v>20</c:v>
                </c:pt>
                <c:pt idx="3">
                  <c:v>8</c:v>
                </c:pt>
              </c:numCache>
            </c:numRef>
          </c:val>
          <c:extLst>
            <c:ext xmlns:c16="http://schemas.microsoft.com/office/drawing/2014/chart" uri="{C3380CC4-5D6E-409C-BE32-E72D297353CC}">
              <c16:uniqueId val="{00000008-0927-49BD-A3D8-1688224A311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T2'!$E$56:$E$59</c:f>
              <c:numCache>
                <c:formatCode>0</c:formatCode>
                <c:ptCount val="4"/>
                <c:pt idx="0">
                  <c:v>33</c:v>
                </c:pt>
                <c:pt idx="1">
                  <c:v>31</c:v>
                </c:pt>
                <c:pt idx="2">
                  <c:v>15</c:v>
                </c:pt>
                <c:pt idx="3">
                  <c:v>7</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9AB6-4E6E-B858-2A13B7589467}"/>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2</c:v>
                </c:pt>
                <c:pt idx="1">
                  <c:v>4</c:v>
                </c:pt>
                <c:pt idx="2">
                  <c:v>69</c:v>
                </c:pt>
                <c:pt idx="3">
                  <c:v>6</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T3'!$E$27:$E$30</c:f>
              <c:numCache>
                <c:formatCode>0</c:formatCode>
                <c:ptCount val="4"/>
                <c:pt idx="0">
                  <c:v>0</c:v>
                </c:pt>
                <c:pt idx="1">
                  <c:v>0</c:v>
                </c:pt>
                <c:pt idx="2">
                  <c:v>75</c:v>
                </c:pt>
                <c:pt idx="3">
                  <c:v>12</c:v>
                </c:pt>
              </c:numCache>
            </c:numRef>
          </c:val>
          <c:extLst>
            <c:ext xmlns:c16="http://schemas.microsoft.com/office/drawing/2014/chart" uri="{C3380CC4-5D6E-409C-BE32-E72D297353CC}">
              <c16:uniqueId val="{00000008-51C2-4456-8881-9C3FB487CF4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T3'!$E$56:$E$59</c:f>
              <c:numCache>
                <c:formatCode>0</c:formatCode>
                <c:ptCount val="4"/>
                <c:pt idx="0">
                  <c:v>6</c:v>
                </c:pt>
                <c:pt idx="1">
                  <c:v>4</c:v>
                </c:pt>
                <c:pt idx="2">
                  <c:v>71</c:v>
                </c:pt>
                <c:pt idx="3">
                  <c:v>6</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569599058738345"/>
          <c:y val="0.10004813973091424"/>
          <c:w val="0.69170354783238297"/>
          <c:h val="0.66023198210212752"/>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0-33AB-48CD-B75F-50E0E4F829FF}"/>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2</c:v>
                </c:pt>
                <c:pt idx="1">
                  <c:v>4</c:v>
                </c:pt>
                <c:pt idx="2">
                  <c:v>69</c:v>
                </c:pt>
                <c:pt idx="3">
                  <c:v>6</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T4 '!$C$8</c:f>
              <c:strCache>
                <c:ptCount val="1"/>
                <c:pt idx="0">
                  <c:v>Desempeño Promedio 
Año 2022</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1-86CD-45FC-B9EC-8951990CE5F7}"/>
              </c:ext>
            </c:extLst>
          </c:dPt>
          <c:dPt>
            <c:idx val="1"/>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2-86CD-45FC-B9EC-8951990CE5F7}"/>
              </c:ext>
            </c:extLst>
          </c:dPt>
          <c:dPt>
            <c:idx val="2"/>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3-86CD-45FC-B9EC-8951990CE5F7}"/>
              </c:ext>
            </c:extLst>
          </c:dPt>
          <c:dPt>
            <c:idx val="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4-86CD-45FC-B9EC-8951990CE5F7}"/>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5-86CD-45FC-B9EC-8951990CE5F7}"/>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C-86CD-45FC-B9EC-8951990CE5F7}"/>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86CD-45FC-B9EC-8951990CE5F7}"/>
              </c:ext>
            </c:extLst>
          </c:dPt>
          <c:dPt>
            <c:idx val="7"/>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6-86CD-45FC-B9EC-8951990CE5F7}"/>
              </c:ext>
            </c:extLst>
          </c:dPt>
          <c:dPt>
            <c:idx val="8"/>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B-86CD-45FC-B9EC-8951990CE5F7}"/>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E-86CD-45FC-B9EC-8951990CE5F7}"/>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86CD-45FC-B9EC-8951990CE5F7}"/>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F-86CD-45FC-B9EC-8951990CE5F7}"/>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86CD-45FC-B9EC-8951990CE5F7}"/>
              </c:ext>
            </c:extLst>
          </c:dPt>
          <c:dPt>
            <c:idx val="1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8-86CD-45FC-B9EC-8951990CE5F7}"/>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0-86CD-45FC-B9EC-8951990CE5F7}"/>
              </c:ext>
            </c:extLst>
          </c:dPt>
          <c:dPt>
            <c:idx val="15"/>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9-86CD-45FC-B9EC-8951990CE5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 '!$C$9:$C$24</c:f>
              <c:numCache>
                <c:formatCode>0.0%</c:formatCode>
                <c:ptCount val="16"/>
                <c:pt idx="0">
                  <c:v>0.58143477011494249</c:v>
                </c:pt>
                <c:pt idx="1">
                  <c:v>0.20512820512820512</c:v>
                </c:pt>
                <c:pt idx="2">
                  <c:v>0.46857142857142858</c:v>
                </c:pt>
                <c:pt idx="3">
                  <c:v>0.5</c:v>
                </c:pt>
                <c:pt idx="4">
                  <c:v>0.51370370370370366</c:v>
                </c:pt>
                <c:pt idx="5">
                  <c:v>0.54661830542959755</c:v>
                </c:pt>
                <c:pt idx="6">
                  <c:v>0.47783599926457071</c:v>
                </c:pt>
                <c:pt idx="7">
                  <c:v>0.47013480392156859</c:v>
                </c:pt>
                <c:pt idx="8">
                  <c:v>0.49443129251700685</c:v>
                </c:pt>
                <c:pt idx="9">
                  <c:v>0.51288659793814428</c:v>
                </c:pt>
                <c:pt idx="10">
                  <c:v>0.47606666666666669</c:v>
                </c:pt>
                <c:pt idx="11">
                  <c:v>0.93859649122807021</c:v>
                </c:pt>
                <c:pt idx="12">
                  <c:v>0.76318749999999991</c:v>
                </c:pt>
                <c:pt idx="13">
                  <c:v>0.5</c:v>
                </c:pt>
                <c:pt idx="14">
                  <c:v>0.48611111111111116</c:v>
                </c:pt>
                <c:pt idx="15">
                  <c:v>0.41333333333333333</c:v>
                </c:pt>
              </c:numCache>
            </c:numRef>
          </c:val>
          <c:extLst>
            <c:ext xmlns:c16="http://schemas.microsoft.com/office/drawing/2014/chart" uri="{C3380CC4-5D6E-409C-BE32-E72D297353CC}">
              <c16:uniqueId val="{00000000-86CD-45FC-B9EC-8951990CE5F7}"/>
            </c:ext>
          </c:extLst>
        </c:ser>
        <c:dLbls>
          <c:showLegendKey val="0"/>
          <c:showVal val="0"/>
          <c:showCatName val="0"/>
          <c:showSerName val="0"/>
          <c:showPercent val="0"/>
          <c:showBubbleSize val="0"/>
        </c:dLbls>
        <c:gapWidth val="182"/>
        <c:axId val="1602936688"/>
        <c:axId val="1610797312"/>
      </c:barChart>
      <c:catAx>
        <c:axId val="160293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0797312"/>
        <c:crosses val="autoZero"/>
        <c:auto val="1"/>
        <c:lblAlgn val="ctr"/>
        <c:lblOffset val="100"/>
        <c:noMultiLvlLbl val="0"/>
      </c:catAx>
      <c:valAx>
        <c:axId val="16107973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93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9FCB-4E34-86DC-1F9684B41E55}"/>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extLst>
              <c:ext xmlns:c16="http://schemas.microsoft.com/office/drawing/2014/chart" uri="{C3380CC4-5D6E-409C-BE32-E72D297353CC}">
                <c16:uniqueId val="{00000005-9FCB-4E34-86DC-1F9684B41E55}"/>
              </c:ext>
            </c:extLst>
          </c:dPt>
          <c:dPt>
            <c:idx val="3"/>
            <c:invertIfNegative val="0"/>
            <c:bubble3D val="0"/>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extLst>
              <c:ext xmlns:c16="http://schemas.microsoft.com/office/drawing/2014/chart" uri="{C3380CC4-5D6E-409C-BE32-E72D297353CC}">
                <c16:uniqueId val="{0000001B-9FCB-4E34-86DC-1F9684B41E5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0.58143477011494249</c:v>
                </c:pt>
                <c:pt idx="1">
                  <c:v>0.20512820512820512</c:v>
                </c:pt>
                <c:pt idx="2">
                  <c:v>0.46857142857142858</c:v>
                </c:pt>
                <c:pt idx="3">
                  <c:v>0.49950000000000006</c:v>
                </c:pt>
                <c:pt idx="4">
                  <c:v>0.51370370370370366</c:v>
                </c:pt>
                <c:pt idx="5">
                  <c:v>0.54659060459857256</c:v>
                </c:pt>
                <c:pt idx="6">
                  <c:v>0.47783599926457071</c:v>
                </c:pt>
                <c:pt idx="7">
                  <c:v>0.40804105392156859</c:v>
                </c:pt>
                <c:pt idx="8">
                  <c:v>0.49440001594387756</c:v>
                </c:pt>
                <c:pt idx="9">
                  <c:v>0.51263659793814442</c:v>
                </c:pt>
                <c:pt idx="10">
                  <c:v>0.47606666666666669</c:v>
                </c:pt>
                <c:pt idx="11">
                  <c:v>0.48255482456140353</c:v>
                </c:pt>
                <c:pt idx="12">
                  <c:v>0.51092187499999997</c:v>
                </c:pt>
                <c:pt idx="13">
                  <c:v>0.49950000000000011</c:v>
                </c:pt>
                <c:pt idx="14">
                  <c:v>0.48611111111111116</c:v>
                </c:pt>
                <c:pt idx="15">
                  <c:v>0.41333333333333333</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70</c:v>
                </c:pt>
                <c:pt idx="3">
                  <c:v>6</c:v>
                </c:pt>
              </c:numCache>
            </c:numRef>
          </c:val>
          <c:extLst>
            <c:ext xmlns:c16="http://schemas.microsoft.com/office/drawing/2014/chart" uri="{C3380CC4-5D6E-409C-BE32-E72D297353CC}">
              <c16:uniqueId val="{00000008-002C-409E-9B04-0E6C55C78E5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2</c:v>
                </c:pt>
                <c:pt idx="1">
                  <c:v>4</c:v>
                </c:pt>
                <c:pt idx="2">
                  <c:v>69</c:v>
                </c:pt>
                <c:pt idx="3">
                  <c:v>6</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34</c:v>
                </c:pt>
                <c:pt idx="1">
                  <c:v>24</c:v>
                </c:pt>
                <c:pt idx="2">
                  <c:v>11</c:v>
                </c:pt>
                <c:pt idx="3">
                  <c:v>17</c:v>
                </c:pt>
              </c:numCache>
            </c:numRef>
          </c:val>
          <c:extLst>
            <c:ext xmlns:c16="http://schemas.microsoft.com/office/drawing/2014/chart" uri="{C3380CC4-5D6E-409C-BE32-E72D297353CC}">
              <c16:uniqueId val="{00000008-B3F2-4BF6-B9EE-56772352DAD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34</c:v>
                </c:pt>
                <c:pt idx="1">
                  <c:v>24</c:v>
                </c:pt>
                <c:pt idx="2">
                  <c:v>11</c:v>
                </c:pt>
                <c:pt idx="3">
                  <c:v>17</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13-894A-4910-A57B-F4544D443F5A}"/>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1B-D13F-4E02-8782-6856BEF803B5}"/>
              </c:ext>
            </c:extLst>
          </c:dPt>
          <c:dPt>
            <c:idx val="3"/>
            <c:invertIfNegative val="0"/>
            <c:bubble3D val="0"/>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extLst>
              <c:ext xmlns:c16="http://schemas.microsoft.com/office/drawing/2014/chart" uri="{C3380CC4-5D6E-409C-BE32-E72D297353CC}">
                <c16:uniqueId val="{00000005-F9CC-4A3E-9CFD-5EEDFFF7CEFD}"/>
              </c:ext>
            </c:extLst>
          </c:dPt>
          <c:dPt>
            <c:idx val="8"/>
            <c:invertIfNegative val="0"/>
            <c:bubble3D val="0"/>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extLst>
              <c:ext xmlns:c16="http://schemas.microsoft.com/office/drawing/2014/chart" uri="{C3380CC4-5D6E-409C-BE32-E72D297353CC}">
                <c16:uniqueId val="{00000018-D13F-4E02-8782-6856BEF803B5}"/>
              </c:ext>
            </c:extLst>
          </c:dPt>
          <c:dPt>
            <c:idx val="14"/>
            <c:invertIfNegative val="0"/>
            <c:bubble3D val="0"/>
            <c:spPr>
              <a:solidFill>
                <a:srgbClr val="FF3300"/>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0.27531609195402296</c:v>
                </c:pt>
                <c:pt idx="1">
                  <c:v>4.4871794871794872E-2</c:v>
                </c:pt>
                <c:pt idx="2">
                  <c:v>0.18857142857142858</c:v>
                </c:pt>
                <c:pt idx="3">
                  <c:v>0.25</c:v>
                </c:pt>
                <c:pt idx="4">
                  <c:v>9.0277777777777776E-2</c:v>
                </c:pt>
                <c:pt idx="5">
                  <c:v>0.21738348915159889</c:v>
                </c:pt>
                <c:pt idx="6">
                  <c:v>0.23504320647177787</c:v>
                </c:pt>
                <c:pt idx="7">
                  <c:v>0.14658333333333332</c:v>
                </c:pt>
                <c:pt idx="8">
                  <c:v>0.30654154443027215</c:v>
                </c:pt>
                <c:pt idx="9">
                  <c:v>0.25386597938144329</c:v>
                </c:pt>
                <c:pt idx="10">
                  <c:v>0.21594035087719299</c:v>
                </c:pt>
                <c:pt idx="11">
                  <c:v>0.20581505847953216</c:v>
                </c:pt>
                <c:pt idx="12">
                  <c:v>0.23368026315789475</c:v>
                </c:pt>
                <c:pt idx="13">
                  <c:v>0.25</c:v>
                </c:pt>
                <c:pt idx="14">
                  <c:v>0.13796296296296295</c:v>
                </c:pt>
                <c:pt idx="15">
                  <c:v>4.6666666666666669E-2</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chemeClr val="accent2">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16150" y="2857500"/>
          <a:ext cx="10782300" cy="1322070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735106</xdr:colOff>
      <xdr:row>33</xdr:row>
      <xdr:rowOff>201705</xdr:rowOff>
    </xdr:from>
    <xdr:to>
      <xdr:col>15</xdr:col>
      <xdr:colOff>582706</xdr:colOff>
      <xdr:row>52</xdr:row>
      <xdr:rowOff>170329</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6</xdr:row>
      <xdr:rowOff>80681</xdr:rowOff>
    </xdr:from>
    <xdr:to>
      <xdr:col>16</xdr:col>
      <xdr:colOff>2581835</xdr:colOff>
      <xdr:row>26</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358587</xdr:colOff>
      <xdr:row>6</xdr:row>
      <xdr:rowOff>40341</xdr:rowOff>
    </xdr:from>
    <xdr:to>
      <xdr:col>6</xdr:col>
      <xdr:colOff>3048000</xdr:colOff>
      <xdr:row>26</xdr:row>
      <xdr:rowOff>89646</xdr:rowOff>
    </xdr:to>
    <xdr:graphicFrame macro="">
      <xdr:nvGraphicFramePr>
        <xdr:cNvPr id="4" name="Gráfico 3">
          <a:extLst>
            <a:ext uri="{FF2B5EF4-FFF2-40B4-BE49-F238E27FC236}">
              <a16:creationId xmlns:a16="http://schemas.microsoft.com/office/drawing/2014/main" id="{42AE0CD0-BD8B-40D3-A84A-D98E1DE95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9</xdr:row>
      <xdr:rowOff>0</xdr:rowOff>
    </xdr:from>
    <xdr:to>
      <xdr:col>10</xdr:col>
      <xdr:colOff>0</xdr:colOff>
      <xdr:row>99</xdr:row>
      <xdr:rowOff>0</xdr:rowOff>
    </xdr:to>
    <xdr:sp macro="" textlink="">
      <xdr:nvSpPr>
        <xdr:cNvPr id="3" name="AutoShape 23">
          <a:extLst>
            <a:ext uri="{FF2B5EF4-FFF2-40B4-BE49-F238E27FC236}">
              <a16:creationId xmlns:a16="http://schemas.microsoft.com/office/drawing/2014/main" id="{3BF6CFC3-D2A3-4313-9442-0D9F9AB28DAB}"/>
            </a:ext>
          </a:extLst>
        </xdr:cNvPr>
        <xdr:cNvSpPr>
          <a:spLocks noChangeArrowheads="1"/>
        </xdr:cNvSpPr>
      </xdr:nvSpPr>
      <xdr:spPr bwMode="auto">
        <a:xfrm>
          <a:off x="297180" y="1798320"/>
          <a:ext cx="24528780" cy="976503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Mayis\POA\POA2022\Seg_Trim_1_2022\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32"/>
  <sheetViews>
    <sheetView showGridLines="0" zoomScale="80" zoomScaleNormal="80" workbookViewId="0">
      <pane xSplit="5" ySplit="4" topLeftCell="F23" activePane="bottomRight" state="frozen"/>
      <selection activeCell="Q86" sqref="Q86"/>
      <selection pane="topRight" activeCell="Q86" sqref="Q86"/>
      <selection pane="bottomLeft" activeCell="Q86" sqref="Q86"/>
      <selection pane="bottomRight" activeCell="D26" sqref="D26"/>
    </sheetView>
  </sheetViews>
  <sheetFormatPr baseColWidth="10" defaultColWidth="11.44140625" defaultRowHeight="13.2"/>
  <cols>
    <col min="1" max="1" width="1.6640625" customWidth="1"/>
    <col min="2" max="2" width="6.5546875" style="285" customWidth="1"/>
    <col min="3" max="3" width="36.33203125" style="286" customWidth="1"/>
    <col min="4" max="4" width="16" style="285" customWidth="1"/>
    <col min="5" max="6" width="41.88671875" style="287" customWidth="1"/>
    <col min="7" max="7" width="25" style="285" customWidth="1"/>
    <col min="8" max="8" width="19" customWidth="1"/>
    <col min="9" max="9" width="13.109375" customWidth="1"/>
    <col min="10" max="13" width="11.44140625" customWidth="1"/>
    <col min="14" max="15" width="15.5546875" customWidth="1"/>
    <col min="16" max="16" width="15.33203125" style="285" customWidth="1"/>
    <col min="17" max="17" width="12.6640625" style="285" customWidth="1"/>
    <col min="18" max="18" width="48.5546875" style="300" customWidth="1"/>
  </cols>
  <sheetData>
    <row r="2" spans="2:18" ht="17.399999999999999">
      <c r="B2" s="985" t="s">
        <v>668</v>
      </c>
      <c r="C2" s="985"/>
      <c r="D2" s="985"/>
      <c r="E2" s="985"/>
      <c r="F2" s="985"/>
      <c r="G2" s="985"/>
      <c r="H2" s="985"/>
      <c r="I2" s="985"/>
      <c r="J2" s="985"/>
      <c r="K2" s="985"/>
      <c r="L2" s="985"/>
      <c r="M2" s="985"/>
      <c r="N2" s="985"/>
      <c r="O2" s="985"/>
    </row>
    <row r="3" spans="2:18" ht="17.25" customHeight="1">
      <c r="B3" s="268"/>
      <c r="C3" s="268"/>
      <c r="D3" s="269"/>
      <c r="E3" s="269"/>
      <c r="F3" s="269"/>
      <c r="G3" s="269"/>
      <c r="H3" s="986" t="s">
        <v>669</v>
      </c>
      <c r="I3" s="986"/>
      <c r="J3" s="986"/>
      <c r="K3" s="986"/>
      <c r="L3" s="986"/>
      <c r="M3" s="986"/>
      <c r="N3" s="986"/>
      <c r="O3" s="986"/>
    </row>
    <row r="4" spans="2:18" ht="52.95" customHeight="1">
      <c r="B4" s="904" t="s">
        <v>670</v>
      </c>
      <c r="C4" s="904" t="s">
        <v>671</v>
      </c>
      <c r="D4" s="270" t="s">
        <v>672</v>
      </c>
      <c r="E4" s="271" t="s">
        <v>673</v>
      </c>
      <c r="F4" s="271" t="s">
        <v>703</v>
      </c>
      <c r="G4" s="271" t="s">
        <v>674</v>
      </c>
      <c r="H4" s="987" t="s">
        <v>675</v>
      </c>
      <c r="I4" s="988"/>
      <c r="J4" s="989" t="s">
        <v>676</v>
      </c>
      <c r="K4" s="990"/>
      <c r="L4" s="990"/>
      <c r="M4" s="991"/>
      <c r="N4" s="992" t="s">
        <v>677</v>
      </c>
      <c r="O4" s="993"/>
      <c r="P4" s="293" t="s">
        <v>766</v>
      </c>
      <c r="Q4" s="293" t="s">
        <v>767</v>
      </c>
      <c r="R4" s="280" t="s">
        <v>765</v>
      </c>
    </row>
    <row r="5" spans="2:18" ht="57.6" customHeight="1">
      <c r="B5" s="272">
        <v>1</v>
      </c>
      <c r="C5" s="273" t="s">
        <v>678</v>
      </c>
      <c r="D5" s="272" t="s">
        <v>697</v>
      </c>
      <c r="E5" s="288" t="str">
        <f>+'01-DIRECCIONAMIENTO ESTRATÉGICO'!I16</f>
        <v xml:space="preserve">Porcentaje de acciones implementadas para la sostenibilidad y mejora del SGC </v>
      </c>
      <c r="F5" s="288" t="str">
        <f>'01-DIRECCIONAMIENTO ESTRATÉGICO'!J16</f>
        <v xml:space="preserve"> Grado de avance en la implementación de acciones para la sostenibilidad y mejora del SGC</v>
      </c>
      <c r="G5" s="272" t="s">
        <v>713</v>
      </c>
      <c r="H5" s="275" t="s">
        <v>684</v>
      </c>
      <c r="I5" s="276">
        <v>95</v>
      </c>
      <c r="J5" s="277" t="str">
        <f t="shared" ref="J5:J37" si="0">IF(OR($H5="Mayor A:",$H5="Menor A:"),"Desde (&gt;=):",
IF(OR($H5="Mayor o Igual A:",$H5="Menor o Igual A:"),"Desde (&gt;):",
IF($H5="Igual A:","No Aplica",
IF($H5="",""))))</f>
        <v>Desde (&gt;=):</v>
      </c>
      <c r="K5" s="277">
        <f t="shared" ref="K5:K64" si="1">IF(I5&gt;O5,O5,
IF(I5&lt;O5,I5,
IF(I5=O5,"No Aplica","")))</f>
        <v>75</v>
      </c>
      <c r="L5" s="277" t="str">
        <f t="shared" ref="L5:L37" si="2">IF(OR($H5="Mayor A:",$H5="Menor A:"),"Hasta (&lt;=):",
IF(OR($H5="Mayor o Igual A:",$H5="Menor o Igual A:"),"Hasta (&lt;):",
IF($H5="Igual A:","No Aplica",
IF($H5="",""))))</f>
        <v>Hasta (&lt;=):</v>
      </c>
      <c r="M5" s="277">
        <f t="shared" ref="M5:M64" si="3">IF(I5&gt;O5,I5,
IF(I5&lt;O5,O5,
IF(I5=O5,"No Aplica","")))</f>
        <v>95</v>
      </c>
      <c r="N5" s="277" t="str">
        <f t="shared" ref="N5:N37" si="4">IF($H5="Mayor A:","Menor A:",
IF($H5="Menor A:","Mayor A:",
IF($H5="Mayor o Igual A:","Menor o Igual A:",
IF($H5="Menor o Igual A:","Mayor o Igual A:",
IF($H5="Igual A:","Igual A:",
IF($H5="",""))))))</f>
        <v>Menor A:</v>
      </c>
      <c r="O5" s="278">
        <v>75</v>
      </c>
      <c r="P5" s="291">
        <f>+'01-DIRECCIONAMIENTO ESTRATÉGICO'!F16</f>
        <v>1</v>
      </c>
      <c r="Q5" s="291">
        <f>+'01-DIRECCIONAMIENTO ESTRATÉGICO'!G16</f>
        <v>1</v>
      </c>
      <c r="R5" s="298" t="str">
        <f>+'01-DIRECCIONAMIENTO ESTRATÉGICO'!O16</f>
        <v>Dirección de Planeación
Aportan: Dependencias lideradas por  Responsables de procesos y operativos de todos los procesos institucionales</v>
      </c>
    </row>
    <row r="6" spans="2:18" ht="39.6">
      <c r="B6" s="272">
        <f>1+B5</f>
        <v>2</v>
      </c>
      <c r="C6" s="273" t="s">
        <v>678</v>
      </c>
      <c r="D6" s="272" t="s">
        <v>700</v>
      </c>
      <c r="E6" s="288" t="str">
        <f>+'01-DIRECCIONAMIENTO ESTRATÉGICO'!I17</f>
        <v>Porcentaje de actividades implementadas para la sostenibilidad  y mejora del MIPG</v>
      </c>
      <c r="F6" s="288" t="str">
        <f>'01-DIRECCIONAMIENTO ESTRATÉGICO'!J17</f>
        <v>Grado de avance en la implementación de acciones para la sostenibilidad y mejora del MIPG</v>
      </c>
      <c r="G6" s="280" t="s">
        <v>713</v>
      </c>
      <c r="H6" s="275" t="s">
        <v>684</v>
      </c>
      <c r="I6" s="276">
        <v>95</v>
      </c>
      <c r="J6" s="277" t="str">
        <f t="shared" si="0"/>
        <v>Desde (&gt;=):</v>
      </c>
      <c r="K6" s="277">
        <f t="shared" si="1"/>
        <v>75</v>
      </c>
      <c r="L6" s="277" t="str">
        <f t="shared" si="2"/>
        <v>Hasta (&lt;=):</v>
      </c>
      <c r="M6" s="277">
        <f t="shared" si="3"/>
        <v>95</v>
      </c>
      <c r="N6" s="277" t="str">
        <f t="shared" si="4"/>
        <v>Menor A:</v>
      </c>
      <c r="O6" s="278">
        <v>75</v>
      </c>
      <c r="P6" s="291">
        <f>+'01-DIRECCIONAMIENTO ESTRATÉGICO'!F17</f>
        <v>0.4</v>
      </c>
      <c r="Q6" s="291">
        <f>+'01-DIRECCIONAMIENTO ESTRATÉGICO'!G17</f>
        <v>0.02</v>
      </c>
      <c r="R6" s="298" t="str">
        <f>+'01-DIRECCIONAMIENTO ESTRATÉGICO'!O17</f>
        <v>Dirección de Planeación
Aportan: Dependencias lideradas por  Responsables de procesos y operativos de todos los procesos institucionales</v>
      </c>
    </row>
    <row r="7" spans="2:18" ht="26.4">
      <c r="B7" s="272">
        <f t="shared" ref="B7:B73" si="5">1+B6</f>
        <v>3</v>
      </c>
      <c r="C7" s="273" t="s">
        <v>678</v>
      </c>
      <c r="D7" s="272" t="s">
        <v>701</v>
      </c>
      <c r="E7" s="288" t="str">
        <f>+'01-DIRECCIONAMIENTO ESTRATÉGICO'!I18</f>
        <v xml:space="preserve">Porcentaje de requisitos del  SGA implementados bajo los estándares de la norma ISO 14001 </v>
      </c>
      <c r="F7" s="288" t="str">
        <f>'01-DIRECCIONAMIENTO ESTRATÉGICO'!J18</f>
        <v>Número de requisitos implementados del SGA/ Número total de requisitos del SGA</v>
      </c>
      <c r="G7" s="280" t="s">
        <v>713</v>
      </c>
      <c r="H7" s="275" t="s">
        <v>684</v>
      </c>
      <c r="I7" s="276">
        <v>95</v>
      </c>
      <c r="J7" s="277" t="str">
        <f t="shared" si="0"/>
        <v>Desde (&gt;=):</v>
      </c>
      <c r="K7" s="277">
        <f t="shared" si="1"/>
        <v>75</v>
      </c>
      <c r="L7" s="277" t="str">
        <f t="shared" si="2"/>
        <v>Hasta (&lt;=):</v>
      </c>
      <c r="M7" s="277">
        <f t="shared" si="3"/>
        <v>95</v>
      </c>
      <c r="N7" s="277" t="str">
        <f t="shared" si="4"/>
        <v>Menor A:</v>
      </c>
      <c r="O7" s="278">
        <v>75</v>
      </c>
      <c r="P7" s="291">
        <f>+'01-DIRECCIONAMIENTO ESTRATÉGICO'!F18</f>
        <v>1</v>
      </c>
      <c r="Q7" s="291">
        <f>+'01-DIRECCIONAMIENTO ESTRATÉGICO'!G18</f>
        <v>0.28999999999999998</v>
      </c>
      <c r="R7" s="298" t="str">
        <f>+'01-DIRECCIONAMIENTO ESTRATÉGICO'!O18</f>
        <v>Dirección de Planeación</v>
      </c>
    </row>
    <row r="8" spans="2:18" ht="33" customHeight="1">
      <c r="B8" s="272">
        <f t="shared" si="5"/>
        <v>4</v>
      </c>
      <c r="C8" s="273" t="s">
        <v>678</v>
      </c>
      <c r="D8" s="272" t="s">
        <v>702</v>
      </c>
      <c r="E8" s="288" t="str">
        <f>+'01-DIRECCIONAMIENTO ESTRATÉGICO'!I19</f>
        <v>Acciones de monitoreo y revisión realizadas al PAAC</v>
      </c>
      <c r="F8" s="288" t="str">
        <f>'01-DIRECCIONAMIENTO ESTRATÉGICO'!J19</f>
        <v>Número de acciones de monitoreo realizadas al PAAC</v>
      </c>
      <c r="G8" s="280" t="s">
        <v>713</v>
      </c>
      <c r="H8" s="275" t="s">
        <v>684</v>
      </c>
      <c r="I8" s="276">
        <v>95</v>
      </c>
      <c r="J8" s="277" t="str">
        <f t="shared" si="0"/>
        <v>Desde (&gt;=):</v>
      </c>
      <c r="K8" s="277">
        <f t="shared" si="1"/>
        <v>75</v>
      </c>
      <c r="L8" s="277" t="str">
        <f t="shared" si="2"/>
        <v>Hasta (&lt;=):</v>
      </c>
      <c r="M8" s="277">
        <f t="shared" si="3"/>
        <v>95</v>
      </c>
      <c r="N8" s="277" t="str">
        <f t="shared" si="4"/>
        <v>Menor A:</v>
      </c>
      <c r="O8" s="278">
        <v>75</v>
      </c>
      <c r="P8" s="296">
        <f>+'01-DIRECCIONAMIENTO ESTRATÉGICO'!F19</f>
        <v>12</v>
      </c>
      <c r="Q8" s="296">
        <f>+'01-DIRECCIONAMIENTO ESTRATÉGICO'!G19</f>
        <v>3</v>
      </c>
      <c r="R8" s="298" t="str">
        <f>+'01-DIRECCIONAMIENTO ESTRATÉGICO'!O19</f>
        <v>Dirección de Planeación</v>
      </c>
    </row>
    <row r="9" spans="2:18" ht="25.5" customHeight="1">
      <c r="B9" s="272">
        <f t="shared" si="5"/>
        <v>5</v>
      </c>
      <c r="C9" s="279" t="s">
        <v>680</v>
      </c>
      <c r="D9" s="280" t="s">
        <v>735</v>
      </c>
      <c r="E9" s="284" t="str">
        <f>+'02-G. CONOCIMIENTO INNOVACIÓN'!I16</f>
        <v>Proyectos de Investigación, Desarrollo e Innovación (I+D+I) elaborados</v>
      </c>
      <c r="F9" s="284" t="str">
        <f>+'02-G. CONOCIMIENTO INNOVACIÓN'!J16</f>
        <v>Número de proyectos de investigación, desarrollo e innovación elaborados</v>
      </c>
      <c r="G9" s="280" t="s">
        <v>713</v>
      </c>
      <c r="H9" s="275" t="s">
        <v>684</v>
      </c>
      <c r="I9" s="276">
        <v>95</v>
      </c>
      <c r="J9" s="277" t="str">
        <f t="shared" si="0"/>
        <v>Desde (&gt;=):</v>
      </c>
      <c r="K9" s="277">
        <f t="shared" si="1"/>
        <v>75</v>
      </c>
      <c r="L9" s="277" t="str">
        <f t="shared" si="2"/>
        <v>Hasta (&lt;=):</v>
      </c>
      <c r="M9" s="277">
        <f t="shared" si="3"/>
        <v>95</v>
      </c>
      <c r="N9" s="277" t="str">
        <f t="shared" si="4"/>
        <v>Menor A:</v>
      </c>
      <c r="O9" s="278">
        <v>75</v>
      </c>
      <c r="P9" s="290">
        <f>+'02-G. CONOCIMIENTO INNOVACIÓN'!F16</f>
        <v>4</v>
      </c>
      <c r="Q9" s="290">
        <f>+'02-G. CONOCIMIENTO INNOVACIÓN'!G16</f>
        <v>1</v>
      </c>
      <c r="R9" s="295" t="str">
        <f>+'02-G. CONOCIMIENTO INNOVACIÓN'!O16</f>
        <v xml:space="preserve">Dirección de Gestión del Conocimiento e Innovación </v>
      </c>
    </row>
    <row r="10" spans="2:18" ht="25.5" customHeight="1">
      <c r="B10" s="272">
        <f t="shared" si="5"/>
        <v>6</v>
      </c>
      <c r="C10" s="747" t="s">
        <v>680</v>
      </c>
      <c r="D10" s="280" t="s">
        <v>1052</v>
      </c>
      <c r="E10" s="284" t="str">
        <f>+'02-G. CONOCIMIENTO INNOVACIÓN'!I17</f>
        <v>Productos resultado de investigaciones, entregadas para la comunidad</v>
      </c>
      <c r="F10" s="284" t="str">
        <f>+'02-G. CONOCIMIENTO INNOVACIÓN'!J17</f>
        <v>Número de proyectos de investigación, desarrollo e innovación elaborados</v>
      </c>
      <c r="G10" s="280" t="s">
        <v>713</v>
      </c>
      <c r="H10" s="275" t="s">
        <v>684</v>
      </c>
      <c r="I10" s="276">
        <v>95</v>
      </c>
      <c r="J10" s="277" t="str">
        <f t="shared" si="0"/>
        <v>Desde (&gt;=):</v>
      </c>
      <c r="K10" s="277">
        <f t="shared" ref="K10" si="6">IF(I10&gt;O10,O10,
IF(I10&lt;O10,I10,
IF(I10=O10,"No Aplica","")))</f>
        <v>75</v>
      </c>
      <c r="L10" s="277" t="str">
        <f t="shared" si="2"/>
        <v>Hasta (&lt;=):</v>
      </c>
      <c r="M10" s="277">
        <f t="shared" ref="M10" si="7">IF(I10&gt;O10,I10,
IF(I10&lt;O10,O10,
IF(I10=O10,"No Aplica","")))</f>
        <v>95</v>
      </c>
      <c r="N10" s="277" t="str">
        <f t="shared" si="4"/>
        <v>Menor A:</v>
      </c>
      <c r="O10" s="278">
        <v>75</v>
      </c>
      <c r="P10" s="290">
        <f>+'02-G. CONOCIMIENTO INNOVACIÓN'!F17</f>
        <v>2</v>
      </c>
      <c r="Q10" s="290">
        <f>+'02-G. CONOCIMIENTO INNOVACIÓN'!G17</f>
        <v>1</v>
      </c>
      <c r="R10" s="295" t="str">
        <f>+'02-G. CONOCIMIENTO INNOVACIÓN'!O17</f>
        <v xml:space="preserve">Dirección de Gestión del Conocimiento e Innovación </v>
      </c>
    </row>
    <row r="11" spans="2:18" ht="32.25" customHeight="1">
      <c r="B11" s="272">
        <f t="shared" si="5"/>
        <v>7</v>
      </c>
      <c r="C11" s="279" t="s">
        <v>680</v>
      </c>
      <c r="D11" s="280" t="s">
        <v>698</v>
      </c>
      <c r="E11" s="284" t="str">
        <f>+'02-G. CONOCIMIENTO INNOVACIÓN'!I18</f>
        <v>Informes de investigación e innovación construidos</v>
      </c>
      <c r="F11" s="284" t="str">
        <f>+'02-G. CONOCIMIENTO INNOVACIÓN'!J18</f>
        <v>Número de Informes de Investigación e Innovación construidos</v>
      </c>
      <c r="G11" s="280" t="s">
        <v>713</v>
      </c>
      <c r="H11" s="275" t="s">
        <v>684</v>
      </c>
      <c r="I11" s="276">
        <v>95</v>
      </c>
      <c r="J11" s="277" t="str">
        <f t="shared" si="0"/>
        <v>Desde (&gt;=):</v>
      </c>
      <c r="K11" s="277">
        <f t="shared" si="1"/>
        <v>75</v>
      </c>
      <c r="L11" s="277" t="str">
        <f t="shared" si="2"/>
        <v>Hasta (&lt;=):</v>
      </c>
      <c r="M11" s="277">
        <f t="shared" si="3"/>
        <v>95</v>
      </c>
      <c r="N11" s="277" t="str">
        <f t="shared" si="4"/>
        <v>Menor A:</v>
      </c>
      <c r="O11" s="278">
        <v>75</v>
      </c>
      <c r="P11" s="290">
        <f>+'02-G. CONOCIMIENTO INNOVACIÓN'!F18</f>
        <v>8</v>
      </c>
      <c r="Q11" s="290">
        <f>+'02-G. CONOCIMIENTO INNOVACIÓN'!G18</f>
        <v>3</v>
      </c>
      <c r="R11" s="295" t="str">
        <f>+'02-G. CONOCIMIENTO INNOVACIÓN'!O18</f>
        <v xml:space="preserve">Dirección de Gestión del Conocimiento e Innovación </v>
      </c>
    </row>
    <row r="12" spans="2:18" ht="26.4">
      <c r="B12" s="272">
        <f t="shared" si="5"/>
        <v>8</v>
      </c>
      <c r="C12" s="279" t="s">
        <v>680</v>
      </c>
      <c r="D12" s="280" t="s">
        <v>738</v>
      </c>
      <c r="E12" s="284" t="str">
        <f>+'02-G. CONOCIMIENTO INNOVACIÓN'!I19</f>
        <v>Actividades de apropiación social del conocimiento desarrolladas</v>
      </c>
      <c r="F12" s="284" t="str">
        <f>+'02-G. CONOCIMIENTO INNOVACIÓN'!J19</f>
        <v xml:space="preserve"> Número de Actividades de apropiación social del conocimiento realizadas</v>
      </c>
      <c r="G12" s="280" t="s">
        <v>713</v>
      </c>
      <c r="H12" s="275" t="s">
        <v>684</v>
      </c>
      <c r="I12" s="276">
        <v>95</v>
      </c>
      <c r="J12" s="277" t="str">
        <f t="shared" si="0"/>
        <v>Desde (&gt;=):</v>
      </c>
      <c r="K12" s="277">
        <f t="shared" si="1"/>
        <v>75</v>
      </c>
      <c r="L12" s="277" t="str">
        <f t="shared" si="2"/>
        <v>Hasta (&lt;=):</v>
      </c>
      <c r="M12" s="277">
        <f t="shared" si="3"/>
        <v>95</v>
      </c>
      <c r="N12" s="277" t="str">
        <f t="shared" si="4"/>
        <v>Menor A:</v>
      </c>
      <c r="O12" s="278">
        <v>75</v>
      </c>
      <c r="P12" s="290">
        <f>+'02-G. CONOCIMIENTO INNOVACIÓN'!F19</f>
        <v>80</v>
      </c>
      <c r="Q12" s="290">
        <f>+'02-G. CONOCIMIENTO INNOVACIÓN'!G19</f>
        <v>39</v>
      </c>
      <c r="R12" s="295" t="str">
        <f>+'02-G. CONOCIMIENTO INNOVACIÓN'!O19</f>
        <v xml:space="preserve">Dirección de Gestión del Conocimiento e Innovación </v>
      </c>
    </row>
    <row r="13" spans="2:18" ht="26.4">
      <c r="B13" s="272">
        <f t="shared" si="5"/>
        <v>9</v>
      </c>
      <c r="C13" s="273" t="s">
        <v>681</v>
      </c>
      <c r="D13" s="280" t="s">
        <v>736</v>
      </c>
      <c r="E13" s="284" t="str">
        <f>+'03-DIRECCIONAMIENTO TIC'!I16</f>
        <v>Porcentaje de proyectos implementados de acuerdo al plan de tecnologías de la Información</v>
      </c>
      <c r="F13" s="284" t="str">
        <f>+'03-DIRECCIONAMIENTO TIC'!J16</f>
        <v>Porcentaje de proyectos implementados / Porcentaje de proyectos programados</v>
      </c>
      <c r="G13" s="280" t="s">
        <v>713</v>
      </c>
      <c r="H13" s="275" t="s">
        <v>684</v>
      </c>
      <c r="I13" s="276">
        <v>95</v>
      </c>
      <c r="J13" s="277" t="str">
        <f t="shared" si="0"/>
        <v>Desde (&gt;=):</v>
      </c>
      <c r="K13" s="277">
        <f t="shared" si="1"/>
        <v>75</v>
      </c>
      <c r="L13" s="277" t="str">
        <f t="shared" si="2"/>
        <v>Hasta (&lt;=):</v>
      </c>
      <c r="M13" s="277">
        <f t="shared" si="3"/>
        <v>95</v>
      </c>
      <c r="N13" s="277" t="str">
        <f t="shared" si="4"/>
        <v>Menor A:</v>
      </c>
      <c r="O13" s="278">
        <v>75</v>
      </c>
      <c r="P13" s="291">
        <f>+'03-DIRECCIONAMIENTO TIC'!F16</f>
        <v>1</v>
      </c>
      <c r="Q13" s="291">
        <f>+'03-DIRECCIONAMIENTO TIC'!G16</f>
        <v>0.25</v>
      </c>
      <c r="R13" s="295" t="str">
        <f>+'03-DIRECCIONAMIENTO TIC'!O16</f>
        <v>Dirección de Tecnologías de la  Información y las Comunicaciones</v>
      </c>
    </row>
    <row r="14" spans="2:18" ht="26.4">
      <c r="B14" s="272">
        <f t="shared" si="5"/>
        <v>10</v>
      </c>
      <c r="C14" s="273" t="s">
        <v>681</v>
      </c>
      <c r="D14" s="280" t="s">
        <v>739</v>
      </c>
      <c r="E14" s="284" t="str">
        <f>+'03-DIRECCIONAMIENTO TIC'!I17</f>
        <v>Porcentaje de actividades ejecutadas de acuerdo al plan de Seguridad de información</v>
      </c>
      <c r="F14" s="284" t="str">
        <f>+'03-DIRECCIONAMIENTO TIC'!J17</f>
        <v>Porcentaje de actividades ejecutadas / Porcentaje de actividades programadas</v>
      </c>
      <c r="G14" s="280" t="s">
        <v>713</v>
      </c>
      <c r="H14" s="275" t="s">
        <v>684</v>
      </c>
      <c r="I14" s="276">
        <v>95</v>
      </c>
      <c r="J14" s="277" t="str">
        <f t="shared" si="0"/>
        <v>Desde (&gt;=):</v>
      </c>
      <c r="K14" s="277">
        <f t="shared" si="1"/>
        <v>75</v>
      </c>
      <c r="L14" s="277" t="str">
        <f t="shared" si="2"/>
        <v>Hasta (&lt;=):</v>
      </c>
      <c r="M14" s="277">
        <f t="shared" si="3"/>
        <v>95</v>
      </c>
      <c r="N14" s="277" t="str">
        <f t="shared" si="4"/>
        <v>Menor A:</v>
      </c>
      <c r="O14" s="278">
        <v>75</v>
      </c>
      <c r="P14" s="291">
        <f>+'03-DIRECCIONAMIENTO TIC'!F17</f>
        <v>1</v>
      </c>
      <c r="Q14" s="291">
        <f>+'03-DIRECCIONAMIENTO TIC'!G17</f>
        <v>0.25</v>
      </c>
      <c r="R14" s="295" t="str">
        <f>+'03-DIRECCIONAMIENTO TIC'!O17</f>
        <v>Dirección de Tecnologías de la  Información y las Comunicaciones</v>
      </c>
    </row>
    <row r="15" spans="2:18" ht="26.4">
      <c r="B15" s="272">
        <f t="shared" si="5"/>
        <v>11</v>
      </c>
      <c r="C15" s="273" t="s">
        <v>681</v>
      </c>
      <c r="D15" s="280" t="s">
        <v>699</v>
      </c>
      <c r="E15" s="284" t="str">
        <f>+'03-DIRECCIONAMIENTO TIC'!I18</f>
        <v xml:space="preserve">Porcentaje de actividades ejecutadas  en la estrategia de servicios ciudadanos digitales </v>
      </c>
      <c r="F15" s="284" t="str">
        <f>+'03-DIRECCIONAMIENTO TIC'!J18</f>
        <v>Porcentaje de actividades ejecutadas / Porcentaje de actividades programadas</v>
      </c>
      <c r="G15" s="280" t="s">
        <v>713</v>
      </c>
      <c r="H15" s="275" t="s">
        <v>684</v>
      </c>
      <c r="I15" s="276">
        <v>95</v>
      </c>
      <c r="J15" s="277" t="str">
        <f t="shared" si="0"/>
        <v>Desde (&gt;=):</v>
      </c>
      <c r="K15" s="277">
        <f t="shared" si="1"/>
        <v>75</v>
      </c>
      <c r="L15" s="277" t="str">
        <f t="shared" si="2"/>
        <v>Hasta (&lt;=):</v>
      </c>
      <c r="M15" s="277">
        <f t="shared" si="3"/>
        <v>95</v>
      </c>
      <c r="N15" s="277" t="str">
        <f t="shared" si="4"/>
        <v>Menor A:</v>
      </c>
      <c r="O15" s="278">
        <v>75</v>
      </c>
      <c r="P15" s="291">
        <f>+'03-DIRECCIONAMIENTO TIC'!F18</f>
        <v>1</v>
      </c>
      <c r="Q15" s="291">
        <f>+'03-DIRECCIONAMIENTO TIC'!G18</f>
        <v>0.25</v>
      </c>
      <c r="R15" s="295" t="str">
        <f>+'03-DIRECCIONAMIENTO TIC'!O18</f>
        <v>Dirección de Tecnologías de la  Información y las Comunicaciones</v>
      </c>
    </row>
    <row r="16" spans="2:18" ht="26.4">
      <c r="B16" s="272">
        <f t="shared" si="5"/>
        <v>12</v>
      </c>
      <c r="C16" s="273" t="s">
        <v>681</v>
      </c>
      <c r="D16" s="280" t="s">
        <v>740</v>
      </c>
      <c r="E16" s="284" t="str">
        <f>+'03-DIRECCIONAMIENTO TIC'!I19</f>
        <v>Porcentaje de lineamientos adoptados  en la estrategia de gestión de datos</v>
      </c>
      <c r="F16" s="284" t="str">
        <f>+'03-DIRECCIONAMIENTO TIC'!J19</f>
        <v>Porcentaje de lineamientos adoptados / Porcentaje de lineamietnos proyectados</v>
      </c>
      <c r="G16" s="280" t="s">
        <v>713</v>
      </c>
      <c r="H16" s="275" t="s">
        <v>684</v>
      </c>
      <c r="I16" s="276">
        <v>95</v>
      </c>
      <c r="J16" s="277" t="str">
        <f t="shared" si="0"/>
        <v>Desde (&gt;=):</v>
      </c>
      <c r="K16" s="277">
        <f t="shared" si="1"/>
        <v>75</v>
      </c>
      <c r="L16" s="277" t="str">
        <f t="shared" si="2"/>
        <v>Hasta (&lt;=):</v>
      </c>
      <c r="M16" s="277">
        <f t="shared" si="3"/>
        <v>95</v>
      </c>
      <c r="N16" s="277" t="str">
        <f t="shared" si="4"/>
        <v>Menor A:</v>
      </c>
      <c r="O16" s="278">
        <v>75</v>
      </c>
      <c r="P16" s="291">
        <f>+'03-DIRECCIONAMIENTO TIC'!F19</f>
        <v>1</v>
      </c>
      <c r="Q16" s="291">
        <f>+'03-DIRECCIONAMIENTO TIC'!G19</f>
        <v>0.25</v>
      </c>
      <c r="R16" s="295" t="str">
        <f>+'03-DIRECCIONAMIENTO TIC'!O19</f>
        <v>Dirección de Tecnologías de la  Información y las Comunicaciones</v>
      </c>
    </row>
    <row r="17" spans="2:18" ht="39.6">
      <c r="B17" s="272">
        <f t="shared" si="5"/>
        <v>13</v>
      </c>
      <c r="C17" s="273" t="s">
        <v>681</v>
      </c>
      <c r="D17" s="280" t="s">
        <v>741</v>
      </c>
      <c r="E17" s="284" t="str">
        <f>+'03-DIRECCIONAMIENTO TIC'!I20</f>
        <v>Cantidad de requerimientos prioritarios desarrollados para los sistemas información</v>
      </c>
      <c r="F17" s="284" t="str">
        <f>+'03-DIRECCIONAMIENTO TIC'!J20</f>
        <v>Cantidad de requerimientos desarrollados / Cantidad de requerimientos prioritarios programados</v>
      </c>
      <c r="G17" s="280" t="s">
        <v>713</v>
      </c>
      <c r="H17" s="275" t="s">
        <v>684</v>
      </c>
      <c r="I17" s="276">
        <v>95</v>
      </c>
      <c r="J17" s="277" t="str">
        <f t="shared" si="0"/>
        <v>Desde (&gt;=):</v>
      </c>
      <c r="K17" s="277">
        <f t="shared" si="1"/>
        <v>75</v>
      </c>
      <c r="L17" s="277" t="str">
        <f t="shared" si="2"/>
        <v>Hasta (&lt;=):</v>
      </c>
      <c r="M17" s="277">
        <f t="shared" si="3"/>
        <v>95</v>
      </c>
      <c r="N17" s="277" t="str">
        <f t="shared" si="4"/>
        <v>Menor A:</v>
      </c>
      <c r="O17" s="278">
        <v>75</v>
      </c>
      <c r="P17" s="291">
        <f>+'03-DIRECCIONAMIENTO TIC'!F20</f>
        <v>1</v>
      </c>
      <c r="Q17" s="291">
        <f>+'03-DIRECCIONAMIENTO TIC'!G20</f>
        <v>0.25</v>
      </c>
      <c r="R17" s="295" t="str">
        <f>+'03-DIRECCIONAMIENTO TIC'!O20</f>
        <v>Dirección de Tecnologías de la  Información y las Comunicaciones</v>
      </c>
    </row>
    <row r="18" spans="2:18" ht="26.4">
      <c r="B18" s="272">
        <f t="shared" si="5"/>
        <v>14</v>
      </c>
      <c r="C18" s="273" t="s">
        <v>681</v>
      </c>
      <c r="D18" s="280" t="s">
        <v>742</v>
      </c>
      <c r="E18" s="284" t="str">
        <f>+'03-DIRECCIONAMIENTO TIC'!I21</f>
        <v>Porcentaje de actividades ejecutadas del plan de uso y apropiación</v>
      </c>
      <c r="F18" s="284" t="str">
        <f>+'03-DIRECCIONAMIENTO TIC'!J21</f>
        <v>Porcentaje de actividades ejecutadas / porcentje de actividades programadas</v>
      </c>
      <c r="G18" s="280" t="s">
        <v>713</v>
      </c>
      <c r="H18" s="275" t="s">
        <v>684</v>
      </c>
      <c r="I18" s="276">
        <v>95</v>
      </c>
      <c r="J18" s="277" t="str">
        <f t="shared" si="0"/>
        <v>Desde (&gt;=):</v>
      </c>
      <c r="K18" s="277">
        <f t="shared" si="1"/>
        <v>75</v>
      </c>
      <c r="L18" s="277" t="str">
        <f t="shared" si="2"/>
        <v>Hasta (&lt;=):</v>
      </c>
      <c r="M18" s="277">
        <f t="shared" si="3"/>
        <v>95</v>
      </c>
      <c r="N18" s="277" t="str">
        <f t="shared" si="4"/>
        <v>Menor A:</v>
      </c>
      <c r="O18" s="278">
        <v>75</v>
      </c>
      <c r="P18" s="291">
        <f>+'03-DIRECCIONAMIENTO TIC'!F21</f>
        <v>1</v>
      </c>
      <c r="Q18" s="291">
        <f>+'03-DIRECCIONAMIENTO TIC'!G21</f>
        <v>0.25</v>
      </c>
      <c r="R18" s="295" t="str">
        <f>+'03-DIRECCIONAMIENTO TIC'!O21</f>
        <v>Dirección de Tecnologías de la  Información y las Comunicaciones</v>
      </c>
    </row>
    <row r="19" spans="2:18" ht="26.4">
      <c r="B19" s="272">
        <f t="shared" si="5"/>
        <v>15</v>
      </c>
      <c r="C19" s="273" t="s">
        <v>681</v>
      </c>
      <c r="D19" s="280" t="s">
        <v>743</v>
      </c>
      <c r="E19" s="284" t="str">
        <f>+'03-DIRECCIONAMIENTO TIC'!I22</f>
        <v>Porcentaje de actividades ejecutadas de la hoja de ruta de optimización tecnológica</v>
      </c>
      <c r="F19" s="284" t="str">
        <f>+'03-DIRECCIONAMIENTO TIC'!J22</f>
        <v>Porcentaje de actividades ejecutadas / porcentaje de actividades programadas</v>
      </c>
      <c r="G19" s="280" t="s">
        <v>713</v>
      </c>
      <c r="H19" s="275" t="s">
        <v>684</v>
      </c>
      <c r="I19" s="276">
        <v>95</v>
      </c>
      <c r="J19" s="277" t="str">
        <f t="shared" si="0"/>
        <v>Desde (&gt;=):</v>
      </c>
      <c r="K19" s="277">
        <f t="shared" si="1"/>
        <v>75</v>
      </c>
      <c r="L19" s="277" t="str">
        <f t="shared" si="2"/>
        <v>Hasta (&lt;=):</v>
      </c>
      <c r="M19" s="277">
        <f t="shared" si="3"/>
        <v>95</v>
      </c>
      <c r="N19" s="277" t="str">
        <f t="shared" si="4"/>
        <v>Menor A:</v>
      </c>
      <c r="O19" s="278">
        <v>75</v>
      </c>
      <c r="P19" s="291">
        <f>+'03-DIRECCIONAMIENTO TIC'!F22</f>
        <v>1</v>
      </c>
      <c r="Q19" s="291">
        <f>+'03-DIRECCIONAMIENTO TIC'!G22</f>
        <v>0.25</v>
      </c>
      <c r="R19" s="295" t="str">
        <f>+'03-DIRECCIONAMIENTO TIC'!O22</f>
        <v>Dirección de Tecnologías de la  Información y las Comunicaciones</v>
      </c>
    </row>
    <row r="20" spans="2:18" ht="39.6">
      <c r="B20" s="272">
        <f t="shared" si="5"/>
        <v>16</v>
      </c>
      <c r="C20" s="279" t="s">
        <v>682</v>
      </c>
      <c r="D20" s="272" t="s">
        <v>737</v>
      </c>
      <c r="E20" s="284" t="str">
        <f>+'04-COMUNICACIÓN ESTRATÉGICA'!I16</f>
        <v>Productos de comunicación externa desarrollados</v>
      </c>
      <c r="F20" s="284" t="str">
        <f>+'04-COMUNICACIÓN ESTRATÉGICA'!J16</f>
        <v>Número de productos de comunicación externa realizados/ Número de productos de comunicación externa  programados* 100</v>
      </c>
      <c r="G20" s="280" t="s">
        <v>713</v>
      </c>
      <c r="H20" s="275" t="s">
        <v>684</v>
      </c>
      <c r="I20" s="276">
        <v>95</v>
      </c>
      <c r="J20" s="277" t="str">
        <f t="shared" si="0"/>
        <v>Desde (&gt;=):</v>
      </c>
      <c r="K20" s="277">
        <f t="shared" si="1"/>
        <v>75</v>
      </c>
      <c r="L20" s="277" t="str">
        <f t="shared" si="2"/>
        <v>Hasta (&lt;=):</v>
      </c>
      <c r="M20" s="277">
        <f t="shared" si="3"/>
        <v>95</v>
      </c>
      <c r="N20" s="277" t="str">
        <f t="shared" si="4"/>
        <v>Menor A:</v>
      </c>
      <c r="O20" s="278">
        <v>75</v>
      </c>
      <c r="P20" s="291">
        <f>+'04-COMUNICACIÓN ESTRATÉGICA'!F16</f>
        <v>1</v>
      </c>
      <c r="Q20" s="291">
        <f>+'04-COMUNICACIÓN ESTRATÉGICA'!G16</f>
        <v>1</v>
      </c>
      <c r="R20" s="295" t="str">
        <f>+'04-COMUNICACIÓN ESTRATÉGICA'!O16</f>
        <v>Oficina Asesora de Comunicaciones</v>
      </c>
    </row>
    <row r="21" spans="2:18" ht="39.6">
      <c r="B21" s="272">
        <f t="shared" si="5"/>
        <v>17</v>
      </c>
      <c r="C21" s="279" t="s">
        <v>682</v>
      </c>
      <c r="D21" s="272" t="s">
        <v>745</v>
      </c>
      <c r="E21" s="284" t="str">
        <f>+'04-COMUNICACIÓN ESTRATÉGICA'!I17</f>
        <v>Productos  de comunicación interna
desarrollados</v>
      </c>
      <c r="F21" s="284" t="str">
        <f>+'04-COMUNICACIÓN ESTRATÉGICA'!J17</f>
        <v>Número de productos de comunicación interna realizados/ Número de productos de comunicación interna  programados* 100</v>
      </c>
      <c r="G21" s="280" t="s">
        <v>713</v>
      </c>
      <c r="H21" s="275" t="s">
        <v>684</v>
      </c>
      <c r="I21" s="276">
        <v>95</v>
      </c>
      <c r="J21" s="277" t="str">
        <f t="shared" si="0"/>
        <v>Desde (&gt;=):</v>
      </c>
      <c r="K21" s="277">
        <f t="shared" si="1"/>
        <v>75</v>
      </c>
      <c r="L21" s="277" t="str">
        <f t="shared" si="2"/>
        <v>Hasta (&lt;=):</v>
      </c>
      <c r="M21" s="277">
        <f t="shared" si="3"/>
        <v>95</v>
      </c>
      <c r="N21" s="277" t="str">
        <f t="shared" si="4"/>
        <v>Menor A:</v>
      </c>
      <c r="O21" s="278">
        <v>75</v>
      </c>
      <c r="P21" s="291">
        <f>+'04-COMUNICACIÓN ESTRATÉGICA'!F17</f>
        <v>1</v>
      </c>
      <c r="Q21" s="291">
        <f>+'04-COMUNICACIÓN ESTRATÉGICA'!G17</f>
        <v>1</v>
      </c>
      <c r="R21" s="295" t="str">
        <f>+'04-COMUNICACIÓN ESTRATÉGICA'!O17</f>
        <v>Oficina Asesora de Comunicaciones</v>
      </c>
    </row>
    <row r="22" spans="2:18" ht="68.400000000000006" customHeight="1">
      <c r="B22" s="272">
        <f t="shared" si="5"/>
        <v>18</v>
      </c>
      <c r="C22" s="273" t="s">
        <v>683</v>
      </c>
      <c r="D22" s="272" t="s">
        <v>744</v>
      </c>
      <c r="E22" s="284" t="str">
        <f>+'05-POA PROM DEFENSA DERECHOS'!I16</f>
        <v>Intervenciones realizadas en defensa de los derechos</v>
      </c>
      <c r="F22" s="284" t="str">
        <f>+'05-POA PROM DEFENSA DERECHOS'!J16</f>
        <v>∑ Número de Intervenciones a Petición de Parte Realizadas en Defensa de los Derechos + Númerode Intervenciones de Oficio Realizadas en Defensa de los Derechos</v>
      </c>
      <c r="G22" s="280" t="s">
        <v>713</v>
      </c>
      <c r="H22" s="275" t="s">
        <v>684</v>
      </c>
      <c r="I22" s="276">
        <v>95</v>
      </c>
      <c r="J22" s="277" t="str">
        <f t="shared" si="0"/>
        <v>Desde (&gt;=):</v>
      </c>
      <c r="K22" s="277">
        <f t="shared" si="1"/>
        <v>75</v>
      </c>
      <c r="L22" s="277" t="str">
        <f t="shared" si="2"/>
        <v>Hasta (&lt;=):</v>
      </c>
      <c r="M22" s="277">
        <f t="shared" si="3"/>
        <v>95</v>
      </c>
      <c r="N22" s="277" t="str">
        <f t="shared" si="4"/>
        <v>Menor A:</v>
      </c>
      <c r="O22" s="278">
        <v>75</v>
      </c>
      <c r="P22" s="290">
        <f>+'05-POA PROM DEFENSA DERECHOS'!F16</f>
        <v>373106</v>
      </c>
      <c r="Q22" s="290">
        <f>+'05-POA PROM DEFENSA DERECHOS'!G16</f>
        <v>114746</v>
      </c>
      <c r="R22" s="295" t="str">
        <f>+'05-POA PROM DEFENSA DERECHOS'!O16</f>
        <v>P.D. para Asuntos Penales I, Penales II, Derechos Humanos y Policivos y Civiles
P.D. para los Sectores Planeación y Movilidad y la P.D. para los Sectores Educación y Cultura, Recreación y Deporte</v>
      </c>
    </row>
    <row r="23" spans="2:18" ht="68.400000000000006">
      <c r="B23" s="272">
        <f t="shared" si="5"/>
        <v>19</v>
      </c>
      <c r="C23" s="273" t="s">
        <v>683</v>
      </c>
      <c r="D23" s="272" t="s">
        <v>746</v>
      </c>
      <c r="E23" s="284" t="str">
        <f>+'05-POA PROM DEFENSA DERECHOS'!I17</f>
        <v>Personas orientadas en garantía de derechos</v>
      </c>
      <c r="F23" s="284" t="str">
        <f>+'05-POA PROM DEFENSA DERECHOS'!J17</f>
        <v>∑ Número de Personas Orientadas (Incluye las Orientaciones de Traslados por No Competencia)</v>
      </c>
      <c r="G23" s="280" t="s">
        <v>713</v>
      </c>
      <c r="H23" s="275" t="s">
        <v>684</v>
      </c>
      <c r="I23" s="276">
        <v>95</v>
      </c>
      <c r="J23" s="277" t="str">
        <f t="shared" si="0"/>
        <v>Desde (&gt;=):</v>
      </c>
      <c r="K23" s="277">
        <f t="shared" si="1"/>
        <v>75</v>
      </c>
      <c r="L23" s="277" t="str">
        <f t="shared" si="2"/>
        <v>Hasta (&lt;=):</v>
      </c>
      <c r="M23" s="277">
        <f t="shared" si="3"/>
        <v>95</v>
      </c>
      <c r="N23" s="277" t="str">
        <f t="shared" si="4"/>
        <v>Menor A:</v>
      </c>
      <c r="O23" s="278">
        <v>75</v>
      </c>
      <c r="P23" s="290">
        <f>+'05-POA PROM DEFENSA DERECHOS'!F17</f>
        <v>317663</v>
      </c>
      <c r="Q23" s="290">
        <f>+'05-POA PROM DEFENSA DERECHOS'!G17</f>
        <v>101508</v>
      </c>
      <c r="R23" s="295"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79.8">
      <c r="B24" s="272">
        <f t="shared" si="5"/>
        <v>20</v>
      </c>
      <c r="C24" s="273" t="s">
        <v>683</v>
      </c>
      <c r="D24" s="272" t="s">
        <v>747</v>
      </c>
      <c r="E24" s="284" t="str">
        <f>+'05-POA PROM DEFENSA DERECHOS'!I18</f>
        <v>Personas asistidas en garantía de derechos</v>
      </c>
      <c r="F24" s="284" t="str">
        <f>+'05-POA PROM DEFENSA DERECHOS'!J18</f>
        <v>∑ Número de Personas Asistidas</v>
      </c>
      <c r="G24" s="280" t="s">
        <v>713</v>
      </c>
      <c r="H24" s="275" t="s">
        <v>684</v>
      </c>
      <c r="I24" s="276">
        <v>95</v>
      </c>
      <c r="J24" s="277" t="str">
        <f t="shared" si="0"/>
        <v>Desde (&gt;=):</v>
      </c>
      <c r="K24" s="277">
        <f t="shared" si="1"/>
        <v>75</v>
      </c>
      <c r="L24" s="277" t="str">
        <f t="shared" si="2"/>
        <v>Hasta (&lt;=):</v>
      </c>
      <c r="M24" s="277">
        <f t="shared" si="3"/>
        <v>95</v>
      </c>
      <c r="N24" s="277" t="str">
        <f t="shared" si="4"/>
        <v>Menor A:</v>
      </c>
      <c r="O24" s="278">
        <v>75</v>
      </c>
      <c r="P24" s="290">
        <f>+'05-POA PROM DEFENSA DERECHOS'!F18</f>
        <v>111931</v>
      </c>
      <c r="Q24" s="290">
        <f>+'05-POA PROM DEFENSA DERECHOS'!G18</f>
        <v>33521</v>
      </c>
      <c r="R24" s="295"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9.6">
      <c r="B25" s="272">
        <f t="shared" si="5"/>
        <v>21</v>
      </c>
      <c r="C25" s="273" t="s">
        <v>683</v>
      </c>
      <c r="D25" s="272" t="s">
        <v>748</v>
      </c>
      <c r="E25" s="284" t="str">
        <f>+'05-POA PROM DEFENSA DERECHOS'!I19</f>
        <v>Personas asistidas en Mecanismos Alternativos de Solución de Conflictos</v>
      </c>
      <c r="F25" s="284" t="str">
        <f>+'05-POA PROM DEFENSA DERECHOS'!J19</f>
        <v>∑ Número de Solicitudes de Conciliación Atendidas + Número de Uniones Maritales de Hecho Atendidas</v>
      </c>
      <c r="G25" s="280" t="s">
        <v>713</v>
      </c>
      <c r="H25" s="275" t="s">
        <v>684</v>
      </c>
      <c r="I25" s="276">
        <v>95</v>
      </c>
      <c r="J25" s="277" t="str">
        <f t="shared" si="0"/>
        <v>Desde (&gt;=):</v>
      </c>
      <c r="K25" s="277">
        <f t="shared" si="1"/>
        <v>75</v>
      </c>
      <c r="L25" s="277" t="str">
        <f t="shared" si="2"/>
        <v>Hasta (&lt;=):</v>
      </c>
      <c r="M25" s="277">
        <f t="shared" si="3"/>
        <v>95</v>
      </c>
      <c r="N25" s="277" t="str">
        <f t="shared" si="4"/>
        <v>Menor A:</v>
      </c>
      <c r="O25" s="278">
        <v>75</v>
      </c>
      <c r="P25" s="290">
        <f>+'05-POA PROM DEFENSA DERECHOS'!F19</f>
        <v>27767</v>
      </c>
      <c r="Q25" s="290">
        <f>+'05-POA PROM DEFENSA DERECHOS'!G19</f>
        <v>9681</v>
      </c>
      <c r="R25" s="295" t="str">
        <f>+'05-POA PROM DEFENSA DERECHOS'!O19</f>
        <v>Dirección de Conciliación y M.A.S.C.</v>
      </c>
    </row>
    <row r="26" spans="2:18" ht="103.2" customHeight="1">
      <c r="B26" s="272">
        <f t="shared" si="5"/>
        <v>22</v>
      </c>
      <c r="C26" s="273" t="s">
        <v>683</v>
      </c>
      <c r="D26" s="272" t="s">
        <v>749</v>
      </c>
      <c r="E26" s="284" t="str">
        <f>+'05-POA PROM DEFENSA DERECHOS'!I20</f>
        <v>Peticiones o requerimientos ciudadanos atendidos en garantía de derechos</v>
      </c>
      <c r="F26" s="284" t="str">
        <f>+'05-POA PROM DEFENSA DERECHOS'!J20</f>
        <v>∑ Número de Peticiones o Requerimientos Ciudadanos Atendidos en Garantía de Derechos</v>
      </c>
      <c r="G26" s="280" t="s">
        <v>713</v>
      </c>
      <c r="H26" s="275" t="s">
        <v>684</v>
      </c>
      <c r="I26" s="276">
        <v>95</v>
      </c>
      <c r="J26" s="277" t="str">
        <f t="shared" si="0"/>
        <v>Desde (&gt;=):</v>
      </c>
      <c r="K26" s="277">
        <f t="shared" si="1"/>
        <v>75</v>
      </c>
      <c r="L26" s="277" t="str">
        <f t="shared" si="2"/>
        <v>Hasta (&lt;=):</v>
      </c>
      <c r="M26" s="277">
        <f t="shared" si="3"/>
        <v>95</v>
      </c>
      <c r="N26" s="277" t="str">
        <f t="shared" si="4"/>
        <v>Menor A:</v>
      </c>
      <c r="O26" s="278">
        <v>75</v>
      </c>
      <c r="P26" s="290">
        <f>+'05-POA PROM DEFENSA DERECHOS'!F20</f>
        <v>53992</v>
      </c>
      <c r="Q26" s="290">
        <f>+'05-POA PROM DEFENSA DERECHOS'!G20</f>
        <v>19470</v>
      </c>
      <c r="R26" s="295"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6.4">
      <c r="B27" s="272">
        <f t="shared" si="5"/>
        <v>23</v>
      </c>
      <c r="C27" s="273" t="s">
        <v>683</v>
      </c>
      <c r="D27" s="272" t="s">
        <v>750</v>
      </c>
      <c r="E27" s="284" t="str">
        <f>+'05-POA PROM DEFENSA DERECHOS'!I21</f>
        <v>Espacios de mejora y transferencia de conocimiento realizados</v>
      </c>
      <c r="F27" s="284" t="str">
        <f>+'05-POA PROM DEFENSA DERECHOS'!J21</f>
        <v>∑ Número de Espacios de Mejora y Transferencia de Conocimiento</v>
      </c>
      <c r="G27" s="280" t="s">
        <v>713</v>
      </c>
      <c r="H27" s="275" t="s">
        <v>684</v>
      </c>
      <c r="I27" s="276">
        <v>95</v>
      </c>
      <c r="J27" s="277" t="str">
        <f t="shared" si="0"/>
        <v>Desde (&gt;=):</v>
      </c>
      <c r="K27" s="277">
        <f t="shared" si="1"/>
        <v>75</v>
      </c>
      <c r="L27" s="277" t="str">
        <f t="shared" si="2"/>
        <v>Hasta (&lt;=):</v>
      </c>
      <c r="M27" s="277">
        <f t="shared" si="3"/>
        <v>95</v>
      </c>
      <c r="N27" s="277" t="str">
        <f t="shared" si="4"/>
        <v>Menor A:</v>
      </c>
      <c r="O27" s="278">
        <v>75</v>
      </c>
      <c r="P27" s="290">
        <f>+'05-POA PROM DEFENSA DERECHOS'!F21</f>
        <v>80</v>
      </c>
      <c r="Q27" s="290">
        <f>+'05-POA PROM DEFENSA DERECHOS'!G21</f>
        <v>20</v>
      </c>
      <c r="R27" s="295" t="str">
        <f>+'05-POA PROM DEFENSA DERECHOS'!O21</f>
        <v>P.D. para la Coordinación del MP y DDHH y sus dependencias adscritas.</v>
      </c>
    </row>
    <row r="28" spans="2:18" ht="92.4">
      <c r="B28" s="272">
        <f t="shared" si="5"/>
        <v>24</v>
      </c>
      <c r="C28" s="273" t="s">
        <v>683</v>
      </c>
      <c r="D28" s="272" t="s">
        <v>751</v>
      </c>
      <c r="E28" s="284" t="str">
        <f>+'05-POA PROM DEFENSA DERECHOS'!I22</f>
        <v>Porcentaje de Acciones de Tutela, Desacatos e Impugnaciones Entregadas en un Termino Menor a Cinco (5) Días Hábiles</v>
      </c>
      <c r="F28" s="284" t="str">
        <f>+'05-POA PROM DEFENSA DERECHOS'!J22</f>
        <v>∑ Número de Tutelas, Desacatos e Impugnaciones entregadas en los primeros cinco (5) días hábiles
-------------------------------------------------------------------- * 100
∑ Número de Tutelas, Desacatos e Impugnaciones solicitadas</v>
      </c>
      <c r="G28" s="280" t="s">
        <v>713</v>
      </c>
      <c r="H28" s="275" t="s">
        <v>684</v>
      </c>
      <c r="I28" s="276">
        <v>95</v>
      </c>
      <c r="J28" s="277" t="str">
        <f t="shared" si="0"/>
        <v>Desde (&gt;=):</v>
      </c>
      <c r="K28" s="277">
        <f t="shared" si="1"/>
        <v>75</v>
      </c>
      <c r="L28" s="277" t="str">
        <f t="shared" si="2"/>
        <v>Hasta (&lt;=):</v>
      </c>
      <c r="M28" s="277">
        <f t="shared" si="3"/>
        <v>95</v>
      </c>
      <c r="N28" s="277" t="str">
        <f t="shared" si="4"/>
        <v>Menor A:</v>
      </c>
      <c r="O28" s="278">
        <v>75</v>
      </c>
      <c r="P28" s="290" t="str">
        <f>+'05-POA PROM DEFENSA DERECHOS'!F22</f>
        <v>&gt;=95%</v>
      </c>
      <c r="Q28" s="290" t="str">
        <f>+'05-POA PROM DEFENSA DERECHOS'!G22</f>
        <v>&gt;=95%</v>
      </c>
      <c r="R28" s="295" t="str">
        <f>+'05-POA PROM DEFENSA DERECHOS'!O22</f>
        <v>P.D. para Asuntos Jurisdiccionales, Víctimas y Penal II.
P.D. para la Coordinación de la Gestión de Personerías Locales y sus Personerías Locales adscritas</v>
      </c>
    </row>
    <row r="29" spans="2:18" ht="26.4">
      <c r="B29" s="272">
        <f t="shared" si="5"/>
        <v>25</v>
      </c>
      <c r="C29" s="273" t="s">
        <v>683</v>
      </c>
      <c r="D29" s="272" t="s">
        <v>752</v>
      </c>
      <c r="E29" s="284" t="str">
        <f>+'05-POA PROM DEFENSA DERECHOS'!I23</f>
        <v>Audiencias Publicas Realizadas con Asistencia del Ministerio Público</v>
      </c>
      <c r="F29" s="284" t="str">
        <f>+'05-POA PROM DEFENSA DERECHOS'!J23</f>
        <v>∑ Número de Audiencias Publicas Realizadas con Asistencia del Ministerio Público</v>
      </c>
      <c r="G29" s="280" t="s">
        <v>713</v>
      </c>
      <c r="H29" s="275" t="s">
        <v>684</v>
      </c>
      <c r="I29" s="276">
        <v>95</v>
      </c>
      <c r="J29" s="277" t="str">
        <f t="shared" si="0"/>
        <v>Desde (&gt;=):</v>
      </c>
      <c r="K29" s="277">
        <f t="shared" si="1"/>
        <v>75</v>
      </c>
      <c r="L29" s="277" t="str">
        <f t="shared" si="2"/>
        <v>Hasta (&lt;=):</v>
      </c>
      <c r="M29" s="277">
        <f t="shared" si="3"/>
        <v>95</v>
      </c>
      <c r="N29" s="277" t="str">
        <f t="shared" si="4"/>
        <v>Menor A:</v>
      </c>
      <c r="O29" s="278">
        <v>75</v>
      </c>
      <c r="P29" s="290">
        <f>+'05-POA PROM DEFENSA DERECHOS'!F23</f>
        <v>19500</v>
      </c>
      <c r="Q29" s="290">
        <f>+'05-POA PROM DEFENSA DERECHOS'!G23</f>
        <v>6500</v>
      </c>
      <c r="R29" s="295" t="str">
        <f>+'05-POA PROM DEFENSA DERECHOS'!O23</f>
        <v>P.D. para la Coordinación de la Gestión de Personerías Locales y sus Personerías Locales adscritas</v>
      </c>
    </row>
    <row r="30" spans="2:18" ht="39.6">
      <c r="B30" s="272">
        <f t="shared" si="5"/>
        <v>26</v>
      </c>
      <c r="C30" s="273" t="s">
        <v>683</v>
      </c>
      <c r="D30" s="272" t="s">
        <v>753</v>
      </c>
      <c r="E30" s="284" t="str">
        <f>+'05-POA PROM DEFENSA DERECHOS'!I24</f>
        <v>Intervenciones realizadas oportunamente para evitar la caducidad y perdida de fuerza ejecutoria (Impulsos procesales)</v>
      </c>
      <c r="F30" s="284" t="str">
        <f>+'05-POA PROM DEFENSA DERECHOS'!J24</f>
        <v>∑ Número de intervenciones realizadas para Evitar la Caducidad y Perdida de Fuerza Ejecutoria (Impulsos procesales)</v>
      </c>
      <c r="G30" s="280" t="s">
        <v>713</v>
      </c>
      <c r="H30" s="275" t="s">
        <v>684</v>
      </c>
      <c r="I30" s="276">
        <v>95</v>
      </c>
      <c r="J30" s="277" t="str">
        <f t="shared" si="0"/>
        <v>Desde (&gt;=):</v>
      </c>
      <c r="K30" s="277">
        <f t="shared" si="1"/>
        <v>75</v>
      </c>
      <c r="L30" s="277" t="str">
        <f t="shared" si="2"/>
        <v>Hasta (&lt;=):</v>
      </c>
      <c r="M30" s="277">
        <f t="shared" si="3"/>
        <v>95</v>
      </c>
      <c r="N30" s="277" t="str">
        <f t="shared" si="4"/>
        <v>Menor A:</v>
      </c>
      <c r="O30" s="278">
        <v>75</v>
      </c>
      <c r="P30" s="290">
        <f>+'05-POA PROM DEFENSA DERECHOS'!F24</f>
        <v>9000</v>
      </c>
      <c r="Q30" s="290">
        <f>+'05-POA PROM DEFENSA DERECHOS'!G24</f>
        <v>2000</v>
      </c>
      <c r="R30" s="295" t="str">
        <f>+'05-POA PROM DEFENSA DERECHOS'!O24</f>
        <v>P.D. para la Coordinación de la Gestión de Personerías Locales y sus Personerías Locales adscritas</v>
      </c>
    </row>
    <row r="31" spans="2:18" ht="26.4">
      <c r="B31" s="272">
        <f t="shared" si="5"/>
        <v>27</v>
      </c>
      <c r="C31" s="273" t="s">
        <v>683</v>
      </c>
      <c r="D31" s="272" t="s">
        <v>754</v>
      </c>
      <c r="E31" s="284" t="str">
        <f>+'05-POA PROM DEFENSA DERECHOS'!I25</f>
        <v>Expedientes con impulso procesal para la gestión de multas</v>
      </c>
      <c r="F31" s="284" t="str">
        <f>+'05-POA PROM DEFENSA DERECHOS'!J25</f>
        <v>∑ Número de expedientes con Impulso Procesal para la Gestión de las Multas</v>
      </c>
      <c r="G31" s="280" t="s">
        <v>713</v>
      </c>
      <c r="H31" s="275" t="s">
        <v>684</v>
      </c>
      <c r="I31" s="276">
        <v>95</v>
      </c>
      <c r="J31" s="277" t="str">
        <f t="shared" si="0"/>
        <v>Desde (&gt;=):</v>
      </c>
      <c r="K31" s="277">
        <f t="shared" si="1"/>
        <v>75</v>
      </c>
      <c r="L31" s="277" t="str">
        <f t="shared" si="2"/>
        <v>Hasta (&lt;=):</v>
      </c>
      <c r="M31" s="277">
        <f t="shared" si="3"/>
        <v>95</v>
      </c>
      <c r="N31" s="277" t="str">
        <f t="shared" si="4"/>
        <v>Menor A:</v>
      </c>
      <c r="O31" s="278">
        <v>75</v>
      </c>
      <c r="P31" s="290">
        <f>+'05-POA PROM DEFENSA DERECHOS'!F25</f>
        <v>1800</v>
      </c>
      <c r="Q31" s="290">
        <f>+'05-POA PROM DEFENSA DERECHOS'!G25</f>
        <v>300</v>
      </c>
      <c r="R31" s="295" t="str">
        <f>+'05-POA PROM DEFENSA DERECHOS'!O25</f>
        <v>P.D. para la Coordinación de la Gestión de Personerías Locales y sus Personerías Locales adscritas</v>
      </c>
    </row>
    <row r="32" spans="2:18" ht="39.6">
      <c r="B32" s="272">
        <f t="shared" si="5"/>
        <v>28</v>
      </c>
      <c r="C32" s="273" t="s">
        <v>683</v>
      </c>
      <c r="D32" s="272" t="s">
        <v>755</v>
      </c>
      <c r="E32" s="284" t="str">
        <f>+'05-POA PROM DEFENSA DERECHOS'!I26</f>
        <v>Estados de vulneración establecidos</v>
      </c>
      <c r="F32" s="284" t="str">
        <f>+'05-POA PROM DEFENSA DERECHOS'!J26</f>
        <v xml:space="preserve">∑ Número de Estados de vulneración realizados
</v>
      </c>
      <c r="G32" s="280" t="s">
        <v>713</v>
      </c>
      <c r="H32" s="275" t="s">
        <v>684</v>
      </c>
      <c r="I32" s="276">
        <v>95</v>
      </c>
      <c r="J32" s="277" t="str">
        <f t="shared" si="0"/>
        <v>Desde (&gt;=):</v>
      </c>
      <c r="K32" s="277">
        <f t="shared" si="1"/>
        <v>75</v>
      </c>
      <c r="L32" s="277" t="str">
        <f t="shared" si="2"/>
        <v>Hasta (&lt;=):</v>
      </c>
      <c r="M32" s="277">
        <f t="shared" si="3"/>
        <v>95</v>
      </c>
      <c r="N32" s="277" t="str">
        <f t="shared" si="4"/>
        <v>Menor A:</v>
      </c>
      <c r="O32" s="278">
        <v>75</v>
      </c>
      <c r="P32" s="290">
        <f>+'05-POA PROM DEFENSA DERECHOS'!F26</f>
        <v>40</v>
      </c>
      <c r="Q32" s="290">
        <f>+'05-POA PROM DEFENSA DERECHOS'!G26</f>
        <v>20</v>
      </c>
      <c r="R32" s="295" t="str">
        <f>+'05-POA PROM DEFENSA DERECHOS'!O26</f>
        <v>P.D. para la Coordinación de la Gestión de Personerías Locales y sus Personerías Locales adscritas</v>
      </c>
    </row>
    <row r="33" spans="2:18" ht="45.6">
      <c r="B33" s="272">
        <f t="shared" si="5"/>
        <v>29</v>
      </c>
      <c r="C33" s="273" t="s">
        <v>683</v>
      </c>
      <c r="D33" s="272" t="s">
        <v>756</v>
      </c>
      <c r="E33" s="284" t="str">
        <f>+'05-POA PROM DEFENSA DERECHOS'!I27</f>
        <v>Personas sensibilizadas en el Distrito Capital</v>
      </c>
      <c r="F33" s="284" t="str">
        <f>+'05-POA PROM DEFENSA DERECHOS'!J27</f>
        <v>∑ Número de Personas Sensibilizadas en el Distrito Capital</v>
      </c>
      <c r="G33" s="280" t="s">
        <v>713</v>
      </c>
      <c r="H33" s="275" t="s">
        <v>684</v>
      </c>
      <c r="I33" s="276">
        <v>95</v>
      </c>
      <c r="J33" s="277" t="str">
        <f t="shared" si="0"/>
        <v>Desde (&gt;=):</v>
      </c>
      <c r="K33" s="277">
        <f t="shared" si="1"/>
        <v>75</v>
      </c>
      <c r="L33" s="277" t="str">
        <f t="shared" si="2"/>
        <v>Hasta (&lt;=):</v>
      </c>
      <c r="M33" s="277">
        <f t="shared" si="3"/>
        <v>95</v>
      </c>
      <c r="N33" s="277" t="str">
        <f t="shared" si="4"/>
        <v>Menor A:</v>
      </c>
      <c r="O33" s="278">
        <v>75</v>
      </c>
      <c r="P33" s="290">
        <f>+'05-POA PROM DEFENSA DERECHOS'!F27</f>
        <v>231061</v>
      </c>
      <c r="Q33" s="290">
        <f>+'05-POA PROM DEFENSA DERECHOS'!G27</f>
        <v>78131</v>
      </c>
      <c r="R33" s="295" t="str">
        <f>+'05-POA PROM DEFENSA DERECHOS'!O27</f>
        <v>P.D. para la Coordinación del MP y DDHH y sus dependencias adscritas
P.D. para la Coordinación de la Gestión de Personerías Locales y sus Personerías Locales adscritas</v>
      </c>
    </row>
    <row r="34" spans="2:18" ht="45.6">
      <c r="B34" s="272">
        <f t="shared" si="5"/>
        <v>30</v>
      </c>
      <c r="C34" s="273" t="s">
        <v>683</v>
      </c>
      <c r="D34" s="272" t="s">
        <v>757</v>
      </c>
      <c r="E34" s="284" t="str">
        <f>+'05-POA PROM DEFENSA DERECHOS'!I28</f>
        <v>Acciones en favor de las víctimas del conflicto armado interno adelantadas</v>
      </c>
      <c r="F34" s="284" t="str">
        <f>+'05-POA PROM DEFENSA DERECHOS'!J28</f>
        <v>∑ Número de Acciones en Favor de las Víctimas del Conflicto Armado Interno Realizadas</v>
      </c>
      <c r="G34" s="280" t="s">
        <v>713</v>
      </c>
      <c r="H34" s="275" t="s">
        <v>684</v>
      </c>
      <c r="I34" s="276">
        <v>95</v>
      </c>
      <c r="J34" s="277" t="str">
        <f t="shared" si="0"/>
        <v>Desde (&gt;=):</v>
      </c>
      <c r="K34" s="277">
        <f t="shared" si="1"/>
        <v>75</v>
      </c>
      <c r="L34" s="277" t="str">
        <f t="shared" si="2"/>
        <v>Hasta (&lt;=):</v>
      </c>
      <c r="M34" s="277">
        <f t="shared" si="3"/>
        <v>95</v>
      </c>
      <c r="N34" s="277" t="str">
        <f t="shared" si="4"/>
        <v>Menor A:</v>
      </c>
      <c r="O34" s="278">
        <v>75</v>
      </c>
      <c r="P34" s="290">
        <f>+'05-POA PROM DEFENSA DERECHOS'!F28</f>
        <v>22448</v>
      </c>
      <c r="Q34" s="290">
        <f>+'05-POA PROM DEFENSA DERECHOS'!G28</f>
        <v>7188</v>
      </c>
      <c r="R34" s="295" t="str">
        <f>+'05-POA PROM DEFENSA DERECHOS'!O28</f>
        <v>P.D. para la Protección de las Víctimas del Conflicto Armado Interno
P.D. para la Coordinación de la Gestión de Personerías Locales y sus Personerías Locales adscritas</v>
      </c>
    </row>
    <row r="35" spans="2:18" ht="34.200000000000003">
      <c r="B35" s="272">
        <f t="shared" si="5"/>
        <v>31</v>
      </c>
      <c r="C35" s="273" t="s">
        <v>683</v>
      </c>
      <c r="D35" s="272" t="s">
        <v>758</v>
      </c>
      <c r="E35" s="284" t="str">
        <f>+'05-POA PROM DEFENSA DERECHOS'!I29</f>
        <v>Acciones constitucionales elaboradas para prevenir vulneración de derechos</v>
      </c>
      <c r="F35" s="284" t="str">
        <f>+'05-POA PROM DEFENSA DERECHOS'!J29</f>
        <v>∑ Número de Acciones Constitucionales Elaboradas</v>
      </c>
      <c r="G35" s="280" t="s">
        <v>713</v>
      </c>
      <c r="H35" s="275" t="s">
        <v>684</v>
      </c>
      <c r="I35" s="276">
        <v>95</v>
      </c>
      <c r="J35" s="277" t="str">
        <f t="shared" si="0"/>
        <v>Desde (&gt;=):</v>
      </c>
      <c r="K35" s="277">
        <f t="shared" si="1"/>
        <v>75</v>
      </c>
      <c r="L35" s="277" t="str">
        <f t="shared" si="2"/>
        <v>Hasta (&lt;=):</v>
      </c>
      <c r="M35" s="277">
        <f t="shared" si="3"/>
        <v>95</v>
      </c>
      <c r="N35" s="277" t="str">
        <f t="shared" si="4"/>
        <v>Menor A:</v>
      </c>
      <c r="O35" s="278">
        <v>75</v>
      </c>
      <c r="P35" s="290">
        <f>+'05-POA PROM DEFENSA DERECHOS'!F29</f>
        <v>18412</v>
      </c>
      <c r="Q35" s="290">
        <f>+'05-POA PROM DEFENSA DERECHOS'!G29</f>
        <v>5832</v>
      </c>
      <c r="R35" s="295" t="str">
        <f>+'05-POA PROM DEFENSA DERECHOS'!O29</f>
        <v>P.D. para Asuntos Jurisdiccionales y Víctimas.
P.D. para la Coordinación de la Gestión de Personerías Locales y sus Personerías Locales adscritas</v>
      </c>
    </row>
    <row r="36" spans="2:18" ht="46.2" customHeight="1">
      <c r="B36" s="272">
        <f t="shared" si="5"/>
        <v>32</v>
      </c>
      <c r="C36" s="273" t="s">
        <v>683</v>
      </c>
      <c r="D36" s="272" t="s">
        <v>759</v>
      </c>
      <c r="E36" s="284" t="str">
        <f>+'05-POA PROM DEFENSA DERECHOS'!I30</f>
        <v>Verificaciones de cumplimiento realizadas por el Ministerio Público a las medidas de protección impuestas por las Comisarías de Familia</v>
      </c>
      <c r="F36" s="284" t="str">
        <f>+'05-POA PROM DEFENSA DERECHOS'!J30</f>
        <v>∑ Número de Seguimientos Realizados por el Ministerio Público a las Medidas de Protección impuestas por las Comisarias de Familia</v>
      </c>
      <c r="G36" s="280" t="s">
        <v>713</v>
      </c>
      <c r="H36" s="275" t="s">
        <v>684</v>
      </c>
      <c r="I36" s="276">
        <v>95</v>
      </c>
      <c r="J36" s="277" t="str">
        <f t="shared" si="0"/>
        <v>Desde (&gt;=):</v>
      </c>
      <c r="K36" s="277">
        <f t="shared" si="1"/>
        <v>75</v>
      </c>
      <c r="L36" s="277" t="str">
        <f t="shared" si="2"/>
        <v>Hasta (&lt;=):</v>
      </c>
      <c r="M36" s="277">
        <f t="shared" si="3"/>
        <v>95</v>
      </c>
      <c r="N36" s="277" t="str">
        <f t="shared" si="4"/>
        <v>Menor A:</v>
      </c>
      <c r="O36" s="278">
        <v>75</v>
      </c>
      <c r="P36" s="290">
        <f>+'05-POA PROM DEFENSA DERECHOS'!F30</f>
        <v>3154</v>
      </c>
      <c r="Q36" s="290">
        <f>+'05-POA PROM DEFENSA DERECHOS'!G30</f>
        <v>814</v>
      </c>
      <c r="R36" s="295" t="str">
        <f>+'05-POA PROM DEFENSA DERECHOS'!O30</f>
        <v>P.D. para la Familia y Sujetos de Especial Protección Constitucional</v>
      </c>
    </row>
    <row r="37" spans="2:18" ht="57">
      <c r="B37" s="272">
        <f t="shared" si="5"/>
        <v>33</v>
      </c>
      <c r="C37" s="273" t="s">
        <v>683</v>
      </c>
      <c r="D37" s="272" t="s">
        <v>760</v>
      </c>
      <c r="E37" s="284" t="str">
        <f>+'05-POA PROM DEFENSA DERECHOS'!I31</f>
        <v>Espacios Interinstitucionales con participación</v>
      </c>
      <c r="F37" s="284" t="str">
        <f>+'05-POA PROM DEFENSA DERECHOS'!J31</f>
        <v>∑ Número de Espacios Interinstitucional con Participación</v>
      </c>
      <c r="G37" s="280" t="s">
        <v>713</v>
      </c>
      <c r="H37" s="275" t="s">
        <v>684</v>
      </c>
      <c r="I37" s="276">
        <v>95</v>
      </c>
      <c r="J37" s="277" t="str">
        <f t="shared" si="0"/>
        <v>Desde (&gt;=):</v>
      </c>
      <c r="K37" s="277">
        <f t="shared" si="1"/>
        <v>75</v>
      </c>
      <c r="L37" s="277" t="str">
        <f t="shared" si="2"/>
        <v>Hasta (&lt;=):</v>
      </c>
      <c r="M37" s="277">
        <f t="shared" si="3"/>
        <v>95</v>
      </c>
      <c r="N37" s="277" t="str">
        <f t="shared" si="4"/>
        <v>Menor A:</v>
      </c>
      <c r="O37" s="278">
        <v>75</v>
      </c>
      <c r="P37" s="290">
        <f>+'05-POA PROM DEFENSA DERECHOS'!F31</f>
        <v>9024</v>
      </c>
      <c r="Q37" s="290">
        <f>+'05-POA PROM DEFENSA DERECHOS'!G31</f>
        <v>2405</v>
      </c>
      <c r="R37" s="295"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57">
      <c r="B38" s="272">
        <f t="shared" si="5"/>
        <v>34</v>
      </c>
      <c r="C38" s="273" t="s">
        <v>683</v>
      </c>
      <c r="D38" s="272" t="s">
        <v>761</v>
      </c>
      <c r="E38" s="284" t="str">
        <f>+'05-POA PROM DEFENSA DERECHOS'!I32</f>
        <v>Seguimientos a la Amenaza y Vulneración de los Derechos, realizados</v>
      </c>
      <c r="F38" s="284" t="str">
        <f>+'05-POA PROM DEFENSA DERECHOS'!J32</f>
        <v>∑ Número de Seguimientos a la Amenaza y Vulneración de los Derechos Realizados</v>
      </c>
      <c r="G38" s="280" t="s">
        <v>713</v>
      </c>
      <c r="H38" s="275" t="s">
        <v>684</v>
      </c>
      <c r="I38" s="276">
        <v>95</v>
      </c>
      <c r="J38" s="277" t="str">
        <f t="shared" ref="J38:J66" si="8">IF(OR($H38="Mayor A:",$H38="Menor A:"),"Desde (&gt;=):",
IF(OR($H38="Mayor o Igual A:",$H38="Menor o Igual A:"),"Desde (&gt;):",
IF($H38="Igual A:","No Aplica",
IF($H38="",""))))</f>
        <v>Desde (&gt;=):</v>
      </c>
      <c r="K38" s="277">
        <f t="shared" si="1"/>
        <v>75</v>
      </c>
      <c r="L38" s="277" t="str">
        <f t="shared" ref="L38:L66" si="9">IF(OR($H38="Mayor A:",$H38="Menor A:"),"Hasta (&lt;=):",
IF(OR($H38="Mayor o Igual A:",$H38="Menor o Igual A:"),"Hasta (&lt;):",
IF($H38="Igual A:","No Aplica",
IF($H38="",""))))</f>
        <v>Hasta (&lt;=):</v>
      </c>
      <c r="M38" s="277">
        <f t="shared" si="3"/>
        <v>95</v>
      </c>
      <c r="N38" s="277" t="str">
        <f t="shared" ref="N38:N66" si="10">IF($H38="Mayor A:","Menor A:",
IF($H38="Menor A:","Mayor A:",
IF($H38="Mayor o Igual A:","Menor o Igual A:",
IF($H38="Menor o Igual A:","Mayor o Igual A:",
IF($H38="Igual A:","Igual A:",
IF($H38="",""))))))</f>
        <v>Menor A:</v>
      </c>
      <c r="O38" s="278">
        <v>75</v>
      </c>
      <c r="P38" s="290">
        <f>+'05-POA PROM DEFENSA DERECHOS'!F32</f>
        <v>792</v>
      </c>
      <c r="Q38" s="290">
        <f>+'05-POA PROM DEFENSA DERECHOS'!G32</f>
        <v>236</v>
      </c>
      <c r="R38" s="295"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5.6">
      <c r="B39" s="272">
        <f t="shared" si="5"/>
        <v>35</v>
      </c>
      <c r="C39" s="273" t="s">
        <v>683</v>
      </c>
      <c r="D39" s="272" t="s">
        <v>762</v>
      </c>
      <c r="E39" s="284" t="str">
        <f>+'05-POA PROM DEFENSA DERECHOS'!I33</f>
        <v>Actividades de acercamiento de la Entidad a la comunidad realizadas</v>
      </c>
      <c r="F39" s="284" t="str">
        <f>+'05-POA PROM DEFENSA DERECHOS'!J33</f>
        <v>∑ Número de Actividades Realizadas para Acercar la Entidad a la Comunidad</v>
      </c>
      <c r="G39" s="280" t="s">
        <v>713</v>
      </c>
      <c r="H39" s="275" t="s">
        <v>684</v>
      </c>
      <c r="I39" s="276">
        <v>95</v>
      </c>
      <c r="J39" s="277" t="str">
        <f t="shared" si="8"/>
        <v>Desde (&gt;=):</v>
      </c>
      <c r="K39" s="277">
        <f t="shared" si="1"/>
        <v>75</v>
      </c>
      <c r="L39" s="277" t="str">
        <f t="shared" si="9"/>
        <v>Hasta (&lt;=):</v>
      </c>
      <c r="M39" s="277">
        <f t="shared" si="3"/>
        <v>95</v>
      </c>
      <c r="N39" s="277" t="str">
        <f t="shared" si="10"/>
        <v>Menor A:</v>
      </c>
      <c r="O39" s="278">
        <v>75</v>
      </c>
      <c r="P39" s="290">
        <f>+'05-POA PROM DEFENSA DERECHOS'!F33</f>
        <v>20</v>
      </c>
      <c r="Q39" s="290">
        <f>+'05-POA PROM DEFENSA DERECHOS'!G33</f>
        <v>8</v>
      </c>
      <c r="R39" s="295" t="str">
        <f>+'05-POA PROM DEFENSA DERECHOS'!O33</f>
        <v>P.D. para la Coordinación del MP y DDHH y sus dependencias adscritas
 P.D. para la Coordinación de la Gestión de Personerías Locales y sus Personerías Locales adscritas</v>
      </c>
    </row>
    <row r="40" spans="2:18" ht="45.6">
      <c r="B40" s="272">
        <f t="shared" si="5"/>
        <v>36</v>
      </c>
      <c r="C40" s="273" t="s">
        <v>683</v>
      </c>
      <c r="D40" s="272" t="s">
        <v>763</v>
      </c>
      <c r="E40" s="284" t="str">
        <f>+'05-POA PROM DEFENSA DERECHOS'!I34</f>
        <v>Acciones realizadas para incrementar la cobertura de los servicios</v>
      </c>
      <c r="F40" s="284" t="str">
        <f>+'05-POA PROM DEFENSA DERECHOS'!J34</f>
        <v>∑ Número de acciones realizadas para incrementar la Cobertura</v>
      </c>
      <c r="G40" s="280" t="s">
        <v>713</v>
      </c>
      <c r="H40" s="275" t="s">
        <v>684</v>
      </c>
      <c r="I40" s="276">
        <v>95</v>
      </c>
      <c r="J40" s="277" t="str">
        <f t="shared" si="8"/>
        <v>Desde (&gt;=):</v>
      </c>
      <c r="K40" s="277">
        <f t="shared" si="1"/>
        <v>75</v>
      </c>
      <c r="L40" s="277" t="str">
        <f t="shared" si="9"/>
        <v>Hasta (&lt;=):</v>
      </c>
      <c r="M40" s="277">
        <f t="shared" si="3"/>
        <v>95</v>
      </c>
      <c r="N40" s="277" t="str">
        <f t="shared" si="10"/>
        <v>Menor A:</v>
      </c>
      <c r="O40" s="278">
        <v>75</v>
      </c>
      <c r="P40" s="290">
        <f>+'05-POA PROM DEFENSA DERECHOS'!F34</f>
        <v>11</v>
      </c>
      <c r="Q40" s="290">
        <f>+'05-POA PROM DEFENSA DERECHOS'!G34</f>
        <v>3</v>
      </c>
      <c r="R40" s="295" t="str">
        <f>+'05-POA PROM DEFENSA DERECHOS'!O34</f>
        <v>P.D. para la Coordinación del MP y DDHH y sus dependencias adscritas
 P.D. para la Coordinación de la Gestión de Personerías Locales y sus Personerías Locales adscritas</v>
      </c>
    </row>
    <row r="41" spans="2:18" ht="45.6">
      <c r="B41" s="272">
        <f t="shared" si="5"/>
        <v>37</v>
      </c>
      <c r="C41" s="273" t="s">
        <v>683</v>
      </c>
      <c r="D41" s="272" t="s">
        <v>764</v>
      </c>
      <c r="E41" s="284" t="str">
        <f>+'05-POA PROM DEFENSA DERECHOS'!I35</f>
        <v>Herramientas de promoción y prevención a infracciones del Derecho Internacional Humanitario implementadas</v>
      </c>
      <c r="F41" s="284" t="str">
        <f>+'05-POA PROM DEFENSA DERECHOS'!J35</f>
        <v>∑ Número de Herramientas de Promoción y Prevención a Infracciones del Derecho Internacional Humanitario Implementadas</v>
      </c>
      <c r="G41" s="280" t="s">
        <v>713</v>
      </c>
      <c r="H41" s="275" t="s">
        <v>684</v>
      </c>
      <c r="I41" s="276">
        <v>95</v>
      </c>
      <c r="J41" s="277" t="str">
        <f t="shared" si="8"/>
        <v>Desde (&gt;=):</v>
      </c>
      <c r="K41" s="277">
        <f t="shared" si="1"/>
        <v>75</v>
      </c>
      <c r="L41" s="277" t="str">
        <f t="shared" si="9"/>
        <v>Hasta (&lt;=):</v>
      </c>
      <c r="M41" s="277">
        <f t="shared" si="3"/>
        <v>95</v>
      </c>
      <c r="N41" s="277" t="str">
        <f t="shared" si="10"/>
        <v>Menor A:</v>
      </c>
      <c r="O41" s="278">
        <v>75</v>
      </c>
      <c r="P41" s="290">
        <f>+'05-POA PROM DEFENSA DERECHOS'!F35</f>
        <v>4</v>
      </c>
      <c r="Q41" s="290">
        <f>+'05-POA PROM DEFENSA DERECHOS'!G35</f>
        <v>1</v>
      </c>
      <c r="R41" s="295" t="str">
        <f>+'05-POA PROM DEFENSA DERECHOS'!O35</f>
        <v>P.D. para la Coordinación del MP y DDHH y sus dependencias adscritas
 P.D. para la Coordinación de la Gestión de Personerías Locales y sus Personerías Locales adscritas</v>
      </c>
    </row>
    <row r="42" spans="2:18" ht="70.2" customHeight="1">
      <c r="B42" s="272">
        <f t="shared" si="5"/>
        <v>38</v>
      </c>
      <c r="C42" s="281" t="s">
        <v>685</v>
      </c>
      <c r="D42" s="280" t="s">
        <v>768</v>
      </c>
      <c r="E42" s="289" t="str">
        <f>+'06-PREV CTRL FUN PÚBLICA'!I16</f>
        <v>Informes realizados en temas específicos.</v>
      </c>
      <c r="F42" s="289" t="str">
        <f>+'06-PREV CTRL FUN PÚBLICA'!J16</f>
        <v>Número de informes realizados en temas específicos programados en el periodo.</v>
      </c>
      <c r="G42" s="280" t="s">
        <v>713</v>
      </c>
      <c r="H42" s="275" t="s">
        <v>684</v>
      </c>
      <c r="I42" s="276">
        <v>95</v>
      </c>
      <c r="J42" s="277" t="str">
        <f t="shared" si="8"/>
        <v>Desde (&gt;=):</v>
      </c>
      <c r="K42" s="277">
        <f t="shared" si="1"/>
        <v>75</v>
      </c>
      <c r="L42" s="277" t="str">
        <f t="shared" si="9"/>
        <v>Hasta (&lt;=):</v>
      </c>
      <c r="M42" s="277">
        <f t="shared" si="3"/>
        <v>95</v>
      </c>
      <c r="N42" s="277" t="str">
        <f t="shared" si="10"/>
        <v>Menor A:</v>
      </c>
      <c r="O42" s="278">
        <v>75</v>
      </c>
      <c r="P42" s="297">
        <f>+'06-PREV CTRL FUN PÚBLICA'!F16</f>
        <v>16</v>
      </c>
      <c r="Q42" s="297">
        <f>+'06-PREV CTRL FUN PÚBLICA'!G16</f>
        <v>6</v>
      </c>
      <c r="R42" s="295"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272">
        <f t="shared" si="5"/>
        <v>39</v>
      </c>
      <c r="C43" s="281" t="s">
        <v>685</v>
      </c>
      <c r="D43" s="280" t="s">
        <v>771</v>
      </c>
      <c r="E43" s="289" t="str">
        <f>+'06-PREV CTRL FUN PÚBLICA'!I17</f>
        <v>Informes de seguimientos realizados en temas específicos.</v>
      </c>
      <c r="F43" s="289" t="str">
        <f>+'06-PREV CTRL FUN PÚBLICA'!J17</f>
        <v>Número informes de seguimientos realizados en temas específicos en el periodo.</v>
      </c>
      <c r="G43" s="280" t="s">
        <v>713</v>
      </c>
      <c r="H43" s="275" t="s">
        <v>684</v>
      </c>
      <c r="I43" s="276">
        <v>95</v>
      </c>
      <c r="J43" s="277" t="str">
        <f t="shared" si="8"/>
        <v>Desde (&gt;=):</v>
      </c>
      <c r="K43" s="277">
        <f t="shared" si="1"/>
        <v>75</v>
      </c>
      <c r="L43" s="277" t="str">
        <f t="shared" si="9"/>
        <v>Hasta (&lt;=):</v>
      </c>
      <c r="M43" s="277">
        <f t="shared" si="3"/>
        <v>95</v>
      </c>
      <c r="N43" s="277" t="str">
        <f t="shared" si="10"/>
        <v>Menor A:</v>
      </c>
      <c r="O43" s="278">
        <v>75</v>
      </c>
      <c r="P43" s="297">
        <f>+'06-PREV CTRL FUN PÚBLICA'!F17</f>
        <v>6</v>
      </c>
      <c r="Q43" s="297">
        <f>+'06-PREV CTRL FUN PÚBLICA'!G17</f>
        <v>3</v>
      </c>
      <c r="R43" s="295"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272">
        <f t="shared" si="5"/>
        <v>40</v>
      </c>
      <c r="C44" s="281" t="s">
        <v>685</v>
      </c>
      <c r="D44" s="280" t="s">
        <v>772</v>
      </c>
      <c r="E44" s="289" t="str">
        <f>+'06-PREV CTRL FUN PÚBLICA'!I18</f>
        <v>Acciones de Prevención y Control a la Función Pública realizadas, con informe.</v>
      </c>
      <c r="F44" s="289" t="str">
        <f>+'06-PREV CTRL FUN PÚBLICA'!J18</f>
        <v>Número de informes de Acción de Prevención y Control a la Función Publica realizados en el periodo.</v>
      </c>
      <c r="G44" s="280" t="s">
        <v>713</v>
      </c>
      <c r="H44" s="275" t="s">
        <v>684</v>
      </c>
      <c r="I44" s="276">
        <v>95</v>
      </c>
      <c r="J44" s="277" t="str">
        <f t="shared" si="8"/>
        <v>Desde (&gt;=):</v>
      </c>
      <c r="K44" s="277">
        <f t="shared" si="1"/>
        <v>75</v>
      </c>
      <c r="L44" s="277" t="str">
        <f t="shared" si="9"/>
        <v>Hasta (&lt;=):</v>
      </c>
      <c r="M44" s="277">
        <f t="shared" si="3"/>
        <v>95</v>
      </c>
      <c r="N44" s="277" t="str">
        <f t="shared" si="10"/>
        <v>Menor A:</v>
      </c>
      <c r="O44" s="278">
        <v>75</v>
      </c>
      <c r="P44" s="297">
        <f>+'06-PREV CTRL FUN PÚBLICA'!F18</f>
        <v>817</v>
      </c>
      <c r="Q44" s="297">
        <f>+'06-PREV CTRL FUN PÚBLICA'!G18</f>
        <v>259</v>
      </c>
      <c r="R44" s="295"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272">
        <f t="shared" si="5"/>
        <v>41</v>
      </c>
      <c r="C45" s="281" t="s">
        <v>685</v>
      </c>
      <c r="D45" s="280" t="s">
        <v>773</v>
      </c>
      <c r="E45" s="289" t="str">
        <f>+'06-PREV CTRL FUN PÚBLICA'!I19</f>
        <v>Seguimientos realizados sobre acciones previas, con informe</v>
      </c>
      <c r="F45" s="289" t="str">
        <f>+'06-PREV CTRL FUN PÚBLICA'!J19</f>
        <v>Número de informes de seguimientos realizados en el periodo.</v>
      </c>
      <c r="G45" s="280" t="s">
        <v>713</v>
      </c>
      <c r="H45" s="275" t="s">
        <v>684</v>
      </c>
      <c r="I45" s="276">
        <v>95</v>
      </c>
      <c r="J45" s="277" t="str">
        <f t="shared" si="8"/>
        <v>Desde (&gt;=):</v>
      </c>
      <c r="K45" s="277">
        <f t="shared" si="1"/>
        <v>75</v>
      </c>
      <c r="L45" s="277" t="str">
        <f t="shared" si="9"/>
        <v>Hasta (&lt;=):</v>
      </c>
      <c r="M45" s="277">
        <f t="shared" si="3"/>
        <v>95</v>
      </c>
      <c r="N45" s="277" t="str">
        <f t="shared" si="10"/>
        <v>Menor A:</v>
      </c>
      <c r="O45" s="278">
        <v>75</v>
      </c>
      <c r="P45" s="297">
        <f>+'06-PREV CTRL FUN PÚBLICA'!F19</f>
        <v>135</v>
      </c>
      <c r="Q45" s="297">
        <f>+'06-PREV CTRL FUN PÚBLICA'!G19</f>
        <v>30</v>
      </c>
      <c r="R45" s="295"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272">
        <f t="shared" si="5"/>
        <v>42</v>
      </c>
      <c r="C46" s="281" t="s">
        <v>685</v>
      </c>
      <c r="D46" s="280" t="s">
        <v>774</v>
      </c>
      <c r="E46" s="289" t="str">
        <f>+'06-PREV CTRL FUN PÚBLICA'!I20</f>
        <v>Audiencias públicas y/o mesas de trabajo realizadas.</v>
      </c>
      <c r="F46" s="289" t="str">
        <f>+'06-PREV CTRL FUN PÚBLICA'!J20</f>
        <v>Número de audiencias públicas y/o mesas de trabajo realizadas en el periodo.</v>
      </c>
      <c r="G46" s="280" t="s">
        <v>713</v>
      </c>
      <c r="H46" s="275" t="s">
        <v>684</v>
      </c>
      <c r="I46" s="276">
        <v>95</v>
      </c>
      <c r="J46" s="277" t="str">
        <f t="shared" si="8"/>
        <v>Desde (&gt;=):</v>
      </c>
      <c r="K46" s="277">
        <f t="shared" si="1"/>
        <v>75</v>
      </c>
      <c r="L46" s="277" t="str">
        <f t="shared" si="9"/>
        <v>Hasta (&lt;=):</v>
      </c>
      <c r="M46" s="277">
        <f t="shared" si="3"/>
        <v>95</v>
      </c>
      <c r="N46" s="277" t="str">
        <f t="shared" si="10"/>
        <v>Menor A:</v>
      </c>
      <c r="O46" s="278">
        <v>75</v>
      </c>
      <c r="P46" s="297">
        <f>+'06-PREV CTRL FUN PÚBLICA'!F20</f>
        <v>52</v>
      </c>
      <c r="Q46" s="297">
        <f>+'06-PREV CTRL FUN PÚBLICA'!G20</f>
        <v>15</v>
      </c>
      <c r="R46" s="295" t="str">
        <f>+'06-PREV CTRL FUN PÚBLICA'!O20</f>
        <v>Personería Delegada para la Coordinación de Prevención y Control a la Función Pública y sus Personerías Delegadas.</v>
      </c>
    </row>
    <row r="47" spans="2:18" ht="26.4">
      <c r="B47" s="272">
        <f t="shared" si="5"/>
        <v>43</v>
      </c>
      <c r="C47" s="281" t="s">
        <v>685</v>
      </c>
      <c r="D47" s="280" t="s">
        <v>775</v>
      </c>
      <c r="E47" s="289" t="str">
        <f>+'06-PREV CTRL FUN PÚBLICA'!I21</f>
        <v>Acompañamientos a los ciudadanos realizados.</v>
      </c>
      <c r="F47" s="289" t="str">
        <f>+'06-PREV CTRL FUN PÚBLICA'!J21</f>
        <v>Número de acompañamientos a los ciudadanos realizados en el periodo.</v>
      </c>
      <c r="G47" s="280" t="s">
        <v>713</v>
      </c>
      <c r="H47" s="275" t="s">
        <v>684</v>
      </c>
      <c r="I47" s="276">
        <v>95</v>
      </c>
      <c r="J47" s="277" t="str">
        <f t="shared" si="8"/>
        <v>Desde (&gt;=):</v>
      </c>
      <c r="K47" s="277">
        <f t="shared" si="1"/>
        <v>75</v>
      </c>
      <c r="L47" s="277" t="str">
        <f t="shared" si="9"/>
        <v>Hasta (&lt;=):</v>
      </c>
      <c r="M47" s="277">
        <f t="shared" si="3"/>
        <v>95</v>
      </c>
      <c r="N47" s="277" t="str">
        <f t="shared" si="10"/>
        <v>Menor A:</v>
      </c>
      <c r="O47" s="278">
        <v>75</v>
      </c>
      <c r="P47" s="297">
        <f>+'06-PREV CTRL FUN PÚBLICA'!F21</f>
        <v>160</v>
      </c>
      <c r="Q47" s="297">
        <f>+'06-PREV CTRL FUN PÚBLICA'!G21</f>
        <v>40</v>
      </c>
      <c r="R47" s="295" t="str">
        <f>+'06-PREV CTRL FUN PÚBLICA'!O21</f>
        <v xml:space="preserve">Personería Delegada para la Coordinación de Gestión de las Personerías Locales y sus Personerías Locales. </v>
      </c>
    </row>
    <row r="48" spans="2:18" ht="45.6">
      <c r="B48" s="272">
        <f t="shared" si="5"/>
        <v>44</v>
      </c>
      <c r="C48" s="281" t="s">
        <v>685</v>
      </c>
      <c r="D48" s="280" t="s">
        <v>776</v>
      </c>
      <c r="E48" s="289" t="str">
        <f>+'06-PREV CTRL FUN PÚBLICA'!I22</f>
        <v>Espacios de dialogo realizados.</v>
      </c>
      <c r="F48" s="289" t="str">
        <f>+'06-PREV CTRL FUN PÚBLICA'!J22</f>
        <v>Número de espacios de dialogo realizados en el periodo.</v>
      </c>
      <c r="G48" s="280" t="s">
        <v>713</v>
      </c>
      <c r="H48" s="275" t="s">
        <v>684</v>
      </c>
      <c r="I48" s="276">
        <v>95</v>
      </c>
      <c r="J48" s="277" t="str">
        <f t="shared" si="8"/>
        <v>Desde (&gt;=):</v>
      </c>
      <c r="K48" s="277">
        <f t="shared" si="1"/>
        <v>75</v>
      </c>
      <c r="L48" s="277" t="str">
        <f t="shared" si="9"/>
        <v>Hasta (&lt;=):</v>
      </c>
      <c r="M48" s="277">
        <f t="shared" si="3"/>
        <v>95</v>
      </c>
      <c r="N48" s="277" t="str">
        <f t="shared" si="10"/>
        <v>Menor A:</v>
      </c>
      <c r="O48" s="278">
        <v>75</v>
      </c>
      <c r="P48" s="297">
        <f>+'06-PREV CTRL FUN PÚBLICA'!F22</f>
        <v>100</v>
      </c>
      <c r="Q48" s="297">
        <f>+'06-PREV CTRL FUN PÚBLICA'!G22</f>
        <v>30</v>
      </c>
      <c r="R48" s="295"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272">
        <f t="shared" si="5"/>
        <v>45</v>
      </c>
      <c r="C49" s="282" t="s">
        <v>686</v>
      </c>
      <c r="D49" s="280" t="s">
        <v>769</v>
      </c>
      <c r="E49" s="289" t="str">
        <f>+'07-POTESTAD DISCIPLINARIA'!I16</f>
        <v>Procesos priorizados identificados y decididos de fondo</v>
      </c>
      <c r="F49" s="289" t="str">
        <f>+'07-POTESTAD DISCIPLINARIA'!J16</f>
        <v>Número de procesos priorizados con decisiones de fondo proferidas</v>
      </c>
      <c r="G49" s="280" t="s">
        <v>713</v>
      </c>
      <c r="H49" s="275" t="s">
        <v>684</v>
      </c>
      <c r="I49" s="276">
        <v>95</v>
      </c>
      <c r="J49" s="277" t="str">
        <f t="shared" si="8"/>
        <v>Desde (&gt;=):</v>
      </c>
      <c r="K49" s="277">
        <f t="shared" si="1"/>
        <v>75</v>
      </c>
      <c r="L49" s="277" t="str">
        <f t="shared" si="9"/>
        <v>Hasta (&lt;=):</v>
      </c>
      <c r="M49" s="277">
        <f t="shared" si="3"/>
        <v>95</v>
      </c>
      <c r="N49" s="277" t="str">
        <f t="shared" si="10"/>
        <v>Menor A:</v>
      </c>
      <c r="O49" s="278">
        <v>75</v>
      </c>
      <c r="P49" s="290">
        <f>+'07-POTESTAD DISCIPLINARIA'!F16</f>
        <v>6700</v>
      </c>
      <c r="Q49" s="290">
        <f>+'07-POTESTAD DISCIPLINARIA'!G16</f>
        <v>1800</v>
      </c>
      <c r="R49" s="295" t="str">
        <f>+'07-POTESTAD DISCIPLINARIA'!O16</f>
        <v>Personería Delegada para la Coordinación de Potestad Disciplinaria</v>
      </c>
    </row>
    <row r="50" spans="2:18" ht="39.6">
      <c r="B50" s="272">
        <f t="shared" si="5"/>
        <v>46</v>
      </c>
      <c r="C50" s="282" t="s">
        <v>686</v>
      </c>
      <c r="D50" s="280" t="s">
        <v>777</v>
      </c>
      <c r="E50" s="289" t="str">
        <f>+'07-POTESTAD DISCIPLINARIA'!I17</f>
        <v>Noticias disciplinarias  evaluadas y con impulso procesal</v>
      </c>
      <c r="F50" s="289" t="str">
        <f>+'07-POTESTAD DISCIPLINARIA'!J17</f>
        <v>Número de noticias disciplinarias evaluadas y con impulso procesal/ Número de noticias disciplinaria comisionadas a las Delegadas</v>
      </c>
      <c r="G50" s="280" t="s">
        <v>713</v>
      </c>
      <c r="H50" s="275" t="s">
        <v>684</v>
      </c>
      <c r="I50" s="276">
        <v>95</v>
      </c>
      <c r="J50" s="277" t="str">
        <f t="shared" si="8"/>
        <v>Desde (&gt;=):</v>
      </c>
      <c r="K50" s="277">
        <f t="shared" si="1"/>
        <v>75</v>
      </c>
      <c r="L50" s="277" t="str">
        <f t="shared" si="9"/>
        <v>Hasta (&lt;=):</v>
      </c>
      <c r="M50" s="277">
        <f t="shared" si="3"/>
        <v>95</v>
      </c>
      <c r="N50" s="277" t="str">
        <f t="shared" si="10"/>
        <v>Menor A:</v>
      </c>
      <c r="O50" s="278">
        <v>75</v>
      </c>
      <c r="P50" s="294">
        <f>+'07-POTESTAD DISCIPLINARIA'!F17</f>
        <v>1</v>
      </c>
      <c r="Q50" s="294">
        <f>+'07-POTESTAD DISCIPLINARIA'!G17</f>
        <v>1</v>
      </c>
      <c r="R50" s="295" t="str">
        <f>+'07-POTESTAD DISCIPLINARIA'!O17</f>
        <v>Personería Delegada para la Coordinación de Potestad Disciplinaria</v>
      </c>
    </row>
    <row r="51" spans="2:18" ht="26.4">
      <c r="B51" s="272">
        <f t="shared" si="5"/>
        <v>47</v>
      </c>
      <c r="C51" s="282" t="s">
        <v>686</v>
      </c>
      <c r="D51" s="280" t="s">
        <v>778</v>
      </c>
      <c r="E51" s="289" t="str">
        <f>+'07-POTESTAD DISCIPLINARIA'!I18</f>
        <v>Visitas de seguimiento a Oficinas de Control Interno Disciplinario realizadas</v>
      </c>
      <c r="F51" s="289" t="str">
        <f>+'07-POTESTAD DISCIPLINARIA'!J18</f>
        <v>Número de visitas de seguimiento a OCID realizadas</v>
      </c>
      <c r="G51" s="280" t="s">
        <v>713</v>
      </c>
      <c r="H51" s="275" t="s">
        <v>684</v>
      </c>
      <c r="I51" s="276">
        <v>95</v>
      </c>
      <c r="J51" s="277" t="str">
        <f t="shared" si="8"/>
        <v>Desde (&gt;=):</v>
      </c>
      <c r="K51" s="277">
        <f t="shared" si="1"/>
        <v>75</v>
      </c>
      <c r="L51" s="277" t="str">
        <f t="shared" si="9"/>
        <v>Hasta (&lt;=):</v>
      </c>
      <c r="M51" s="277">
        <f t="shared" si="3"/>
        <v>95</v>
      </c>
      <c r="N51" s="277" t="str">
        <f t="shared" si="10"/>
        <v>Menor A:</v>
      </c>
      <c r="O51" s="278">
        <v>75</v>
      </c>
      <c r="P51" s="290">
        <f>+'07-POTESTAD DISCIPLINARIA'!F18</f>
        <v>204</v>
      </c>
      <c r="Q51" s="290">
        <f>+'07-POTESTAD DISCIPLINARIA'!G18</f>
        <v>51</v>
      </c>
      <c r="R51" s="295" t="str">
        <f>+'07-POTESTAD DISCIPLINARIA'!O18</f>
        <v>Personería Delegada para la Coordinación de Potestad Disciplinaria</v>
      </c>
    </row>
    <row r="52" spans="2:18" ht="39.6">
      <c r="B52" s="272">
        <f t="shared" si="5"/>
        <v>48</v>
      </c>
      <c r="C52" s="282" t="s">
        <v>686</v>
      </c>
      <c r="D52" s="280" t="s">
        <v>779</v>
      </c>
      <c r="E52" s="289" t="str">
        <f>+'07-POTESTAD DISCIPLINARIA'!I19</f>
        <v>Procesos de interés e impacto asumidos por competencia</v>
      </c>
      <c r="F52" s="289" t="str">
        <f>+'07-POTESTAD DISCIPLINARIA'!J19</f>
        <v>Número de solicitudes a petición asumidas por poder preferente/ Número total de peticiones solicitadas por poder preferente</v>
      </c>
      <c r="G52" s="280" t="s">
        <v>713</v>
      </c>
      <c r="H52" s="275" t="s">
        <v>684</v>
      </c>
      <c r="I52" s="276">
        <v>95</v>
      </c>
      <c r="J52" s="277" t="str">
        <f t="shared" si="8"/>
        <v>Desde (&gt;=):</v>
      </c>
      <c r="K52" s="277">
        <f t="shared" si="1"/>
        <v>75</v>
      </c>
      <c r="L52" s="277" t="str">
        <f t="shared" si="9"/>
        <v>Hasta (&lt;=):</v>
      </c>
      <c r="M52" s="277">
        <f t="shared" si="3"/>
        <v>95</v>
      </c>
      <c r="N52" s="277" t="str">
        <f t="shared" si="10"/>
        <v>Menor A:</v>
      </c>
      <c r="O52" s="278">
        <v>75</v>
      </c>
      <c r="P52" s="294">
        <f>+'07-POTESTAD DISCIPLINARIA'!F19</f>
        <v>1</v>
      </c>
      <c r="Q52" s="294">
        <f>+'07-POTESTAD DISCIPLINARIA'!G19</f>
        <v>1</v>
      </c>
      <c r="R52" s="295" t="str">
        <f>+'07-POTESTAD DISCIPLINARIA'!O19</f>
        <v>Personería Delegada para la Coordinación de Potestad Disciplinaria</v>
      </c>
    </row>
    <row r="53" spans="2:18" ht="26.4">
      <c r="B53" s="272">
        <f t="shared" si="5"/>
        <v>49</v>
      </c>
      <c r="C53" s="282" t="s">
        <v>686</v>
      </c>
      <c r="D53" s="280" t="s">
        <v>780</v>
      </c>
      <c r="E53" s="289" t="str">
        <f>+'07-POTESTAD DISCIPLINARIA'!I20</f>
        <v>Escenarios de intercambio de conocimiento generados</v>
      </c>
      <c r="F53" s="289" t="str">
        <f>+'07-POTESTAD DISCIPLINARIA'!J20</f>
        <v xml:space="preserve">Número de escenarios de sensibilización generados </v>
      </c>
      <c r="G53" s="280" t="s">
        <v>713</v>
      </c>
      <c r="H53" s="275" t="s">
        <v>684</v>
      </c>
      <c r="I53" s="276">
        <v>95</v>
      </c>
      <c r="J53" s="277" t="str">
        <f t="shared" si="8"/>
        <v>Desde (&gt;=):</v>
      </c>
      <c r="K53" s="277">
        <f t="shared" si="1"/>
        <v>75</v>
      </c>
      <c r="L53" s="277" t="str">
        <f t="shared" si="9"/>
        <v>Hasta (&lt;=):</v>
      </c>
      <c r="M53" s="277">
        <f t="shared" si="3"/>
        <v>95</v>
      </c>
      <c r="N53" s="277" t="str">
        <f t="shared" si="10"/>
        <v>Menor A:</v>
      </c>
      <c r="O53" s="278">
        <v>75</v>
      </c>
      <c r="P53" s="290">
        <f>+'07-POTESTAD DISCIPLINARIA'!F20</f>
        <v>8</v>
      </c>
      <c r="Q53" s="290">
        <f>+'07-POTESTAD DISCIPLINARIA'!G20</f>
        <v>2</v>
      </c>
      <c r="R53" s="295" t="str">
        <f>+'07-POTESTAD DISCIPLINARIA'!O20</f>
        <v>Personería Delegada para la Coordinación de Potestad Disciplinaria</v>
      </c>
    </row>
    <row r="54" spans="2:18" ht="26.4">
      <c r="B54" s="272">
        <f t="shared" si="5"/>
        <v>50</v>
      </c>
      <c r="C54" s="282" t="s">
        <v>686</v>
      </c>
      <c r="D54" s="280" t="s">
        <v>781</v>
      </c>
      <c r="E54" s="289" t="str">
        <f>+'07-POTESTAD DISCIPLINARIA'!I21</f>
        <v xml:space="preserve">Sistema de Comunicación con las Oficinas de Control Interno Disciplinario implementado </v>
      </c>
      <c r="F54" s="289" t="str">
        <f>+'07-POTESTAD DISCIPLINARIA'!J21</f>
        <v>Porcentaje de avance en la implementación del Sistema de Comunicación</v>
      </c>
      <c r="G54" s="280" t="s">
        <v>713</v>
      </c>
      <c r="H54" s="275" t="s">
        <v>684</v>
      </c>
      <c r="I54" s="276">
        <v>95</v>
      </c>
      <c r="J54" s="277" t="str">
        <f t="shared" si="8"/>
        <v>Desde (&gt;=):</v>
      </c>
      <c r="K54" s="277">
        <f t="shared" si="1"/>
        <v>75</v>
      </c>
      <c r="L54" s="277" t="str">
        <f t="shared" si="9"/>
        <v>Hasta (&lt;=):</v>
      </c>
      <c r="M54" s="277">
        <f t="shared" si="3"/>
        <v>95</v>
      </c>
      <c r="N54" s="277" t="str">
        <f t="shared" si="10"/>
        <v>Menor A:</v>
      </c>
      <c r="O54" s="278">
        <v>75</v>
      </c>
      <c r="P54" s="290">
        <f>+'07-POTESTAD DISCIPLINARIA'!F21</f>
        <v>1</v>
      </c>
      <c r="Q54" s="292">
        <f>+'07-POTESTAD DISCIPLINARIA'!G21</f>
        <v>0</v>
      </c>
      <c r="R54" s="295" t="str">
        <f>+'07-POTESTAD DISCIPLINARIA'!O21</f>
        <v>Personería Delegada para la Coordinación de Potestad Disciplinaria</v>
      </c>
    </row>
    <row r="55" spans="2:18" ht="26.4">
      <c r="B55" s="272">
        <f t="shared" si="5"/>
        <v>51</v>
      </c>
      <c r="C55" s="282" t="s">
        <v>686</v>
      </c>
      <c r="D55" s="280" t="s">
        <v>782</v>
      </c>
      <c r="E55" s="289" t="str">
        <f>+'07-POTESTAD DISCIPLINARIA'!I22</f>
        <v xml:space="preserve">Sistema de información misional implementado </v>
      </c>
      <c r="F55" s="289" t="str">
        <f>+'07-POTESTAD DISCIPLINARIA'!J22</f>
        <v>Porcentaje de avance en la implementación de Sistema de Información</v>
      </c>
      <c r="G55" s="280" t="s">
        <v>713</v>
      </c>
      <c r="H55" s="275" t="s">
        <v>684</v>
      </c>
      <c r="I55" s="276">
        <v>95</v>
      </c>
      <c r="J55" s="277" t="str">
        <f t="shared" si="8"/>
        <v>Desde (&gt;=):</v>
      </c>
      <c r="K55" s="277">
        <f t="shared" si="1"/>
        <v>75</v>
      </c>
      <c r="L55" s="277" t="str">
        <f t="shared" si="9"/>
        <v>Hasta (&lt;=):</v>
      </c>
      <c r="M55" s="277">
        <f t="shared" si="3"/>
        <v>95</v>
      </c>
      <c r="N55" s="277" t="str">
        <f t="shared" si="10"/>
        <v>Menor A:</v>
      </c>
      <c r="O55" s="278">
        <v>75</v>
      </c>
      <c r="P55" s="290">
        <f>+'07-POTESTAD DISCIPLINARIA'!F22</f>
        <v>1</v>
      </c>
      <c r="Q55" s="292">
        <f>+'07-POTESTAD DISCIPLINARIA'!G22</f>
        <v>0.3</v>
      </c>
      <c r="R55" s="295" t="str">
        <f>+'07-POTESTAD DISCIPLINARIA'!O22</f>
        <v>Personería Delegada para la Coordinación de Potestad Disciplinaria</v>
      </c>
    </row>
    <row r="56" spans="2:18" ht="26.4">
      <c r="B56" s="272">
        <f t="shared" si="5"/>
        <v>52</v>
      </c>
      <c r="C56" s="282" t="s">
        <v>686</v>
      </c>
      <c r="D56" s="280" t="s">
        <v>783</v>
      </c>
      <c r="E56" s="289" t="str">
        <f>+'07-POTESTAD DISCIPLINARIA'!I23</f>
        <v>Relatoría diseñada e implementada</v>
      </c>
      <c r="F56" s="289" t="str">
        <f>+'07-POTESTAD DISCIPLINARIA'!J23</f>
        <v>Porcentaje de avance en la implementación de la relatoría</v>
      </c>
      <c r="G56" s="280" t="s">
        <v>713</v>
      </c>
      <c r="H56" s="275" t="s">
        <v>684</v>
      </c>
      <c r="I56" s="276">
        <v>95</v>
      </c>
      <c r="J56" s="277" t="str">
        <f t="shared" si="8"/>
        <v>Desde (&gt;=):</v>
      </c>
      <c r="K56" s="277">
        <f t="shared" si="1"/>
        <v>75</v>
      </c>
      <c r="L56" s="277" t="str">
        <f t="shared" si="9"/>
        <v>Hasta (&lt;=):</v>
      </c>
      <c r="M56" s="277">
        <f t="shared" si="3"/>
        <v>95</v>
      </c>
      <c r="N56" s="277" t="str">
        <f t="shared" si="10"/>
        <v>Menor A:</v>
      </c>
      <c r="O56" s="278">
        <v>75</v>
      </c>
      <c r="P56" s="290">
        <f>+'07-POTESTAD DISCIPLINARIA'!F23</f>
        <v>1</v>
      </c>
      <c r="Q56" s="292">
        <f>+'07-POTESTAD DISCIPLINARIA'!G23</f>
        <v>0.4</v>
      </c>
      <c r="R56" s="295" t="str">
        <f>+'07-POTESTAD DISCIPLINARIA'!O23</f>
        <v>Personería Delegada para la Coordinación de Potestad Disciplinaria</v>
      </c>
    </row>
    <row r="57" spans="2:18" ht="54" customHeight="1">
      <c r="B57" s="272">
        <f t="shared" si="5"/>
        <v>53</v>
      </c>
      <c r="C57" s="283" t="s">
        <v>687</v>
      </c>
      <c r="D57" s="280" t="s">
        <v>770</v>
      </c>
      <c r="E57" s="289" t="str">
        <f>+'08-G. DEL TALENTO HUMANO'!I16</f>
        <v>Porcentaje de novedades y situaciones administrativas gestionadas</v>
      </c>
      <c r="F57" s="289" t="str">
        <f>+'08-G. DEL TALENTO HUMANO'!J16</f>
        <v>N° de novedades y situaciones administrativas gestionadas /  N° requerimientos de novedades y situaciones administrativas presentados * 100</v>
      </c>
      <c r="G57" s="280" t="s">
        <v>713</v>
      </c>
      <c r="H57" s="275" t="s">
        <v>684</v>
      </c>
      <c r="I57" s="276">
        <v>95</v>
      </c>
      <c r="J57" s="277" t="str">
        <f t="shared" si="8"/>
        <v>Desde (&gt;=):</v>
      </c>
      <c r="K57" s="277">
        <f t="shared" si="1"/>
        <v>75</v>
      </c>
      <c r="L57" s="277" t="str">
        <f t="shared" si="9"/>
        <v>Hasta (&lt;=):</v>
      </c>
      <c r="M57" s="277">
        <f t="shared" si="3"/>
        <v>95</v>
      </c>
      <c r="N57" s="277" t="str">
        <f t="shared" si="10"/>
        <v>Menor A:</v>
      </c>
      <c r="O57" s="278">
        <v>75</v>
      </c>
      <c r="P57" s="291">
        <f>+'08-G. DEL TALENTO HUMANO'!F16</f>
        <v>1</v>
      </c>
      <c r="Q57" s="291">
        <f>+'08-G. DEL TALENTO HUMANO'!G16</f>
        <v>1</v>
      </c>
      <c r="R57" s="295" t="str">
        <f>+'08-G. DEL TALENTO HUMANO'!O16</f>
        <v xml:space="preserve">
Dirección de Talento Humano
</v>
      </c>
    </row>
    <row r="58" spans="2:18" ht="79.2" customHeight="1">
      <c r="B58" s="272">
        <f t="shared" si="5"/>
        <v>54</v>
      </c>
      <c r="C58" s="283" t="s">
        <v>687</v>
      </c>
      <c r="D58" s="280" t="s">
        <v>786</v>
      </c>
      <c r="E58" s="289" t="str">
        <f>+'08-G. DEL TALENTO HUMANO'!I17</f>
        <v xml:space="preserve">Novedades incluidas en la nómina  oportunamente  </v>
      </c>
      <c r="F58" s="289" t="str">
        <f>+'08-G. DEL TALENTO HUMANO'!J17</f>
        <v xml:space="preserve"> N° de Novedades incluidas en la Nomina oportunamente / N° de novedades radicadas en los plazos establecidos</v>
      </c>
      <c r="G58" s="280" t="s">
        <v>713</v>
      </c>
      <c r="H58" s="275" t="s">
        <v>684</v>
      </c>
      <c r="I58" s="276">
        <v>95</v>
      </c>
      <c r="J58" s="277" t="str">
        <f t="shared" si="8"/>
        <v>Desde (&gt;=):</v>
      </c>
      <c r="K58" s="277">
        <f t="shared" si="1"/>
        <v>75</v>
      </c>
      <c r="L58" s="277" t="str">
        <f t="shared" si="9"/>
        <v>Hasta (&lt;=):</v>
      </c>
      <c r="M58" s="277">
        <f t="shared" si="3"/>
        <v>95</v>
      </c>
      <c r="N58" s="277" t="str">
        <f t="shared" si="10"/>
        <v>Menor A:</v>
      </c>
      <c r="O58" s="278">
        <v>75</v>
      </c>
      <c r="P58" s="291">
        <f>+'08-G. DEL TALENTO HUMANO'!F17</f>
        <v>0.97799999999999998</v>
      </c>
      <c r="Q58" s="291">
        <f>+'08-G. DEL TALENTO HUMANO'!G17</f>
        <v>0.98</v>
      </c>
      <c r="R58" s="295" t="str">
        <f>+'08-G. DEL TALENTO HUMANO'!O17</f>
        <v>Dependencia Líder: 
Dirección de Talento Humano
Dependencia Operativa:
Subdirección de Gestión del Talento Humano</v>
      </c>
    </row>
    <row r="59" spans="2:18" ht="66">
      <c r="B59" s="272">
        <f t="shared" si="5"/>
        <v>55</v>
      </c>
      <c r="C59" s="283" t="s">
        <v>687</v>
      </c>
      <c r="D59" s="280" t="s">
        <v>787</v>
      </c>
      <c r="E59" s="289" t="str">
        <f>+'08-G. DEL TALENTO HUMANO'!I18</f>
        <v>Porcentaje de Usuarios internos satisfechos con las solicitudes de los servicios atendidas de la SGTH (Certificaciones laborales, bonos pensionales y autorizaciones de retiro de cesantías)</v>
      </c>
      <c r="F59" s="289" t="str">
        <f>+'08-G. DEL TALENTO HUMANO'!J18</f>
        <v>N° de usuarios satisfechos con las solicitudes de servicios atendidas por la SGTH (Certificaciones laborales, bonos pensionales y autorizaciones de retiro de cesantías. / N° de usuarios encuestados *100</v>
      </c>
      <c r="G59" s="280" t="s">
        <v>721</v>
      </c>
      <c r="H59" s="275" t="s">
        <v>684</v>
      </c>
      <c r="I59" s="276">
        <v>95</v>
      </c>
      <c r="J59" s="277" t="str">
        <f t="shared" si="8"/>
        <v>Desde (&gt;=):</v>
      </c>
      <c r="K59" s="277">
        <f t="shared" si="1"/>
        <v>75</v>
      </c>
      <c r="L59" s="277" t="str">
        <f t="shared" si="9"/>
        <v>Hasta (&lt;=):</v>
      </c>
      <c r="M59" s="277">
        <f t="shared" si="3"/>
        <v>95</v>
      </c>
      <c r="N59" s="277" t="str">
        <f t="shared" si="10"/>
        <v>Menor A:</v>
      </c>
      <c r="O59" s="278">
        <v>75</v>
      </c>
      <c r="P59" s="291">
        <f>+'08-G. DEL TALENTO HUMANO'!F18</f>
        <v>0.94499999999999995</v>
      </c>
      <c r="Q59" s="291">
        <f>+'08-G. DEL TALENTO HUMANO'!G18</f>
        <v>0.96</v>
      </c>
      <c r="R59" s="295" t="str">
        <f>+'08-G. DEL TALENTO HUMANO'!O18</f>
        <v>Dependencia Líder: 
Dirección de Talento Humano
Dependencia Operativa:
Subdirección de Gestión del Talento Humano</v>
      </c>
    </row>
    <row r="60" spans="2:18" ht="62.4" customHeight="1">
      <c r="B60" s="272">
        <f t="shared" si="5"/>
        <v>56</v>
      </c>
      <c r="C60" s="283" t="s">
        <v>687</v>
      </c>
      <c r="D60" s="280" t="s">
        <v>788</v>
      </c>
      <c r="E60" s="289" t="str">
        <f>+'08-G. DEL TALENTO HUMANO'!I19</f>
        <v>Plan Institucional de Capacitación formulado y ejecutado</v>
      </c>
      <c r="F60" s="289" t="str">
        <f>+'08-G. DEL TALENTO HUMANO'!J19</f>
        <v>Grado de avance en la formulación y ejecución del Plan Institucional de Capacitación</v>
      </c>
      <c r="G60" s="280" t="s">
        <v>713</v>
      </c>
      <c r="H60" s="275" t="s">
        <v>684</v>
      </c>
      <c r="I60" s="276">
        <v>95</v>
      </c>
      <c r="J60" s="277" t="str">
        <f t="shared" si="8"/>
        <v>Desde (&gt;=):</v>
      </c>
      <c r="K60" s="277">
        <f t="shared" si="1"/>
        <v>75</v>
      </c>
      <c r="L60" s="277" t="str">
        <f t="shared" si="9"/>
        <v>Hasta (&lt;=):</v>
      </c>
      <c r="M60" s="277">
        <f t="shared" si="3"/>
        <v>95</v>
      </c>
      <c r="N60" s="277" t="str">
        <f t="shared" si="10"/>
        <v>Menor A:</v>
      </c>
      <c r="O60" s="278">
        <v>75</v>
      </c>
      <c r="P60" s="291">
        <f>+'08-G. DEL TALENTO HUMANO'!F19</f>
        <v>1</v>
      </c>
      <c r="Q60" s="291">
        <f>+'08-G. DEL TALENTO HUMANO'!G19</f>
        <v>1</v>
      </c>
      <c r="R60" s="295" t="str">
        <f>+'08-G. DEL TALENTO HUMANO'!O19</f>
        <v>Dependencia Líder: 
Dirección de Talento Humano
Dependencia Operativa:
Subdirección de Desarrollo del Talento Humano</v>
      </c>
    </row>
    <row r="61" spans="2:18" ht="63" customHeight="1">
      <c r="B61" s="272">
        <f t="shared" si="5"/>
        <v>57</v>
      </c>
      <c r="C61" s="283" t="s">
        <v>687</v>
      </c>
      <c r="D61" s="280" t="s">
        <v>789</v>
      </c>
      <c r="E61" s="289" t="str">
        <f>+'08-G. DEL TALENTO HUMANO'!I20</f>
        <v>Plan Institucional de Bienestar formulado y ejecutado</v>
      </c>
      <c r="F61" s="289" t="str">
        <f>+'08-G. DEL TALENTO HUMANO'!J20</f>
        <v>Grado de avance en la formulación y ejecución del Plan Institucional de Bienestar</v>
      </c>
      <c r="G61" s="280" t="s">
        <v>713</v>
      </c>
      <c r="H61" s="275" t="s">
        <v>684</v>
      </c>
      <c r="I61" s="276">
        <v>95</v>
      </c>
      <c r="J61" s="277" t="str">
        <f t="shared" si="8"/>
        <v>Desde (&gt;=):</v>
      </c>
      <c r="K61" s="277">
        <f t="shared" si="1"/>
        <v>75</v>
      </c>
      <c r="L61" s="277" t="str">
        <f t="shared" si="9"/>
        <v>Hasta (&lt;=):</v>
      </c>
      <c r="M61" s="277">
        <f t="shared" si="3"/>
        <v>95</v>
      </c>
      <c r="N61" s="277" t="str">
        <f t="shared" si="10"/>
        <v>Menor A:</v>
      </c>
      <c r="O61" s="278">
        <v>75</v>
      </c>
      <c r="P61" s="291">
        <f>+'08-G. DEL TALENTO HUMANO'!F20</f>
        <v>1</v>
      </c>
      <c r="Q61" s="291">
        <f>+'08-G. DEL TALENTO HUMANO'!G20</f>
        <v>1</v>
      </c>
      <c r="R61" s="295" t="str">
        <f>+'08-G. DEL TALENTO HUMANO'!O20</f>
        <v>Dependencia Líder: 
Dirección de Talento Humano
Dependencia Operativa:
Subdirección de Desarrollo del Talento Humano</v>
      </c>
    </row>
    <row r="62" spans="2:18" ht="57">
      <c r="B62" s="272">
        <f t="shared" si="5"/>
        <v>58</v>
      </c>
      <c r="C62" s="283" t="s">
        <v>687</v>
      </c>
      <c r="D62" s="280" t="s">
        <v>790</v>
      </c>
      <c r="E62" s="289" t="str">
        <f>+'08-G. DEL TALENTO HUMANO'!I21</f>
        <v>Plan Institucional de Incentivos formulado y ejecutado</v>
      </c>
      <c r="F62" s="289" t="str">
        <f>+'08-G. DEL TALENTO HUMANO'!J21</f>
        <v>Grado de avance en la formulación y ejecución del Plan Institucional de Incentivos</v>
      </c>
      <c r="G62" s="280" t="s">
        <v>713</v>
      </c>
      <c r="H62" s="275" t="s">
        <v>684</v>
      </c>
      <c r="I62" s="276">
        <v>95</v>
      </c>
      <c r="J62" s="277" t="str">
        <f t="shared" si="8"/>
        <v>Desde (&gt;=):</v>
      </c>
      <c r="K62" s="277">
        <f t="shared" si="1"/>
        <v>75</v>
      </c>
      <c r="L62" s="277" t="str">
        <f t="shared" si="9"/>
        <v>Hasta (&lt;=):</v>
      </c>
      <c r="M62" s="277">
        <f t="shared" si="3"/>
        <v>95</v>
      </c>
      <c r="N62" s="277" t="str">
        <f t="shared" si="10"/>
        <v>Menor A:</v>
      </c>
      <c r="O62" s="278">
        <v>75</v>
      </c>
      <c r="P62" s="291">
        <f>+'08-G. DEL TALENTO HUMANO'!F21</f>
        <v>1</v>
      </c>
      <c r="Q62" s="291">
        <f>+'08-G. DEL TALENTO HUMANO'!G21</f>
        <v>1</v>
      </c>
      <c r="R62" s="295" t="str">
        <f>+'08-G. DEL TALENTO HUMANO'!O21</f>
        <v>Dependencia Líder: 
Dirección de Talento Humano
Dependencia Operativa:
Subdirección de Desarrollo del Talento Humano</v>
      </c>
    </row>
    <row r="63" spans="2:18" ht="57">
      <c r="B63" s="272">
        <f t="shared" si="5"/>
        <v>59</v>
      </c>
      <c r="C63" s="283" t="s">
        <v>687</v>
      </c>
      <c r="D63" s="280" t="s">
        <v>791</v>
      </c>
      <c r="E63" s="289" t="str">
        <f>+'08-G. DEL TALENTO HUMANO'!I22</f>
        <v>Plan Anual de Seguridad y Salud en el Trabajo diseñado y ejecutado</v>
      </c>
      <c r="F63" s="289" t="str">
        <f>+'08-G. DEL TALENTO HUMANO'!J22</f>
        <v>Grado de avance en la formulación y ejecución del Plan Anual de Trabajo del SG-SST</v>
      </c>
      <c r="G63" s="280" t="s">
        <v>713</v>
      </c>
      <c r="H63" s="275" t="s">
        <v>684</v>
      </c>
      <c r="I63" s="276">
        <v>95</v>
      </c>
      <c r="J63" s="277" t="str">
        <f t="shared" si="8"/>
        <v>Desde (&gt;=):</v>
      </c>
      <c r="K63" s="277">
        <f t="shared" si="1"/>
        <v>75</v>
      </c>
      <c r="L63" s="277" t="str">
        <f t="shared" si="9"/>
        <v>Hasta (&lt;=):</v>
      </c>
      <c r="M63" s="277">
        <f t="shared" si="3"/>
        <v>95</v>
      </c>
      <c r="N63" s="277" t="str">
        <f t="shared" si="10"/>
        <v>Menor A:</v>
      </c>
      <c r="O63" s="278">
        <v>75</v>
      </c>
      <c r="P63" s="291">
        <f>+'08-G. DEL TALENTO HUMANO'!F22</f>
        <v>1</v>
      </c>
      <c r="Q63" s="291">
        <f>+'08-G. DEL TALENTO HUMANO'!G22</f>
        <v>1</v>
      </c>
      <c r="R63" s="295" t="str">
        <f>+'08-G. DEL TALENTO HUMANO'!O22</f>
        <v>Dependencia Líder: 
Dirección de Talento Humano
Dependencia Operativa:
Subdirección de Desarrollo del Talento Humano</v>
      </c>
    </row>
    <row r="64" spans="2:18" ht="52.8">
      <c r="B64" s="272">
        <f t="shared" si="5"/>
        <v>60</v>
      </c>
      <c r="C64" s="283" t="s">
        <v>687</v>
      </c>
      <c r="D64" s="280" t="s">
        <v>792</v>
      </c>
      <c r="E64" s="289" t="str">
        <f>+'08-G. DEL TALENTO HUMANO'!I23</f>
        <v>Capacitaciones realizadas sobre los Sistemas de Gestión y Evaluación del Desempeño Laboral de la Personería de Bogotá, D.C.</v>
      </c>
      <c r="F64" s="289" t="str">
        <f>+'08-G. DEL TALENTO HUMANO'!J23</f>
        <v>Número de capacitacionese realizadas sobre los Sistemas de Gestión y Evaluación del Desempeño Laboral de la Personería de Bogotá, D.C.</v>
      </c>
      <c r="G64" s="280" t="s">
        <v>713</v>
      </c>
      <c r="H64" s="275" t="s">
        <v>684</v>
      </c>
      <c r="I64" s="276">
        <v>95</v>
      </c>
      <c r="J64" s="277" t="str">
        <f t="shared" si="8"/>
        <v>Desde (&gt;=):</v>
      </c>
      <c r="K64" s="277">
        <f t="shared" si="1"/>
        <v>75</v>
      </c>
      <c r="L64" s="277" t="str">
        <f t="shared" si="9"/>
        <v>Hasta (&lt;=):</v>
      </c>
      <c r="M64" s="277">
        <f t="shared" si="3"/>
        <v>95</v>
      </c>
      <c r="N64" s="277" t="str">
        <f t="shared" si="10"/>
        <v>Menor A:</v>
      </c>
      <c r="O64" s="278">
        <v>75</v>
      </c>
      <c r="P64" s="290">
        <f>+'08-G. DEL TALENTO HUMANO'!F23</f>
        <v>21</v>
      </c>
      <c r="Q64" s="290">
        <f>+'08-G. DEL TALENTO HUMANO'!G23</f>
        <v>4</v>
      </c>
      <c r="R64" s="295" t="str">
        <f>+'08-G. DEL TALENTO HUMANO'!O23</f>
        <v>Dirección de Talento Humano</v>
      </c>
    </row>
    <row r="65" spans="2:18" ht="34.200000000000003" customHeight="1">
      <c r="B65" s="272">
        <f t="shared" si="5"/>
        <v>61</v>
      </c>
      <c r="C65" s="282" t="s">
        <v>688</v>
      </c>
      <c r="D65" s="280" t="s">
        <v>793</v>
      </c>
      <c r="E65" s="289" t="str">
        <f>+'09-G.  ADMINISTRATIVA'!I16</f>
        <v>Porcentaje de servicios atendidos</v>
      </c>
      <c r="F65" s="289" t="str">
        <f>+'09-G.  ADMINISTRATIVA'!J16</f>
        <v>No. Servicios realizados /Total de servicios solicitados *100</v>
      </c>
      <c r="G65" s="280" t="s">
        <v>713</v>
      </c>
      <c r="H65" s="275" t="s">
        <v>684</v>
      </c>
      <c r="I65" s="276">
        <v>95</v>
      </c>
      <c r="J65" s="277" t="str">
        <f t="shared" si="8"/>
        <v>Desde (&gt;=):</v>
      </c>
      <c r="K65" s="277">
        <f t="shared" ref="K65:K106" si="11">IF(I65&gt;O65,O65,
IF(I65&lt;O65,I65,
IF(I65=O65,"No Aplica","")))</f>
        <v>75</v>
      </c>
      <c r="L65" s="277" t="str">
        <f t="shared" si="9"/>
        <v>Hasta (&lt;=):</v>
      </c>
      <c r="M65" s="277">
        <f t="shared" ref="M65:M106" si="12">IF(I65&gt;O65,I65,
IF(I65&lt;O65,O65,
IF(I65=O65,"No Aplica","")))</f>
        <v>95</v>
      </c>
      <c r="N65" s="277" t="str">
        <f t="shared" si="10"/>
        <v>Menor A:</v>
      </c>
      <c r="O65" s="278">
        <v>75</v>
      </c>
      <c r="P65" s="291">
        <f>+'09-G.  ADMINISTRATIVA'!G16</f>
        <v>1</v>
      </c>
      <c r="Q65" s="291">
        <f>+'09-G.  ADMINISTRATIVA'!G16</f>
        <v>1</v>
      </c>
      <c r="R65" s="295" t="str">
        <f>+'09-G.  ADMINISTRATIVA'!O16</f>
        <v>Subdirección de Gestión Documental y Recursos Físicos
Dirección Administrativa y Financiera</v>
      </c>
    </row>
    <row r="66" spans="2:18" ht="39.6">
      <c r="B66" s="272">
        <f t="shared" si="5"/>
        <v>62</v>
      </c>
      <c r="C66" s="282" t="s">
        <v>688</v>
      </c>
      <c r="D66" s="280" t="s">
        <v>795</v>
      </c>
      <c r="E66" s="289" t="str">
        <f>+'09-G.  ADMINISTRATIVA'!I17</f>
        <v>Porcentaje de actividades del PESV ejecutadas</v>
      </c>
      <c r="F66" s="289" t="str">
        <f>+'09-G.  ADMINISTRATIVA'!J17</f>
        <v>N° de actividades ejecutadas en el periodo/N° de actividades programadas en el PESV para la vigencia*100</v>
      </c>
      <c r="G66" s="280" t="s">
        <v>713</v>
      </c>
      <c r="H66" s="275" t="s">
        <v>684</v>
      </c>
      <c r="I66" s="276">
        <v>95</v>
      </c>
      <c r="J66" s="277" t="str">
        <f t="shared" si="8"/>
        <v>Desde (&gt;=):</v>
      </c>
      <c r="K66" s="277">
        <f t="shared" si="11"/>
        <v>75</v>
      </c>
      <c r="L66" s="277" t="str">
        <f t="shared" si="9"/>
        <v>Hasta (&lt;=):</v>
      </c>
      <c r="M66" s="277">
        <f t="shared" si="12"/>
        <v>95</v>
      </c>
      <c r="N66" s="277" t="str">
        <f t="shared" si="10"/>
        <v>Menor A:</v>
      </c>
      <c r="O66" s="278">
        <v>75</v>
      </c>
      <c r="P66" s="291">
        <f>+'09-G.  ADMINISTRATIVA'!G17</f>
        <v>0.97</v>
      </c>
      <c r="Q66" s="291">
        <f>+'09-G.  ADMINISTRATIVA'!G17</f>
        <v>0.97</v>
      </c>
      <c r="R66" s="295" t="str">
        <f>+'09-G.  ADMINISTRATIVA'!O17</f>
        <v>Subdirección de Gestión Documental y Recursos Físicos
Dirección Administrativa y Financiera</v>
      </c>
    </row>
    <row r="67" spans="2:18" ht="26.4">
      <c r="B67" s="272">
        <f t="shared" si="5"/>
        <v>63</v>
      </c>
      <c r="C67" s="283" t="s">
        <v>689</v>
      </c>
      <c r="D67" s="280" t="s">
        <v>794</v>
      </c>
      <c r="E67" s="289" t="str">
        <f>+'10-GESTIÓN FINANCIERA'!I16</f>
        <v>Porcentaje del presupuesto aprobado y ejecutado.</v>
      </c>
      <c r="F67" s="289" t="str">
        <f>+'10-GESTIÓN FINANCIERA'!J16</f>
        <v>Valor de ejecución de presupuesto / Valor del presupuesto aprobado</v>
      </c>
      <c r="G67" s="280" t="s">
        <v>713</v>
      </c>
      <c r="H67" s="275" t="s">
        <v>684</v>
      </c>
      <c r="I67" s="276">
        <v>95</v>
      </c>
      <c r="J67" s="277" t="str">
        <f t="shared" ref="J67:J106" si="13">IF(OR($H67="Mayor A:",$H67="Menor A:"),"Desde (&gt;=):",
IF(OR($H67="Mayor o Igual A:",$H67="Menor o Igual A:"),"Desde (&gt;):",
IF($H67="Igual A:","No Aplica",
IF($H67="",""))))</f>
        <v>Desde (&gt;=):</v>
      </c>
      <c r="K67" s="277">
        <f t="shared" si="11"/>
        <v>75</v>
      </c>
      <c r="L67" s="277" t="str">
        <f t="shared" ref="L67:L106" si="14">IF(OR($H67="Mayor A:",$H67="Menor A:"),"Hasta (&lt;=):",
IF(OR($H67="Mayor o Igual A:",$H67="Menor o Igual A:"),"Hasta (&lt;):",
IF($H67="Igual A:","No Aplica",
IF($H67="",""))))</f>
        <v>Hasta (&lt;=):</v>
      </c>
      <c r="M67" s="277">
        <f t="shared" si="12"/>
        <v>95</v>
      </c>
      <c r="N67" s="277" t="str">
        <f t="shared" ref="N67:N106" si="15">IF($H67="Mayor A:","Menor A:",
IF($H67="Menor A:","Mayor A:",
IF($H67="Mayor o Igual A:","Menor o Igual A:",
IF($H67="Menor o Igual A:","Mayor o Igual A:",
IF($H67="Igual A:","Igual A:",
IF($H67="",""))))))</f>
        <v>Menor A:</v>
      </c>
      <c r="O67" s="278">
        <v>75</v>
      </c>
      <c r="P67" s="291">
        <f>+'10-GESTIÓN FINANCIERA'!F16</f>
        <v>0.95</v>
      </c>
      <c r="Q67" s="291">
        <f>+'10-GESTIÓN FINANCIERA'!G16</f>
        <v>0.95</v>
      </c>
      <c r="R67" s="295" t="str">
        <f>+'10-GESTIÓN FINANCIERA'!O16</f>
        <v>Subdirección de Gestión Financiera
Dirección Administrativa y Financiera</v>
      </c>
    </row>
    <row r="68" spans="2:18" ht="26.4">
      <c r="B68" s="272">
        <f t="shared" si="5"/>
        <v>64</v>
      </c>
      <c r="C68" s="283" t="s">
        <v>689</v>
      </c>
      <c r="D68" s="280" t="s">
        <v>796</v>
      </c>
      <c r="E68" s="289" t="str">
        <f>+'10-GESTIÓN FINANCIERA'!I17</f>
        <v>Porcentaje de los compromisos de pago programados y ejecutados.</v>
      </c>
      <c r="F68" s="289" t="str">
        <f>+'10-GESTIÓN FINANCIERA'!J17</f>
        <v>Valor de pagos realizados / Valor del presupuesto ejecutado</v>
      </c>
      <c r="G68" s="280" t="s">
        <v>713</v>
      </c>
      <c r="H68" s="275" t="s">
        <v>684</v>
      </c>
      <c r="I68" s="276">
        <v>95</v>
      </c>
      <c r="J68" s="277" t="str">
        <f t="shared" si="13"/>
        <v>Desde (&gt;=):</v>
      </c>
      <c r="K68" s="277">
        <f t="shared" si="11"/>
        <v>75</v>
      </c>
      <c r="L68" s="277" t="str">
        <f t="shared" si="14"/>
        <v>Hasta (&lt;=):</v>
      </c>
      <c r="M68" s="277">
        <f t="shared" si="12"/>
        <v>95</v>
      </c>
      <c r="N68" s="277" t="str">
        <f t="shared" si="15"/>
        <v>Menor A:</v>
      </c>
      <c r="O68" s="278">
        <v>75</v>
      </c>
      <c r="P68" s="291">
        <f>+'10-GESTIÓN FINANCIERA'!F17</f>
        <v>0.95</v>
      </c>
      <c r="Q68" s="291">
        <f>+'10-GESTIÓN FINANCIERA'!G17</f>
        <v>0.95</v>
      </c>
      <c r="R68" s="295" t="str">
        <f>+'10-GESTIÓN FINANCIERA'!O17</f>
        <v>Subdirección de Gestión Financiera
Dirección Administrativa y Financiera</v>
      </c>
    </row>
    <row r="69" spans="2:18" ht="26.4">
      <c r="B69" s="272">
        <f t="shared" si="5"/>
        <v>65</v>
      </c>
      <c r="C69" s="283" t="s">
        <v>689</v>
      </c>
      <c r="D69" s="280" t="s">
        <v>797</v>
      </c>
      <c r="E69" s="289" t="str">
        <f>+'10-GESTIÓN FINANCIERA'!I18</f>
        <v>Porcentaje de estados financieros de la Entidad elaborados y presentados.</v>
      </c>
      <c r="F69" s="289" t="str">
        <f>+'10-GESTIÓN FINANCIERA'!J18</f>
        <v>Estados Financieros presentados</v>
      </c>
      <c r="G69" s="280" t="s">
        <v>713</v>
      </c>
      <c r="H69" s="275" t="s">
        <v>684</v>
      </c>
      <c r="I69" s="276">
        <v>95</v>
      </c>
      <c r="J69" s="277" t="str">
        <f t="shared" si="13"/>
        <v>Desde (&gt;=):</v>
      </c>
      <c r="K69" s="277">
        <f t="shared" si="11"/>
        <v>75</v>
      </c>
      <c r="L69" s="277" t="str">
        <f t="shared" si="14"/>
        <v>Hasta (&lt;=):</v>
      </c>
      <c r="M69" s="277">
        <f t="shared" si="12"/>
        <v>95</v>
      </c>
      <c r="N69" s="277" t="str">
        <f t="shared" si="15"/>
        <v>Menor A:</v>
      </c>
      <c r="O69" s="278">
        <v>75</v>
      </c>
      <c r="P69" s="291">
        <f>+'10-GESTIÓN FINANCIERA'!F18</f>
        <v>1</v>
      </c>
      <c r="Q69" s="291">
        <f>+'10-GESTIÓN FINANCIERA'!G18</f>
        <v>1</v>
      </c>
      <c r="R69" s="295" t="str">
        <f>+'10-GESTIÓN FINANCIERA'!O18</f>
        <v>Subdirección de Gestión Financiera
Dirección Administrativa y Financiera</v>
      </c>
    </row>
    <row r="70" spans="2:18" ht="26.4">
      <c r="B70" s="272">
        <f t="shared" si="5"/>
        <v>66</v>
      </c>
      <c r="C70" s="282" t="s">
        <v>690</v>
      </c>
      <c r="D70" s="280" t="s">
        <v>784</v>
      </c>
      <c r="E70" s="289" t="str">
        <f>+'11-GESTIÓN CONTRACTUAL'!I16</f>
        <v xml:space="preserve">Porcentaje del Plan Anual de Adquisiciones ejecutado </v>
      </c>
      <c r="F70" s="289" t="str">
        <f>+'11-GESTIÓN CONTRACTUAL'!J16</f>
        <v>No. de adquisiciones realizadas /Total de adquisiciones planeadas *100</v>
      </c>
      <c r="G70" s="280" t="s">
        <v>713</v>
      </c>
      <c r="H70" s="275" t="s">
        <v>684</v>
      </c>
      <c r="I70" s="276">
        <v>95</v>
      </c>
      <c r="J70" s="277" t="str">
        <f t="shared" si="13"/>
        <v>Desde (&gt;=):</v>
      </c>
      <c r="K70" s="277">
        <f t="shared" si="11"/>
        <v>75</v>
      </c>
      <c r="L70" s="277" t="str">
        <f t="shared" si="14"/>
        <v>Hasta (&lt;=):</v>
      </c>
      <c r="M70" s="277">
        <f t="shared" si="12"/>
        <v>95</v>
      </c>
      <c r="N70" s="277" t="str">
        <f t="shared" si="15"/>
        <v>Menor A:</v>
      </c>
      <c r="O70" s="278">
        <v>75</v>
      </c>
      <c r="P70" s="291">
        <f>+'11-GESTIÓN CONTRACTUAL'!F16</f>
        <v>0.95</v>
      </c>
      <c r="Q70" s="291">
        <f>+'11-GESTIÓN CONTRACTUAL'!G16</f>
        <v>0.95</v>
      </c>
      <c r="R70" s="295" t="str">
        <f>+'11-GESTIÓN CONTRACTUAL'!O16</f>
        <v>Subdirección de Gestión Contractual
Dirección Administrativa y Financiera</v>
      </c>
    </row>
    <row r="71" spans="2:18" ht="52.8">
      <c r="B71" s="272">
        <f t="shared" si="5"/>
        <v>67</v>
      </c>
      <c r="C71" s="282" t="s">
        <v>690</v>
      </c>
      <c r="D71" s="280" t="s">
        <v>873</v>
      </c>
      <c r="E71" s="289" t="s">
        <v>863</v>
      </c>
      <c r="F71" s="289" t="s">
        <v>866</v>
      </c>
      <c r="G71" s="280" t="s">
        <v>717</v>
      </c>
      <c r="H71" s="275" t="s">
        <v>684</v>
      </c>
      <c r="I71" s="276">
        <v>95</v>
      </c>
      <c r="J71" s="277" t="str">
        <f t="shared" si="13"/>
        <v>Desde (&gt;=):</v>
      </c>
      <c r="K71" s="277">
        <f t="shared" si="11"/>
        <v>75</v>
      </c>
      <c r="L71" s="277" t="str">
        <f t="shared" si="14"/>
        <v>Hasta (&lt;=):</v>
      </c>
      <c r="M71" s="277">
        <f t="shared" si="12"/>
        <v>95</v>
      </c>
      <c r="N71" s="277" t="str">
        <f t="shared" si="15"/>
        <v>Menor A:</v>
      </c>
      <c r="O71" s="278">
        <v>75</v>
      </c>
      <c r="P71" s="291">
        <f>+'11-GESTIÓN CONTRACTUAL'!F17</f>
        <v>0.95</v>
      </c>
      <c r="Q71" s="291">
        <f>+'11-GESTIÓN CONTRACTUAL'!G17</f>
        <v>0.9</v>
      </c>
      <c r="R71" s="295" t="str">
        <f>+'11-GESTIÓN CONTRACTUAL'!O17</f>
        <v>Subdirección de Gestión Contractual</v>
      </c>
    </row>
    <row r="72" spans="2:18" ht="92.4">
      <c r="B72" s="272">
        <f t="shared" ref="B72" si="16">1+B71</f>
        <v>68</v>
      </c>
      <c r="C72" s="282" t="s">
        <v>690</v>
      </c>
      <c r="D72" s="280" t="s">
        <v>874</v>
      </c>
      <c r="E72" s="289" t="s">
        <v>864</v>
      </c>
      <c r="F72" s="289" t="s">
        <v>872</v>
      </c>
      <c r="G72" s="280" t="s">
        <v>717</v>
      </c>
      <c r="H72" s="275" t="s">
        <v>684</v>
      </c>
      <c r="I72" s="276">
        <v>95</v>
      </c>
      <c r="J72" s="277" t="str">
        <f t="shared" si="13"/>
        <v>Desde (&gt;=):</v>
      </c>
      <c r="K72" s="277">
        <f t="shared" si="11"/>
        <v>75</v>
      </c>
      <c r="L72" s="277" t="str">
        <f t="shared" si="14"/>
        <v>Hasta (&lt;=):</v>
      </c>
      <c r="M72" s="277">
        <f t="shared" si="12"/>
        <v>95</v>
      </c>
      <c r="N72" s="277" t="str">
        <f t="shared" si="15"/>
        <v>Menor A:</v>
      </c>
      <c r="O72" s="278">
        <v>75</v>
      </c>
      <c r="P72" s="291">
        <f>+'11-GESTIÓN CONTRACTUAL'!F18</f>
        <v>0.95</v>
      </c>
      <c r="Q72" s="291">
        <f>+'11-GESTIÓN CONTRACTUAL'!G18</f>
        <v>0.9</v>
      </c>
      <c r="R72" s="295" t="str">
        <f>+'11-GESTIÓN CONTRACTUAL'!O18</f>
        <v>Subdirección de Gestión Contractual</v>
      </c>
    </row>
    <row r="73" spans="2:18" ht="92.4">
      <c r="B73" s="272">
        <f t="shared" si="5"/>
        <v>69</v>
      </c>
      <c r="C73" s="282" t="s">
        <v>690</v>
      </c>
      <c r="D73" s="280" t="s">
        <v>875</v>
      </c>
      <c r="E73" s="289" t="s">
        <v>865</v>
      </c>
      <c r="F73" s="289" t="s">
        <v>871</v>
      </c>
      <c r="G73" s="280" t="s">
        <v>717</v>
      </c>
      <c r="H73" s="275" t="s">
        <v>684</v>
      </c>
      <c r="I73" s="276">
        <v>95</v>
      </c>
      <c r="J73" s="277" t="str">
        <f t="shared" si="13"/>
        <v>Desde (&gt;=):</v>
      </c>
      <c r="K73" s="277">
        <f t="shared" si="11"/>
        <v>75</v>
      </c>
      <c r="L73" s="277" t="str">
        <f t="shared" si="14"/>
        <v>Hasta (&lt;=):</v>
      </c>
      <c r="M73" s="277">
        <f t="shared" si="12"/>
        <v>95</v>
      </c>
      <c r="N73" s="277" t="str">
        <f t="shared" si="15"/>
        <v>Menor A:</v>
      </c>
      <c r="O73" s="278">
        <v>75</v>
      </c>
      <c r="P73" s="291">
        <f>+'11-GESTIÓN CONTRACTUAL'!F19</f>
        <v>0.95</v>
      </c>
      <c r="Q73" s="291">
        <f>+'11-GESTIÓN CONTRACTUAL'!G19</f>
        <v>0.9</v>
      </c>
      <c r="R73" s="295" t="str">
        <f>+'11-GESTIÓN CONTRACTUAL'!O19</f>
        <v>Subdirección de Gestión Contractual</v>
      </c>
    </row>
    <row r="74" spans="2:18" ht="58.2" customHeight="1">
      <c r="B74" s="272">
        <f t="shared" ref="B74" si="17">1+B73</f>
        <v>70</v>
      </c>
      <c r="C74" s="283" t="s">
        <v>691</v>
      </c>
      <c r="D74" s="280" t="s">
        <v>785</v>
      </c>
      <c r="E74" s="289" t="str">
        <f>+'12-GESTIÓN DOCUMENTAL'!I16</f>
        <v>Porcentaje de Comunicaciones oficiales con reparto realizado dentro de los 3 días hábiles desde su radicación</v>
      </c>
      <c r="F74" s="289" t="str">
        <f>+'12-GESTIÓN DOCUMENTAL'!J16</f>
        <v>No comunicaciones entregadas a las dependencias internas dentro de los 3 días hábiles de su recepción / Numero de comunicaciones recibidas en el Grupo de Correspondencia</v>
      </c>
      <c r="G74" s="280" t="s">
        <v>717</v>
      </c>
      <c r="H74" s="275" t="s">
        <v>684</v>
      </c>
      <c r="I74" s="276">
        <v>95</v>
      </c>
      <c r="J74" s="277" t="str">
        <f t="shared" si="13"/>
        <v>Desde (&gt;=):</v>
      </c>
      <c r="K74" s="277">
        <f t="shared" si="11"/>
        <v>75</v>
      </c>
      <c r="L74" s="277" t="str">
        <f t="shared" si="14"/>
        <v>Hasta (&lt;=):</v>
      </c>
      <c r="M74" s="277">
        <f t="shared" si="12"/>
        <v>95</v>
      </c>
      <c r="N74" s="277" t="str">
        <f t="shared" si="15"/>
        <v>Menor A:</v>
      </c>
      <c r="O74" s="278">
        <v>75</v>
      </c>
      <c r="P74" s="291">
        <f>+'12-GESTIÓN DOCUMENTAL'!F16</f>
        <v>0.95</v>
      </c>
      <c r="Q74" s="291">
        <f>+'12-GESTIÓN DOCUMENTAL'!G16</f>
        <v>0.95</v>
      </c>
      <c r="R74" s="295" t="str">
        <f>+'12-GESTIÓN DOCUMENTAL'!O16</f>
        <v>Subdirección de Gestión Documental y Recursos Físicos - Grupo de Correspondencia</v>
      </c>
    </row>
    <row r="75" spans="2:18" ht="54" customHeight="1">
      <c r="B75" s="272">
        <f t="shared" ref="B75:B91" si="18">1+B74</f>
        <v>71</v>
      </c>
      <c r="C75" s="283" t="s">
        <v>691</v>
      </c>
      <c r="D75" s="280" t="s">
        <v>800</v>
      </c>
      <c r="E75" s="289" t="str">
        <f>+'12-GESTIÓN DOCUMENTAL'!I17</f>
        <v>Porcentaje de documentación incorporada en el archivo central durante la vigencia.</v>
      </c>
      <c r="F75" s="289" t="str">
        <f>+'12-GESTIÓN DOCUMENTAL'!J17</f>
        <v xml:space="preserve">Metros lineales incorporados al archivo central/ Metros lineales recibidos para incorporar al archivo central que cumplen los requisitos </v>
      </c>
      <c r="G75" s="280" t="s">
        <v>713</v>
      </c>
      <c r="H75" s="275" t="s">
        <v>684</v>
      </c>
      <c r="I75" s="276">
        <v>95</v>
      </c>
      <c r="J75" s="277" t="str">
        <f t="shared" si="13"/>
        <v>Desde (&gt;=):</v>
      </c>
      <c r="K75" s="277">
        <f t="shared" si="11"/>
        <v>75</v>
      </c>
      <c r="L75" s="277" t="str">
        <f t="shared" si="14"/>
        <v>Hasta (&lt;=):</v>
      </c>
      <c r="M75" s="277">
        <f t="shared" si="12"/>
        <v>95</v>
      </c>
      <c r="N75" s="277" t="str">
        <f t="shared" si="15"/>
        <v>Menor A:</v>
      </c>
      <c r="O75" s="278">
        <v>75</v>
      </c>
      <c r="P75" s="291">
        <f>+'12-GESTIÓN DOCUMENTAL'!F17</f>
        <v>0.8</v>
      </c>
      <c r="Q75" s="291">
        <f>+'12-GESTIÓN DOCUMENTAL'!G17</f>
        <v>0.8</v>
      </c>
      <c r="R75" s="295" t="str">
        <f>+'12-GESTIÓN DOCUMENTAL'!O17</f>
        <v>Subdirección de Gestión Documental y Recursos Físicos - Archivo central</v>
      </c>
    </row>
    <row r="76" spans="2:18" ht="52.8">
      <c r="B76" s="272">
        <f t="shared" si="18"/>
        <v>72</v>
      </c>
      <c r="C76" s="283" t="s">
        <v>691</v>
      </c>
      <c r="D76" s="280" t="s">
        <v>801</v>
      </c>
      <c r="E76" s="289" t="str">
        <f>+'12-GESTIÓN DOCUMENTAL'!I18</f>
        <v>Cantidad de actividades realizadas por año para el diseño, actualización o ajuste de los instrumentos archivísticos establecidos por norma</v>
      </c>
      <c r="F76" s="289" t="str">
        <f>+'12-GESTIÓN DOCUMENTAL'!J18</f>
        <v>Cantidad de actividades de diseño, actualización o ajuste de los instrumentos archivisticos establecidos por norma.</v>
      </c>
      <c r="G76" s="280" t="s">
        <v>713</v>
      </c>
      <c r="H76" s="275" t="s">
        <v>684</v>
      </c>
      <c r="I76" s="276">
        <v>95</v>
      </c>
      <c r="J76" s="277" t="str">
        <f t="shared" si="13"/>
        <v>Desde (&gt;=):</v>
      </c>
      <c r="K76" s="277">
        <f t="shared" si="11"/>
        <v>75</v>
      </c>
      <c r="L76" s="277" t="str">
        <f t="shared" si="14"/>
        <v>Hasta (&lt;=):</v>
      </c>
      <c r="M76" s="277">
        <f t="shared" si="12"/>
        <v>95</v>
      </c>
      <c r="N76" s="277" t="str">
        <f t="shared" si="15"/>
        <v>Menor A:</v>
      </c>
      <c r="O76" s="278">
        <v>75</v>
      </c>
      <c r="P76" s="297">
        <f>+'12-GESTIÓN DOCUMENTAL'!F18</f>
        <v>100</v>
      </c>
      <c r="Q76" s="297">
        <f>+'12-GESTIÓN DOCUMENTAL'!G18</f>
        <v>25</v>
      </c>
      <c r="R76" s="295" t="str">
        <f>+'12-GESTIÓN DOCUMENTAL'!O18</f>
        <v xml:space="preserve">Subdirección de Gestión Documental y Recursos Físicos </v>
      </c>
    </row>
    <row r="77" spans="2:18" ht="52.8">
      <c r="B77" s="272">
        <f t="shared" si="18"/>
        <v>73</v>
      </c>
      <c r="C77" s="283" t="s">
        <v>691</v>
      </c>
      <c r="D77" s="280" t="s">
        <v>802</v>
      </c>
      <c r="E77" s="289" t="str">
        <f>+'12-GESTIÓN DOCUMENTAL'!I19</f>
        <v>Cantidad de actividades realizadas por año para implementación de los instrumentos archivísticos establecidos por norma, y de herramientas de apoyo a la gestión documental.</v>
      </c>
      <c r="F77" s="289" t="str">
        <f>+'12-GESTIÓN DOCUMENTAL'!J19</f>
        <v>Cantidad de actividades de implementación de los instrumentos archivisticos establecidos por norma.</v>
      </c>
      <c r="G77" s="280" t="s">
        <v>713</v>
      </c>
      <c r="H77" s="275" t="s">
        <v>684</v>
      </c>
      <c r="I77" s="276">
        <v>95</v>
      </c>
      <c r="J77" s="277" t="str">
        <f t="shared" si="13"/>
        <v>Desde (&gt;=):</v>
      </c>
      <c r="K77" s="277">
        <f t="shared" si="11"/>
        <v>75</v>
      </c>
      <c r="L77" s="277" t="str">
        <f t="shared" si="14"/>
        <v>Hasta (&lt;=):</v>
      </c>
      <c r="M77" s="277">
        <f t="shared" si="12"/>
        <v>95</v>
      </c>
      <c r="N77" s="277" t="str">
        <f t="shared" si="15"/>
        <v>Menor A:</v>
      </c>
      <c r="O77" s="278">
        <v>75</v>
      </c>
      <c r="P77" s="297">
        <f>+'12-GESTIÓN DOCUMENTAL'!F19</f>
        <v>100</v>
      </c>
      <c r="Q77" s="297">
        <f>+'12-GESTIÓN DOCUMENTAL'!G19</f>
        <v>25</v>
      </c>
      <c r="R77" s="295" t="str">
        <f>+'12-GESTIÓN DOCUMENTAL'!O19</f>
        <v>Subdirección de Gestión Documental y Recursos Físicos
Dirección de Tecnologías de la Información y Comunicaciones</v>
      </c>
    </row>
    <row r="78" spans="2:18" ht="73.2" customHeight="1">
      <c r="B78" s="272">
        <f t="shared" si="18"/>
        <v>74</v>
      </c>
      <c r="C78" s="282" t="s">
        <v>692</v>
      </c>
      <c r="D78" s="280" t="s">
        <v>798</v>
      </c>
      <c r="E78" s="289" t="str">
        <f>+'13-GESTIÓN JURÍDICA'!I16</f>
        <v>Porcentaje de procesos judiciales en los que se vincule o demande a la Entidad, objeto de representación oportuna</v>
      </c>
      <c r="F78" s="289" t="str">
        <f>+'13-GESTIÓN JURÍDICA'!J16</f>
        <v>(Número de procesos judiciales en los que se representa oportunamente, de acuerdo con los términos fijados por los despachos judiciales / Número total de procesos judiciales en los que se vincula la Entidad )  (x 100)</v>
      </c>
      <c r="G78" s="280" t="s">
        <v>713</v>
      </c>
      <c r="H78" s="275" t="s">
        <v>684</v>
      </c>
      <c r="I78" s="276">
        <v>95</v>
      </c>
      <c r="J78" s="277" t="str">
        <f t="shared" si="13"/>
        <v>Desde (&gt;=):</v>
      </c>
      <c r="K78" s="277">
        <f t="shared" si="11"/>
        <v>75</v>
      </c>
      <c r="L78" s="277" t="str">
        <f t="shared" si="14"/>
        <v>Hasta (&lt;=):</v>
      </c>
      <c r="M78" s="277">
        <f t="shared" si="12"/>
        <v>95</v>
      </c>
      <c r="N78" s="277" t="str">
        <f t="shared" si="15"/>
        <v>Menor A:</v>
      </c>
      <c r="O78" s="278">
        <v>75</v>
      </c>
      <c r="P78" s="291">
        <f>+'13-GESTIÓN JURÍDICA'!F16</f>
        <v>1</v>
      </c>
      <c r="Q78" s="291">
        <f>+'13-GESTIÓN JURÍDICA'!G16</f>
        <v>1</v>
      </c>
      <c r="R78" s="295" t="str">
        <f>+'13-GESTIÓN JURÍDICA'!O16</f>
        <v>Oficina Asesora Jurídica</v>
      </c>
    </row>
    <row r="79" spans="2:18" ht="66">
      <c r="B79" s="272">
        <f t="shared" si="18"/>
        <v>75</v>
      </c>
      <c r="C79" s="282" t="s">
        <v>692</v>
      </c>
      <c r="D79" s="280" t="s">
        <v>805</v>
      </c>
      <c r="E79" s="289" t="str">
        <f>+'13-GESTIÓN JURÍDICA'!I17</f>
        <v xml:space="preserve">Porcentaje de acciones de tutela en las cuales se defienda judicialmente a la Entidad oportunamente </v>
      </c>
      <c r="F79" s="289"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280" t="s">
        <v>713</v>
      </c>
      <c r="H79" s="275" t="s">
        <v>684</v>
      </c>
      <c r="I79" s="276">
        <v>95</v>
      </c>
      <c r="J79" s="277" t="str">
        <f t="shared" si="13"/>
        <v>Desde (&gt;=):</v>
      </c>
      <c r="K79" s="277">
        <f t="shared" si="11"/>
        <v>75</v>
      </c>
      <c r="L79" s="277" t="str">
        <f t="shared" si="14"/>
        <v>Hasta (&lt;=):</v>
      </c>
      <c r="M79" s="277">
        <f t="shared" si="12"/>
        <v>95</v>
      </c>
      <c r="N79" s="277" t="str">
        <f t="shared" si="15"/>
        <v>Menor A:</v>
      </c>
      <c r="O79" s="278">
        <v>75</v>
      </c>
      <c r="P79" s="291">
        <f>+'13-GESTIÓN JURÍDICA'!F17</f>
        <v>1</v>
      </c>
      <c r="Q79" s="291">
        <f>+'13-GESTIÓN JURÍDICA'!G17</f>
        <v>1</v>
      </c>
      <c r="R79" s="295" t="str">
        <f>+'13-GESTIÓN JURÍDICA'!O17</f>
        <v>Oficina Asesora Jurídica</v>
      </c>
    </row>
    <row r="80" spans="2:18" ht="52.8">
      <c r="B80" s="272">
        <f t="shared" si="18"/>
        <v>76</v>
      </c>
      <c r="C80" s="282" t="s">
        <v>692</v>
      </c>
      <c r="D80" s="280" t="s">
        <v>806</v>
      </c>
      <c r="E80" s="289" t="str">
        <f>+'13-GESTIÓN JURÍDICA'!I18</f>
        <v>Porcentaje de conceptos de competencia de la dependencia emitidos oportunamente</v>
      </c>
      <c r="F80" s="289" t="str">
        <f>+'13-GESTIÓN JURÍDICA'!J18</f>
        <v>Número de conceptos emitidos oportunamente / Número de solicitudes de conceptos jurídicos recibidas de competencia de la dependencia (x100)</v>
      </c>
      <c r="G80" s="280" t="s">
        <v>713</v>
      </c>
      <c r="H80" s="275" t="s">
        <v>684</v>
      </c>
      <c r="I80" s="276">
        <v>95</v>
      </c>
      <c r="J80" s="277" t="str">
        <f t="shared" si="13"/>
        <v>Desde (&gt;=):</v>
      </c>
      <c r="K80" s="277">
        <f t="shared" si="11"/>
        <v>75</v>
      </c>
      <c r="L80" s="277" t="str">
        <f t="shared" si="14"/>
        <v>Hasta (&lt;=):</v>
      </c>
      <c r="M80" s="277">
        <f t="shared" si="12"/>
        <v>95</v>
      </c>
      <c r="N80" s="277" t="str">
        <f t="shared" si="15"/>
        <v>Menor A:</v>
      </c>
      <c r="O80" s="278">
        <v>75</v>
      </c>
      <c r="P80" s="291">
        <f>+'13-GESTIÓN JURÍDICA'!F18</f>
        <v>1</v>
      </c>
      <c r="Q80" s="291">
        <f>+'13-GESTIÓN JURÍDICA'!G18</f>
        <v>1</v>
      </c>
      <c r="R80" s="295" t="str">
        <f>+'13-GESTIÓN JURÍDICA'!O18</f>
        <v>Oficina Asesora Jurídica</v>
      </c>
    </row>
    <row r="81" spans="2:18" ht="39.6">
      <c r="B81" s="272">
        <f t="shared" si="18"/>
        <v>77</v>
      </c>
      <c r="C81" s="282" t="s">
        <v>692</v>
      </c>
      <c r="D81" s="280" t="s">
        <v>807</v>
      </c>
      <c r="E81" s="289" t="str">
        <f>+'13-GESTIÓN JURÍDICA'!I19</f>
        <v>Porcentaje de reportes de la base de datos de sanciones disciplinarias registrados</v>
      </c>
      <c r="F81" s="289" t="str">
        <f>+'13-GESTIÓN JURÍDICA'!J19</f>
        <v>Número de reportes actualizados / Número de solicitudes de actualización de reportes recibidos (x100)</v>
      </c>
      <c r="G81" s="280" t="s">
        <v>713</v>
      </c>
      <c r="H81" s="275" t="s">
        <v>684</v>
      </c>
      <c r="I81" s="276">
        <v>95</v>
      </c>
      <c r="J81" s="277" t="str">
        <f t="shared" si="13"/>
        <v>Desde (&gt;=):</v>
      </c>
      <c r="K81" s="277">
        <f t="shared" si="11"/>
        <v>75</v>
      </c>
      <c r="L81" s="277" t="str">
        <f t="shared" si="14"/>
        <v>Hasta (&lt;=):</v>
      </c>
      <c r="M81" s="277">
        <f t="shared" si="12"/>
        <v>95</v>
      </c>
      <c r="N81" s="277" t="str">
        <f t="shared" si="15"/>
        <v>Menor A:</v>
      </c>
      <c r="O81" s="278">
        <v>75</v>
      </c>
      <c r="P81" s="291">
        <f>+'13-GESTIÓN JURÍDICA'!F19</f>
        <v>1</v>
      </c>
      <c r="Q81" s="291">
        <f>+'13-GESTIÓN JURÍDICA'!G19</f>
        <v>1</v>
      </c>
      <c r="R81" s="295" t="str">
        <f>+'13-GESTIÓN JURÍDICA'!O19</f>
        <v>Oficina Asesora Jurídica</v>
      </c>
    </row>
    <row r="82" spans="2:18" ht="39.6">
      <c r="B82" s="272">
        <f t="shared" si="18"/>
        <v>78</v>
      </c>
      <c r="C82" s="282" t="s">
        <v>692</v>
      </c>
      <c r="D82" s="280" t="s">
        <v>808</v>
      </c>
      <c r="E82" s="289" t="str">
        <f>+'13-GESTIÓN JURÍDICA'!I20</f>
        <v>Porcentaje de antecedentes disciplinarios expedidos</v>
      </c>
      <c r="F82" s="289" t="str">
        <f>+'13-GESTIÓN JURÍDICA'!J20</f>
        <v>Número de antecedentes disciplinarios expedidos / Número de antecedentes disciplinarios solicitados (x100)</v>
      </c>
      <c r="G82" s="280" t="s">
        <v>713</v>
      </c>
      <c r="H82" s="275" t="s">
        <v>684</v>
      </c>
      <c r="I82" s="276">
        <v>95</v>
      </c>
      <c r="J82" s="277" t="str">
        <f t="shared" si="13"/>
        <v>Desde (&gt;=):</v>
      </c>
      <c r="K82" s="277">
        <f t="shared" si="11"/>
        <v>75</v>
      </c>
      <c r="L82" s="277" t="str">
        <f t="shared" si="14"/>
        <v>Hasta (&lt;=):</v>
      </c>
      <c r="M82" s="277">
        <f t="shared" si="12"/>
        <v>95</v>
      </c>
      <c r="N82" s="277" t="str">
        <f t="shared" si="15"/>
        <v>Menor A:</v>
      </c>
      <c r="O82" s="278">
        <v>75</v>
      </c>
      <c r="P82" s="291">
        <f>+'13-GESTIÓN JURÍDICA'!F20</f>
        <v>1</v>
      </c>
      <c r="Q82" s="291">
        <f>+'13-GESTIÓN JURÍDICA'!G20</f>
        <v>1</v>
      </c>
      <c r="R82" s="295" t="str">
        <f>+'13-GESTIÓN JURÍDICA'!O20</f>
        <v>Oficina Asesora Jurídica</v>
      </c>
    </row>
    <row r="83" spans="2:18" ht="39.6">
      <c r="B83" s="272">
        <f t="shared" si="18"/>
        <v>79</v>
      </c>
      <c r="C83" s="283" t="s">
        <v>693</v>
      </c>
      <c r="D83" s="280" t="s">
        <v>799</v>
      </c>
      <c r="E83" s="288" t="str">
        <f>+'14-SERVICIO AL USUARIO'!I16</f>
        <v>Porcentaje de Percepción de los usuarios en calificación excelente y bueno incrementado</v>
      </c>
      <c r="F83" s="288" t="str">
        <f>+'14-SERVICIO AL USUARIO'!J16</f>
        <v>(Número total de encuestas con calificación excelente y bueno/Número total de encuestras registradas)*100</v>
      </c>
      <c r="G83" s="280" t="s">
        <v>713</v>
      </c>
      <c r="H83" s="275" t="s">
        <v>684</v>
      </c>
      <c r="I83" s="276">
        <v>95</v>
      </c>
      <c r="J83" s="277" t="str">
        <f t="shared" si="13"/>
        <v>Desde (&gt;=):</v>
      </c>
      <c r="K83" s="277">
        <f t="shared" si="11"/>
        <v>75</v>
      </c>
      <c r="L83" s="277" t="str">
        <f t="shared" si="14"/>
        <v>Hasta (&lt;=):</v>
      </c>
      <c r="M83" s="277">
        <f t="shared" si="12"/>
        <v>95</v>
      </c>
      <c r="N83" s="277" t="str">
        <f t="shared" si="15"/>
        <v>Menor A:</v>
      </c>
      <c r="O83" s="278">
        <v>75</v>
      </c>
      <c r="P83" s="291">
        <f>+'14-SERVICIO AL USUARIO'!F16</f>
        <v>0.9</v>
      </c>
      <c r="Q83" s="291">
        <f>+'14-SERVICIO AL USUARIO'!G16</f>
        <v>0.9</v>
      </c>
      <c r="R83" s="295" t="str">
        <f>+'14-SERVICIO AL USUARIO'!O16</f>
        <v>Secretaría General</v>
      </c>
    </row>
    <row r="84" spans="2:18" ht="24.6" customHeight="1">
      <c r="B84" s="272">
        <f t="shared" si="18"/>
        <v>80</v>
      </c>
      <c r="C84" s="283" t="s">
        <v>693</v>
      </c>
      <c r="D84" s="280" t="s">
        <v>809</v>
      </c>
      <c r="E84" s="288" t="str">
        <f>+'14-SERVICIO AL USUARIO'!I17</f>
        <v>Lineamientos implementados</v>
      </c>
      <c r="F84" s="288" t="str">
        <f>+'14-SERVICIO AL USUARIO'!J17</f>
        <v>Número de lineamientos implementados en el periodo</v>
      </c>
      <c r="G84" s="280" t="s">
        <v>713</v>
      </c>
      <c r="H84" s="275" t="s">
        <v>684</v>
      </c>
      <c r="I84" s="276">
        <v>95</v>
      </c>
      <c r="J84" s="277" t="str">
        <f t="shared" si="13"/>
        <v>Desde (&gt;=):</v>
      </c>
      <c r="K84" s="277">
        <f t="shared" si="11"/>
        <v>75</v>
      </c>
      <c r="L84" s="277" t="str">
        <f t="shared" si="14"/>
        <v>Hasta (&lt;=):</v>
      </c>
      <c r="M84" s="277">
        <f t="shared" si="12"/>
        <v>95</v>
      </c>
      <c r="N84" s="277" t="str">
        <f t="shared" si="15"/>
        <v>Menor A:</v>
      </c>
      <c r="O84" s="278">
        <v>75</v>
      </c>
      <c r="P84" s="272">
        <f>+'14-SERVICIO AL USUARIO'!F17</f>
        <v>7</v>
      </c>
      <c r="Q84" s="272">
        <f>+'14-SERVICIO AL USUARIO'!G17</f>
        <v>1</v>
      </c>
      <c r="R84" s="295" t="str">
        <f>+'14-SERVICIO AL USUARIO'!O17</f>
        <v>Secretaría General</v>
      </c>
    </row>
    <row r="85" spans="2:18" ht="31.2" customHeight="1">
      <c r="B85" s="272">
        <f t="shared" si="18"/>
        <v>81</v>
      </c>
      <c r="C85" s="283" t="s">
        <v>693</v>
      </c>
      <c r="D85" s="280" t="s">
        <v>810</v>
      </c>
      <c r="E85" s="288" t="str">
        <f>+'14-SERVICIO AL USUARIO'!I18</f>
        <v>Acuerdos interinstitucionales gestionados</v>
      </c>
      <c r="F85" s="288" t="str">
        <f>+'14-SERVICIO AL USUARIO'!J18</f>
        <v>Número de acuerdos interinstitucionales gestionados en el periodo</v>
      </c>
      <c r="G85" s="280" t="s">
        <v>713</v>
      </c>
      <c r="H85" s="275" t="s">
        <v>684</v>
      </c>
      <c r="I85" s="276">
        <v>95</v>
      </c>
      <c r="J85" s="277" t="str">
        <f t="shared" si="13"/>
        <v>Desde (&gt;=):</v>
      </c>
      <c r="K85" s="277">
        <f t="shared" si="11"/>
        <v>75</v>
      </c>
      <c r="L85" s="277" t="str">
        <f t="shared" si="14"/>
        <v>Hasta (&lt;=):</v>
      </c>
      <c r="M85" s="277">
        <f t="shared" si="12"/>
        <v>95</v>
      </c>
      <c r="N85" s="277" t="str">
        <f t="shared" si="15"/>
        <v>Menor A:</v>
      </c>
      <c r="O85" s="278">
        <v>75</v>
      </c>
      <c r="P85" s="272">
        <f>+'14-SERVICIO AL USUARIO'!F18</f>
        <v>3</v>
      </c>
      <c r="Q85" s="272">
        <f>+'14-SERVICIO AL USUARIO'!G18</f>
        <v>1</v>
      </c>
      <c r="R85" s="295" t="str">
        <f>+'14-SERVICIO AL USUARIO'!O18</f>
        <v>Secretaría General</v>
      </c>
    </row>
    <row r="86" spans="2:18" ht="35.4" customHeight="1">
      <c r="B86" s="272">
        <f t="shared" si="18"/>
        <v>82</v>
      </c>
      <c r="C86" s="282" t="s">
        <v>694</v>
      </c>
      <c r="D86" s="280" t="s">
        <v>803</v>
      </c>
      <c r="E86" s="284" t="str">
        <f>+'15-CTRL DISCIPLINARIO INTERNO'!I16</f>
        <v>Medidas de preservación del orden interno emitidas</v>
      </c>
      <c r="F86" s="284" t="str">
        <f>+'15-CTRL DISCIPLINARIO INTERNO'!J16</f>
        <v>Número de medidas de preservación del orden interno emitidas</v>
      </c>
      <c r="G86" s="280" t="s">
        <v>713</v>
      </c>
      <c r="H86" s="275" t="s">
        <v>684</v>
      </c>
      <c r="I86" s="276">
        <v>95</v>
      </c>
      <c r="J86" s="277" t="str">
        <f t="shared" si="13"/>
        <v>Desde (&gt;=):</v>
      </c>
      <c r="K86" s="277">
        <f t="shared" si="11"/>
        <v>75</v>
      </c>
      <c r="L86" s="277" t="str">
        <f t="shared" si="14"/>
        <v>Hasta (&lt;=):</v>
      </c>
      <c r="M86" s="277">
        <f t="shared" si="12"/>
        <v>95</v>
      </c>
      <c r="N86" s="277" t="str">
        <f t="shared" si="15"/>
        <v>Menor A:</v>
      </c>
      <c r="O86" s="278">
        <v>75</v>
      </c>
      <c r="P86" s="272">
        <f>+'15-CTRL DISCIPLINARIO INTERNO'!F16</f>
        <v>152</v>
      </c>
      <c r="Q86" s="272">
        <f>+'15-CTRL DISCIPLINARIO INTERNO'!G16</f>
        <v>40</v>
      </c>
      <c r="R86" s="295" t="str">
        <f>+'15-CTRL DISCIPLINARIO INTERNO'!O16</f>
        <v>Oficina Control Interno Disciplinario</v>
      </c>
    </row>
    <row r="87" spans="2:18">
      <c r="B87" s="272">
        <f t="shared" si="18"/>
        <v>83</v>
      </c>
      <c r="C87" s="282" t="s">
        <v>694</v>
      </c>
      <c r="D87" s="280" t="s">
        <v>811</v>
      </c>
      <c r="E87" s="284" t="str">
        <f>+'15-CTRL DISCIPLINARIO INTERNO'!I17</f>
        <v>Jornadas de sensibilización realizadas</v>
      </c>
      <c r="F87" s="284" t="str">
        <f>+'15-CTRL DISCIPLINARIO INTERNO'!J17</f>
        <v>Número de jornadas de sensibilización realizadas</v>
      </c>
      <c r="G87" s="280" t="s">
        <v>713</v>
      </c>
      <c r="H87" s="275" t="s">
        <v>684</v>
      </c>
      <c r="I87" s="276">
        <v>95</v>
      </c>
      <c r="J87" s="277" t="str">
        <f t="shared" si="13"/>
        <v>Desde (&gt;=):</v>
      </c>
      <c r="K87" s="277">
        <f t="shared" si="11"/>
        <v>75</v>
      </c>
      <c r="L87" s="277" t="str">
        <f t="shared" si="14"/>
        <v>Hasta (&lt;=):</v>
      </c>
      <c r="M87" s="277">
        <f t="shared" si="12"/>
        <v>95</v>
      </c>
      <c r="N87" s="277" t="str">
        <f t="shared" si="15"/>
        <v>Menor A:</v>
      </c>
      <c r="O87" s="278">
        <v>75</v>
      </c>
      <c r="P87" s="272">
        <f>+'15-CTRL DISCIPLINARIO INTERNO'!F17</f>
        <v>20</v>
      </c>
      <c r="Q87" s="272">
        <f>+'15-CTRL DISCIPLINARIO INTERNO'!G17</f>
        <v>6</v>
      </c>
      <c r="R87" s="295" t="str">
        <f>+'15-CTRL DISCIPLINARIO INTERNO'!O17</f>
        <v>Oficina Control Interno Disciplinario</v>
      </c>
    </row>
    <row r="88" spans="2:18" ht="26.4">
      <c r="B88" s="272">
        <f t="shared" si="18"/>
        <v>84</v>
      </c>
      <c r="C88" s="282" t="s">
        <v>694</v>
      </c>
      <c r="D88" s="280" t="s">
        <v>812</v>
      </c>
      <c r="E88" s="284" t="str">
        <f>+'15-CTRL DISCIPLINARIO INTERNO'!I18</f>
        <v>Procesos disciplinarios con decisión de fondo proferida</v>
      </c>
      <c r="F88" s="284" t="str">
        <f>+'15-CTRL DISCIPLINARIO INTERNO'!J18</f>
        <v>Número de procesos disciplinarios con decisión de fondo proferidos</v>
      </c>
      <c r="G88" s="280" t="s">
        <v>713</v>
      </c>
      <c r="H88" s="275" t="s">
        <v>684</v>
      </c>
      <c r="I88" s="276">
        <v>95</v>
      </c>
      <c r="J88" s="277" t="str">
        <f t="shared" si="13"/>
        <v>Desde (&gt;=):</v>
      </c>
      <c r="K88" s="277">
        <f t="shared" si="11"/>
        <v>75</v>
      </c>
      <c r="L88" s="277" t="str">
        <f t="shared" si="14"/>
        <v>Hasta (&lt;=):</v>
      </c>
      <c r="M88" s="277">
        <f t="shared" si="12"/>
        <v>95</v>
      </c>
      <c r="N88" s="277" t="str">
        <f t="shared" si="15"/>
        <v>Menor A:</v>
      </c>
      <c r="O88" s="278">
        <v>75</v>
      </c>
      <c r="P88" s="272">
        <f>+'15-CTRL DISCIPLINARIO INTERNO'!F18</f>
        <v>488</v>
      </c>
      <c r="Q88" s="272">
        <f>+'15-CTRL DISCIPLINARIO INTERNO'!G18</f>
        <v>144</v>
      </c>
      <c r="R88" s="295" t="str">
        <f>+'15-CTRL DISCIPLINARIO INTERNO'!O18</f>
        <v>Oficina Control Interno Disciplinario</v>
      </c>
    </row>
    <row r="89" spans="2:18" ht="36" customHeight="1">
      <c r="B89" s="272">
        <f t="shared" si="18"/>
        <v>85</v>
      </c>
      <c r="C89" s="283" t="s">
        <v>695</v>
      </c>
      <c r="D89" s="280" t="s">
        <v>804</v>
      </c>
      <c r="E89" s="284" t="str">
        <f>+'16-EVALUACIÓN Y SEGUIMIENTO'!I16</f>
        <v>Programa anual de auditorías ejecutado.</v>
      </c>
      <c r="F89" s="284" t="str">
        <f>+'16-EVALUACIÓN Y SEGUIMIENTO'!J16</f>
        <v>Grado del avance del Programa Anual de Auditoría</v>
      </c>
      <c r="G89" s="280" t="s">
        <v>713</v>
      </c>
      <c r="H89" s="275" t="s">
        <v>684</v>
      </c>
      <c r="I89" s="276">
        <v>95</v>
      </c>
      <c r="J89" s="277" t="str">
        <f t="shared" si="13"/>
        <v>Desde (&gt;=):</v>
      </c>
      <c r="K89" s="277">
        <f t="shared" si="11"/>
        <v>75</v>
      </c>
      <c r="L89" s="277" t="str">
        <f t="shared" si="14"/>
        <v>Hasta (&lt;=):</v>
      </c>
      <c r="M89" s="277">
        <f t="shared" si="12"/>
        <v>95</v>
      </c>
      <c r="N89" s="277" t="str">
        <f t="shared" si="15"/>
        <v>Menor A:</v>
      </c>
      <c r="O89" s="278">
        <v>75</v>
      </c>
      <c r="P89" s="272">
        <f>+'16-EVALUACIÓN Y SEGUIMIENTO'!F16</f>
        <v>4</v>
      </c>
      <c r="Q89" s="272">
        <f>+'16-EVALUACIÓN Y SEGUIMIENTO'!G16</f>
        <v>1</v>
      </c>
      <c r="R89" s="295" t="str">
        <f>+'16-EVALUACIÓN Y SEGUIMIENTO'!O16</f>
        <v>Oficina de Control Interno</v>
      </c>
    </row>
    <row r="90" spans="2:18" ht="26.4">
      <c r="B90" s="272">
        <f t="shared" si="18"/>
        <v>86</v>
      </c>
      <c r="C90" s="283" t="s">
        <v>695</v>
      </c>
      <c r="D90" s="280" t="s">
        <v>813</v>
      </c>
      <c r="E90" s="284" t="str">
        <f>+'16-EVALUACIÓN Y SEGUIMIENTO'!I17</f>
        <v>Estrategia de Sensibilización acerca de la Cultura del Control realizada</v>
      </c>
      <c r="F90" s="284" t="str">
        <f>+'16-EVALUACIÓN Y SEGUIMIENTO'!J17</f>
        <v>Número de estratégias de sensibilización acerca de la cultura del control desarrolladas</v>
      </c>
      <c r="G90" s="280" t="s">
        <v>713</v>
      </c>
      <c r="H90" s="275" t="s">
        <v>684</v>
      </c>
      <c r="I90" s="276">
        <v>95</v>
      </c>
      <c r="J90" s="277" t="str">
        <f t="shared" si="13"/>
        <v>Desde (&gt;=):</v>
      </c>
      <c r="K90" s="277">
        <f t="shared" si="11"/>
        <v>75</v>
      </c>
      <c r="L90" s="277" t="str">
        <f t="shared" si="14"/>
        <v>Hasta (&lt;=):</v>
      </c>
      <c r="M90" s="277">
        <f t="shared" si="12"/>
        <v>95</v>
      </c>
      <c r="N90" s="277" t="str">
        <f t="shared" si="15"/>
        <v>Menor A:</v>
      </c>
      <c r="O90" s="278">
        <v>75</v>
      </c>
      <c r="P90" s="272">
        <f>+'16-EVALUACIÓN Y SEGUIMIENTO'!F17</f>
        <v>4</v>
      </c>
      <c r="Q90" s="272">
        <f>+'16-EVALUACIÓN Y SEGUIMIENTO'!G17</f>
        <v>1</v>
      </c>
      <c r="R90" s="295" t="str">
        <f>+'16-EVALUACIÓN Y SEGUIMIENTO'!O17</f>
        <v>Oficina de Control Interno</v>
      </c>
    </row>
    <row r="91" spans="2:18" ht="39.6">
      <c r="B91" s="272">
        <f t="shared" si="18"/>
        <v>87</v>
      </c>
      <c r="C91" s="283" t="s">
        <v>695</v>
      </c>
      <c r="D91" s="280" t="s">
        <v>814</v>
      </c>
      <c r="E91" s="284" t="str">
        <f>+'16-EVALUACIÓN Y SEGUIMIENTO'!I18</f>
        <v>Sensibilización a Directivos y Referentes de Gestión sobre la Séptima Dimensión del MIPG realizada</v>
      </c>
      <c r="F91" s="284" t="str">
        <f>+'16-EVALUACIÓN Y SEGUIMIENTO'!J18</f>
        <v>Número de jornadas de Sensibilización realizadas</v>
      </c>
      <c r="G91" s="280" t="s">
        <v>713</v>
      </c>
      <c r="H91" s="275" t="s">
        <v>684</v>
      </c>
      <c r="I91" s="276">
        <v>95</v>
      </c>
      <c r="J91" s="277" t="str">
        <f t="shared" si="13"/>
        <v>Desde (&gt;=):</v>
      </c>
      <c r="K91" s="277">
        <f t="shared" si="11"/>
        <v>75</v>
      </c>
      <c r="L91" s="277" t="str">
        <f t="shared" si="14"/>
        <v>Hasta (&lt;=):</v>
      </c>
      <c r="M91" s="277">
        <f t="shared" si="12"/>
        <v>95</v>
      </c>
      <c r="N91" s="277" t="str">
        <f t="shared" si="15"/>
        <v>Menor A:</v>
      </c>
      <c r="O91" s="278">
        <v>75</v>
      </c>
      <c r="P91" s="272">
        <f>+'16-EVALUACIÓN Y SEGUIMIENTO'!F18</f>
        <v>4</v>
      </c>
      <c r="Q91" s="272">
        <f>+'16-EVALUACIÓN Y SEGUIMIENTO'!G18</f>
        <v>1</v>
      </c>
      <c r="R91" s="295" t="str">
        <f>+'16-EVALUACIÓN Y SEGUIMIENTO'!O18</f>
        <v>Oficina de Control Interno</v>
      </c>
    </row>
    <row r="92" spans="2:18">
      <c r="B92" s="272">
        <f t="shared" ref="B92:B106" si="19">1+B91</f>
        <v>88</v>
      </c>
      <c r="C92" s="299"/>
      <c r="D92" s="272"/>
      <c r="E92" s="284"/>
      <c r="F92" s="284"/>
      <c r="G92" s="280"/>
      <c r="H92" s="275"/>
      <c r="I92" s="276"/>
      <c r="J92" s="277" t="str">
        <f t="shared" si="13"/>
        <v/>
      </c>
      <c r="K92" s="277" t="str">
        <f t="shared" si="11"/>
        <v>No Aplica</v>
      </c>
      <c r="L92" s="277" t="str">
        <f t="shared" si="14"/>
        <v/>
      </c>
      <c r="M92" s="277" t="str">
        <f t="shared" si="12"/>
        <v>No Aplica</v>
      </c>
      <c r="N92" s="277" t="str">
        <f t="shared" si="15"/>
        <v/>
      </c>
      <c r="O92" s="278"/>
      <c r="P92" s="272"/>
      <c r="Q92" s="272"/>
      <c r="R92" s="295"/>
    </row>
    <row r="93" spans="2:18">
      <c r="B93" s="272">
        <f t="shared" si="19"/>
        <v>89</v>
      </c>
      <c r="C93" s="299"/>
      <c r="D93" s="272"/>
      <c r="E93" s="284"/>
      <c r="F93" s="284"/>
      <c r="G93" s="280"/>
      <c r="H93" s="275"/>
      <c r="I93" s="276"/>
      <c r="J93" s="277" t="str">
        <f t="shared" si="13"/>
        <v/>
      </c>
      <c r="K93" s="277" t="str">
        <f t="shared" si="11"/>
        <v>No Aplica</v>
      </c>
      <c r="L93" s="277" t="str">
        <f t="shared" si="14"/>
        <v/>
      </c>
      <c r="M93" s="277" t="str">
        <f t="shared" si="12"/>
        <v>No Aplica</v>
      </c>
      <c r="N93" s="277" t="str">
        <f t="shared" si="15"/>
        <v/>
      </c>
      <c r="O93" s="278"/>
      <c r="P93" s="272"/>
      <c r="Q93" s="272"/>
      <c r="R93" s="295"/>
    </row>
    <row r="94" spans="2:18">
      <c r="B94" s="272">
        <f t="shared" si="19"/>
        <v>90</v>
      </c>
      <c r="C94" s="299"/>
      <c r="D94" s="272"/>
      <c r="E94" s="284"/>
      <c r="F94" s="284"/>
      <c r="G94" s="280"/>
      <c r="H94" s="275"/>
      <c r="I94" s="276"/>
      <c r="J94" s="277" t="str">
        <f t="shared" si="13"/>
        <v/>
      </c>
      <c r="K94" s="277" t="str">
        <f t="shared" si="11"/>
        <v>No Aplica</v>
      </c>
      <c r="L94" s="277" t="str">
        <f t="shared" si="14"/>
        <v/>
      </c>
      <c r="M94" s="277" t="str">
        <f t="shared" si="12"/>
        <v>No Aplica</v>
      </c>
      <c r="N94" s="277" t="str">
        <f t="shared" si="15"/>
        <v/>
      </c>
      <c r="O94" s="278"/>
      <c r="P94" s="272"/>
      <c r="Q94" s="272"/>
      <c r="R94" s="295"/>
    </row>
    <row r="95" spans="2:18" hidden="1">
      <c r="B95" s="272">
        <f t="shared" si="19"/>
        <v>91</v>
      </c>
      <c r="C95" s="299"/>
      <c r="D95" s="272"/>
      <c r="E95" s="284"/>
      <c r="F95" s="284"/>
      <c r="G95" s="280"/>
      <c r="H95" s="275"/>
      <c r="I95" s="276"/>
      <c r="J95" s="277" t="str">
        <f t="shared" si="13"/>
        <v/>
      </c>
      <c r="K95" s="277" t="str">
        <f t="shared" si="11"/>
        <v>No Aplica</v>
      </c>
      <c r="L95" s="277" t="str">
        <f t="shared" si="14"/>
        <v/>
      </c>
      <c r="M95" s="277" t="str">
        <f t="shared" si="12"/>
        <v>No Aplica</v>
      </c>
      <c r="N95" s="277" t="str">
        <f t="shared" si="15"/>
        <v/>
      </c>
      <c r="O95" s="278"/>
      <c r="P95" s="272"/>
      <c r="Q95" s="272"/>
      <c r="R95" s="295"/>
    </row>
    <row r="96" spans="2:18" hidden="1">
      <c r="B96" s="272">
        <f t="shared" si="19"/>
        <v>92</v>
      </c>
      <c r="C96" s="299"/>
      <c r="D96" s="272"/>
      <c r="E96" s="284"/>
      <c r="F96" s="284"/>
      <c r="G96" s="280"/>
      <c r="H96" s="275"/>
      <c r="I96" s="276"/>
      <c r="J96" s="277" t="str">
        <f t="shared" si="13"/>
        <v/>
      </c>
      <c r="K96" s="277" t="str">
        <f t="shared" si="11"/>
        <v>No Aplica</v>
      </c>
      <c r="L96" s="277" t="str">
        <f t="shared" si="14"/>
        <v/>
      </c>
      <c r="M96" s="277" t="str">
        <f t="shared" si="12"/>
        <v>No Aplica</v>
      </c>
      <c r="N96" s="277" t="str">
        <f t="shared" si="15"/>
        <v/>
      </c>
      <c r="O96" s="278"/>
      <c r="P96" s="272"/>
      <c r="Q96" s="272"/>
      <c r="R96" s="295"/>
    </row>
    <row r="97" spans="2:18" hidden="1">
      <c r="B97" s="272">
        <f t="shared" si="19"/>
        <v>93</v>
      </c>
      <c r="C97" s="284"/>
      <c r="D97" s="272"/>
      <c r="E97" s="284"/>
      <c r="F97" s="284"/>
      <c r="G97" s="272"/>
      <c r="H97" s="275"/>
      <c r="I97" s="276"/>
      <c r="J97" s="277" t="str">
        <f t="shared" si="13"/>
        <v/>
      </c>
      <c r="K97" s="277" t="str">
        <f t="shared" si="11"/>
        <v>No Aplica</v>
      </c>
      <c r="L97" s="277" t="str">
        <f t="shared" si="14"/>
        <v/>
      </c>
      <c r="M97" s="277" t="str">
        <f t="shared" si="12"/>
        <v>No Aplica</v>
      </c>
      <c r="N97" s="277" t="str">
        <f t="shared" si="15"/>
        <v/>
      </c>
      <c r="O97" s="278"/>
      <c r="P97" s="272"/>
      <c r="Q97" s="272"/>
      <c r="R97" s="295"/>
    </row>
    <row r="98" spans="2:18" hidden="1">
      <c r="B98" s="272">
        <f t="shared" si="19"/>
        <v>94</v>
      </c>
      <c r="C98" s="284"/>
      <c r="D98" s="272"/>
      <c r="E98" s="284"/>
      <c r="F98" s="284"/>
      <c r="G98" s="272"/>
      <c r="H98" s="275"/>
      <c r="I98" s="276"/>
      <c r="J98" s="277" t="str">
        <f t="shared" si="13"/>
        <v/>
      </c>
      <c r="K98" s="277" t="str">
        <f t="shared" si="11"/>
        <v>No Aplica</v>
      </c>
      <c r="L98" s="277" t="str">
        <f t="shared" si="14"/>
        <v/>
      </c>
      <c r="M98" s="277" t="str">
        <f t="shared" si="12"/>
        <v>No Aplica</v>
      </c>
      <c r="N98" s="277" t="str">
        <f t="shared" si="15"/>
        <v/>
      </c>
      <c r="O98" s="278"/>
      <c r="P98" s="272"/>
      <c r="Q98" s="272"/>
      <c r="R98" s="295"/>
    </row>
    <row r="99" spans="2:18" hidden="1">
      <c r="B99" s="272">
        <f t="shared" si="19"/>
        <v>95</v>
      </c>
      <c r="C99" s="284"/>
      <c r="D99" s="272"/>
      <c r="E99" s="284"/>
      <c r="F99" s="284"/>
      <c r="G99" s="272"/>
      <c r="H99" s="275"/>
      <c r="I99" s="276"/>
      <c r="J99" s="277" t="str">
        <f t="shared" si="13"/>
        <v/>
      </c>
      <c r="K99" s="277" t="str">
        <f t="shared" si="11"/>
        <v>No Aplica</v>
      </c>
      <c r="L99" s="277" t="str">
        <f t="shared" si="14"/>
        <v/>
      </c>
      <c r="M99" s="277" t="str">
        <f t="shared" si="12"/>
        <v>No Aplica</v>
      </c>
      <c r="N99" s="277" t="str">
        <f t="shared" si="15"/>
        <v/>
      </c>
      <c r="O99" s="278"/>
      <c r="P99" s="272"/>
      <c r="Q99" s="272"/>
      <c r="R99" s="295"/>
    </row>
    <row r="100" spans="2:18" hidden="1">
      <c r="B100" s="272">
        <f t="shared" si="19"/>
        <v>96</v>
      </c>
      <c r="C100" s="284"/>
      <c r="D100" s="272"/>
      <c r="E100" s="284"/>
      <c r="F100" s="284"/>
      <c r="G100" s="272"/>
      <c r="H100" s="275"/>
      <c r="I100" s="276"/>
      <c r="J100" s="277" t="str">
        <f t="shared" si="13"/>
        <v/>
      </c>
      <c r="K100" s="277" t="str">
        <f t="shared" si="11"/>
        <v>No Aplica</v>
      </c>
      <c r="L100" s="277" t="str">
        <f t="shared" si="14"/>
        <v/>
      </c>
      <c r="M100" s="277" t="str">
        <f t="shared" si="12"/>
        <v>No Aplica</v>
      </c>
      <c r="N100" s="277" t="str">
        <f t="shared" si="15"/>
        <v/>
      </c>
      <c r="O100" s="278"/>
      <c r="P100" s="272"/>
      <c r="Q100" s="272"/>
      <c r="R100" s="295"/>
    </row>
    <row r="101" spans="2:18" hidden="1">
      <c r="B101" s="272">
        <f t="shared" si="19"/>
        <v>97</v>
      </c>
      <c r="C101" s="284"/>
      <c r="D101" s="272"/>
      <c r="E101" s="284"/>
      <c r="F101" s="284"/>
      <c r="G101" s="272"/>
      <c r="H101" s="275"/>
      <c r="I101" s="276"/>
      <c r="J101" s="277" t="str">
        <f t="shared" si="13"/>
        <v/>
      </c>
      <c r="K101" s="277" t="str">
        <f t="shared" si="11"/>
        <v>No Aplica</v>
      </c>
      <c r="L101" s="277" t="str">
        <f t="shared" si="14"/>
        <v/>
      </c>
      <c r="M101" s="277" t="str">
        <f t="shared" si="12"/>
        <v>No Aplica</v>
      </c>
      <c r="N101" s="277" t="str">
        <f t="shared" si="15"/>
        <v/>
      </c>
      <c r="O101" s="278"/>
      <c r="P101" s="272"/>
      <c r="Q101" s="272"/>
      <c r="R101" s="295"/>
    </row>
    <row r="102" spans="2:18" hidden="1">
      <c r="B102" s="272">
        <f t="shared" si="19"/>
        <v>98</v>
      </c>
      <c r="C102" s="284"/>
      <c r="D102" s="272"/>
      <c r="E102" s="284"/>
      <c r="F102" s="284"/>
      <c r="G102" s="272"/>
      <c r="H102" s="275"/>
      <c r="I102" s="276"/>
      <c r="J102" s="277" t="str">
        <f t="shared" si="13"/>
        <v/>
      </c>
      <c r="K102" s="277" t="str">
        <f t="shared" si="11"/>
        <v>No Aplica</v>
      </c>
      <c r="L102" s="277" t="str">
        <f t="shared" si="14"/>
        <v/>
      </c>
      <c r="M102" s="277" t="str">
        <f t="shared" si="12"/>
        <v>No Aplica</v>
      </c>
      <c r="N102" s="277" t="str">
        <f t="shared" si="15"/>
        <v/>
      </c>
      <c r="O102" s="278"/>
      <c r="P102" s="272"/>
      <c r="Q102" s="272"/>
      <c r="R102" s="295"/>
    </row>
    <row r="103" spans="2:18" hidden="1">
      <c r="B103" s="272">
        <f t="shared" si="19"/>
        <v>99</v>
      </c>
      <c r="C103" s="284"/>
      <c r="D103" s="272"/>
      <c r="E103" s="284"/>
      <c r="F103" s="284"/>
      <c r="G103" s="272"/>
      <c r="H103" s="275"/>
      <c r="I103" s="276"/>
      <c r="J103" s="277" t="str">
        <f t="shared" si="13"/>
        <v/>
      </c>
      <c r="K103" s="277" t="str">
        <f t="shared" si="11"/>
        <v>No Aplica</v>
      </c>
      <c r="L103" s="277" t="str">
        <f t="shared" si="14"/>
        <v/>
      </c>
      <c r="M103" s="277" t="str">
        <f t="shared" si="12"/>
        <v>No Aplica</v>
      </c>
      <c r="N103" s="277" t="str">
        <f t="shared" si="15"/>
        <v/>
      </c>
      <c r="O103" s="278"/>
      <c r="P103" s="272"/>
      <c r="Q103" s="272"/>
      <c r="R103" s="295"/>
    </row>
    <row r="104" spans="2:18" hidden="1">
      <c r="B104" s="272">
        <f t="shared" si="19"/>
        <v>100</v>
      </c>
      <c r="C104" s="284"/>
      <c r="D104" s="272"/>
      <c r="E104" s="284"/>
      <c r="F104" s="284"/>
      <c r="G104" s="272"/>
      <c r="H104" s="275"/>
      <c r="I104" s="276"/>
      <c r="J104" s="277" t="str">
        <f t="shared" si="13"/>
        <v/>
      </c>
      <c r="K104" s="277" t="str">
        <f t="shared" si="11"/>
        <v>No Aplica</v>
      </c>
      <c r="L104" s="277" t="str">
        <f t="shared" si="14"/>
        <v/>
      </c>
      <c r="M104" s="277" t="str">
        <f t="shared" si="12"/>
        <v>No Aplica</v>
      </c>
      <c r="N104" s="277" t="str">
        <f t="shared" si="15"/>
        <v/>
      </c>
      <c r="O104" s="278"/>
      <c r="P104" s="272"/>
      <c r="Q104" s="272"/>
      <c r="R104" s="295"/>
    </row>
    <row r="105" spans="2:18" hidden="1">
      <c r="B105" s="272">
        <f t="shared" si="19"/>
        <v>101</v>
      </c>
      <c r="C105" s="284"/>
      <c r="D105" s="272"/>
      <c r="E105" s="284"/>
      <c r="F105" s="284"/>
      <c r="G105" s="272"/>
      <c r="H105" s="275"/>
      <c r="I105" s="276"/>
      <c r="J105" s="277" t="str">
        <f t="shared" si="13"/>
        <v/>
      </c>
      <c r="K105" s="277" t="str">
        <f t="shared" si="11"/>
        <v>No Aplica</v>
      </c>
      <c r="L105" s="277" t="str">
        <f t="shared" si="14"/>
        <v/>
      </c>
      <c r="M105" s="277" t="str">
        <f t="shared" si="12"/>
        <v>No Aplica</v>
      </c>
      <c r="N105" s="277" t="str">
        <f t="shared" si="15"/>
        <v/>
      </c>
      <c r="O105" s="278"/>
      <c r="P105" s="272"/>
      <c r="Q105" s="272"/>
      <c r="R105" s="295"/>
    </row>
    <row r="106" spans="2:18" hidden="1">
      <c r="B106" s="272">
        <f t="shared" si="19"/>
        <v>102</v>
      </c>
      <c r="C106" s="284"/>
      <c r="D106" s="272"/>
      <c r="E106" s="274"/>
      <c r="F106" s="274"/>
      <c r="G106" s="272"/>
      <c r="H106" s="275"/>
      <c r="I106" s="276"/>
      <c r="J106" s="277" t="str">
        <f t="shared" si="13"/>
        <v/>
      </c>
      <c r="K106" s="277" t="str">
        <f t="shared" si="11"/>
        <v>No Aplica</v>
      </c>
      <c r="L106" s="277" t="str">
        <f t="shared" si="14"/>
        <v/>
      </c>
      <c r="M106" s="277" t="str">
        <f t="shared" si="12"/>
        <v>No Aplica</v>
      </c>
      <c r="N106" s="277" t="str">
        <f t="shared" si="15"/>
        <v/>
      </c>
      <c r="O106" s="278"/>
      <c r="P106" s="272"/>
      <c r="Q106" s="272"/>
      <c r="R106" s="295"/>
    </row>
    <row r="109" spans="2:18" ht="15.6">
      <c r="C109" s="983" t="s">
        <v>704</v>
      </c>
      <c r="D109" s="984" t="s">
        <v>816</v>
      </c>
      <c r="E109" s="994" t="s">
        <v>846</v>
      </c>
      <c r="F109" s="994"/>
      <c r="G109" s="994"/>
    </row>
    <row r="110" spans="2:18" ht="15.6">
      <c r="C110" s="983"/>
      <c r="D110" s="984"/>
      <c r="E110" s="905" t="s">
        <v>713</v>
      </c>
      <c r="F110" s="905" t="s">
        <v>717</v>
      </c>
      <c r="G110" s="905" t="s">
        <v>721</v>
      </c>
    </row>
    <row r="111" spans="2:18" ht="13.8">
      <c r="C111" s="398" t="s">
        <v>678</v>
      </c>
      <c r="D111" s="401">
        <f>COUNT(B5:B8)</f>
        <v>4</v>
      </c>
      <c r="E111" s="402">
        <f>COUNTIF($G5:$G8,"Eficacia")</f>
        <v>4</v>
      </c>
      <c r="F111" s="402">
        <f>COUNTIF($G5:$G8,"Eficiencia")</f>
        <v>0</v>
      </c>
      <c r="G111" s="402">
        <f>COUNTIF($G5:$G8,"Efectividad")</f>
        <v>0</v>
      </c>
    </row>
    <row r="112" spans="2:18" ht="13.8">
      <c r="C112" s="398" t="s">
        <v>680</v>
      </c>
      <c r="D112" s="401">
        <f>COUNT(B9:B12)</f>
        <v>4</v>
      </c>
      <c r="E112" s="402">
        <f>COUNTIF($G9:$G12,"Eficacia")</f>
        <v>4</v>
      </c>
      <c r="F112" s="402">
        <f>COUNTIF($G9:$G12,"Eficiencia")</f>
        <v>0</v>
      </c>
      <c r="G112" s="402">
        <f>COUNTIF($G9:$G12,"Efectividad")</f>
        <v>0</v>
      </c>
    </row>
    <row r="113" spans="3:9" ht="13.8">
      <c r="C113" s="398" t="s">
        <v>681</v>
      </c>
      <c r="D113" s="401">
        <f>COUNT(B13:B19)</f>
        <v>7</v>
      </c>
      <c r="E113" s="402">
        <f>COUNTIF($G13:$G19,"Eficacia")</f>
        <v>7</v>
      </c>
      <c r="F113" s="402">
        <f>COUNTIF($G13:$G19,"Eficiencia")</f>
        <v>0</v>
      </c>
      <c r="G113" s="402">
        <f>COUNTIF($G13:$G19,"Efectividad")</f>
        <v>0</v>
      </c>
    </row>
    <row r="114" spans="3:9" ht="13.8">
      <c r="C114" s="398" t="s">
        <v>682</v>
      </c>
      <c r="D114" s="401">
        <f>COUNT(B20:B21)</f>
        <v>2</v>
      </c>
      <c r="E114" s="402">
        <f>COUNTIF($G20:$G21,"Eficacia")</f>
        <v>2</v>
      </c>
      <c r="F114" s="402">
        <f>COUNTIF($G20:$G21,"Eficiencia")</f>
        <v>0</v>
      </c>
      <c r="G114" s="402">
        <f>COUNTIF($G20:$G21,"Efectividad")</f>
        <v>0</v>
      </c>
    </row>
    <row r="115" spans="3:9" ht="13.8">
      <c r="C115" s="398" t="s">
        <v>683</v>
      </c>
      <c r="D115" s="401">
        <f>COUNT(B22:B41)</f>
        <v>20</v>
      </c>
      <c r="E115" s="402">
        <f>COUNTIF($G22:$G41,"Eficacia")</f>
        <v>20</v>
      </c>
      <c r="F115" s="402">
        <f>COUNTIF($G22:$G41,"Eficiencia")</f>
        <v>0</v>
      </c>
      <c r="G115" s="402">
        <f>COUNTIF($G22:$G41,"Efectividad")</f>
        <v>0</v>
      </c>
    </row>
    <row r="116" spans="3:9" ht="13.8">
      <c r="C116" s="398" t="s">
        <v>818</v>
      </c>
      <c r="D116" s="401">
        <f>COUNT(B42:B48)</f>
        <v>7</v>
      </c>
      <c r="E116" s="402">
        <f>COUNTIF($G42:$G48,"Eficacia")</f>
        <v>7</v>
      </c>
      <c r="F116" s="402">
        <f>COUNTIF($G42:$G48,"Eficiencia")</f>
        <v>0</v>
      </c>
      <c r="G116" s="402">
        <f>COUNTIF($G42:$G48,"Efectividad")</f>
        <v>0</v>
      </c>
    </row>
    <row r="117" spans="3:9" ht="13.8">
      <c r="C117" s="398" t="s">
        <v>686</v>
      </c>
      <c r="D117" s="401">
        <f>COUNT(B49:B56)</f>
        <v>8</v>
      </c>
      <c r="E117" s="402">
        <f>COUNTIF($G49:$G56,"Eficacia")</f>
        <v>8</v>
      </c>
      <c r="F117" s="402">
        <f>COUNTIF($G49:$G56,"Eficiencia")</f>
        <v>0</v>
      </c>
      <c r="G117" s="402">
        <f>COUNTIF($G49:$G56,"Efectividad")</f>
        <v>0</v>
      </c>
    </row>
    <row r="118" spans="3:9" ht="13.8">
      <c r="C118" s="398" t="s">
        <v>687</v>
      </c>
      <c r="D118" s="401">
        <f>COUNT(B57:B64)</f>
        <v>8</v>
      </c>
      <c r="E118" s="402">
        <f>COUNTIF($G57:$G64,"Eficacia")</f>
        <v>7</v>
      </c>
      <c r="F118" s="402">
        <f>COUNTIF($G57:$G64,"Eficiencia")</f>
        <v>0</v>
      </c>
      <c r="G118" s="402">
        <f>COUNTIF($G57:$G64,"Efectividad")</f>
        <v>1</v>
      </c>
    </row>
    <row r="119" spans="3:9" ht="13.8">
      <c r="C119" s="398" t="s">
        <v>688</v>
      </c>
      <c r="D119" s="401">
        <f>COUNT(B65:B66)</f>
        <v>2</v>
      </c>
      <c r="E119" s="402">
        <f>COUNTIF($G65:$G66,"Eficacia")</f>
        <v>2</v>
      </c>
      <c r="F119" s="402">
        <f>COUNTIF($G65:$G66,"Eficiencia")</f>
        <v>0</v>
      </c>
      <c r="G119" s="402">
        <f>COUNTIF($G65:$G66,"Efectividad")</f>
        <v>0</v>
      </c>
    </row>
    <row r="120" spans="3:9" ht="13.8">
      <c r="C120" s="398" t="s">
        <v>689</v>
      </c>
      <c r="D120" s="401">
        <f>COUNT(B67:B69)</f>
        <v>3</v>
      </c>
      <c r="E120" s="402">
        <f>COUNTIF($G67:$G69,"Eficacia")</f>
        <v>3</v>
      </c>
      <c r="F120" s="402">
        <f>COUNTIF($G67:$G69,"Eficiencia")</f>
        <v>0</v>
      </c>
      <c r="G120" s="402">
        <f>COUNTIF($G67:$G69,"Efectividad")</f>
        <v>0</v>
      </c>
    </row>
    <row r="121" spans="3:9" ht="13.8">
      <c r="C121" s="398" t="s">
        <v>690</v>
      </c>
      <c r="D121" s="401">
        <f>COUNT(B70:B73)</f>
        <v>4</v>
      </c>
      <c r="E121" s="402">
        <f>COUNTIF($G70:$G73,"Eficacia")</f>
        <v>1</v>
      </c>
      <c r="F121" s="402">
        <f>COUNTIF($G70:$G73,"Eficiencia")</f>
        <v>3</v>
      </c>
      <c r="G121" s="402">
        <f>COUNTIF($G70:$G73,"Efectividad")</f>
        <v>0</v>
      </c>
    </row>
    <row r="122" spans="3:9" ht="13.8">
      <c r="C122" s="398" t="s">
        <v>691</v>
      </c>
      <c r="D122" s="401">
        <f>COUNT(B74:B77)</f>
        <v>4</v>
      </c>
      <c r="E122" s="402">
        <f>COUNTIF($G74:$G77,"Eficacia")</f>
        <v>3</v>
      </c>
      <c r="F122" s="402">
        <f>COUNTIF($G74:$G77,"Eficiencia")</f>
        <v>1</v>
      </c>
      <c r="G122" s="402">
        <f>COUNTIF($G74:$G77,"Efectividad")</f>
        <v>0</v>
      </c>
    </row>
    <row r="123" spans="3:9" ht="13.8">
      <c r="C123" s="398" t="s">
        <v>692</v>
      </c>
      <c r="D123" s="401">
        <f>COUNT(B78:B82)</f>
        <v>5</v>
      </c>
      <c r="E123" s="402">
        <f>COUNTIF($G78:$G82,"Eficacia")</f>
        <v>5</v>
      </c>
      <c r="F123" s="402">
        <f>COUNTIF($G78:$G82,"Eficiencia")</f>
        <v>0</v>
      </c>
      <c r="G123" s="402">
        <f>COUNTIF($G78:$G82,"Efectividad")</f>
        <v>0</v>
      </c>
    </row>
    <row r="124" spans="3:9" ht="13.8">
      <c r="C124" s="398" t="s">
        <v>693</v>
      </c>
      <c r="D124" s="401">
        <f>COUNT(B83:B85)</f>
        <v>3</v>
      </c>
      <c r="E124" s="402">
        <f>COUNTIF($G83:$G85,"Eficacia")</f>
        <v>3</v>
      </c>
      <c r="F124" s="402">
        <f>COUNTIF($G83:$G85,"Eficiencia")</f>
        <v>0</v>
      </c>
      <c r="G124" s="402">
        <f>COUNTIF($G83:$G85,"Efectividad")</f>
        <v>0</v>
      </c>
    </row>
    <row r="125" spans="3:9" ht="13.8">
      <c r="C125" s="398" t="s">
        <v>694</v>
      </c>
      <c r="D125" s="401">
        <f>COUNT(B86:B88)</f>
        <v>3</v>
      </c>
      <c r="E125" s="402">
        <f>COUNTIF($G86:$G88,"Eficacia")</f>
        <v>3</v>
      </c>
      <c r="F125" s="402">
        <f>COUNTIF($G86:$G88,"Eficiencia")</f>
        <v>0</v>
      </c>
      <c r="G125" s="402">
        <f>COUNTIF($G86:$G88,"Efectividad")</f>
        <v>0</v>
      </c>
    </row>
    <row r="126" spans="3:9" ht="13.8">
      <c r="C126" s="398" t="s">
        <v>695</v>
      </c>
      <c r="D126" s="401">
        <f>COUNT(B89:B91)</f>
        <v>3</v>
      </c>
      <c r="E126" s="402">
        <f>COUNTIF($G89:$G91,"Eficacia")</f>
        <v>3</v>
      </c>
      <c r="F126" s="402">
        <f>COUNTIF($G89:$G91,"Eficiencia")</f>
        <v>0</v>
      </c>
      <c r="G126" s="402">
        <f>COUNTIF($G89:$G91,"Efectividad")</f>
        <v>0</v>
      </c>
    </row>
    <row r="127" spans="3:9" ht="15.6">
      <c r="C127" s="399" t="s">
        <v>853</v>
      </c>
      <c r="D127" s="400">
        <f>SUM(D111:D126)</f>
        <v>87</v>
      </c>
      <c r="E127" s="400">
        <f t="shared" ref="E127:G127" si="20">SUM(E111:E126)</f>
        <v>82</v>
      </c>
      <c r="F127" s="400">
        <f t="shared" si="20"/>
        <v>4</v>
      </c>
      <c r="G127" s="400">
        <f t="shared" si="20"/>
        <v>1</v>
      </c>
      <c r="H127" s="403"/>
      <c r="I127" s="71"/>
    </row>
    <row r="131" spans="6:7">
      <c r="F131" s="808"/>
      <c r="G131" s="808"/>
    </row>
    <row r="132" spans="6:7">
      <c r="F132" s="809"/>
      <c r="G132" s="810"/>
    </row>
  </sheetData>
  <sheetProtection algorithmName="SHA-512" hashValue="8WIhxRe0poUSuyWHEwreL9QZ9SdJUHzenX+ufwhddYX69H9q8DoiOK9O/QlilPVIPKzXujXhR/JuOeoL7ERibg==" saltValue="JzdMd2+vDY/bQmQY1M27dQ==" spinCount="100000" sheet="1" formatRows="0"/>
  <mergeCells count="8">
    <mergeCell ref="C109:C110"/>
    <mergeCell ref="D109:D110"/>
    <mergeCell ref="B2:O2"/>
    <mergeCell ref="H3:O3"/>
    <mergeCell ref="H4:I4"/>
    <mergeCell ref="J4:M4"/>
    <mergeCell ref="N4:O4"/>
    <mergeCell ref="E109:G109"/>
  </mergeCells>
  <phoneticPr fontId="66"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302" t="s">
        <v>704</v>
      </c>
      <c r="B1" s="302" t="s">
        <v>705</v>
      </c>
      <c r="C1" s="302" t="s">
        <v>706</v>
      </c>
      <c r="D1" s="302" t="s">
        <v>707</v>
      </c>
      <c r="E1" s="302" t="s">
        <v>708</v>
      </c>
      <c r="F1" s="302" t="s">
        <v>709</v>
      </c>
      <c r="G1" s="302" t="s">
        <v>710</v>
      </c>
    </row>
    <row r="2" spans="1:7">
      <c r="A2" s="303" t="s">
        <v>678</v>
      </c>
      <c r="B2" s="303" t="s">
        <v>711</v>
      </c>
      <c r="C2" s="304" t="s">
        <v>712</v>
      </c>
      <c r="D2" s="305" t="s">
        <v>713</v>
      </c>
      <c r="E2" s="305" t="s">
        <v>714</v>
      </c>
      <c r="F2" s="305" t="s">
        <v>715</v>
      </c>
      <c r="G2" s="306" t="s">
        <v>684</v>
      </c>
    </row>
    <row r="3" spans="1:7">
      <c r="A3" s="303" t="s">
        <v>680</v>
      </c>
      <c r="B3" s="303" t="s">
        <v>711</v>
      </c>
      <c r="C3" s="304" t="s">
        <v>716</v>
      </c>
      <c r="D3" s="305" t="s">
        <v>717</v>
      </c>
      <c r="E3" s="305" t="s">
        <v>718</v>
      </c>
      <c r="F3" s="305" t="s">
        <v>719</v>
      </c>
      <c r="G3" s="306" t="s">
        <v>679</v>
      </c>
    </row>
    <row r="4" spans="1:7" ht="14.4">
      <c r="A4" s="303" t="s">
        <v>681</v>
      </c>
      <c r="B4" s="303" t="s">
        <v>711</v>
      </c>
      <c r="C4" s="304" t="s">
        <v>720</v>
      </c>
      <c r="D4" s="305" t="s">
        <v>721</v>
      </c>
      <c r="E4" s="305" t="s">
        <v>722</v>
      </c>
      <c r="F4" s="307"/>
      <c r="G4" s="308" t="s">
        <v>696</v>
      </c>
    </row>
    <row r="5" spans="1:7" ht="14.4">
      <c r="A5" s="303" t="s">
        <v>682</v>
      </c>
      <c r="B5" s="303" t="s">
        <v>711</v>
      </c>
      <c r="C5" s="303" t="s">
        <v>723</v>
      </c>
      <c r="D5" s="307"/>
      <c r="E5" s="307"/>
      <c r="F5" s="307"/>
      <c r="G5" s="308" t="s">
        <v>724</v>
      </c>
    </row>
    <row r="6" spans="1:7" ht="14.4">
      <c r="A6" s="303" t="s">
        <v>683</v>
      </c>
      <c r="B6" s="303" t="s">
        <v>725</v>
      </c>
      <c r="C6" s="304" t="s">
        <v>726</v>
      </c>
      <c r="D6" s="307"/>
      <c r="E6" s="307"/>
      <c r="F6" s="307"/>
      <c r="G6" s="308" t="s">
        <v>727</v>
      </c>
    </row>
    <row r="7" spans="1:7" ht="14.4">
      <c r="A7" s="303" t="s">
        <v>685</v>
      </c>
      <c r="B7" s="303" t="s">
        <v>725</v>
      </c>
      <c r="C7" s="304" t="s">
        <v>728</v>
      </c>
      <c r="D7" s="307"/>
      <c r="E7" s="307"/>
      <c r="F7" s="307"/>
      <c r="G7" s="301"/>
    </row>
    <row r="8" spans="1:7" ht="14.4">
      <c r="A8" s="303" t="s">
        <v>686</v>
      </c>
      <c r="B8" s="303" t="s">
        <v>725</v>
      </c>
      <c r="C8" s="304" t="s">
        <v>729</v>
      </c>
      <c r="D8" s="307"/>
      <c r="E8" s="307"/>
      <c r="F8" s="307"/>
      <c r="G8" s="301"/>
    </row>
    <row r="9" spans="1:7" ht="14.4">
      <c r="A9" s="303" t="s">
        <v>687</v>
      </c>
      <c r="B9" s="303" t="s">
        <v>730</v>
      </c>
      <c r="C9" s="304" t="s">
        <v>731</v>
      </c>
      <c r="D9" s="307"/>
      <c r="E9" s="307"/>
      <c r="F9" s="307"/>
      <c r="G9" s="301"/>
    </row>
    <row r="10" spans="1:7" ht="14.4">
      <c r="A10" s="303" t="s">
        <v>688</v>
      </c>
      <c r="B10" s="303" t="s">
        <v>730</v>
      </c>
      <c r="C10" s="307"/>
      <c r="D10" s="307"/>
      <c r="E10" s="307"/>
      <c r="F10" s="307"/>
      <c r="G10" s="301"/>
    </row>
    <row r="11" spans="1:7" ht="14.4">
      <c r="A11" s="303" t="s">
        <v>689</v>
      </c>
      <c r="B11" s="303" t="s">
        <v>730</v>
      </c>
      <c r="C11" s="307"/>
      <c r="D11" s="307"/>
      <c r="E11" s="307"/>
      <c r="F11" s="307"/>
      <c r="G11" s="301"/>
    </row>
    <row r="12" spans="1:7" ht="14.4">
      <c r="A12" s="303" t="s">
        <v>690</v>
      </c>
      <c r="B12" s="303" t="s">
        <v>730</v>
      </c>
      <c r="C12" s="304"/>
      <c r="D12" s="307"/>
      <c r="E12" s="307"/>
      <c r="F12" s="307"/>
      <c r="G12" s="301"/>
    </row>
    <row r="13" spans="1:7" ht="14.4">
      <c r="A13" s="303" t="s">
        <v>691</v>
      </c>
      <c r="B13" s="303" t="s">
        <v>732</v>
      </c>
      <c r="C13" s="304"/>
      <c r="D13" s="307"/>
      <c r="E13" s="307"/>
      <c r="F13" s="307"/>
      <c r="G13" s="301"/>
    </row>
    <row r="14" spans="1:7" ht="14.4">
      <c r="A14" s="303" t="s">
        <v>692</v>
      </c>
      <c r="B14" s="303" t="s">
        <v>730</v>
      </c>
      <c r="C14" s="304"/>
      <c r="D14" s="307"/>
      <c r="E14" s="307"/>
      <c r="F14" s="307"/>
      <c r="G14" s="301"/>
    </row>
    <row r="15" spans="1:7" ht="14.4">
      <c r="A15" s="303" t="s">
        <v>693</v>
      </c>
      <c r="B15" s="303" t="s">
        <v>711</v>
      </c>
      <c r="C15" s="304"/>
      <c r="D15" s="307"/>
      <c r="E15" s="307"/>
      <c r="F15" s="307"/>
      <c r="G15" s="301"/>
    </row>
    <row r="16" spans="1:7" ht="14.4">
      <c r="A16" s="303" t="s">
        <v>694</v>
      </c>
      <c r="B16" s="303" t="s">
        <v>732</v>
      </c>
      <c r="C16" s="304"/>
      <c r="D16" s="307"/>
      <c r="E16" s="307"/>
      <c r="F16" s="307"/>
      <c r="G16" s="301"/>
    </row>
    <row r="17" spans="1:6" ht="14.4">
      <c r="A17" s="303" t="s">
        <v>695</v>
      </c>
      <c r="B17" s="303" t="s">
        <v>732</v>
      </c>
      <c r="C17" s="304"/>
      <c r="D17" s="307"/>
      <c r="E17" s="307"/>
      <c r="F17" s="307"/>
    </row>
    <row r="20" spans="1:6" ht="14.4">
      <c r="A20" s="309" t="s">
        <v>733</v>
      </c>
      <c r="B20" s="307"/>
      <c r="C20" s="307"/>
      <c r="D20" s="307"/>
      <c r="E20" s="307"/>
      <c r="F20" s="307"/>
    </row>
    <row r="21" spans="1:6" ht="14.4">
      <c r="A21" s="303" t="s">
        <v>734</v>
      </c>
      <c r="B21" s="307"/>
      <c r="C21" s="307"/>
      <c r="D21" s="307"/>
      <c r="E21" s="307"/>
      <c r="F21" s="307"/>
    </row>
    <row r="22" spans="1:6" ht="14.4">
      <c r="A22" s="307"/>
      <c r="B22" s="307"/>
      <c r="C22" s="307"/>
      <c r="D22" s="307"/>
      <c r="E22" s="307"/>
      <c r="F22" s="307"/>
    </row>
    <row r="23" spans="1:6" ht="14.4">
      <c r="A23" s="307"/>
      <c r="B23" s="307"/>
      <c r="C23" s="307"/>
      <c r="D23" s="307"/>
      <c r="E23" s="307"/>
      <c r="F23" s="307"/>
    </row>
    <row r="24" spans="1:6">
      <c r="A24" s="303"/>
      <c r="B24" s="303"/>
      <c r="C24" s="303"/>
      <c r="D24" s="305"/>
      <c r="E24" s="305"/>
      <c r="F24" s="305"/>
    </row>
    <row r="25" spans="1:6">
      <c r="A25" s="303"/>
      <c r="B25" s="303"/>
      <c r="C25" s="303"/>
      <c r="D25" s="305"/>
      <c r="E25" s="305"/>
      <c r="F25" s="305"/>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topLeftCell="A10" zoomScale="40" zoomScaleNormal="40" workbookViewId="0">
      <selection activeCell="C7" sqref="C7:G19"/>
    </sheetView>
  </sheetViews>
  <sheetFormatPr baseColWidth="10" defaultColWidth="17.33203125" defaultRowHeight="15"/>
  <cols>
    <col min="1" max="1" width="4.33203125" style="1" customWidth="1"/>
    <col min="2" max="2" width="87.44140625" style="3" customWidth="1"/>
    <col min="3" max="3" width="99" style="1" customWidth="1"/>
    <col min="4" max="5" width="38.6640625" style="1" customWidth="1"/>
    <col min="6" max="16384" width="17.33203125" style="1"/>
  </cols>
  <sheetData>
    <row r="1" spans="2:5" ht="15" customHeight="1"/>
    <row r="2" spans="2:5" ht="59.4" customHeight="1">
      <c r="B2" s="995" t="s">
        <v>642</v>
      </c>
      <c r="C2" s="1002" t="s">
        <v>990</v>
      </c>
      <c r="D2" s="588"/>
      <c r="E2" s="588"/>
    </row>
    <row r="3" spans="2:5" ht="59.4" customHeight="1">
      <c r="B3" s="995"/>
      <c r="C3" s="1003"/>
      <c r="D3" s="588"/>
      <c r="E3" s="588"/>
    </row>
    <row r="4" spans="2:5" ht="14.25" customHeight="1">
      <c r="B4" s="2"/>
    </row>
    <row r="5" spans="2:5" ht="32.4" customHeight="1">
      <c r="B5" s="612" t="s">
        <v>667</v>
      </c>
      <c r="C5" s="797" t="str">
        <f>+'2- Resumen Ejec PEI 2023'!C4</f>
        <v>SEMESTRE 1 2023</v>
      </c>
      <c r="D5" s="796"/>
      <c r="E5" s="267"/>
    </row>
    <row r="6" spans="2:5" ht="14.25" customHeight="1">
      <c r="B6" s="2"/>
      <c r="C6" s="12"/>
      <c r="D6" s="12"/>
      <c r="E6" s="12"/>
    </row>
    <row r="7" spans="2:5" ht="34.200000000000003" customHeight="1" thickBot="1">
      <c r="B7" s="614" t="str">
        <f>'3-Grado Cump Metas Estratégicas'!B7</f>
        <v>Acumulado Corte: 30 de junio de 2023</v>
      </c>
      <c r="C7" s="12"/>
      <c r="D7" s="12"/>
      <c r="E7" s="12"/>
    </row>
    <row r="8" spans="2:5" ht="52.2" customHeight="1">
      <c r="B8" s="996" t="s">
        <v>975</v>
      </c>
      <c r="C8" s="997"/>
      <c r="D8" s="603"/>
      <c r="E8" s="603"/>
    </row>
    <row r="9" spans="2:5" ht="59.4" customHeight="1">
      <c r="B9" s="998" t="s">
        <v>0</v>
      </c>
      <c r="C9" s="1000" t="s">
        <v>992</v>
      </c>
      <c r="D9" s="604"/>
      <c r="E9" s="604"/>
    </row>
    <row r="10" spans="2:5" ht="38.4" customHeight="1">
      <c r="B10" s="999"/>
      <c r="C10" s="1001"/>
      <c r="D10" s="604"/>
      <c r="E10" s="604"/>
    </row>
    <row r="11" spans="2:5" ht="218.25" customHeight="1">
      <c r="B11" s="630"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70">
        <f>+'1-Infor Det Sgto PEI 2021-2024 '!BO9</f>
        <v>0.85650394894571669</v>
      </c>
      <c r="D11" s="605"/>
      <c r="E11" s="605"/>
    </row>
    <row r="12" spans="2:5" ht="167.25" customHeight="1">
      <c r="B12" s="631" t="str">
        <f>+'Matriz PEI 2021-2024'!B13</f>
        <v>2. Realizar acciones de prevención y control a la Función Pública, en el marco del cumplimiento del Plan de Desarrollo, con énfasis en los Derechos e intereses colectivos.</v>
      </c>
      <c r="C12" s="971">
        <f>+'1-Infor Det Sgto PEI 2021-2024 '!BO29</f>
        <v>0.78604629201605547</v>
      </c>
      <c r="D12" s="606"/>
      <c r="E12" s="606"/>
    </row>
    <row r="13" spans="2:5" ht="173.25" customHeight="1">
      <c r="B13" s="630" t="str">
        <f>+'Matriz PEI 2021-2024'!B16</f>
        <v>3. Vigilar la conducta oficial de los(as) servidores(as) públicos(as) del Distrito Capital, mediante acciones preventivas y correctivas, que permitan un adecuado cumplimiento de los principios de la Función Pública</v>
      </c>
      <c r="C13" s="970">
        <f>+'1-Infor Det Sgto PEI 2021-2024 '!BO36</f>
        <v>0.67729432133450396</v>
      </c>
      <c r="D13" s="605"/>
      <c r="E13" s="605"/>
    </row>
    <row r="14" spans="2:5" ht="174.75" customHeight="1">
      <c r="B14" s="63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972">
        <f>+'1-Infor Det Sgto PEI 2021-2024 '!BO44</f>
        <v>0.81568036678057698</v>
      </c>
      <c r="D14" s="607"/>
      <c r="E14" s="607"/>
    </row>
    <row r="15" spans="2:5" ht="141.6" customHeight="1">
      <c r="B15" s="630" t="str">
        <f>+'Matriz PEI 2021-2024'!B27</f>
        <v xml:space="preserve">5. Incorporar una cultura del conocimiento y la innovación a través de actividades que permitan el desarrollo de ideas, lecciones aprendidas e investigaciones para mejorar los resultados de la gestión institucional. </v>
      </c>
      <c r="C15" s="973">
        <f>+'1-Infor Det Sgto PEI 2021-2024 '!BO92</f>
        <v>0.61250000000000004</v>
      </c>
      <c r="D15" s="601"/>
      <c r="E15" s="601"/>
    </row>
    <row r="16" spans="2:5" ht="32.4" customHeight="1" thickBot="1">
      <c r="B16" s="632" t="s">
        <v>974</v>
      </c>
      <c r="C16" s="629">
        <f>AVERAGE(C11:C15)</f>
        <v>0.74960498581537061</v>
      </c>
      <c r="D16" s="602"/>
      <c r="E16" s="602"/>
    </row>
    <row r="17" spans="2:2" ht="13.5" customHeight="1">
      <c r="B17" s="38"/>
    </row>
    <row r="18" spans="2:2" ht="15" customHeight="1">
      <c r="B18" s="38"/>
    </row>
    <row r="19" spans="2:2" ht="15" customHeight="1">
      <c r="B19" s="38"/>
    </row>
    <row r="20" spans="2:2" ht="15" customHeight="1">
      <c r="B20" s="38"/>
    </row>
    <row r="21" spans="2:2" ht="15" customHeight="1">
      <c r="B21" s="38"/>
    </row>
    <row r="25" spans="2:2" s="616" customFormat="1">
      <c r="B25" s="615"/>
    </row>
    <row r="26" spans="2:2" s="616" customFormat="1" ht="24.6" customHeight="1">
      <c r="B26" s="615"/>
    </row>
    <row r="27" spans="2:2" s="616" customFormat="1">
      <c r="B27" s="615"/>
    </row>
    <row r="28" spans="2:2" s="616" customFormat="1">
      <c r="B28" s="615"/>
    </row>
    <row r="29" spans="2:2" s="616" customFormat="1">
      <c r="B29" s="615"/>
    </row>
    <row r="30" spans="2:2" s="616" customFormat="1">
      <c r="B30" s="615"/>
    </row>
    <row r="31" spans="2:2" s="616" customFormat="1">
      <c r="B31" s="615"/>
    </row>
    <row r="32" spans="2:2" s="616" customFormat="1">
      <c r="B32" s="615"/>
    </row>
    <row r="33" spans="2:2" s="616" customFormat="1">
      <c r="B33" s="615"/>
    </row>
    <row r="34" spans="2:2" s="616" customFormat="1">
      <c r="B34" s="615"/>
    </row>
    <row r="35" spans="2:2" s="616" customFormat="1">
      <c r="B35" s="615"/>
    </row>
    <row r="36" spans="2:2" s="616" customFormat="1">
      <c r="B36" s="615"/>
    </row>
    <row r="37" spans="2:2" s="616" customFormat="1">
      <c r="B37" s="615"/>
    </row>
    <row r="38" spans="2:2" s="616" customFormat="1">
      <c r="B38" s="615"/>
    </row>
    <row r="39" spans="2:2" s="616" customFormat="1">
      <c r="B39" s="615"/>
    </row>
    <row r="40" spans="2:2" s="616" customFormat="1">
      <c r="B40" s="615"/>
    </row>
    <row r="41" spans="2:2" s="616" customFormat="1">
      <c r="B41" s="615"/>
    </row>
    <row r="42" spans="2:2" s="616" customFormat="1">
      <c r="B42" s="615"/>
    </row>
    <row r="43" spans="2:2" s="616" customFormat="1">
      <c r="B43" s="615"/>
    </row>
    <row r="44" spans="2:2" s="616" customFormat="1">
      <c r="B44" s="615"/>
    </row>
    <row r="45" spans="2:2" s="616" customFormat="1">
      <c r="B45" s="615"/>
    </row>
    <row r="46" spans="2:2" s="616" customFormat="1">
      <c r="B46" s="615"/>
    </row>
    <row r="47" spans="2:2" s="616" customFormat="1">
      <c r="B47" s="615"/>
    </row>
    <row r="48" spans="2:2" s="616" customFormat="1">
      <c r="B48" s="615"/>
    </row>
    <row r="49" spans="2:2" s="616" customFormat="1" ht="15" customHeight="1">
      <c r="B49" s="615"/>
    </row>
    <row r="50" spans="2:2" s="616" customFormat="1" ht="15" customHeight="1">
      <c r="B50" s="615"/>
    </row>
    <row r="51" spans="2:2" s="616" customFormat="1">
      <c r="B51" s="615"/>
    </row>
    <row r="52" spans="2:2" s="616" customFormat="1">
      <c r="B52" s="615"/>
    </row>
    <row r="53" spans="2:2" s="616" customFormat="1">
      <c r="B53" s="615"/>
    </row>
    <row r="54" spans="2:2" s="616" customFormat="1">
      <c r="B54" s="615"/>
    </row>
    <row r="55" spans="2:2" s="616" customFormat="1">
      <c r="B55" s="615"/>
    </row>
  </sheetData>
  <mergeCells count="5">
    <mergeCell ref="B2:B3"/>
    <mergeCell ref="B8:C8"/>
    <mergeCell ref="B9:B10"/>
    <mergeCell ref="C9:C10"/>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topLeftCell="A7" zoomScale="50" zoomScaleNormal="50" workbookViewId="0">
      <selection activeCell="C7" sqref="C7:G19"/>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013" t="s">
        <v>642</v>
      </c>
      <c r="C2" s="1023" t="s">
        <v>987</v>
      </c>
      <c r="D2" s="1024"/>
      <c r="E2" s="1025"/>
      <c r="F2" s="588"/>
      <c r="G2" s="588"/>
    </row>
    <row r="3" spans="2:7" ht="27" customHeight="1" thickBot="1">
      <c r="B3" s="1014"/>
      <c r="C3" s="1026"/>
      <c r="D3" s="1027"/>
      <c r="E3" s="1028"/>
      <c r="F3" s="588"/>
      <c r="G3" s="588"/>
    </row>
    <row r="4" spans="2:7" ht="14.25" customHeight="1">
      <c r="B4" s="2"/>
      <c r="C4" s="2"/>
    </row>
    <row r="5" spans="2:7" ht="32.4" customHeight="1">
      <c r="B5" s="612" t="s">
        <v>667</v>
      </c>
      <c r="C5" s="1015" t="str">
        <f>+'2- Resumen Ejec PEI 2023'!C4</f>
        <v>SEMESTRE 1 2023</v>
      </c>
      <c r="D5" s="1016"/>
      <c r="E5" s="267"/>
      <c r="F5" s="267"/>
      <c r="G5" s="267"/>
    </row>
    <row r="6" spans="2:7" ht="14.25" customHeight="1">
      <c r="B6" s="2"/>
      <c r="C6" s="2"/>
      <c r="D6" s="12"/>
      <c r="E6" s="12"/>
      <c r="F6" s="12"/>
      <c r="G6" s="12"/>
    </row>
    <row r="7" spans="2:7" ht="34.200000000000003" customHeight="1">
      <c r="B7" s="614" t="str">
        <f>+'2- Resumen Ejec PEI 2023'!B6</f>
        <v>Acumulado Corte: 30 de junio de 2023</v>
      </c>
      <c r="C7" s="2"/>
      <c r="D7" s="12"/>
      <c r="E7" s="12"/>
      <c r="F7" s="12"/>
      <c r="G7" s="12"/>
    </row>
    <row r="8" spans="2:7" ht="52.2" customHeight="1">
      <c r="B8" s="1029" t="s">
        <v>663</v>
      </c>
      <c r="C8" s="1030"/>
      <c r="D8" s="1030"/>
      <c r="E8" s="1031"/>
      <c r="F8" s="603"/>
      <c r="G8" s="603"/>
    </row>
    <row r="9" spans="2:7" ht="59.4" customHeight="1">
      <c r="B9" s="1032" t="s">
        <v>0</v>
      </c>
      <c r="C9" s="1032" t="s">
        <v>52</v>
      </c>
      <c r="D9" s="1007" t="s">
        <v>993</v>
      </c>
      <c r="E9" s="1009" t="s">
        <v>992</v>
      </c>
      <c r="F9" s="604"/>
      <c r="G9" s="604"/>
    </row>
    <row r="10" spans="2:7" ht="38.4" customHeight="1">
      <c r="B10" s="1033"/>
      <c r="C10" s="1033"/>
      <c r="D10" s="1008"/>
      <c r="E10" s="1010"/>
      <c r="F10" s="604"/>
      <c r="G10" s="604"/>
    </row>
    <row r="11" spans="2:7" ht="103.5" customHeight="1">
      <c r="B11" s="1011"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586" t="str">
        <f>+'Matriz PEI 2021-2024'!C10</f>
        <v>1.1. Realizar 914.879 acciones que promuevan la defensa, garantía y restablecimiento de los derechos de las personas en el Distrito Capital.</v>
      </c>
      <c r="D11" s="946">
        <f>+'1-Infor Det Sgto PEI 2021-2024 '!BN9</f>
        <v>0.86438161553529169</v>
      </c>
      <c r="E11" s="1004">
        <f>+'1-Infor Det Sgto PEI 2021-2024 '!BO9</f>
        <v>0.85650394894571669</v>
      </c>
      <c r="F11" s="605"/>
      <c r="G11" s="605"/>
    </row>
    <row r="12" spans="2:7" ht="135.75" customHeight="1">
      <c r="B12" s="1012"/>
      <c r="C12" s="586" t="str">
        <f>+'Matriz PEI 2021-2024'!C11</f>
        <v>1.2. Realizar 284.891 acciones que propendan por la efectiva defensa y garantía de los derechos de los sujetos de especial protección constitucional, con énfasis en las personas mayores, mujeres y la población migrante en el Distrito Capital</v>
      </c>
      <c r="D12" s="946">
        <f>+'1-Infor Det Sgto PEI 2021-2024 '!BN20</f>
        <v>0.89084772671869927</v>
      </c>
      <c r="E12" s="1005"/>
      <c r="F12" s="606"/>
      <c r="G12" s="606"/>
    </row>
    <row r="13" spans="2:7" ht="90" customHeight="1">
      <c r="B13" s="1012"/>
      <c r="C13" s="586" t="str">
        <f>+'Matriz PEI 2021-2024'!C12</f>
        <v>1.3. Construir e Implementar 35 estrategias que permitan incrementar la oferta y cobertura de los servicios prestados por la Entidad.</v>
      </c>
      <c r="D13" s="946">
        <f>+'1-Infor Det Sgto PEI 2021-2024 '!BN26</f>
        <v>0.73267272727272736</v>
      </c>
      <c r="E13" s="1006"/>
      <c r="F13" s="606"/>
      <c r="G13" s="606"/>
    </row>
    <row r="14" spans="2:7" ht="102" customHeight="1">
      <c r="B14" s="1042" t="str">
        <f>+'Matriz PEI 2021-2024'!B13</f>
        <v>2. Realizar acciones de prevención y control a la Función Pública, en el marco del cumplimiento del Plan de Desarrollo, con énfasis en los Derechos e intereses colectivos.</v>
      </c>
      <c r="C14" s="587" t="str">
        <f>+'Matriz PEI 2021-2024'!C13</f>
        <v>2.1. Realizar 22 acciones de prevención y control a la función pública en medio ambiente, agua, protección y bienestar animal y desarrollo urbano.</v>
      </c>
      <c r="D14" s="967">
        <f>+'1-Infor Det Sgto PEI 2021-2024 '!BN29</f>
        <v>0.59090909090909083</v>
      </c>
      <c r="E14" s="1039">
        <f>+'1-Infor Det Sgto PEI 2021-2024 '!BO29</f>
        <v>0.78604629201605547</v>
      </c>
      <c r="F14" s="606"/>
      <c r="G14" s="606"/>
    </row>
    <row r="15" spans="2:7" ht="100.5" customHeight="1">
      <c r="B15" s="1037"/>
      <c r="C15" s="587" t="str">
        <f>+'Matriz PEI 2021-2024'!C14</f>
        <v>2.2. Fortalecer la moralidad publica realizando  952 acciones de prevención y control a la función pública.</v>
      </c>
      <c r="D15" s="967">
        <f>+'1-Infor Det Sgto PEI 2021-2024 '!BN31</f>
        <v>0.82760796046964957</v>
      </c>
      <c r="E15" s="1040"/>
      <c r="F15" s="606"/>
      <c r="G15" s="606"/>
    </row>
    <row r="16" spans="2:7" ht="65.25" customHeight="1">
      <c r="B16" s="1037"/>
      <c r="C16" s="587" t="str">
        <f>+'Matriz PEI 2021-2024'!C15</f>
        <v>2.3. Fortalecer 312 espacios de participación ciudadana en la Personería de Bogotá</v>
      </c>
      <c r="D16" s="589">
        <f>+'1-Infor Det Sgto PEI 2021-2024 '!BN33</f>
        <v>1.1220878846153846</v>
      </c>
      <c r="E16" s="1041"/>
      <c r="F16" s="606"/>
      <c r="G16" s="606"/>
    </row>
    <row r="17" spans="2:7" ht="93.75" customHeight="1">
      <c r="B17" s="1011" t="str">
        <f>+'Matriz PEI 2021-2024'!B16</f>
        <v>3. Vigilar la conducta oficial de los(as) servidores(as) públicos(as) del Distrito Capital, mediante acciones preventivas y correctivas, que permitan un adecuado cumplimiento de los principios de la Función Pública</v>
      </c>
      <c r="C17" s="586" t="str">
        <f>+'Matriz PEI 2021-2024'!C16</f>
        <v>3.1. Descongestionar 6.700 procesos disciplinarios con criterios de calidad, efectividad y garantía del debido proceso.</v>
      </c>
      <c r="D17" s="944">
        <f>+'1-Infor Det Sgto PEI 2021-2024 '!BN36</f>
        <v>0.61764462686567168</v>
      </c>
      <c r="E17" s="1004">
        <f>+'1-Infor Det Sgto PEI 2021-2024 '!BO36</f>
        <v>0.67729432133450396</v>
      </c>
      <c r="F17" s="605"/>
      <c r="G17" s="605"/>
    </row>
    <row r="18" spans="2:7" ht="95.25" customHeight="1">
      <c r="B18" s="1012"/>
      <c r="C18" s="586" t="str">
        <f>+'Matriz PEI 2021-2024'!C17</f>
        <v xml:space="preserve">3.2. Identificar el 100% de los hechos constitutivos de faltas disciplinarias para ejercer el poder preferente en las Oficinas de Control Interno Disciplinario, en temas de interés e impacto para el Distrito Capital. </v>
      </c>
      <c r="D18" s="944">
        <f>+'1-Infor Det Sgto PEI 2021-2024 '!BN38</f>
        <v>0.64790980392156861</v>
      </c>
      <c r="E18" s="1005"/>
      <c r="F18" s="605"/>
      <c r="G18" s="605"/>
    </row>
    <row r="19" spans="2:7" ht="126.75" customHeight="1">
      <c r="B19" s="1012"/>
      <c r="C19" s="89" t="str">
        <f>+'Matriz PEI 2021-2024'!C18</f>
        <v>3.3. Generar 8 escenarios que fortalezcan el conocimiento y las competencias del operador disciplinario, que apoya el cumplimiento de la labor misional, extendiendo el alcance a los jueces naturales en el Distrito Capital.</v>
      </c>
      <c r="D19" s="943">
        <f>+'1-Infor Det Sgto PEI 2021-2024 '!BN40</f>
        <v>0.625</v>
      </c>
      <c r="E19" s="1005"/>
      <c r="F19" s="605"/>
      <c r="G19" s="605"/>
    </row>
    <row r="20" spans="2:7" ht="61.5" customHeight="1">
      <c r="B20" s="1012"/>
      <c r="C20" s="586" t="str">
        <f>+'Matriz PEI 2021-2024'!C19</f>
        <v>3.4. Implementar al 100% tres soluciones informáticas propias para la ejecución y gestión de la Potestad Disciplinaria.</v>
      </c>
      <c r="D20" s="948">
        <f>+'1-Infor Det Sgto PEI 2021-2024 '!BN41</f>
        <v>0.77299999999999991</v>
      </c>
      <c r="E20" s="1006"/>
      <c r="F20" s="605"/>
      <c r="G20" s="605"/>
    </row>
    <row r="21" spans="2:7" ht="75" customHeight="1">
      <c r="B21" s="1037"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587" t="str">
        <f>+'Matriz PEI 2021-2024'!C20</f>
        <v>4.1. Implementar el 100% de las acciones que impulsen el crecimiento del Modelo de Madurez de Transformación Digital de la Entidad, aplicando los principios , lineamientos y normas que lo enmarcan.</v>
      </c>
      <c r="D21" s="968">
        <f>+'1-Infor Det Sgto PEI 2021-2024 '!BN44</f>
        <v>0.81720000000000004</v>
      </c>
      <c r="E21" s="1034">
        <f>+'1-Infor Det Sgto PEI 2021-2024 '!BO44</f>
        <v>0.81568036678057698</v>
      </c>
      <c r="F21" s="607"/>
      <c r="G21" s="607"/>
    </row>
    <row r="22" spans="2:7" ht="105" customHeight="1">
      <c r="B22" s="1037"/>
      <c r="C22" s="586" t="str">
        <f>+'Matriz PEI 2021-2024'!C21</f>
        <v>4.2. Consolidar el 90% del Modelo Integrado de Planeación y Gestión –MIPG- y sus sistemas de gestión articulados, como compromiso con la Calidad, la Excelencia, la Responsabilidad Ambiental y la Mejora en la prestación del Servicio.</v>
      </c>
      <c r="D22" s="944">
        <f>+'1-Infor Det Sgto PEI 2021-2024 '!BN51</f>
        <v>0.78957094078518941</v>
      </c>
      <c r="E22" s="1035"/>
      <c r="F22" s="606"/>
      <c r="G22" s="606"/>
    </row>
    <row r="23" spans="2:7" ht="60" customHeight="1">
      <c r="B23" s="1037"/>
      <c r="C23" s="587" t="str">
        <f>+'Matriz PEI 2021-2024'!C22</f>
        <v xml:space="preserve">4.3. Realizar el 100% de las actividades relacionadas con la Gestión del Talento Humano, que permita su fortalecimiento y el desarrollo de sus conocimientos, su competencia y bienestar. </v>
      </c>
      <c r="D23" s="794">
        <f>+'1-Infor Det Sgto PEI 2021-2024 '!BN57</f>
        <v>0.66575786742866883</v>
      </c>
      <c r="E23" s="1035"/>
      <c r="F23" s="599"/>
      <c r="G23" s="599"/>
    </row>
    <row r="24" spans="2:7" ht="76.5" customHeight="1">
      <c r="B24" s="1037"/>
      <c r="C24" s="586" t="str">
        <f>+'Matriz PEI 2021-2024'!C23</f>
        <v>4.4. Implementar el 100% de las acciones necesarias para la modernización de la gestión institucional a través de los procesos de apoyo, que permita una mejor prestación del servicio.</v>
      </c>
      <c r="D24" s="944">
        <f>+'1-Infor Det Sgto PEI 2021-2024 '!BN65</f>
        <v>0.70942193891002747</v>
      </c>
      <c r="E24" s="1035"/>
      <c r="F24" s="605"/>
      <c r="G24" s="605"/>
    </row>
    <row r="25" spans="2:7" ht="73.5" customHeight="1">
      <c r="B25" s="1037"/>
      <c r="C25" s="587" t="str">
        <f>+'Matriz PEI 2021-2024'!C24</f>
        <v>4.5. Desarrollar el 100% de las acciones relacionadas con el fomento de la Cultura del Autocontrol, la Autorregulación y la Autogestión institucional.</v>
      </c>
      <c r="D25" s="793">
        <f>+'1-Infor Det Sgto PEI 2021-2024 '!BN83</f>
        <v>0.64623490077653156</v>
      </c>
      <c r="E25" s="1035"/>
      <c r="F25" s="597"/>
      <c r="G25" s="597"/>
    </row>
    <row r="26" spans="2:7" ht="60" customHeight="1">
      <c r="B26" s="1037"/>
      <c r="C26" s="586" t="str">
        <f>+'Matriz PEI 2021-2024'!C25</f>
        <v>4.6. Desarrollar el 100% de las estrategias de comunicación organizacional y de medios que contribuyan al logro de los objetivos institucionales y al posicionamiento de la Entidad.</v>
      </c>
      <c r="D26" s="969">
        <f>+'1-Infor Det Sgto PEI 2021-2024 '!BN89</f>
        <v>0.75</v>
      </c>
      <c r="E26" s="1035"/>
      <c r="F26" s="599"/>
      <c r="G26" s="599"/>
    </row>
    <row r="27" spans="2:7" ht="114" customHeight="1">
      <c r="B27" s="1038"/>
      <c r="C27" s="109" t="str">
        <f>+'Matriz PEI 2021-2024'!C26</f>
        <v>4.7. Articular el 100% de las acciones de trabajo interinstitucional y cooperación nacional e internacional que permita aunar esfuerzos para el cumplimiento de la misión institucional.</v>
      </c>
      <c r="D27" s="795">
        <f>+'1-Infor Det Sgto PEI 2021-2024 '!BN91</f>
        <v>1.3333333333333333</v>
      </c>
      <c r="E27" s="1036"/>
      <c r="F27" s="599"/>
      <c r="G27" s="599"/>
    </row>
    <row r="28" spans="2:7" ht="93.75" customHeight="1">
      <c r="B28" s="1011" t="str">
        <f>+'Matriz PEI 2021-2024'!B27</f>
        <v xml:space="preserve">5. Incorporar una cultura del conocimiento y la innovación a través de actividades que permitan el desarrollo de ideas, lecciones aprendidas e investigaciones para mejorar los resultados de la gestión institucional. </v>
      </c>
      <c r="C28" s="111" t="str">
        <f>+'Matriz PEI 2021-2024'!C27</f>
        <v>5.1 Generar el 100% de productos de nuevo conocimiento o transformar los existentes, alineados con proyectos resultados de la investigación, desarrollo e innovación (I+D+I) en la Entidad.</v>
      </c>
      <c r="D28" s="596">
        <f>+'1-Infor Det Sgto PEI 2021-2024 '!BN92</f>
        <v>0.5</v>
      </c>
      <c r="E28" s="1020">
        <f>+'1-Infor Det Sgto PEI 2021-2024 '!BO92</f>
        <v>0.61250000000000004</v>
      </c>
      <c r="F28" s="601"/>
      <c r="G28" s="601"/>
    </row>
    <row r="29" spans="2:7" ht="102" customHeight="1">
      <c r="B29" s="1012"/>
      <c r="C29" s="111" t="str">
        <f>+'Matriz PEI 2021-2024'!C28</f>
        <v>5.2 Formular el 100% de herramientas y acciones que permitan categorizar, preservar y utilizar el conocimiento para la toma de decisiones y compartir fácilmente los datos y la información de la Entidad.</v>
      </c>
      <c r="D29" s="596">
        <f>+'1-Infor Det Sgto PEI 2021-2024 '!BN94</f>
        <v>0.625</v>
      </c>
      <c r="E29" s="1021"/>
      <c r="F29" s="601"/>
      <c r="G29" s="601"/>
    </row>
    <row r="30" spans="2:7" ht="124.5" customHeight="1" thickBot="1">
      <c r="B30" s="1019"/>
      <c r="C30" s="112"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596">
        <f>+'1-Infor Det Sgto PEI 2021-2024 '!BN95</f>
        <v>0.75</v>
      </c>
      <c r="E30" s="1022"/>
      <c r="F30" s="601"/>
      <c r="G30" s="601"/>
    </row>
    <row r="31" spans="2:7" ht="21.6" thickBot="1">
      <c r="B31" s="203"/>
      <c r="C31" s="611"/>
      <c r="D31" s="819">
        <f>AVERAGE(D11:D30)</f>
        <v>0.7639290208770918</v>
      </c>
      <c r="E31" s="818">
        <f>AVERAGE(E11:E30)</f>
        <v>0.74960498581537061</v>
      </c>
      <c r="F31" s="602"/>
      <c r="G31" s="602"/>
    </row>
    <row r="32" spans="2:7" ht="13.5" customHeight="1">
      <c r="B32" s="38"/>
      <c r="C32" s="38"/>
    </row>
    <row r="33" spans="2:6" ht="15" customHeight="1">
      <c r="B33" s="38" t="s">
        <v>948</v>
      </c>
      <c r="C33" s="38"/>
    </row>
    <row r="34" spans="2:6" ht="15" customHeight="1">
      <c r="B34" s="38"/>
      <c r="C34" s="38"/>
    </row>
    <row r="35" spans="2:6" ht="15" customHeight="1">
      <c r="B35" s="38"/>
      <c r="C35" s="38"/>
    </row>
    <row r="36" spans="2:6" ht="15" customHeight="1">
      <c r="B36" s="38"/>
      <c r="C36" s="38"/>
    </row>
    <row r="37" spans="2:6">
      <c r="B37" s="684"/>
      <c r="C37" s="684"/>
      <c r="D37" s="685"/>
      <c r="E37" s="685"/>
      <c r="F37" s="685"/>
    </row>
    <row r="38" spans="2:6" s="634" customFormat="1">
      <c r="B38" s="686"/>
      <c r="C38" s="686"/>
      <c r="D38" s="687"/>
      <c r="E38" s="687"/>
      <c r="F38" s="687"/>
    </row>
    <row r="39" spans="2:6" s="634" customFormat="1">
      <c r="B39" s="633"/>
      <c r="C39" s="633"/>
    </row>
    <row r="40" spans="2:6" s="636" customFormat="1">
      <c r="B40" s="635"/>
      <c r="C40" s="1017" t="s">
        <v>52</v>
      </c>
      <c r="D40" s="1017" t="s">
        <v>893</v>
      </c>
    </row>
    <row r="41" spans="2:6" s="636" customFormat="1" ht="77.400000000000006" customHeight="1">
      <c r="B41" s="635"/>
      <c r="C41" s="1017"/>
      <c r="D41" s="1017"/>
    </row>
    <row r="42" spans="2:6" s="636" customFormat="1" ht="22.8">
      <c r="B42" s="635"/>
      <c r="C42" s="637" t="s">
        <v>949</v>
      </c>
      <c r="D42" s="638">
        <f t="shared" ref="D42:D53" si="0">+D11</f>
        <v>0.86438161553529169</v>
      </c>
    </row>
    <row r="43" spans="2:6" s="636" customFormat="1" ht="22.8">
      <c r="B43" s="635"/>
      <c r="C43" s="637" t="s">
        <v>950</v>
      </c>
      <c r="D43" s="638">
        <f t="shared" si="0"/>
        <v>0.89084772671869927</v>
      </c>
    </row>
    <row r="44" spans="2:6" s="636" customFormat="1" ht="22.8">
      <c r="B44" s="635"/>
      <c r="C44" s="637" t="s">
        <v>951</v>
      </c>
      <c r="D44" s="638">
        <f t="shared" si="0"/>
        <v>0.73267272727272736</v>
      </c>
    </row>
    <row r="45" spans="2:6" s="636" customFormat="1" ht="22.8">
      <c r="B45" s="635"/>
      <c r="C45" s="637" t="s">
        <v>952</v>
      </c>
      <c r="D45" s="638">
        <f t="shared" si="0"/>
        <v>0.59090909090909083</v>
      </c>
    </row>
    <row r="46" spans="2:6" s="636" customFormat="1" ht="22.8">
      <c r="B46" s="635"/>
      <c r="C46" s="637" t="s">
        <v>953</v>
      </c>
      <c r="D46" s="638">
        <f t="shared" si="0"/>
        <v>0.82760796046964957</v>
      </c>
    </row>
    <row r="47" spans="2:6" s="636" customFormat="1" ht="22.8">
      <c r="B47" s="635"/>
      <c r="C47" s="637" t="s">
        <v>954</v>
      </c>
      <c r="D47" s="638">
        <f t="shared" si="0"/>
        <v>1.1220878846153846</v>
      </c>
    </row>
    <row r="48" spans="2:6" s="636" customFormat="1" ht="22.8">
      <c r="B48" s="635"/>
      <c r="C48" s="637" t="s">
        <v>955</v>
      </c>
      <c r="D48" s="638">
        <f t="shared" si="0"/>
        <v>0.61764462686567168</v>
      </c>
    </row>
    <row r="49" spans="2:4" s="636" customFormat="1" ht="22.8">
      <c r="B49" s="635"/>
      <c r="C49" s="637" t="s">
        <v>956</v>
      </c>
      <c r="D49" s="638">
        <f t="shared" si="0"/>
        <v>0.64790980392156861</v>
      </c>
    </row>
    <row r="50" spans="2:4" s="636" customFormat="1" ht="22.8">
      <c r="B50" s="635"/>
      <c r="C50" s="637" t="s">
        <v>957</v>
      </c>
      <c r="D50" s="638">
        <f t="shared" si="0"/>
        <v>0.625</v>
      </c>
    </row>
    <row r="51" spans="2:4" s="636" customFormat="1" ht="22.8">
      <c r="B51" s="635"/>
      <c r="C51" s="637" t="s">
        <v>958</v>
      </c>
      <c r="D51" s="638">
        <f t="shared" si="0"/>
        <v>0.77299999999999991</v>
      </c>
    </row>
    <row r="52" spans="2:4" s="636" customFormat="1" ht="22.8">
      <c r="B52" s="635"/>
      <c r="C52" s="637" t="s">
        <v>959</v>
      </c>
      <c r="D52" s="638">
        <f t="shared" si="0"/>
        <v>0.81720000000000004</v>
      </c>
    </row>
    <row r="53" spans="2:4" s="636" customFormat="1" ht="22.8">
      <c r="B53" s="635"/>
      <c r="C53" s="637" t="s">
        <v>960</v>
      </c>
      <c r="D53" s="638">
        <f t="shared" si="0"/>
        <v>0.78957094078518941</v>
      </c>
    </row>
    <row r="54" spans="2:4" s="636" customFormat="1" ht="22.8">
      <c r="B54" s="635"/>
      <c r="C54" s="637" t="s">
        <v>961</v>
      </c>
      <c r="D54" s="638">
        <f t="shared" ref="D54:D61" si="1">+D23</f>
        <v>0.66575786742866883</v>
      </c>
    </row>
    <row r="55" spans="2:4" s="636" customFormat="1" ht="22.8">
      <c r="B55" s="635"/>
      <c r="C55" s="637" t="s">
        <v>962</v>
      </c>
      <c r="D55" s="638">
        <f t="shared" si="1"/>
        <v>0.70942193891002747</v>
      </c>
    </row>
    <row r="56" spans="2:4" s="636" customFormat="1" ht="22.8">
      <c r="B56" s="635"/>
      <c r="C56" s="637" t="s">
        <v>963</v>
      </c>
      <c r="D56" s="638">
        <f t="shared" si="1"/>
        <v>0.64623490077653156</v>
      </c>
    </row>
    <row r="57" spans="2:4" s="636" customFormat="1" ht="22.8">
      <c r="B57" s="635"/>
      <c r="C57" s="637" t="s">
        <v>964</v>
      </c>
      <c r="D57" s="638">
        <f t="shared" si="1"/>
        <v>0.75</v>
      </c>
    </row>
    <row r="58" spans="2:4" s="636" customFormat="1" ht="22.8">
      <c r="B58" s="635"/>
      <c r="C58" s="637" t="s">
        <v>965</v>
      </c>
      <c r="D58" s="638">
        <f t="shared" si="1"/>
        <v>1.3333333333333333</v>
      </c>
    </row>
    <row r="59" spans="2:4" s="636" customFormat="1" ht="22.8">
      <c r="B59" s="635"/>
      <c r="C59" s="637" t="s">
        <v>966</v>
      </c>
      <c r="D59" s="638">
        <f t="shared" si="1"/>
        <v>0.5</v>
      </c>
    </row>
    <row r="60" spans="2:4" s="636" customFormat="1" ht="22.8">
      <c r="B60" s="635"/>
      <c r="C60" s="637" t="s">
        <v>967</v>
      </c>
      <c r="D60" s="638">
        <f t="shared" si="1"/>
        <v>0.625</v>
      </c>
    </row>
    <row r="61" spans="2:4" s="636" customFormat="1" ht="22.8">
      <c r="B61" s="635"/>
      <c r="C61" s="637" t="s">
        <v>968</v>
      </c>
      <c r="D61" s="638">
        <f t="shared" si="1"/>
        <v>0.75</v>
      </c>
    </row>
    <row r="62" spans="2:4" s="636" customFormat="1">
      <c r="B62" s="635"/>
      <c r="C62" s="635"/>
    </row>
    <row r="63" spans="2:4" s="636" customFormat="1">
      <c r="B63" s="635"/>
      <c r="C63" s="635"/>
    </row>
    <row r="64" spans="2:4" s="636" customFormat="1" ht="15" customHeight="1">
      <c r="B64" s="635"/>
      <c r="C64" s="1017" t="s">
        <v>0</v>
      </c>
      <c r="D64" s="1018" t="s">
        <v>947</v>
      </c>
    </row>
    <row r="65" spans="2:4" s="636" customFormat="1" ht="59.4" customHeight="1">
      <c r="B65" s="635"/>
      <c r="C65" s="1017"/>
      <c r="D65" s="1018"/>
    </row>
    <row r="66" spans="2:4" s="636" customFormat="1" ht="20.399999999999999">
      <c r="B66" s="635"/>
      <c r="C66" s="635" t="s">
        <v>969</v>
      </c>
      <c r="D66" s="639">
        <f>+E11</f>
        <v>0.85650394894571669</v>
      </c>
    </row>
    <row r="67" spans="2:4" s="636" customFormat="1" ht="20.399999999999999">
      <c r="B67" s="635"/>
      <c r="C67" s="635" t="s">
        <v>970</v>
      </c>
      <c r="D67" s="639">
        <f>+E14</f>
        <v>0.78604629201605547</v>
      </c>
    </row>
    <row r="68" spans="2:4" s="636" customFormat="1" ht="20.399999999999999">
      <c r="B68" s="635"/>
      <c r="C68" s="635" t="s">
        <v>971</v>
      </c>
      <c r="D68" s="639">
        <f>+E17</f>
        <v>0.67729432133450396</v>
      </c>
    </row>
    <row r="69" spans="2:4" s="636" customFormat="1" ht="20.399999999999999">
      <c r="B69" s="635"/>
      <c r="C69" s="635" t="s">
        <v>972</v>
      </c>
      <c r="D69" s="639">
        <f>+E21</f>
        <v>0.81568036678057698</v>
      </c>
    </row>
    <row r="70" spans="2:4" s="636" customFormat="1" ht="20.399999999999999">
      <c r="B70" s="635"/>
      <c r="C70" s="635" t="s">
        <v>973</v>
      </c>
      <c r="D70" s="639">
        <f>+E28</f>
        <v>0.61250000000000004</v>
      </c>
    </row>
    <row r="71" spans="2:4" s="634" customFormat="1">
      <c r="B71" s="633"/>
      <c r="C71" s="633"/>
      <c r="D71" s="640"/>
    </row>
    <row r="72" spans="2:4" s="634" customFormat="1">
      <c r="B72" s="633"/>
      <c r="C72" s="633"/>
    </row>
    <row r="73" spans="2:4" s="634" customFormat="1">
      <c r="B73" s="633"/>
      <c r="C73" s="633"/>
    </row>
  </sheetData>
  <mergeCells count="22">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 ref="E11:E13"/>
    <mergeCell ref="D9:D10"/>
    <mergeCell ref="E9:E10"/>
    <mergeCell ref="B11:B13"/>
    <mergeCell ref="B2:B3"/>
    <mergeCell ref="C5:D5"/>
  </mergeCells>
  <phoneticPr fontId="66"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P52"/>
  <sheetViews>
    <sheetView showGridLines="0" topLeftCell="F40" zoomScale="52" zoomScaleNormal="52" workbookViewId="0">
      <selection activeCell="C7" sqref="C7:G19"/>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customWidth="1"/>
    <col min="7" max="12" width="36.44140625" style="3" customWidth="1"/>
    <col min="13" max="16" width="38.6640625" style="1" customWidth="1"/>
    <col min="17" max="16384" width="17.33203125" style="1"/>
  </cols>
  <sheetData>
    <row r="1" spans="2:16" ht="15" customHeight="1" thickBot="1"/>
    <row r="2" spans="2:16" ht="90" customHeight="1" thickBot="1">
      <c r="B2" s="656" t="s">
        <v>642</v>
      </c>
      <c r="C2" s="1043" t="s">
        <v>989</v>
      </c>
      <c r="D2" s="1044"/>
      <c r="E2" s="1044"/>
      <c r="F2" s="1044"/>
      <c r="G2" s="1044"/>
      <c r="H2" s="1044"/>
      <c r="I2" s="1044"/>
      <c r="J2" s="1044"/>
      <c r="K2" s="1044"/>
      <c r="L2" s="1044"/>
      <c r="M2" s="1044"/>
      <c r="N2" s="1045"/>
      <c r="O2" s="588"/>
      <c r="P2" s="588"/>
    </row>
    <row r="3" spans="2:16" ht="14.25" customHeight="1">
      <c r="B3" s="2"/>
      <c r="C3" s="2"/>
      <c r="D3" s="2"/>
      <c r="E3" s="2"/>
      <c r="F3" s="2"/>
      <c r="G3" s="2"/>
      <c r="H3" s="2"/>
      <c r="I3" s="2"/>
      <c r="J3" s="2"/>
      <c r="K3" s="2"/>
      <c r="L3" s="2"/>
    </row>
    <row r="4" spans="2:16" ht="32.4" customHeight="1">
      <c r="B4" s="612" t="s">
        <v>667</v>
      </c>
      <c r="C4" s="673" t="str">
        <f>_xlfn.CONCAT('1-Infor Det Sgto PEI 2021-2024 '!C4," ",'1-Infor Det Sgto PEI 2021-2024 '!D4)</f>
        <v>SEMESTRE 1 2023</v>
      </c>
      <c r="D4" s="619"/>
      <c r="E4" s="619"/>
      <c r="F4" s="619"/>
      <c r="G4" s="619"/>
      <c r="H4" s="619"/>
      <c r="I4" s="619"/>
      <c r="J4" s="619"/>
      <c r="K4" s="619"/>
      <c r="L4" s="619"/>
      <c r="N4" s="619"/>
      <c r="O4" s="267"/>
      <c r="P4" s="267"/>
    </row>
    <row r="5" spans="2:16" ht="14.25" customHeight="1">
      <c r="B5" s="2"/>
      <c r="C5" s="2"/>
      <c r="D5" s="2"/>
      <c r="E5" s="2"/>
      <c r="F5" s="2"/>
      <c r="G5" s="2"/>
      <c r="H5" s="2"/>
      <c r="I5" s="2"/>
      <c r="J5" s="2"/>
      <c r="K5" s="2"/>
      <c r="L5" s="2"/>
      <c r="M5" s="12"/>
      <c r="N5" s="12"/>
      <c r="O5" s="12"/>
      <c r="P5" s="12"/>
    </row>
    <row r="6" spans="2:16" ht="34.200000000000003" customHeight="1">
      <c r="B6" s="614" t="s">
        <v>1172</v>
      </c>
      <c r="C6" s="2"/>
      <c r="D6" s="2"/>
      <c r="E6" s="2"/>
      <c r="F6" s="2"/>
      <c r="G6" s="2"/>
      <c r="H6" s="2"/>
      <c r="I6" s="2"/>
      <c r="J6" s="2"/>
      <c r="K6" s="2"/>
      <c r="L6" s="2"/>
      <c r="M6" s="12"/>
      <c r="N6" s="12"/>
      <c r="O6" s="12"/>
      <c r="P6" s="12"/>
    </row>
    <row r="7" spans="2:16" ht="52.2" customHeight="1">
      <c r="B7" s="1029" t="s">
        <v>663</v>
      </c>
      <c r="C7" s="1030"/>
      <c r="D7" s="1030"/>
      <c r="E7" s="1046"/>
      <c r="F7" s="1046"/>
      <c r="G7" s="1046"/>
      <c r="H7" s="1046"/>
      <c r="I7" s="1046"/>
      <c r="J7" s="1046"/>
      <c r="K7" s="1046"/>
      <c r="L7" s="1046"/>
      <c r="M7" s="1030"/>
      <c r="N7" s="1031"/>
      <c r="O7" s="603"/>
      <c r="P7" s="603"/>
    </row>
    <row r="8" spans="2:16" ht="51.6" customHeight="1">
      <c r="B8" s="1032" t="s">
        <v>0</v>
      </c>
      <c r="C8" s="1032" t="s">
        <v>52</v>
      </c>
      <c r="D8" s="1049" t="s">
        <v>888</v>
      </c>
      <c r="E8" s="1050" t="s">
        <v>1170</v>
      </c>
      <c r="F8" s="1050"/>
      <c r="G8" s="1050"/>
      <c r="H8" s="1050"/>
      <c r="I8" s="1050" t="s">
        <v>1174</v>
      </c>
      <c r="J8" s="1050"/>
      <c r="K8" s="1050"/>
      <c r="L8" s="1051" t="s">
        <v>662</v>
      </c>
      <c r="M8" s="1047" t="s">
        <v>976</v>
      </c>
      <c r="N8" s="1048" t="s">
        <v>977</v>
      </c>
      <c r="O8" s="604"/>
      <c r="P8" s="604"/>
    </row>
    <row r="9" spans="2:16" ht="70.2" customHeight="1">
      <c r="B9" s="1033"/>
      <c r="C9" s="1033"/>
      <c r="D9" s="1033"/>
      <c r="E9" s="613" t="s">
        <v>927</v>
      </c>
      <c r="F9" s="613" t="s">
        <v>659</v>
      </c>
      <c r="G9" s="613" t="s">
        <v>660</v>
      </c>
      <c r="H9" s="781" t="s">
        <v>1173</v>
      </c>
      <c r="I9" s="771" t="s">
        <v>659</v>
      </c>
      <c r="J9" s="771" t="s">
        <v>660</v>
      </c>
      <c r="K9" s="780" t="s">
        <v>1169</v>
      </c>
      <c r="L9" s="1052"/>
      <c r="M9" s="1008"/>
      <c r="N9" s="1048"/>
      <c r="O9" s="604"/>
      <c r="P9" s="604"/>
    </row>
    <row r="10" spans="2:16" ht="103.5" customHeight="1">
      <c r="B10" s="1011"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057" t="str">
        <f>+'Matriz PEI 2021-2024'!C10</f>
        <v>1.1. Realizar 914.879 acciones que promuevan la defensa, garantía y restablecimiento de los derechos de las personas en el Distrito Capital.</v>
      </c>
      <c r="D10" s="1055">
        <f>+'Matriz PEI 2021-2024'!E10</f>
        <v>914879</v>
      </c>
      <c r="E10" s="621" t="str">
        <f>+'1-Infor Det Sgto PEI 2021-2024 '!F9</f>
        <v>Acciones realizadas que promueven la defensa, garantía y restablecimiento de los derechos</v>
      </c>
      <c r="F10" s="622">
        <f>SUM('1-Infor Det Sgto PEI 2021-2024 '!AU9:AU18)</f>
        <v>287766</v>
      </c>
      <c r="G10" s="622">
        <f>SUM('1-Infor Det Sgto PEI 2021-2024 '!AV9:AV18)</f>
        <v>173798</v>
      </c>
      <c r="H10" s="647">
        <f>AVERAGE('1-Infor Det Sgto PEI 2021-2024 '!AW9:AW18)</f>
        <v>0.5193090911068492</v>
      </c>
      <c r="I10" s="622">
        <f>SUM('1-Infor Det Sgto PEI 2021-2024 '!BI9:BI18)</f>
        <v>646579</v>
      </c>
      <c r="J10" s="622">
        <f>SUM('1-Infor Det Sgto PEI 2021-2024 '!BJ9:BJ18)</f>
        <v>799775</v>
      </c>
      <c r="K10" s="782">
        <f>AVERAGE('1-Infor Det Sgto PEI 2021-2024 '!BK9:BK18)</f>
        <v>1.2759168836904311</v>
      </c>
      <c r="L10" s="783">
        <f>SUM('1-Infor Det Sgto PEI 2021-2024 '!BM9:BM18)</f>
        <v>0.85649898395634427</v>
      </c>
      <c r="M10" s="1004">
        <f>+'1-Infor Det Sgto PEI 2021-2024 '!BN9</f>
        <v>0.86438161553529169</v>
      </c>
      <c r="N10" s="1053">
        <f>+'1-Infor Det Sgto PEI 2021-2024 '!BO9</f>
        <v>0.85650394894571669</v>
      </c>
      <c r="O10" s="605"/>
      <c r="P10" s="605"/>
    </row>
    <row r="11" spans="2:16" ht="103.5" customHeight="1">
      <c r="B11" s="1012"/>
      <c r="C11" s="1058"/>
      <c r="D11" s="1056"/>
      <c r="E11" s="621" t="str">
        <f>+'1-Infor Det Sgto PEI 2021-2024 '!F19</f>
        <v>Porcentaje de Acciones de Tutela, Desacatos e Impugnaciones entregadas en un Termino Menor a Cinco (5) Días Hábiles</v>
      </c>
      <c r="F11" s="624">
        <f>+'1-Infor Det Sgto PEI 2021-2024 '!AU19</f>
        <v>0.94999999999999984</v>
      </c>
      <c r="G11" s="641">
        <f>+'1-Infor Det Sgto PEI 2021-2024 '!AV19</f>
        <v>1</v>
      </c>
      <c r="H11" s="643">
        <f>+'1-Infor Det Sgto PEI 2021-2024 '!AW19</f>
        <v>0.52631578947368429</v>
      </c>
      <c r="I11" s="647">
        <f>'1-Infor Det Sgto PEI 2021-2024 '!BI19</f>
        <v>0.94999999999999984</v>
      </c>
      <c r="J11" s="647">
        <f>'1-Infor Det Sgto PEI 2021-2024 '!BJ19</f>
        <v>0.99846666666666672</v>
      </c>
      <c r="K11" s="643">
        <f>+'1-Infor Det Sgto PEI 2021-2024 '!BK19</f>
        <v>1.0510175438596494</v>
      </c>
      <c r="L11" s="784">
        <f>'1-Infor Det Sgto PEI 2021-2024 '!BM19</f>
        <v>7.8826315789473685E-3</v>
      </c>
      <c r="M11" s="1006"/>
      <c r="N11" s="1053"/>
      <c r="O11" s="605"/>
      <c r="P11" s="605"/>
    </row>
    <row r="12" spans="2:16" ht="135.75" customHeight="1">
      <c r="B12" s="1012"/>
      <c r="C12" s="688" t="str">
        <f>+'Matriz PEI 2021-2024'!C11</f>
        <v>1.2. Realizar 284.891 acciones que propendan por la efectiva defensa y garantía de los derechos de los sujetos de especial protección constitucional, con énfasis en las personas mayores, mujeres y la población migrante en el Distrito Capital</v>
      </c>
      <c r="D12" s="622">
        <f>+'Matriz PEI 2021-2024'!E11</f>
        <v>284891</v>
      </c>
      <c r="E12" s="621" t="str">
        <f>+'1-Infor Det Sgto PEI 2021-2024 '!F20</f>
        <v>Acciones realizadas que propendan por la efectiva defensa y garantía de los derechos de los sujetos de especial protección constitucional</v>
      </c>
      <c r="F12" s="622">
        <f>SUM('1-Infor Det Sgto PEI 2021-2024 '!AU20:AU25)</f>
        <v>94606</v>
      </c>
      <c r="G12" s="622">
        <f>SUM('1-Infor Det Sgto PEI 2021-2024 '!AV20:AV25)</f>
        <v>53803</v>
      </c>
      <c r="H12" s="641">
        <f>AVERAGE('1-Infor Det Sgto PEI 2021-2024 '!AW20:AW25)</f>
        <v>0.58050129488114066</v>
      </c>
      <c r="I12" s="622">
        <f>SUM('1-Infor Det Sgto PEI 2021-2024 '!BI20:BI25)</f>
        <v>205699</v>
      </c>
      <c r="J12" s="622">
        <f>SUM('1-Infor Det Sgto PEI 2021-2024 '!BJ20:BJ25)</f>
        <v>250960</v>
      </c>
      <c r="K12" s="641">
        <f>AVERAGE('1-Infor Det Sgto PEI 2021-2024 '!BK20:BK25)</f>
        <v>1.2904582286997843</v>
      </c>
      <c r="L12" s="641">
        <f>SUM('1-Infor Det Sgto PEI 2021-2024 '!BM20:BM25)</f>
        <v>0.89084772671869927</v>
      </c>
      <c r="M12" s="946">
        <f>+'1-Infor Det Sgto PEI 2021-2024 '!BN20</f>
        <v>0.89084772671869927</v>
      </c>
      <c r="N12" s="1053"/>
      <c r="O12" s="606"/>
      <c r="P12" s="606"/>
    </row>
    <row r="13" spans="2:16" ht="90" customHeight="1">
      <c r="B13" s="1012"/>
      <c r="C13" s="688" t="str">
        <f>+'Matriz PEI 2021-2024'!C12</f>
        <v>1.3. Construir e Implementar 35 estrategias que permitan incrementar la oferta y cobertura de los servicios prestados por la Entidad.</v>
      </c>
      <c r="D13" s="622">
        <f>+'Matriz PEI 2021-2024'!E12</f>
        <v>35</v>
      </c>
      <c r="E13" s="621" t="str">
        <f>+'1-Infor Det Sgto PEI 2021-2024 '!F26</f>
        <v>Estrategias construidas e implementadas</v>
      </c>
      <c r="F13" s="622">
        <f>SUM('1-Infor Det Sgto PEI 2021-2024 '!AU26:AU28)</f>
        <v>12</v>
      </c>
      <c r="G13" s="642">
        <f>SUM('1-Infor Det Sgto PEI 2021-2024 '!AV26:AV28)</f>
        <v>7.8000000000000007</v>
      </c>
      <c r="H13" s="641">
        <f>AVERAGE('1-Infor Det Sgto PEI 2021-2024 '!AW26:AW28)</f>
        <v>0.39444444444444443</v>
      </c>
      <c r="I13" s="622">
        <f>SUM('1-Infor Det Sgto PEI 2021-2024 '!BI26:BI28)</f>
        <v>21</v>
      </c>
      <c r="J13" s="622">
        <f>SUM('1-Infor Det Sgto PEI 2021-2024 '!BJ26:BJ28)</f>
        <v>25.8</v>
      </c>
      <c r="K13" s="641">
        <f>AVERAGE('1-Infor Det Sgto PEI 2021-2024 '!BK26:BK28)</f>
        <v>1.1333333333333335</v>
      </c>
      <c r="L13" s="641">
        <f>SUM('1-Infor Det Sgto PEI 2021-2024 '!BM26:BM28)</f>
        <v>0.73267272727272736</v>
      </c>
      <c r="M13" s="946">
        <f>+'1-Infor Det Sgto PEI 2021-2024 '!BN26</f>
        <v>0.73267272727272736</v>
      </c>
      <c r="N13" s="1053"/>
      <c r="O13" s="606"/>
      <c r="P13" s="606"/>
    </row>
    <row r="14" spans="2:16" ht="102" customHeight="1">
      <c r="B14" s="1042" t="str">
        <f>+'Matriz PEI 2021-2024'!B13</f>
        <v>2. Realizar acciones de prevención y control a la Función Pública, en el marco del cumplimiento del Plan de Desarrollo, con énfasis en los Derechos e intereses colectivos.</v>
      </c>
      <c r="C14" s="689" t="str">
        <f>+'Matriz PEI 2021-2024'!C13</f>
        <v>2.1. Realizar 22 acciones de prevención y control a la función pública en medio ambiente, agua, protección y bienestar animal y desarrollo urbano.</v>
      </c>
      <c r="D14" s="623">
        <f>+'Matriz PEI 2021-2024'!E13</f>
        <v>22</v>
      </c>
      <c r="E14" s="626" t="str">
        <f>+'1-Infor Det Sgto PEI 2021-2024 '!F29</f>
        <v>Acciones realizadas de prevención y control a la función pública en temas priorizados</v>
      </c>
      <c r="F14" s="623">
        <f>SUM('1-Infor Det Sgto PEI 2021-2024 '!AU29:AU30)</f>
        <v>9</v>
      </c>
      <c r="G14" s="623">
        <f>SUM('1-Infor Det Sgto PEI 2021-2024 '!AV29:AV30)</f>
        <v>2</v>
      </c>
      <c r="H14" s="625">
        <f>AVERAGE('1-Infor Det Sgto PEI 2021-2024 '!AW29:AW30)</f>
        <v>0.33333333333333331</v>
      </c>
      <c r="I14" s="623">
        <f>SUM('1-Infor Det Sgto PEI 2021-2024 '!BI29:BI30)</f>
        <v>15</v>
      </c>
      <c r="J14" s="623">
        <f>SUM('1-Infor Det Sgto PEI 2021-2024 '!BJ29:BJ30)</f>
        <v>13</v>
      </c>
      <c r="K14" s="625">
        <f>AVERAGE('1-Infor Det Sgto PEI 2021-2024 '!BK29:BK30)</f>
        <v>1.0416666666666665</v>
      </c>
      <c r="L14" s="650">
        <f>SUM('1-Infor Det Sgto PEI 2021-2024 '!BM29:BM30)</f>
        <v>0.59090909090909083</v>
      </c>
      <c r="M14" s="967">
        <f>+'1-Infor Det Sgto PEI 2021-2024 '!BN29</f>
        <v>0.59090909090909083</v>
      </c>
      <c r="N14" s="1039">
        <f>+'1-Infor Det Sgto PEI 2021-2024 '!BO29</f>
        <v>0.78604629201605547</v>
      </c>
      <c r="O14" s="606"/>
      <c r="P14" s="606"/>
    </row>
    <row r="15" spans="2:16" ht="100.5" customHeight="1">
      <c r="B15" s="1037"/>
      <c r="C15" s="689" t="str">
        <f>+'Matriz PEI 2021-2024'!C14</f>
        <v>2.2. Fortalecer la moralidad publica realizando  952 acciones de prevención y control a la función pública.</v>
      </c>
      <c r="D15" s="623">
        <f>+'Matriz PEI 2021-2024'!E14</f>
        <v>952</v>
      </c>
      <c r="E15" s="626" t="str">
        <f>+'1-Infor Det Sgto PEI 2021-2024 '!F31</f>
        <v>Acciones realizadas de prevención y control a la función pública para fortalecer la moralidad pública</v>
      </c>
      <c r="F15" s="623">
        <f>SUM('1-Infor Det Sgto PEI 2021-2024 '!AU31:AU32)</f>
        <v>289</v>
      </c>
      <c r="G15" s="623">
        <f>SUM('1-Infor Det Sgto PEI 2021-2024 '!AV31:AV32)</f>
        <v>88</v>
      </c>
      <c r="H15" s="648">
        <f>AVERAGE('1-Infor Det Sgto PEI 2021-2024 '!AW31:AW32)</f>
        <v>0.21409266409266409</v>
      </c>
      <c r="I15" s="623">
        <f>SUM('1-Infor Det Sgto PEI 2021-2024 '!BI31:BI32)</f>
        <v>716</v>
      </c>
      <c r="J15" s="623">
        <f>SUM('1-Infor Det Sgto PEI 2021-2024 '!BJ31:BJ32)</f>
        <v>794</v>
      </c>
      <c r="K15" s="648">
        <f>AVERAGE('1-Infor Det Sgto PEI 2021-2024 '!BK31:BK32)</f>
        <v>1.2200939704991569</v>
      </c>
      <c r="L15" s="625">
        <f>SUM('1-Infor Det Sgto PEI 2021-2024 '!BM31:BM32)</f>
        <v>0.82760796046964957</v>
      </c>
      <c r="M15" s="967">
        <f>+'1-Infor Det Sgto PEI 2021-2024 '!BN31</f>
        <v>0.82760796046964957</v>
      </c>
      <c r="N15" s="1040"/>
      <c r="O15" s="606"/>
      <c r="P15" s="606"/>
    </row>
    <row r="16" spans="2:16" ht="65.25" customHeight="1">
      <c r="B16" s="1037"/>
      <c r="C16" s="689" t="str">
        <f>+'Matriz PEI 2021-2024'!C15</f>
        <v>2.3. Fortalecer 312 espacios de participación ciudadana en la Personería de Bogotá</v>
      </c>
      <c r="D16" s="623">
        <f>+'Matriz PEI 2021-2024'!E15</f>
        <v>312</v>
      </c>
      <c r="E16" s="626" t="str">
        <f>+'1-Infor Det Sgto PEI 2021-2024 '!F33</f>
        <v>Espacios de participación ciudadana fortalecidos</v>
      </c>
      <c r="F16" s="623">
        <f>SUM('1-Infor Det Sgto PEI 2021-2024 '!AU33:AU35)</f>
        <v>85</v>
      </c>
      <c r="G16" s="623">
        <f>SUM('1-Infor Det Sgto PEI 2021-2024 '!AV33:AV35)</f>
        <v>61</v>
      </c>
      <c r="H16" s="649">
        <f>AVERAGE('1-Infor Det Sgto PEI 2021-2024 '!AW33:AW35)</f>
        <v>0.75</v>
      </c>
      <c r="I16" s="623">
        <f>SUM('1-Infor Det Sgto PEI 2021-2024 '!BI33:BI35)</f>
        <v>229</v>
      </c>
      <c r="J16" s="623">
        <f>SUM('1-Infor Det Sgto PEI 2021-2024 '!BJ33:BJ35)</f>
        <v>352</v>
      </c>
      <c r="K16" s="649">
        <f>AVERAGE('1-Infor Det Sgto PEI 2021-2024 '!BK33:BK35)</f>
        <v>1.5018950659650727</v>
      </c>
      <c r="L16" s="625">
        <f>SUM('1-Infor Det Sgto PEI 2021-2024 '!BM33:BM35)</f>
        <v>1.1220878846153846</v>
      </c>
      <c r="M16" s="589">
        <f>+'1-Infor Det Sgto PEI 2021-2024 '!BN33</f>
        <v>1.1220878846153846</v>
      </c>
      <c r="N16" s="1040"/>
      <c r="O16" s="606"/>
      <c r="P16" s="606"/>
    </row>
    <row r="17" spans="2:16" ht="93.75" customHeight="1">
      <c r="B17" s="1011" t="str">
        <f>+'Matriz PEI 2021-2024'!B16</f>
        <v>3. Vigilar la conducta oficial de los(as) servidores(as) públicos(as) del Distrito Capital, mediante acciones preventivas y correctivas, que permitan un adecuado cumplimiento de los principios de la Función Pública</v>
      </c>
      <c r="C17" s="1057" t="str">
        <f>+'Matriz PEI 2021-2024'!C16</f>
        <v>3.1. Descongestionar 6.700 procesos disciplinarios con criterios de calidad, efectividad y garantía del debido proceso.</v>
      </c>
      <c r="D17" s="1055">
        <f>+'Matriz PEI 2021-2024'!E16</f>
        <v>6700</v>
      </c>
      <c r="E17" s="621" t="str">
        <f>+'1-Infor Det Sgto PEI 2021-2024 '!F36</f>
        <v xml:space="preserve">Procesos disciplinarios descongestionados </v>
      </c>
      <c r="F17" s="622">
        <f>+'1-Infor Det Sgto PEI 2021-2024 '!AU36</f>
        <v>1800</v>
      </c>
      <c r="G17" s="622">
        <f>+'1-Infor Det Sgto PEI 2021-2024 '!AV36</f>
        <v>654</v>
      </c>
      <c r="H17" s="646">
        <f>'1-Infor Det Sgto PEI 2021-2024 '!AW36</f>
        <v>0.36333333333333334</v>
      </c>
      <c r="I17" s="622">
        <f>'1-Infor Det Sgto PEI 2021-2024 '!BI36</f>
        <v>4116</v>
      </c>
      <c r="J17" s="622">
        <f>'1-Infor Det Sgto PEI 2021-2024 '!BJ36</f>
        <v>3962</v>
      </c>
      <c r="K17" s="646">
        <f>'1-Infor Det Sgto PEI 2021-2024 '!BK36</f>
        <v>0.9625850340136054</v>
      </c>
      <c r="L17" s="790">
        <f>'1-Infor Det Sgto PEI 2021-2024 '!BM36</f>
        <v>0.47307462686567164</v>
      </c>
      <c r="M17" s="1004">
        <f>+'1-Infor Det Sgto PEI 2021-2024 '!BN36</f>
        <v>0.61764462686567168</v>
      </c>
      <c r="N17" s="1004">
        <f>+'1-Infor Det Sgto PEI 2021-2024 '!BO36</f>
        <v>0.67729432133450396</v>
      </c>
      <c r="O17" s="605"/>
      <c r="P17" s="605"/>
    </row>
    <row r="18" spans="2:16" ht="93.75" customHeight="1">
      <c r="B18" s="1012"/>
      <c r="C18" s="1058"/>
      <c r="D18" s="1056"/>
      <c r="E18" s="621" t="str">
        <f>+'1-Infor Det Sgto PEI 2021-2024 '!F37</f>
        <v>Noticias disciplinarias  evaluadas y con impulso procesal</v>
      </c>
      <c r="F18" s="641">
        <f>+'1-Infor Det Sgto PEI 2021-2024 '!AU37</f>
        <v>1</v>
      </c>
      <c r="G18" s="641">
        <f>+'1-Infor Det Sgto PEI 2021-2024 '!AV37</f>
        <v>0.878</v>
      </c>
      <c r="H18" s="646">
        <f>'1-Infor Det Sgto PEI 2021-2024 '!AW37</f>
        <v>0.439</v>
      </c>
      <c r="I18" s="646">
        <f>'1-Infor Det Sgto PEI 2021-2024 '!BI37</f>
        <v>1</v>
      </c>
      <c r="J18" s="647">
        <f>'1-Infor Det Sgto PEI 2021-2024 '!BJ37</f>
        <v>0.96379999999999999</v>
      </c>
      <c r="K18" s="646">
        <f>'1-Infor Det Sgto PEI 2021-2024 '!BK37</f>
        <v>0.96379999999999999</v>
      </c>
      <c r="L18" s="784">
        <f>'1-Infor Det Sgto PEI 2021-2024 '!BM37</f>
        <v>0.14457</v>
      </c>
      <c r="M18" s="1006"/>
      <c r="N18" s="1005"/>
      <c r="O18" s="605"/>
      <c r="P18" s="605"/>
    </row>
    <row r="19" spans="2:16" ht="95.25" customHeight="1">
      <c r="B19" s="1012"/>
      <c r="C19" s="1057" t="str">
        <f>+'Matriz PEI 2021-2024'!C17</f>
        <v xml:space="preserve">3.2. Identificar el 100% de los hechos constitutivos de faltas disciplinarias para ejercer el poder preferente en las Oficinas de Control Interno Disciplinario, en temas de interés e impacto para el Distrito Capital. </v>
      </c>
      <c r="D19" s="1059">
        <f>+'Matriz PEI 2021-2024'!E17</f>
        <v>1</v>
      </c>
      <c r="E19" s="627" t="str">
        <f>+'1-Infor Det Sgto PEI 2021-2024 '!F38</f>
        <v>Visitas de seguimiento a Oficinas de Control Interno Disciplinario realizadas</v>
      </c>
      <c r="F19" s="622">
        <f>+'1-Infor Det Sgto PEI 2021-2024 '!AU38</f>
        <v>51</v>
      </c>
      <c r="G19" s="622">
        <f>+'1-Infor Det Sgto PEI 2021-2024 '!AV38</f>
        <v>10</v>
      </c>
      <c r="H19" s="646">
        <f>'1-Infor Det Sgto PEI 2021-2024 '!AW38</f>
        <v>0.19607843137254902</v>
      </c>
      <c r="I19" s="622">
        <f>'1-Infor Det Sgto PEI 2021-2024 '!BI38</f>
        <v>123</v>
      </c>
      <c r="J19" s="622">
        <f>'1-Infor Det Sgto PEI 2021-2024 '!BJ38</f>
        <v>112</v>
      </c>
      <c r="K19" s="646">
        <f>'1-Infor Det Sgto PEI 2021-2024 '!BK38</f>
        <v>0.91056910569105687</v>
      </c>
      <c r="L19" s="784">
        <f>'1-Infor Det Sgto PEI 2021-2024 '!BM38</f>
        <v>0.27450980392156865</v>
      </c>
      <c r="M19" s="1004">
        <f>+'1-Infor Det Sgto PEI 2021-2024 '!BN38</f>
        <v>0.64790980392156861</v>
      </c>
      <c r="N19" s="1005"/>
      <c r="O19" s="605"/>
      <c r="P19" s="605"/>
    </row>
    <row r="20" spans="2:16" ht="95.25" customHeight="1">
      <c r="B20" s="1012"/>
      <c r="C20" s="1058"/>
      <c r="D20" s="1060"/>
      <c r="E20" s="627" t="str">
        <f>+'1-Infor Det Sgto PEI 2021-2024 '!F39</f>
        <v>Procesos de interés e impacto asumidos por competencia</v>
      </c>
      <c r="F20" s="624">
        <f>+'1-Infor Det Sgto PEI 2021-2024 '!AU39</f>
        <v>1</v>
      </c>
      <c r="G20" s="624">
        <f>+'1-Infor Det Sgto PEI 2021-2024 '!AV39</f>
        <v>1</v>
      </c>
      <c r="H20" s="646">
        <f>'1-Infor Det Sgto PEI 2021-2024 '!AW39</f>
        <v>0.5</v>
      </c>
      <c r="I20" s="646">
        <f>'1-Infor Det Sgto PEI 2021-2024 '!BI39</f>
        <v>0.9</v>
      </c>
      <c r="J20" s="646">
        <f>'1-Infor Det Sgto PEI 2021-2024 '!BJ39</f>
        <v>0.99573333333333325</v>
      </c>
      <c r="K20" s="646">
        <f>'1-Infor Det Sgto PEI 2021-2024 '!BK39</f>
        <v>1.1063703703703702</v>
      </c>
      <c r="L20" s="784">
        <f>'1-Infor Det Sgto PEI 2021-2024 '!BM39</f>
        <v>0.37339999999999995</v>
      </c>
      <c r="M20" s="1006"/>
      <c r="N20" s="1005"/>
      <c r="O20" s="605"/>
      <c r="P20" s="605"/>
    </row>
    <row r="21" spans="2:16" ht="126.75" customHeight="1">
      <c r="B21" s="1012"/>
      <c r="C21" s="690" t="str">
        <f>+'Matriz PEI 2021-2024'!C18</f>
        <v>3.3. Generar 8 escenarios que fortalezcan el conocimiento y las competencias del operador disciplinario, que apoya el cumplimiento de la labor misional, extendiendo el alcance a los jueces naturales en el Distrito Capital.</v>
      </c>
      <c r="D21" s="622">
        <f>+'Matriz PEI 2021-2024'!E18</f>
        <v>8</v>
      </c>
      <c r="E21" s="621" t="str">
        <f>+'1-Infor Det Sgto PEI 2021-2024 '!F40</f>
        <v>Escenarios generados que fortalezcan el conocimiento</v>
      </c>
      <c r="F21" s="622">
        <f>+'1-Infor Det Sgto PEI 2021-2024 '!AU40</f>
        <v>2</v>
      </c>
      <c r="G21" s="622">
        <f>+'1-Infor Det Sgto PEI 2021-2024 '!AV40</f>
        <v>1</v>
      </c>
      <c r="H21" s="624">
        <f>+'1-Infor Det Sgto PEI 2021-2024 '!AW40</f>
        <v>0.5</v>
      </c>
      <c r="I21" s="622">
        <f>'1-Infor Det Sgto PEI 2021-2024 '!BI40</f>
        <v>4</v>
      </c>
      <c r="J21" s="622">
        <f>'1-Infor Det Sgto PEI 2021-2024 '!BJ40</f>
        <v>5</v>
      </c>
      <c r="K21" s="624">
        <f>+'1-Infor Det Sgto PEI 2021-2024 '!BK40</f>
        <v>1.25</v>
      </c>
      <c r="L21" s="790">
        <f>'1-Infor Det Sgto PEI 2021-2024 '!BM40</f>
        <v>0.625</v>
      </c>
      <c r="M21" s="585">
        <f>+'1-Infor Det Sgto PEI 2021-2024 '!BN40</f>
        <v>0.625</v>
      </c>
      <c r="N21" s="1005"/>
      <c r="O21" s="605"/>
      <c r="P21" s="605"/>
    </row>
    <row r="22" spans="2:16" ht="61.5" customHeight="1">
      <c r="B22" s="1054"/>
      <c r="C22" s="688" t="str">
        <f>+'Matriz PEI 2021-2024'!C19</f>
        <v>3.4. Implementar al 100% tres soluciones informáticas propias para la ejecución y gestión de la Potestad Disciplinaria.</v>
      </c>
      <c r="D22" s="624">
        <f>+'Matriz PEI 2021-2024'!E19</f>
        <v>1</v>
      </c>
      <c r="E22" s="621" t="str">
        <f>+'1-Infor Det Sgto PEI 2021-2024 '!F41</f>
        <v>Soluciones informáticas implementadas</v>
      </c>
      <c r="F22" s="642">
        <f>AVERAGE('1-Infor Det Sgto PEI 2021-2024 '!AU41:AU43)</f>
        <v>0.23333333333333331</v>
      </c>
      <c r="G22" s="642">
        <f>AVERAGE('1-Infor Det Sgto PEI 2021-2024 '!AV41:AV43)</f>
        <v>0.15666666666666668</v>
      </c>
      <c r="H22" s="644">
        <f>AVERAGE('1-Infor Det Sgto PEI 2021-2024 '!AW41:AW43)</f>
        <v>0.42222222222222222</v>
      </c>
      <c r="I22" s="642">
        <f>AVERAGE('1-Infor Det Sgto PEI 2021-2024 '!BI41:BI43)</f>
        <v>0.78333333333333321</v>
      </c>
      <c r="J22" s="642">
        <f>AVERAGE('1-Infor Det Sgto PEI 2021-2024 '!BJ41:BJ43)</f>
        <v>0.82333333333333325</v>
      </c>
      <c r="K22" s="644">
        <f>AVERAGE('1-Infor Det Sgto PEI 2021-2024 '!BK41:BK43)</f>
        <v>1.0711111111111113</v>
      </c>
      <c r="L22" s="790">
        <f>SUM('1-Infor Det Sgto PEI 2021-2024 '!BM41:BM43)</f>
        <v>0.77299999999999991</v>
      </c>
      <c r="M22" s="610">
        <f>+'1-Infor Det Sgto PEI 2021-2024 '!BN41</f>
        <v>0.77299999999999991</v>
      </c>
      <c r="N22" s="1005"/>
      <c r="O22" s="605"/>
      <c r="P22" s="605"/>
    </row>
    <row r="23" spans="2:16" ht="75" customHeight="1">
      <c r="B23" s="1037"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689" t="str">
        <f>+'Matriz PEI 2021-2024'!C20</f>
        <v>4.1. Implementar el 100% de las acciones que impulsen el crecimiento del Modelo de Madurez de Transformación Digital de la Entidad, aplicando los principios , lineamientos y normas que lo enmarcan.</v>
      </c>
      <c r="D23" s="625">
        <f>+'Matriz PEI 2021-2024'!E20</f>
        <v>1</v>
      </c>
      <c r="E23" s="628" t="str">
        <f>+'1-Infor Det Sgto PEI 2021-2024 '!F44</f>
        <v>Acciones implementadas que impulsan el crecimiento del modelo de la Entidad</v>
      </c>
      <c r="F23" s="625">
        <f>AVERAGE('1-Infor Det Sgto PEI 2021-2024 '!AU44:AU50)</f>
        <v>0.25</v>
      </c>
      <c r="G23" s="650">
        <f>AVERAGE('1-Infor Det Sgto PEI 2021-2024 '!AV44:AV50)</f>
        <v>0.11714285714285715</v>
      </c>
      <c r="H23" s="645">
        <f>AVERAGE('1-Infor Det Sgto PEI 2021-2024 '!AW44:AW50)</f>
        <v>0.46857142857142858</v>
      </c>
      <c r="I23" s="625">
        <f>AVERAGE('1-Infor Det Sgto PEI 2021-2024 '!BI44:BI50)</f>
        <v>0.82000000000000017</v>
      </c>
      <c r="J23" s="650">
        <f>AVERAGE('1-Infor Det Sgto PEI 2021-2024 '!BJ44:BJ50)</f>
        <v>0.81714285714285728</v>
      </c>
      <c r="K23" s="645">
        <f>AVERAGE('1-Infor Det Sgto PEI 2021-2024 '!BK44:BK50)</f>
        <v>0.99651567944250874</v>
      </c>
      <c r="L23" s="791">
        <f>SUM('1-Infor Det Sgto PEI 2021-2024 '!BM44:BM50)</f>
        <v>0.81720000000000004</v>
      </c>
      <c r="M23" s="968">
        <f>+'1-Infor Det Sgto PEI 2021-2024 '!BN44</f>
        <v>0.81720000000000004</v>
      </c>
      <c r="N23" s="1034">
        <f>+'1-Infor Det Sgto PEI 2021-2024 '!BO44</f>
        <v>0.81568036678057698</v>
      </c>
      <c r="O23" s="607"/>
      <c r="P23" s="607"/>
    </row>
    <row r="24" spans="2:16" ht="105" customHeight="1">
      <c r="B24" s="1037"/>
      <c r="C24" s="1062" t="str">
        <f>+'Matriz PEI 2021-2024'!C21</f>
        <v>4.2. Consolidar el 90% del Modelo Integrado de Planeación y Gestión –MIPG- y sus sistemas de gestión articulados, como compromiso con la Calidad, la Excelencia, la Responsabilidad Ambiental y la Mejora en la prestación del Servicio.</v>
      </c>
      <c r="D24" s="1065">
        <f>+'Matriz PEI 2021-2024'!E21</f>
        <v>0.9</v>
      </c>
      <c r="E24" s="628" t="str">
        <f>+'1-Infor Det Sgto PEI 2021-2024 '!F51</f>
        <v xml:space="preserve">Porcentaje de acciones implementadas para la sostenibilidad y mejora del SGC </v>
      </c>
      <c r="F24" s="625">
        <f>+'1-Infor Det Sgto PEI 2021-2024 '!AU51</f>
        <v>1</v>
      </c>
      <c r="G24" s="625">
        <f>+'1-Infor Det Sgto PEI 2021-2024 '!AV51</f>
        <v>0.50890000000000002</v>
      </c>
      <c r="H24" s="625">
        <f>+'1-Infor Det Sgto PEI 2021-2024 '!AW51</f>
        <v>0.50890000000000002</v>
      </c>
      <c r="I24" s="625">
        <f>+'1-Infor Det Sgto PEI 2021-2024 '!BI51</f>
        <v>0.83666666666666656</v>
      </c>
      <c r="J24" s="625">
        <f>+'1-Infor Det Sgto PEI 2021-2024 '!BJ51</f>
        <v>0.83366341475840589</v>
      </c>
      <c r="K24" s="625">
        <f>+'1-Infor Det Sgto PEI 2021-2024 '!BK51</f>
        <v>0.99641045588654098</v>
      </c>
      <c r="L24" s="791">
        <f>+'1-Infor Det Sgto PEI 2021-2024 '!BM51</f>
        <v>0.1250495122137609</v>
      </c>
      <c r="M24" s="1039">
        <f>'1-Infor Det Sgto PEI 2021-2024 '!BN51</f>
        <v>0.78957094078518941</v>
      </c>
      <c r="N24" s="1035"/>
      <c r="O24" s="606"/>
      <c r="P24" s="606"/>
    </row>
    <row r="25" spans="2:16" ht="69.599999999999994" customHeight="1">
      <c r="B25" s="1037"/>
      <c r="C25" s="1063"/>
      <c r="D25" s="1066"/>
      <c r="E25" s="628" t="str">
        <f>+'1-Infor Det Sgto PEI 2021-2024 '!F52</f>
        <v>Porcentaje de actividades implementadas para la sostenibilidad  y mejora del MIPG</v>
      </c>
      <c r="F25" s="625">
        <f>+'1-Infor Det Sgto PEI 2021-2024 '!AU52</f>
        <v>0.02</v>
      </c>
      <c r="G25" s="625">
        <f>+'1-Infor Det Sgto PEI 2021-2024 '!AV52</f>
        <v>9.8999999999999991E-3</v>
      </c>
      <c r="H25" s="625">
        <f>+'1-Infor Det Sgto PEI 2021-2024 '!AW52</f>
        <v>0.49499999999999994</v>
      </c>
      <c r="I25" s="625">
        <f>+'1-Infor Det Sgto PEI 2021-2024 '!BI52</f>
        <v>0.37000000000000005</v>
      </c>
      <c r="J25" s="625">
        <f>+'1-Infor Det Sgto PEI 2021-2024 '!BJ52</f>
        <v>0.34990000000000004</v>
      </c>
      <c r="K25" s="625">
        <f>+'1-Infor Det Sgto PEI 2021-2024 '!BK52</f>
        <v>0.94567567567567568</v>
      </c>
      <c r="L25" s="791">
        <f>+'1-Infor Det Sgto PEI 2021-2024 '!BM52</f>
        <v>0.17495000000000002</v>
      </c>
      <c r="M25" s="1040"/>
      <c r="N25" s="1035"/>
      <c r="O25" s="606"/>
      <c r="P25" s="606"/>
    </row>
    <row r="26" spans="2:16" ht="55.95" customHeight="1">
      <c r="B26" s="1037"/>
      <c r="C26" s="1063"/>
      <c r="D26" s="1066"/>
      <c r="E26" s="628" t="str">
        <f>+'1-Infor Det Sgto PEI 2021-2024 '!F53</f>
        <v xml:space="preserve">Porcentaje de requisitos del  SGA implementados bajo los estándares de la norma ISO 14001 </v>
      </c>
      <c r="F26" s="625">
        <f>+'1-Infor Det Sgto PEI 2021-2024 '!AU53</f>
        <v>0.29000000000000004</v>
      </c>
      <c r="G26" s="625">
        <f>+'1-Infor Det Sgto PEI 2021-2024 '!AV53</f>
        <v>0.19</v>
      </c>
      <c r="H26" s="625">
        <f>+'1-Infor Det Sgto PEI 2021-2024 '!AW53</f>
        <v>0.65517241379310343</v>
      </c>
      <c r="I26" s="625">
        <f>+'1-Infor Det Sgto PEI 2021-2024 '!BI53</f>
        <v>0.89999999999999991</v>
      </c>
      <c r="J26" s="625">
        <f>+'1-Infor Det Sgto PEI 2021-2024 '!BJ53</f>
        <v>0.89999999999999991</v>
      </c>
      <c r="K26" s="625">
        <f>+'1-Infor Det Sgto PEI 2021-2024 '!BK53</f>
        <v>1</v>
      </c>
      <c r="L26" s="791">
        <f>+'1-Infor Det Sgto PEI 2021-2024 '!BM53</f>
        <v>0.13499999999999998</v>
      </c>
      <c r="M26" s="1040"/>
      <c r="N26" s="1035"/>
      <c r="O26" s="606"/>
      <c r="P26" s="606"/>
    </row>
    <row r="27" spans="2:16" ht="52.2" customHeight="1">
      <c r="B27" s="1037"/>
      <c r="C27" s="1063"/>
      <c r="D27" s="1066"/>
      <c r="E27" s="628" t="str">
        <f>+'1-Infor Det Sgto PEI 2021-2024 '!F54</f>
        <v>Acciones de monitoreo y revisión realizadas al PAAC</v>
      </c>
      <c r="F27" s="623">
        <f>+'1-Infor Det Sgto PEI 2021-2024 '!AU54</f>
        <v>3</v>
      </c>
      <c r="G27" s="623">
        <f>+'1-Infor Det Sgto PEI 2021-2024 '!AV54</f>
        <v>2</v>
      </c>
      <c r="H27" s="625">
        <f>+'1-Infor Det Sgto PEI 2021-2024 '!AW54</f>
        <v>0.66666666666666663</v>
      </c>
      <c r="I27" s="623">
        <f>+'1-Infor Det Sgto PEI 2021-2024 '!BI54</f>
        <v>8</v>
      </c>
      <c r="J27" s="623">
        <f>+'1-Infor Det Sgto PEI 2021-2024 '!BJ54</f>
        <v>8</v>
      </c>
      <c r="K27" s="623">
        <f>+'1-Infor Det Sgto PEI 2021-2024 '!BK54</f>
        <v>1</v>
      </c>
      <c r="L27" s="791">
        <f>+'1-Infor Det Sgto PEI 2021-2024 '!BM54</f>
        <v>6.6666666666666666E-2</v>
      </c>
      <c r="M27" s="1040"/>
      <c r="N27" s="1035"/>
      <c r="O27" s="606"/>
      <c r="P27" s="606"/>
    </row>
    <row r="28" spans="2:16" ht="64.95" customHeight="1">
      <c r="B28" s="1037"/>
      <c r="C28" s="1063"/>
      <c r="D28" s="1066"/>
      <c r="E28" s="628" t="str">
        <f>+'1-Infor Det Sgto PEI 2021-2024 '!F55</f>
        <v>Porcentaje de Percepción de los usuarios en calificación excelente y bueno incrementado</v>
      </c>
      <c r="F28" s="625">
        <f>+'1-Infor Det Sgto PEI 2021-2024 '!AU55</f>
        <v>0.9</v>
      </c>
      <c r="G28" s="625">
        <f>+'1-Infor Det Sgto PEI 2021-2024 '!AV55</f>
        <v>0.97499999999999998</v>
      </c>
      <c r="H28" s="625">
        <f>+'1-Infor Det Sgto PEI 2021-2024 '!AW55</f>
        <v>0.54166666666666663</v>
      </c>
      <c r="I28" s="625">
        <f>+'1-Infor Det Sgto PEI 2021-2024 '!BI55</f>
        <v>0.9</v>
      </c>
      <c r="J28" s="650">
        <f>+'1-Infor Det Sgto PEI 2021-2024 '!BJ55</f>
        <v>0.95599999999999996</v>
      </c>
      <c r="K28" s="625">
        <f>+'1-Infor Det Sgto PEI 2021-2024 '!BK55</f>
        <v>1.0622222222222222</v>
      </c>
      <c r="L28" s="791">
        <f>+'1-Infor Det Sgto PEI 2021-2024 '!BM55</f>
        <v>0.15933333333333333</v>
      </c>
      <c r="M28" s="1040"/>
      <c r="N28" s="1035"/>
      <c r="O28" s="606"/>
      <c r="P28" s="606"/>
    </row>
    <row r="29" spans="2:16" ht="42" customHeight="1">
      <c r="B29" s="1037"/>
      <c r="C29" s="1064"/>
      <c r="D29" s="1067"/>
      <c r="E29" s="628" t="str">
        <f>+'1-Infor Det Sgto PEI 2021-2024 '!F56</f>
        <v>Lineamientos implementados en el periodo</v>
      </c>
      <c r="F29" s="623">
        <f>+'1-Infor Det Sgto PEI 2021-2024 '!AU56</f>
        <v>1</v>
      </c>
      <c r="G29" s="623">
        <f>+'1-Infor Det Sgto PEI 2021-2024 '!AV56</f>
        <v>1</v>
      </c>
      <c r="H29" s="625">
        <f>+'1-Infor Det Sgto PEI 2021-2024 '!AW56</f>
        <v>1</v>
      </c>
      <c r="I29" s="623">
        <f>+'1-Infor Det Sgto PEI 2021-2024 '!BI56</f>
        <v>6</v>
      </c>
      <c r="J29" s="623">
        <f>+'1-Infor Det Sgto PEI 2021-2024 '!BJ56</f>
        <v>6</v>
      </c>
      <c r="K29" s="623">
        <f>+'1-Infor Det Sgto PEI 2021-2024 '!BK56</f>
        <v>1</v>
      </c>
      <c r="L29" s="791">
        <f>+'1-Infor Det Sgto PEI 2021-2024 '!BM56</f>
        <v>0.12857142857142856</v>
      </c>
      <c r="M29" s="1041"/>
      <c r="N29" s="1035"/>
      <c r="O29" s="606"/>
      <c r="P29" s="606"/>
    </row>
    <row r="30" spans="2:16" ht="60" customHeight="1">
      <c r="B30" s="1037"/>
      <c r="C30" s="1062" t="str">
        <f>+'Matriz PEI 2021-2024'!C22</f>
        <v xml:space="preserve">4.3. Realizar el 100% de las actividades relacionadas con la Gestión del Talento Humano, que permita su fortalecimiento y el desarrollo de sus conocimientos, su competencia y bienestar. </v>
      </c>
      <c r="D30" s="1065">
        <f>+'Matriz PEI 2021-2024'!E22</f>
        <v>1</v>
      </c>
      <c r="E30" s="628" t="str">
        <f>+'1-Infor Det Sgto PEI 2021-2024 '!F57</f>
        <v>Porcentaje de novedades y situaciones administrativas gestionadas</v>
      </c>
      <c r="F30" s="625">
        <f>+'1-Infor Det Sgto PEI 2021-2024 '!AU57</f>
        <v>1</v>
      </c>
      <c r="G30" s="625">
        <f>+'1-Infor Det Sgto PEI 2021-2024 '!AV57</f>
        <v>1</v>
      </c>
      <c r="H30" s="625">
        <f>+'1-Infor Det Sgto PEI 2021-2024 '!AW57</f>
        <v>0.5</v>
      </c>
      <c r="I30" s="625">
        <f>+'1-Infor Det Sgto PEI 2021-2024 '!BI57</f>
        <v>1</v>
      </c>
      <c r="J30" s="625">
        <f>+'1-Infor Det Sgto PEI 2021-2024 '!BJ57</f>
        <v>1</v>
      </c>
      <c r="K30" s="625">
        <f>+'1-Infor Det Sgto PEI 2021-2024 '!BK57</f>
        <v>1</v>
      </c>
      <c r="L30" s="791">
        <f>+'1-Infor Det Sgto PEI 2021-2024 '!BM57</f>
        <v>7.5000000000000011E-2</v>
      </c>
      <c r="M30" s="1068">
        <f>+'1-Infor Det Sgto PEI 2021-2024 '!BN57</f>
        <v>0.66575786742866883</v>
      </c>
      <c r="N30" s="1035"/>
      <c r="O30" s="599"/>
      <c r="P30" s="599"/>
    </row>
    <row r="31" spans="2:16" ht="60" customHeight="1">
      <c r="B31" s="1037"/>
      <c r="C31" s="1063"/>
      <c r="D31" s="1066"/>
      <c r="E31" s="628" t="str">
        <f>+'1-Infor Det Sgto PEI 2021-2024 '!F58</f>
        <v xml:space="preserve">Novedades incluidas en la nómina  oportunamente  </v>
      </c>
      <c r="F31" s="625">
        <f>+'1-Infor Det Sgto PEI 2021-2024 '!AU58</f>
        <v>0.98000000000000032</v>
      </c>
      <c r="G31" s="625">
        <f>+'1-Infor Det Sgto PEI 2021-2024 '!AV58</f>
        <v>0.999</v>
      </c>
      <c r="H31" s="625">
        <f>+'1-Infor Det Sgto PEI 2021-2024 '!AW58</f>
        <v>0.50969387755102025</v>
      </c>
      <c r="I31" s="625">
        <f>+'1-Infor Det Sgto PEI 2021-2024 '!BI58</f>
        <v>0.9760000000000002</v>
      </c>
      <c r="J31" s="625">
        <f>+'1-Infor Det Sgto PEI 2021-2024 '!BJ58</f>
        <v>0.98403333333333332</v>
      </c>
      <c r="K31" s="625">
        <f>+'1-Infor Det Sgto PEI 2021-2024 '!BK58</f>
        <v>1.0082308743169397</v>
      </c>
      <c r="L31" s="791">
        <f>+'1-Infor Det Sgto PEI 2021-2024 '!BM58</f>
        <v>7.5462678936605326E-2</v>
      </c>
      <c r="M31" s="1069"/>
      <c r="N31" s="1035"/>
      <c r="O31" s="599"/>
      <c r="P31" s="599"/>
    </row>
    <row r="32" spans="2:16" ht="119.4" customHeight="1">
      <c r="B32" s="1037"/>
      <c r="C32" s="1063"/>
      <c r="D32" s="1066"/>
      <c r="E32" s="628" t="str">
        <f>+'1-Infor Det Sgto PEI 2021-2024 '!F59</f>
        <v>Porcentaje de Usuarios internos satisfechos con las solicitudes de los servicios atendidas de la SGTH (Certificaciones laborales, bonos pensionales y autorizaciones de retiro de cesantías)</v>
      </c>
      <c r="F32" s="625">
        <f>+'1-Infor Det Sgto PEI 2021-2024 '!AU59</f>
        <v>0.96000000000000008</v>
      </c>
      <c r="G32" s="625">
        <f>+'1-Infor Det Sgto PEI 2021-2024 '!AV59</f>
        <v>0.96799999999999997</v>
      </c>
      <c r="H32" s="625">
        <f>+'1-Infor Det Sgto PEI 2021-2024 '!AW59</f>
        <v>0.50416666666666665</v>
      </c>
      <c r="I32" s="625">
        <f>+'1-Infor Det Sgto PEI 2021-2024 '!BI59</f>
        <v>0.84600000000000009</v>
      </c>
      <c r="J32" s="625">
        <f>+'1-Infor Det Sgto PEI 2021-2024 '!BJ59</f>
        <v>0.86689999999999989</v>
      </c>
      <c r="K32" s="625">
        <f>+'1-Infor Det Sgto PEI 2021-2024 '!BK59</f>
        <v>1.0247044917257682</v>
      </c>
      <c r="L32" s="791">
        <f>+'1-Infor Det Sgto PEI 2021-2024 '!BM59</f>
        <v>6.8801587301587294E-2</v>
      </c>
      <c r="M32" s="1069"/>
      <c r="N32" s="1035"/>
      <c r="O32" s="599"/>
      <c r="P32" s="599"/>
    </row>
    <row r="33" spans="2:16" ht="60" customHeight="1">
      <c r="B33" s="1037"/>
      <c r="C33" s="1063"/>
      <c r="D33" s="1066"/>
      <c r="E33" s="628" t="str">
        <f>+'1-Infor Det Sgto PEI 2021-2024 '!F60</f>
        <v>Avance en la ejecución de los planes que desarrollan la gestión del talento humano</v>
      </c>
      <c r="F33" s="625">
        <f>AVERAGE('1-Infor Det Sgto PEI 2021-2024 '!AU60:AU63)</f>
        <v>1.0000499999999999</v>
      </c>
      <c r="G33" s="625">
        <f>AVERAGE('1-Infor Det Sgto PEI 2021-2024 '!AV60:AV63)</f>
        <v>0.42302500000000004</v>
      </c>
      <c r="H33" s="625">
        <f>AVERAGE('1-Infor Det Sgto PEI 2021-2024 '!AW60:AW63)</f>
        <v>0.42300462907418518</v>
      </c>
      <c r="I33" s="625">
        <f>AVERAGE('1-Infor Det Sgto PEI 2021-2024 '!BI60:BI63)</f>
        <v>0.82427499999999998</v>
      </c>
      <c r="J33" s="625">
        <f>AVERAGE('1-Infor Det Sgto PEI 2021-2024 '!BJ60:BJ63)</f>
        <v>0.82289583333333327</v>
      </c>
      <c r="K33" s="625">
        <f>AVERAGE('1-Infor Det Sgto PEI 2021-2024 '!BK60:BK63)</f>
        <v>0.99847758140997445</v>
      </c>
      <c r="L33" s="791">
        <f>SUM('1-Infor Det Sgto PEI 2021-2024 '!BM60:BM63)</f>
        <v>0.37030312499999996</v>
      </c>
      <c r="M33" s="1069"/>
      <c r="N33" s="1035"/>
      <c r="O33" s="599"/>
      <c r="P33" s="599"/>
    </row>
    <row r="34" spans="2:16" ht="106.95" customHeight="1">
      <c r="B34" s="1037"/>
      <c r="C34" s="1064"/>
      <c r="D34" s="1067"/>
      <c r="E34" s="628" t="str">
        <f>+'1-Infor Det Sgto PEI 2021-2024 '!F64</f>
        <v>Capacitaciones realizadas sobre los Sistemas de Gestión y Evaluación del Desempeño Laboral de la Personería de Bogotá, D.C.</v>
      </c>
      <c r="F34" s="623">
        <f>+'1-Infor Det Sgto PEI 2021-2024 '!AU64</f>
        <v>4</v>
      </c>
      <c r="G34" s="623">
        <f>+'1-Infor Det Sgto PEI 2021-2024 '!AV64</f>
        <v>3</v>
      </c>
      <c r="H34" s="650">
        <f>+'1-Infor Det Sgto PEI 2021-2024 '!AW64</f>
        <v>0.75</v>
      </c>
      <c r="I34" s="623">
        <f>+'1-Infor Det Sgto PEI 2021-2024 '!BI64</f>
        <v>16</v>
      </c>
      <c r="J34" s="623">
        <f>+'1-Infor Det Sgto PEI 2021-2024 '!BJ64</f>
        <v>16</v>
      </c>
      <c r="K34" s="625">
        <f>+'1-Infor Det Sgto PEI 2021-2024 '!BK64</f>
        <v>1</v>
      </c>
      <c r="L34" s="791">
        <f>+'1-Infor Det Sgto PEI 2021-2024 '!BM64</f>
        <v>7.6190476190476197E-2</v>
      </c>
      <c r="M34" s="1070"/>
      <c r="N34" s="1035"/>
      <c r="O34" s="599"/>
      <c r="P34" s="599"/>
    </row>
    <row r="35" spans="2:16" ht="76.5" customHeight="1">
      <c r="B35" s="1037"/>
      <c r="C35" s="1062" t="str">
        <f>+'Matriz PEI 2021-2024'!C23</f>
        <v>4.4. Implementar el 100% de las acciones necesarias para la modernización de la gestión institucional a través de los procesos de apoyo, que permita una mejor prestación del servicio.</v>
      </c>
      <c r="D35" s="1065">
        <f>+'Matriz PEI 2021-2024'!E23</f>
        <v>1</v>
      </c>
      <c r="E35" s="628" t="str">
        <f>+'1-Infor Det Sgto PEI 2021-2024 '!F65</f>
        <v>Acciones implementadas para la modernización de la gestión institucional en el proceso Gestión Administrativa</v>
      </c>
      <c r="F35" s="650">
        <f>AVERAGE('1-Infor Det Sgto PEI 2021-2024 '!AU65:AU66)</f>
        <v>0.9850000000000001</v>
      </c>
      <c r="G35" s="650">
        <f>AVERAGE('1-Infor Det Sgto PEI 2021-2024 '!AV65:AV66)</f>
        <v>1.01</v>
      </c>
      <c r="H35" s="645">
        <f>AVERAGE('1-Infor Det Sgto PEI 2021-2024 '!AW65:AW66)</f>
        <v>0.51288659793814428</v>
      </c>
      <c r="I35" s="650">
        <f>AVERAGE('1-Infor Det Sgto PEI 2021-2024 '!BI65:BI66)</f>
        <v>0.9850000000000001</v>
      </c>
      <c r="J35" s="650">
        <f>AVERAGE('1-Infor Det Sgto PEI 2021-2024 '!BJ65:BJ66)</f>
        <v>1.0380851851851851</v>
      </c>
      <c r="K35" s="650">
        <f>AVERAGE('1-Infor Det Sgto PEI 2021-2024 '!BK65:BK66)</f>
        <v>1.054732665139366</v>
      </c>
      <c r="L35" s="791">
        <f>SUM('1-Infor Det Sgto PEI 2021-2024 '!BM65:BM66)</f>
        <v>0.15820989977090494</v>
      </c>
      <c r="M35" s="1039">
        <f>+'1-Infor Det Sgto PEI 2021-2024 '!BN65</f>
        <v>0.70942193891002747</v>
      </c>
      <c r="N35" s="1035"/>
      <c r="O35" s="605"/>
      <c r="P35" s="605"/>
    </row>
    <row r="36" spans="2:16" ht="76.5" customHeight="1">
      <c r="B36" s="1037"/>
      <c r="C36" s="1063"/>
      <c r="D36" s="1066"/>
      <c r="E36" s="628" t="str">
        <f>+'1-Infor Det Sgto PEI 2021-2024 '!F67</f>
        <v>Acciones implementadas para la modernización de la gestión institucional en el proceso Gestión Financiera</v>
      </c>
      <c r="F36" s="625">
        <f>AVERAGE('1-Infor Det Sgto PEI 2021-2024 '!AU67:AU69)</f>
        <v>0.96666666666666667</v>
      </c>
      <c r="G36" s="650">
        <f>AVERAGE('1-Infor Det Sgto PEI 2021-2024 '!AV67:AV69)</f>
        <v>0.46059666666666671</v>
      </c>
      <c r="H36" s="645">
        <f>AVERAGE('1-Infor Det Sgto PEI 2021-2024 '!AW67:AW69)</f>
        <v>0.47606666666666669</v>
      </c>
      <c r="I36" s="625">
        <f>AVERAGE('1-Infor Det Sgto PEI 2021-2024 '!BI67:BI69)</f>
        <v>0.85222222222222221</v>
      </c>
      <c r="J36" s="650">
        <f>AVERAGE('1-Infor Det Sgto PEI 2021-2024 '!BJ67:BJ69)</f>
        <v>0.78918291464867563</v>
      </c>
      <c r="K36" s="650">
        <f>AVERAGE('1-Infor Det Sgto PEI 2021-2024 '!BK67:BK69)</f>
        <v>0.9338337749918596</v>
      </c>
      <c r="L36" s="791">
        <f>SUM('1-Infor Det Sgto PEI 2021-2024 '!BM67:BM69)</f>
        <v>0.12228558848122781</v>
      </c>
      <c r="M36" s="1040"/>
      <c r="N36" s="1035"/>
      <c r="O36" s="605"/>
      <c r="P36" s="605"/>
    </row>
    <row r="37" spans="2:16" ht="76.5" customHeight="1">
      <c r="B37" s="1037"/>
      <c r="C37" s="1063"/>
      <c r="D37" s="1066"/>
      <c r="E37" s="628" t="str">
        <f>+'1-Infor Det Sgto PEI 2021-2024 '!F70</f>
        <v xml:space="preserve">Porcentaje del Plan Anual de Adquisiciones ejecutado </v>
      </c>
      <c r="F37" s="625">
        <f>+'1-Infor Det Sgto PEI 2021-2024 '!AU70</f>
        <v>0.95</v>
      </c>
      <c r="G37" s="625">
        <f>+'1-Infor Det Sgto PEI 2021-2024 '!AV70</f>
        <v>0.59000000000000008</v>
      </c>
      <c r="H37" s="625">
        <f>+'1-Infor Det Sgto PEI 2021-2024 '!AW70</f>
        <v>0.62105263157894752</v>
      </c>
      <c r="I37" s="625">
        <f>+'1-Infor Det Sgto PEI 2021-2024 '!BI70</f>
        <v>0.80999999999999994</v>
      </c>
      <c r="J37" s="625">
        <f>+'1-Infor Det Sgto PEI 2021-2024 '!BJ70</f>
        <v>0.80999999999999994</v>
      </c>
      <c r="K37" s="625">
        <f>+'1-Infor Det Sgto PEI 2021-2024 '!BK70</f>
        <v>1</v>
      </c>
      <c r="L37" s="791">
        <f>+'1-Infor Det Sgto PEI 2021-2024 '!BM70</f>
        <v>6.3947368421052628E-2</v>
      </c>
      <c r="M37" s="1040"/>
      <c r="N37" s="1035"/>
      <c r="O37" s="605"/>
      <c r="P37" s="605"/>
    </row>
    <row r="38" spans="2:16" ht="76.5" customHeight="1">
      <c r="B38" s="1037"/>
      <c r="C38" s="1063"/>
      <c r="D38" s="1066"/>
      <c r="E38" s="628" t="str">
        <f>+'1-Infor Det Sgto PEI 2021-2024 '!F71</f>
        <v>Porcentaje de Comunicaciones oficiales con reparto realizado dentro de los 3 días hábiles desde su radicación</v>
      </c>
      <c r="F38" s="625">
        <f>+'1-Infor Det Sgto PEI 2021-2024 '!AU71</f>
        <v>0.94999999999999984</v>
      </c>
      <c r="G38" s="625">
        <f>+'1-Infor Det Sgto PEI 2021-2024 '!AV71</f>
        <v>0.96970000000000001</v>
      </c>
      <c r="H38" s="625">
        <f>+'1-Infor Det Sgto PEI 2021-2024 '!AW71</f>
        <v>0.51036842105263169</v>
      </c>
      <c r="I38" s="625">
        <f>+'1-Infor Det Sgto PEI 2021-2024 '!BI71</f>
        <v>0.94999999999999984</v>
      </c>
      <c r="J38" s="625">
        <f>+'1-Infor Det Sgto PEI 2021-2024 '!BJ71</f>
        <v>0.9772346666666667</v>
      </c>
      <c r="K38" s="625">
        <f>+'1-Infor Det Sgto PEI 2021-2024 '!BK71</f>
        <v>1.0286680701754387</v>
      </c>
      <c r="L38" s="791">
        <f>+'1-Infor Det Sgto PEI 2021-2024 '!BM71</f>
        <v>3.8575052631578954E-2</v>
      </c>
      <c r="M38" s="1040"/>
      <c r="N38" s="1035"/>
      <c r="O38" s="605"/>
      <c r="P38" s="605"/>
    </row>
    <row r="39" spans="2:16" ht="76.5" customHeight="1">
      <c r="B39" s="1037"/>
      <c r="C39" s="1063"/>
      <c r="D39" s="1066"/>
      <c r="E39" s="628" t="str">
        <f>+'1-Infor Det Sgto PEI 2021-2024 '!F72</f>
        <v>Porcentaje de documentación incorporada en el archivo central durante la vigencia.</v>
      </c>
      <c r="F39" s="625">
        <f>+'1-Infor Det Sgto PEI 2021-2024 '!AU72</f>
        <v>0.79999999999999993</v>
      </c>
      <c r="G39" s="625">
        <f>+'1-Infor Det Sgto PEI 2021-2024 '!AV72</f>
        <v>0.79900000000000004</v>
      </c>
      <c r="H39" s="650">
        <f>+'1-Infor Det Sgto PEI 2021-2024 '!AW72</f>
        <v>0.49937500000000007</v>
      </c>
      <c r="I39" s="625">
        <f>+'1-Infor Det Sgto PEI 2021-2024 '!BI72</f>
        <v>0.8</v>
      </c>
      <c r="J39" s="625">
        <f>+'1-Infor Det Sgto PEI 2021-2024 '!BJ72</f>
        <v>0.8217000000000001</v>
      </c>
      <c r="K39" s="625">
        <f>+'1-Infor Det Sgto PEI 2021-2024 '!BK72</f>
        <v>1.0271250000000001</v>
      </c>
      <c r="L39" s="791">
        <f>+'1-Infor Det Sgto PEI 2021-2024 '!BM72</f>
        <v>3.8517187500000008E-2</v>
      </c>
      <c r="M39" s="1040"/>
      <c r="N39" s="1035"/>
      <c r="O39" s="605"/>
      <c r="P39" s="605"/>
    </row>
    <row r="40" spans="2:16" ht="105.6" customHeight="1">
      <c r="B40" s="1037"/>
      <c r="C40" s="1063"/>
      <c r="D40" s="1066"/>
      <c r="E40" s="628" t="str">
        <f>+'1-Infor Det Sgto PEI 2021-2024 '!F73</f>
        <v xml:space="preserve">Acciones implementadas para la modernización de la gestión institucional en actualización e  implementación de instrumentos archivísticos </v>
      </c>
      <c r="F40" s="623">
        <f>'1-Infor Det Sgto PEI 2021-2024 '!AU73+'1-Infor Det Sgto PEI 2021-2024 '!AU74</f>
        <v>50</v>
      </c>
      <c r="G40" s="623">
        <f>'1-Infor Det Sgto PEI 2021-2024 '!AV73+'1-Infor Det Sgto PEI 2021-2024 '!AV74</f>
        <v>25.85</v>
      </c>
      <c r="H40" s="645">
        <f>AVERAGE('1-Infor Det Sgto PEI 2021-2024 '!AW73:AW74)</f>
        <v>0.51700000000000002</v>
      </c>
      <c r="I40" s="623">
        <f>'1-Infor Det Sgto PEI 2021-2024 '!BI73+'1-Infor Det Sgto PEI 2021-2024 '!BI74</f>
        <v>123.5</v>
      </c>
      <c r="J40" s="623">
        <f>'1-Infor Det Sgto PEI 2021-2024 '!BJ73+'1-Infor Det Sgto PEI 2021-2024 '!BJ74</f>
        <v>126.3</v>
      </c>
      <c r="K40" s="623">
        <f>'1-Infor Det Sgto PEI 2021-2024 '!BK73+'1-Infor Det Sgto PEI 2021-2024 '!BK74</f>
        <v>2.0453441295546559</v>
      </c>
      <c r="L40" s="791">
        <f>'1-Infor Det Sgto PEI 2021-2024 '!BM73+'1-Infor Det Sgto PEI 2021-2024 '!BM74</f>
        <v>6.3149999999999998E-2</v>
      </c>
      <c r="M40" s="1040"/>
      <c r="N40" s="1035"/>
      <c r="O40" s="605"/>
      <c r="P40" s="605"/>
    </row>
    <row r="41" spans="2:16" ht="76.5" customHeight="1">
      <c r="B41" s="1037"/>
      <c r="C41" s="1063"/>
      <c r="D41" s="1066"/>
      <c r="E41" s="628" t="str">
        <f>+'1-Infor Det Sgto PEI 2021-2024 '!F75</f>
        <v>Acciones implementadas para la modernización de la gestión institucional en el proceso Gestión Jurídica</v>
      </c>
      <c r="F41" s="625">
        <f>AVERAGE('1-Infor Det Sgto PEI 2021-2024 '!AU75:AU79)</f>
        <v>1</v>
      </c>
      <c r="G41" s="625">
        <f>AVERAGE('1-Infor Det Sgto PEI 2021-2024 '!AV75:AV79)</f>
        <v>1</v>
      </c>
      <c r="H41" s="625">
        <f>AVERAGE('1-Infor Det Sgto PEI 2021-2024 '!AW75:AW79)</f>
        <v>0.5</v>
      </c>
      <c r="I41" s="625">
        <f>AVERAGE('1-Infor Det Sgto PEI 2021-2024 '!BI75:BI79)</f>
        <v>1</v>
      </c>
      <c r="J41" s="625">
        <f>AVERAGE('1-Infor Det Sgto PEI 2021-2024 '!BJ75:BJ79)</f>
        <v>1</v>
      </c>
      <c r="K41" s="625">
        <f>AVERAGE('1-Infor Det Sgto PEI 2021-2024 '!BK75:BK79)</f>
        <v>1</v>
      </c>
      <c r="L41" s="791">
        <f>SUM('1-Infor Det Sgto PEI 2021-2024 '!BM75:BM79)</f>
        <v>0.15000000000000002</v>
      </c>
      <c r="M41" s="1040"/>
      <c r="N41" s="1035"/>
      <c r="O41" s="605"/>
      <c r="P41" s="605"/>
    </row>
    <row r="42" spans="2:16" ht="76.5" customHeight="1">
      <c r="B42" s="1037"/>
      <c r="C42" s="1064"/>
      <c r="D42" s="1067"/>
      <c r="E42" s="628" t="str">
        <f>+'1-Infor Det Sgto PEI 2021-2024 '!F80</f>
        <v xml:space="preserve">Porcentaje de contratos en las diferentes modalidades de contratación elaborados en los tiempos óptimos </v>
      </c>
      <c r="F42" s="625">
        <f>AVERAGE('1-Infor Det Sgto PEI 2021-2024 '!AU80:AU82)</f>
        <v>0.9</v>
      </c>
      <c r="G42" s="625">
        <f>AVERAGE('1-Infor Det Sgto PEI 2021-2024 '!AV80:AV82)</f>
        <v>0.94666666666666666</v>
      </c>
      <c r="H42" s="625">
        <f>AVERAGE('1-Infor Det Sgto PEI 2021-2024 '!AW80:AW82)</f>
        <v>0.5259259259259258</v>
      </c>
      <c r="I42" s="625">
        <f>AVERAGE('1-Infor Det Sgto PEI 2021-2024 '!BI80:BI82)</f>
        <v>0.9</v>
      </c>
      <c r="J42" s="625">
        <f>AVERAGE('1-Infor Det Sgto PEI 2021-2024 '!BJ80:BJ82)</f>
        <v>0.94666666666666666</v>
      </c>
      <c r="K42" s="625">
        <f>AVERAGE('1-Infor Det Sgto PEI 2021-2024 '!BK80:BK82)</f>
        <v>1.0518518518518516</v>
      </c>
      <c r="L42" s="791">
        <f>SUM('1-Infor Det Sgto PEI 2021-2024 '!BM80:BM82)</f>
        <v>7.4736842105263171E-2</v>
      </c>
      <c r="M42" s="1041"/>
      <c r="N42" s="1035"/>
      <c r="O42" s="605"/>
      <c r="P42" s="605"/>
    </row>
    <row r="43" spans="2:16" ht="83.4" customHeight="1">
      <c r="B43" s="1037"/>
      <c r="C43" s="689" t="str">
        <f>+'Matriz PEI 2021-2024'!C24</f>
        <v>4.5. Desarrollar el 100% de las acciones relacionadas con el fomento de la Cultura del Autocontrol, la Autorregulación y la Autogestión institucional.</v>
      </c>
      <c r="D43" s="625">
        <f>+'Matriz PEI 2021-2024'!E24</f>
        <v>1</v>
      </c>
      <c r="E43" s="628" t="str">
        <f>+'1-Infor Det Sgto PEI 2021-2024 '!F83</f>
        <v>Acciones desarrolladas relacionadas con el fomento de la cultura del autocontrol, autoregulación y autogestión</v>
      </c>
      <c r="F43" s="623">
        <f>SUM('1-Infor Det Sgto PEI 2021-2024 '!AU83:AU88)</f>
        <v>193</v>
      </c>
      <c r="G43" s="623">
        <f>SUM('1-Infor Det Sgto PEI 2021-2024 '!AV83:AV88)</f>
        <v>103.24</v>
      </c>
      <c r="H43" s="645">
        <f>AVERAGE('1-Infor Det Sgto PEI 2021-2024 '!AW83:AW88)</f>
        <v>0.44972222222222219</v>
      </c>
      <c r="I43" s="623">
        <f>SUM('1-Infor Det Sgto PEI 2021-2024 '!BI83:BI88)</f>
        <v>385.24</v>
      </c>
      <c r="J43" s="623">
        <f>SUM('1-Infor Det Sgto PEI 2021-2024 '!BJ83:BJ88)</f>
        <v>563.24</v>
      </c>
      <c r="K43" s="623">
        <f>SUM('1-Infor Det Sgto PEI 2021-2024 '!BK83:BK88)</f>
        <v>6.8115390528905291</v>
      </c>
      <c r="L43" s="791">
        <f>SUM('1-Infor Det Sgto PEI 2021-2024 '!BM83:BM88)</f>
        <v>0.64623490077653156</v>
      </c>
      <c r="M43" s="793">
        <f>+'1-Infor Det Sgto PEI 2021-2024 '!BN83</f>
        <v>0.64623490077653156</v>
      </c>
      <c r="N43" s="1035"/>
      <c r="O43" s="597"/>
      <c r="P43" s="597"/>
    </row>
    <row r="44" spans="2:16" ht="60" customHeight="1">
      <c r="B44" s="1037"/>
      <c r="C44" s="689" t="str">
        <f>+'Matriz PEI 2021-2024'!C25</f>
        <v>4.6. Desarrollar el 100% de las estrategias de comunicación organizacional y de medios que contribuyan al logro de los objetivos institucionales y al posicionamiento de la Entidad.</v>
      </c>
      <c r="D44" s="625">
        <f>+'Matriz PEI 2021-2024'!E25</f>
        <v>1</v>
      </c>
      <c r="E44" s="628" t="str">
        <f>'1-Infor Det Sgto PEI 2021-2024 '!F89</f>
        <v>Estrategias desarrolladas para la comunicación en la Entidad</v>
      </c>
      <c r="F44" s="625">
        <f>AVERAGE('1-Infor Det Sgto PEI 2021-2024 '!AU89:AU90)</f>
        <v>1</v>
      </c>
      <c r="G44" s="625">
        <f>AVERAGE('1-Infor Det Sgto PEI 2021-2024 '!AV89:AV90)</f>
        <v>1</v>
      </c>
      <c r="H44" s="625">
        <f>AVERAGE('1-Infor Det Sgto PEI 2021-2024 '!AW89:AW90)</f>
        <v>0.5</v>
      </c>
      <c r="I44" s="625">
        <f>AVERAGE('1-Infor Det Sgto PEI 2021-2024 '!BI89:BI90)</f>
        <v>1</v>
      </c>
      <c r="J44" s="625">
        <f>AVERAGE('1-Infor Det Sgto PEI 2021-2024 '!BJ89:BJ90)</f>
        <v>1</v>
      </c>
      <c r="K44" s="625">
        <f>AVERAGE('1-Infor Det Sgto PEI 2021-2024 '!BK89:BK90)</f>
        <v>1</v>
      </c>
      <c r="L44" s="791">
        <f>SUM('1-Infor Det Sgto PEI 2021-2024 '!BM89:BM90)</f>
        <v>0.75</v>
      </c>
      <c r="M44" s="794">
        <f>+'1-Infor Det Sgto PEI 2021-2024 '!BN89</f>
        <v>0.75</v>
      </c>
      <c r="N44" s="1035"/>
      <c r="O44" s="599"/>
      <c r="P44" s="599"/>
    </row>
    <row r="45" spans="2:16" ht="114" customHeight="1">
      <c r="B45" s="1038"/>
      <c r="C45" s="691" t="str">
        <f>+'Matriz PEI 2021-2024'!C26</f>
        <v>4.7. Articular el 100% de las acciones de trabajo interinstitucional y cooperación nacional e internacional que permita aunar esfuerzos para el cumplimiento de la misión institucional.</v>
      </c>
      <c r="D45" s="625">
        <f>+'Matriz PEI 2021-2024'!E26</f>
        <v>1</v>
      </c>
      <c r="E45" s="628" t="str">
        <f>'1-Infor Det Sgto PEI 2021-2024 '!F91</f>
        <v>Acciones articuladas de trabajo interinstitucional y de cooperación</v>
      </c>
      <c r="F45" s="623">
        <f>'1-Infor Det Sgto PEI 2021-2024 '!AU91</f>
        <v>1</v>
      </c>
      <c r="G45" s="623">
        <f>'1-Infor Det Sgto PEI 2021-2024 '!AV91</f>
        <v>0</v>
      </c>
      <c r="H45" s="625">
        <f>'1-Infor Det Sgto PEI 2021-2024 '!AW91</f>
        <v>0</v>
      </c>
      <c r="I45" s="623">
        <f>'1-Infor Det Sgto PEI 2021-2024 '!BI91</f>
        <v>2</v>
      </c>
      <c r="J45" s="623">
        <f>'1-Infor Det Sgto PEI 2021-2024 '!BJ91</f>
        <v>4</v>
      </c>
      <c r="K45" s="623">
        <f>'1-Infor Det Sgto PEI 2021-2024 '!BK91</f>
        <v>2</v>
      </c>
      <c r="L45" s="791">
        <f>'1-Infor Det Sgto PEI 2021-2024 '!BM91</f>
        <v>1.3333333333333333</v>
      </c>
      <c r="M45" s="795">
        <f>+'1-Infor Det Sgto PEI 2021-2024 '!BN91</f>
        <v>1.3333333333333333</v>
      </c>
      <c r="N45" s="1036"/>
      <c r="O45" s="599"/>
      <c r="P45" s="599"/>
    </row>
    <row r="46" spans="2:16" ht="93.75" customHeight="1">
      <c r="B46" s="1011" t="str">
        <f>+'Matriz PEI 2021-2024'!B27</f>
        <v xml:space="preserve">5. Incorporar una cultura del conocimiento y la innovación a través de actividades que permitan el desarrollo de ideas, lecciones aprendidas e investigaciones para mejorar los resultados de la gestión institucional. </v>
      </c>
      <c r="C46" s="692" t="str">
        <f>+'Matriz PEI 2021-2024'!C27</f>
        <v>5.1 Generar el 100% de productos de nuevo conocimiento o transformar los existentes, alineados con proyectos resultados de la investigación, desarrollo e innovación (I+D+I) en la Entidad.</v>
      </c>
      <c r="D46" s="624">
        <f>+'Matriz PEI 2021-2024'!E27</f>
        <v>1</v>
      </c>
      <c r="E46" s="627" t="str">
        <f>+'1-Infor Det Sgto PEI 2021-2024 '!F92</f>
        <v xml:space="preserve">Productos generados
</v>
      </c>
      <c r="F46" s="622">
        <f>+'1-Infor Det Sgto PEI 2021-2024 '!AU92</f>
        <v>1</v>
      </c>
      <c r="G46" s="622">
        <f>+'1-Infor Det Sgto PEI 2021-2024 '!AV92</f>
        <v>0</v>
      </c>
      <c r="H46" s="672">
        <f>+'1-Infor Det Sgto PEI 2021-2024 '!AW92</f>
        <v>0</v>
      </c>
      <c r="I46" s="622">
        <f>+'1-Infor Det Sgto PEI 2021-2024 '!BI92</f>
        <v>2</v>
      </c>
      <c r="J46" s="622">
        <f>+'1-Infor Det Sgto PEI 2021-2024 '!BJ92</f>
        <v>2</v>
      </c>
      <c r="K46" s="672">
        <f>+'1-Infor Det Sgto PEI 2021-2024 '!BK92</f>
        <v>1</v>
      </c>
      <c r="L46" s="792">
        <f>+'1-Infor Det Sgto PEI 2021-2024 '!BM92</f>
        <v>0.25</v>
      </c>
      <c r="M46" s="596">
        <f>+'1-Infor Det Sgto PEI 2021-2024 '!BN92</f>
        <v>0.5</v>
      </c>
      <c r="N46" s="1020">
        <f>+'1-Infor Det Sgto PEI 2021-2024 '!BO92</f>
        <v>0.61250000000000004</v>
      </c>
      <c r="O46" s="601"/>
      <c r="P46" s="601"/>
    </row>
    <row r="47" spans="2:16" ht="102" customHeight="1">
      <c r="B47" s="1012"/>
      <c r="C47" s="692" t="str">
        <f>+'Matriz PEI 2021-2024'!C28</f>
        <v>5.2 Formular el 100% de herramientas y acciones que permitan categorizar, preservar y utilizar el conocimiento para la toma de decisiones y compartir fácilmente los datos y la información de la Entidad.</v>
      </c>
      <c r="D47" s="624">
        <f>+'Matriz PEI 2021-2024'!E28</f>
        <v>1</v>
      </c>
      <c r="E47" s="627" t="str">
        <f>+'1-Infor Det Sgto PEI 2021-2024 '!F94</f>
        <v xml:space="preserve">Herramientas y acciones formuladas </v>
      </c>
      <c r="F47" s="622">
        <f>+'1-Infor Det Sgto PEI 2021-2024 '!AU94</f>
        <v>3</v>
      </c>
      <c r="G47" s="622">
        <f>+'1-Infor Det Sgto PEI 2021-2024 '!AV94</f>
        <v>1</v>
      </c>
      <c r="H47" s="672">
        <f>+'1-Infor Det Sgto PEI 2021-2024 '!AW94</f>
        <v>0.33333333333333331</v>
      </c>
      <c r="I47" s="622">
        <f>+'1-Infor Det Sgto PEI 2021-2024 '!BI94</f>
        <v>5</v>
      </c>
      <c r="J47" s="622">
        <f>+'1-Infor Det Sgto PEI 2021-2024 '!BJ94</f>
        <v>5</v>
      </c>
      <c r="K47" s="672">
        <f>+'1-Infor Det Sgto PEI 2021-2024 '!BK94</f>
        <v>1</v>
      </c>
      <c r="L47" s="792">
        <f>+'1-Infor Det Sgto PEI 2021-2024 '!BM94</f>
        <v>0.625</v>
      </c>
      <c r="M47" s="596">
        <f>+'1-Infor Det Sgto PEI 2021-2024 '!BN94</f>
        <v>0.625</v>
      </c>
      <c r="N47" s="1021"/>
      <c r="O47" s="601"/>
      <c r="P47" s="601"/>
    </row>
    <row r="48" spans="2:16" ht="124.5" customHeight="1" thickBot="1">
      <c r="B48" s="1019"/>
      <c r="C48" s="693"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624">
        <f>+'Matriz PEI 2021-2024'!E29</f>
        <v>1</v>
      </c>
      <c r="E48" s="627" t="str">
        <f>+'1-Infor Det Sgto PEI 2021-2024 '!F95</f>
        <v>Espacios y mecanismos desarrollados para la difusión de conocimiento</v>
      </c>
      <c r="F48" s="622">
        <f>+'1-Infor Det Sgto PEI 2021-2024 '!AU95</f>
        <v>39</v>
      </c>
      <c r="G48" s="622">
        <f>+'1-Infor Det Sgto PEI 2021-2024 '!AV95</f>
        <v>19</v>
      </c>
      <c r="H48" s="672">
        <f>+'1-Infor Det Sgto PEI 2021-2024 '!AW95</f>
        <v>0.48717948717948717</v>
      </c>
      <c r="I48" s="622">
        <f>+'1-Infor Det Sgto PEI 2021-2024 '!BI95</f>
        <v>60</v>
      </c>
      <c r="J48" s="622">
        <f>+'1-Infor Det Sgto PEI 2021-2024 '!BJ95</f>
        <v>60</v>
      </c>
      <c r="K48" s="672">
        <f>+'1-Infor Det Sgto PEI 2021-2024 '!BK95</f>
        <v>1</v>
      </c>
      <c r="L48" s="792">
        <f>+'1-Infor Det Sgto PEI 2021-2024 '!BM95</f>
        <v>0.75</v>
      </c>
      <c r="M48" s="596">
        <f>+'1-Infor Det Sgto PEI 2021-2024 '!BN95</f>
        <v>0.75</v>
      </c>
      <c r="N48" s="1061"/>
      <c r="O48" s="601"/>
      <c r="P48" s="601"/>
    </row>
    <row r="49" spans="2:16" ht="18" thickBot="1">
      <c r="B49" s="203"/>
      <c r="C49" s="611"/>
      <c r="D49" s="620"/>
      <c r="E49" s="620"/>
      <c r="F49" s="620"/>
      <c r="G49" s="620"/>
      <c r="H49" s="620"/>
      <c r="I49" s="620"/>
      <c r="J49" s="620"/>
      <c r="K49" s="620"/>
      <c r="L49" s="620"/>
      <c r="M49" s="820">
        <f>AVERAGE(M10:M48)</f>
        <v>0.7639290208770918</v>
      </c>
      <c r="N49" s="609">
        <f>AVERAGE(N10:N48)</f>
        <v>0.74960498581537061</v>
      </c>
      <c r="O49" s="602"/>
      <c r="P49" s="602"/>
    </row>
    <row r="50" spans="2:16" ht="13.5" customHeight="1">
      <c r="B50" s="38"/>
      <c r="C50" s="38"/>
      <c r="D50" s="38"/>
      <c r="E50" s="38"/>
      <c r="F50" s="38"/>
      <c r="G50" s="38"/>
      <c r="H50" s="38"/>
      <c r="I50" s="38"/>
      <c r="J50" s="38"/>
      <c r="K50" s="38"/>
      <c r="L50" s="38"/>
    </row>
    <row r="51" spans="2:16" ht="15" customHeight="1">
      <c r="B51" s="38" t="s">
        <v>986</v>
      </c>
      <c r="C51" s="38"/>
      <c r="D51" s="38"/>
      <c r="E51" s="38"/>
      <c r="F51" s="38"/>
      <c r="G51" s="38"/>
      <c r="H51" s="38"/>
      <c r="I51" s="38"/>
      <c r="J51" s="38"/>
      <c r="K51" s="38"/>
      <c r="L51" s="38"/>
    </row>
    <row r="52" spans="2:16" ht="15" customHeight="1">
      <c r="B52" s="38"/>
      <c r="C52" s="38"/>
      <c r="D52" s="38"/>
      <c r="E52" s="38"/>
      <c r="F52" s="38"/>
      <c r="G52" s="38"/>
      <c r="H52" s="38"/>
      <c r="I52" s="38"/>
      <c r="J52" s="38"/>
      <c r="K52" s="38"/>
      <c r="L52" s="38"/>
    </row>
  </sheetData>
  <mergeCells count="38">
    <mergeCell ref="B23:B45"/>
    <mergeCell ref="N23:N45"/>
    <mergeCell ref="B46:B48"/>
    <mergeCell ref="N46:N48"/>
    <mergeCell ref="C24:C29"/>
    <mergeCell ref="D24:D29"/>
    <mergeCell ref="M24:M29"/>
    <mergeCell ref="C30:C34"/>
    <mergeCell ref="D30:D34"/>
    <mergeCell ref="M30:M34"/>
    <mergeCell ref="C35:C42"/>
    <mergeCell ref="D35:D42"/>
    <mergeCell ref="M35:M42"/>
    <mergeCell ref="B10:B13"/>
    <mergeCell ref="N10:N13"/>
    <mergeCell ref="B14:B16"/>
    <mergeCell ref="N14:N16"/>
    <mergeCell ref="B17:B22"/>
    <mergeCell ref="N17:N22"/>
    <mergeCell ref="D10:D11"/>
    <mergeCell ref="C10:C11"/>
    <mergeCell ref="M10:M11"/>
    <mergeCell ref="C17:C18"/>
    <mergeCell ref="D17:D18"/>
    <mergeCell ref="M17:M18"/>
    <mergeCell ref="C19:C20"/>
    <mergeCell ref="D19:D20"/>
    <mergeCell ref="M19:M20"/>
    <mergeCell ref="C2:N2"/>
    <mergeCell ref="B7:N7"/>
    <mergeCell ref="B8:B9"/>
    <mergeCell ref="C8:C9"/>
    <mergeCell ref="M8:M9"/>
    <mergeCell ref="N8:N9"/>
    <mergeCell ref="D8:D9"/>
    <mergeCell ref="E8:H8"/>
    <mergeCell ref="I8:K8"/>
    <mergeCell ref="L8:L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S101"/>
  <sheetViews>
    <sheetView showGridLines="0" topLeftCell="C5" zoomScale="55" zoomScaleNormal="55" workbookViewId="0">
      <pane xSplit="7" ySplit="4" topLeftCell="BI87" activePane="bottomRight" state="frozen"/>
      <selection activeCell="C7" sqref="C7:G19"/>
      <selection pane="topRight" activeCell="C7" sqref="C7:G19"/>
      <selection pane="bottomLeft" activeCell="C7" sqref="C7:G19"/>
      <selection pane="bottomRight" activeCell="C7" sqref="C7:G19"/>
    </sheetView>
  </sheetViews>
  <sheetFormatPr baseColWidth="10" defaultColWidth="17.33203125" defaultRowHeight="15"/>
  <cols>
    <col min="1" max="1" width="4.33203125" style="1" customWidth="1"/>
    <col min="2" max="2" width="50.44140625" style="3" customWidth="1"/>
    <col min="3" max="3" width="55.109375" style="3" customWidth="1"/>
    <col min="4" max="4" width="36.33203125" style="3" customWidth="1"/>
    <col min="5" max="5" width="29.44140625" style="5" customWidth="1"/>
    <col min="6" max="6" width="37.5546875" style="5" hidden="1" customWidth="1"/>
    <col min="7" max="7" width="60.44140625" style="5" hidden="1" customWidth="1"/>
    <col min="8" max="8" width="52.88671875" style="3" customWidth="1"/>
    <col min="9" max="9" width="25.44140625" style="5"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165" customWidth="1"/>
    <col min="27" max="48" width="23.33203125" style="165" customWidth="1"/>
    <col min="49" max="49" width="25.5546875" style="165" customWidth="1"/>
    <col min="50" max="60" width="23.33203125" style="165" hidden="1" customWidth="1"/>
    <col min="61" max="61" width="30.33203125" style="165" customWidth="1"/>
    <col min="62" max="63" width="34.6640625" style="165" customWidth="1"/>
    <col min="64" max="64" width="36.6640625" style="165" customWidth="1"/>
    <col min="65" max="65" width="38.6640625" style="165" customWidth="1"/>
    <col min="66" max="69" width="38.6640625" style="1" customWidth="1"/>
    <col min="70" max="16384" width="17.33203125" style="1"/>
  </cols>
  <sheetData>
    <row r="1" spans="2:71" ht="15" customHeight="1" thickBot="1"/>
    <row r="2" spans="2:71" ht="95.4" customHeight="1" thickBot="1">
      <c r="B2" s="655" t="s">
        <v>658</v>
      </c>
      <c r="C2" s="1101" t="s">
        <v>922</v>
      </c>
      <c r="D2" s="1102"/>
      <c r="E2" s="1102"/>
      <c r="F2" s="1102"/>
      <c r="G2" s="1102"/>
      <c r="H2" s="1102"/>
      <c r="I2" s="1102"/>
      <c r="J2" s="1102"/>
      <c r="K2" s="1102"/>
      <c r="L2" s="1103"/>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588"/>
      <c r="BP2" s="588"/>
      <c r="BQ2" s="588"/>
      <c r="BR2" s="12"/>
      <c r="BS2" s="12"/>
    </row>
    <row r="3" spans="2:71" ht="14.25" customHeight="1" thickBot="1">
      <c r="B3" s="2"/>
      <c r="C3" s="2"/>
      <c r="D3" s="2"/>
      <c r="E3" s="4"/>
      <c r="F3" s="4"/>
      <c r="G3" s="4"/>
      <c r="H3" s="2"/>
      <c r="I3" s="4"/>
      <c r="J3" s="4"/>
      <c r="K3" s="2"/>
      <c r="L3" s="2"/>
      <c r="M3" s="2"/>
      <c r="N3" s="2"/>
      <c r="O3" s="2"/>
      <c r="P3" s="2"/>
      <c r="Q3" s="2"/>
      <c r="R3" s="2"/>
      <c r="S3" s="2"/>
      <c r="T3" s="2"/>
      <c r="U3" s="2"/>
      <c r="V3" s="2"/>
      <c r="W3" s="2"/>
      <c r="X3" s="2"/>
      <c r="Y3" s="2"/>
    </row>
    <row r="4" spans="2:71" ht="32.4" customHeight="1" thickBot="1">
      <c r="B4" s="266" t="s">
        <v>667</v>
      </c>
      <c r="C4" s="265" t="s">
        <v>1171</v>
      </c>
      <c r="D4" s="264">
        <v>2023</v>
      </c>
      <c r="E4" s="536"/>
      <c r="F4" s="536"/>
      <c r="G4" s="536"/>
      <c r="H4" s="53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N4" s="267"/>
      <c r="AO4" s="267"/>
      <c r="AP4" s="267"/>
      <c r="AQ4" s="267"/>
      <c r="AR4" s="267"/>
      <c r="AS4" s="267"/>
      <c r="AT4" s="267"/>
      <c r="AU4" s="267"/>
      <c r="AV4" s="267"/>
      <c r="AW4" s="267"/>
      <c r="AX4" s="267"/>
      <c r="AY4" s="267"/>
      <c r="AZ4" s="267"/>
      <c r="BA4" s="267"/>
      <c r="BB4" s="267"/>
      <c r="BC4" s="267"/>
      <c r="BD4" s="267"/>
      <c r="BE4" s="267"/>
      <c r="BF4" s="267"/>
      <c r="BG4" s="267"/>
      <c r="BH4" s="267"/>
      <c r="BI4" s="959"/>
      <c r="BJ4" s="267"/>
      <c r="BK4" s="267"/>
      <c r="BL4" s="267"/>
      <c r="BM4" s="267"/>
      <c r="BN4" s="267"/>
      <c r="BO4" s="267"/>
      <c r="BP4" s="267"/>
      <c r="BQ4" s="267"/>
    </row>
    <row r="5" spans="2:71" ht="14.25" customHeight="1">
      <c r="B5" s="2"/>
      <c r="C5" s="2"/>
      <c r="D5" s="2"/>
      <c r="E5" s="4"/>
      <c r="F5" s="4"/>
      <c r="G5" s="4"/>
      <c r="H5" s="2"/>
      <c r="I5" s="4"/>
      <c r="J5" s="4"/>
      <c r="K5" s="2"/>
      <c r="L5" s="2"/>
      <c r="M5" s="2"/>
      <c r="N5" s="2"/>
      <c r="O5" s="2"/>
      <c r="P5" s="2"/>
      <c r="Q5" s="2"/>
      <c r="R5" s="2"/>
      <c r="S5" s="2"/>
      <c r="T5" s="2"/>
      <c r="U5" s="2"/>
      <c r="V5" s="2"/>
      <c r="W5" s="2"/>
      <c r="X5" s="2"/>
      <c r="Y5" s="2"/>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12"/>
      <c r="BO5" s="12"/>
      <c r="BP5" s="12"/>
      <c r="BQ5" s="12"/>
    </row>
    <row r="6" spans="2:71" ht="52.2" customHeight="1">
      <c r="B6" s="1140" t="s">
        <v>0</v>
      </c>
      <c r="C6" s="1140" t="s">
        <v>52</v>
      </c>
      <c r="D6" s="1141" t="s">
        <v>888</v>
      </c>
      <c r="E6" s="1142" t="s">
        <v>889</v>
      </c>
      <c r="F6" s="1140" t="s">
        <v>890</v>
      </c>
      <c r="G6" s="1142" t="s">
        <v>891</v>
      </c>
      <c r="H6" s="1140" t="s">
        <v>54</v>
      </c>
      <c r="I6" s="1145" t="s">
        <v>55</v>
      </c>
      <c r="J6" s="1140" t="s">
        <v>56</v>
      </c>
      <c r="K6" s="1140" t="s">
        <v>41</v>
      </c>
      <c r="L6" s="1140" t="s">
        <v>42</v>
      </c>
      <c r="M6" s="1170" t="s">
        <v>75</v>
      </c>
      <c r="N6" s="1170"/>
      <c r="O6" s="1170"/>
      <c r="P6" s="1170"/>
      <c r="Q6" s="1154">
        <v>2021</v>
      </c>
      <c r="R6" s="1155"/>
      <c r="S6" s="1155"/>
      <c r="T6" s="1155"/>
      <c r="U6" s="1155"/>
      <c r="V6" s="1155"/>
      <c r="W6" s="1155"/>
      <c r="X6" s="1155"/>
      <c r="Y6" s="1155"/>
      <c r="Z6" s="1155"/>
      <c r="AA6" s="1156"/>
      <c r="AB6" s="1154">
        <v>2022</v>
      </c>
      <c r="AC6" s="1155"/>
      <c r="AD6" s="1155"/>
      <c r="AE6" s="1155"/>
      <c r="AF6" s="1155"/>
      <c r="AG6" s="1155"/>
      <c r="AH6" s="1155"/>
      <c r="AI6" s="1155"/>
      <c r="AJ6" s="1155"/>
      <c r="AK6" s="1155"/>
      <c r="AL6" s="1156"/>
      <c r="AM6" s="1163">
        <v>2023</v>
      </c>
      <c r="AN6" s="1164"/>
      <c r="AO6" s="1164"/>
      <c r="AP6" s="1164"/>
      <c r="AQ6" s="1164"/>
      <c r="AR6" s="1164"/>
      <c r="AS6" s="1164"/>
      <c r="AT6" s="1164"/>
      <c r="AU6" s="1164"/>
      <c r="AV6" s="1164"/>
      <c r="AW6" s="1164"/>
      <c r="AX6" s="1163">
        <v>2024</v>
      </c>
      <c r="AY6" s="1164"/>
      <c r="AZ6" s="1164"/>
      <c r="BA6" s="1164"/>
      <c r="BB6" s="1164"/>
      <c r="BC6" s="1164"/>
      <c r="BD6" s="1164"/>
      <c r="BE6" s="1164"/>
      <c r="BF6" s="1164"/>
      <c r="BG6" s="1164"/>
      <c r="BH6" s="1165"/>
      <c r="BI6" s="1172" t="s">
        <v>663</v>
      </c>
      <c r="BJ6" s="1173"/>
      <c r="BK6" s="1173"/>
      <c r="BL6" s="1173"/>
      <c r="BM6" s="1173"/>
      <c r="BN6" s="1173"/>
      <c r="BO6" s="1174"/>
      <c r="BP6" s="603"/>
      <c r="BQ6" s="603"/>
    </row>
    <row r="7" spans="2:71" ht="59.4" customHeight="1">
      <c r="B7" s="1140"/>
      <c r="C7" s="1140"/>
      <c r="D7" s="1141"/>
      <c r="E7" s="1143"/>
      <c r="F7" s="1140"/>
      <c r="G7" s="1143"/>
      <c r="H7" s="1140"/>
      <c r="I7" s="1146"/>
      <c r="J7" s="1140"/>
      <c r="K7" s="1140"/>
      <c r="L7" s="1140"/>
      <c r="M7" s="411" t="s">
        <v>59</v>
      </c>
      <c r="N7" s="411" t="s">
        <v>59</v>
      </c>
      <c r="O7" s="411" t="s">
        <v>59</v>
      </c>
      <c r="P7" s="411" t="s">
        <v>59</v>
      </c>
      <c r="Q7" s="1157" t="s">
        <v>21</v>
      </c>
      <c r="R7" s="1158"/>
      <c r="S7" s="1157" t="s">
        <v>22</v>
      </c>
      <c r="T7" s="1158"/>
      <c r="U7" s="1157" t="s">
        <v>23</v>
      </c>
      <c r="V7" s="1158"/>
      <c r="W7" s="1157" t="s">
        <v>24</v>
      </c>
      <c r="X7" s="1158"/>
      <c r="Y7" s="1166" t="s">
        <v>665</v>
      </c>
      <c r="Z7" s="1166" t="s">
        <v>661</v>
      </c>
      <c r="AA7" s="1168" t="s">
        <v>887</v>
      </c>
      <c r="AB7" s="1157" t="s">
        <v>21</v>
      </c>
      <c r="AC7" s="1158"/>
      <c r="AD7" s="1157" t="s">
        <v>22</v>
      </c>
      <c r="AE7" s="1158"/>
      <c r="AF7" s="1157" t="s">
        <v>23</v>
      </c>
      <c r="AG7" s="1158"/>
      <c r="AH7" s="1157" t="s">
        <v>24</v>
      </c>
      <c r="AI7" s="1158"/>
      <c r="AJ7" s="1166" t="s">
        <v>665</v>
      </c>
      <c r="AK7" s="1166" t="s">
        <v>661</v>
      </c>
      <c r="AL7" s="1168" t="s">
        <v>887</v>
      </c>
      <c r="AM7" s="1159" t="s">
        <v>21</v>
      </c>
      <c r="AN7" s="1160"/>
      <c r="AO7" s="1159" t="s">
        <v>22</v>
      </c>
      <c r="AP7" s="1160"/>
      <c r="AQ7" s="1159" t="s">
        <v>23</v>
      </c>
      <c r="AR7" s="1160"/>
      <c r="AS7" s="1159" t="s">
        <v>24</v>
      </c>
      <c r="AT7" s="1160"/>
      <c r="AU7" s="1161" t="s">
        <v>665</v>
      </c>
      <c r="AV7" s="1161" t="s">
        <v>661</v>
      </c>
      <c r="AW7" s="1161" t="s">
        <v>1075</v>
      </c>
      <c r="AX7" s="1159" t="s">
        <v>21</v>
      </c>
      <c r="AY7" s="1160"/>
      <c r="AZ7" s="1159" t="s">
        <v>22</v>
      </c>
      <c r="BA7" s="1160"/>
      <c r="BB7" s="1159" t="s">
        <v>23</v>
      </c>
      <c r="BC7" s="1160"/>
      <c r="BD7" s="1159" t="s">
        <v>24</v>
      </c>
      <c r="BE7" s="1160"/>
      <c r="BF7" s="1161" t="s">
        <v>665</v>
      </c>
      <c r="BG7" s="1161" t="s">
        <v>661</v>
      </c>
      <c r="BH7" s="1161" t="s">
        <v>892</v>
      </c>
      <c r="BI7" s="1180" t="s">
        <v>933</v>
      </c>
      <c r="BJ7" s="1181"/>
      <c r="BK7" s="592">
        <v>45107</v>
      </c>
      <c r="BL7" s="1051" t="s">
        <v>946</v>
      </c>
      <c r="BM7" s="1178" t="s">
        <v>662</v>
      </c>
      <c r="BN7" s="1051" t="s">
        <v>893</v>
      </c>
      <c r="BO7" s="1171" t="s">
        <v>947</v>
      </c>
      <c r="BP7" s="604"/>
      <c r="BQ7" s="604"/>
    </row>
    <row r="8" spans="2:71" ht="38.4" customHeight="1">
      <c r="B8" s="1140"/>
      <c r="C8" s="1140"/>
      <c r="D8" s="1141"/>
      <c r="E8" s="1144"/>
      <c r="F8" s="1140"/>
      <c r="G8" s="1144"/>
      <c r="H8" s="1140"/>
      <c r="I8" s="1147"/>
      <c r="J8" s="1140"/>
      <c r="K8" s="1140"/>
      <c r="L8" s="1140"/>
      <c r="M8" s="417">
        <v>2021</v>
      </c>
      <c r="N8" s="417">
        <v>2022</v>
      </c>
      <c r="O8" s="417">
        <v>2023</v>
      </c>
      <c r="P8" s="417">
        <v>2024</v>
      </c>
      <c r="Q8" s="410" t="s">
        <v>659</v>
      </c>
      <c r="R8" s="410" t="s">
        <v>660</v>
      </c>
      <c r="S8" s="410" t="s">
        <v>659</v>
      </c>
      <c r="T8" s="410" t="s">
        <v>660</v>
      </c>
      <c r="U8" s="410" t="s">
        <v>659</v>
      </c>
      <c r="V8" s="410" t="s">
        <v>660</v>
      </c>
      <c r="W8" s="410" t="s">
        <v>659</v>
      </c>
      <c r="X8" s="410" t="s">
        <v>660</v>
      </c>
      <c r="Y8" s="1167"/>
      <c r="Z8" s="1167"/>
      <c r="AA8" s="1169"/>
      <c r="AB8" s="918" t="s">
        <v>659</v>
      </c>
      <c r="AC8" s="918" t="s">
        <v>660</v>
      </c>
      <c r="AD8" s="918" t="s">
        <v>659</v>
      </c>
      <c r="AE8" s="918" t="s">
        <v>660</v>
      </c>
      <c r="AF8" s="918" t="s">
        <v>659</v>
      </c>
      <c r="AG8" s="918" t="s">
        <v>660</v>
      </c>
      <c r="AH8" s="918" t="s">
        <v>659</v>
      </c>
      <c r="AI8" s="918" t="s">
        <v>660</v>
      </c>
      <c r="AJ8" s="1167"/>
      <c r="AK8" s="1167"/>
      <c r="AL8" s="1169"/>
      <c r="AM8" s="506" t="s">
        <v>659</v>
      </c>
      <c r="AN8" s="506" t="s">
        <v>660</v>
      </c>
      <c r="AO8" s="506" t="s">
        <v>659</v>
      </c>
      <c r="AP8" s="506" t="s">
        <v>660</v>
      </c>
      <c r="AQ8" s="506" t="s">
        <v>659</v>
      </c>
      <c r="AR8" s="506" t="s">
        <v>660</v>
      </c>
      <c r="AS8" s="506" t="s">
        <v>659</v>
      </c>
      <c r="AT8" s="506" t="s">
        <v>660</v>
      </c>
      <c r="AU8" s="1162"/>
      <c r="AV8" s="1162"/>
      <c r="AW8" s="1162"/>
      <c r="AX8" s="506" t="s">
        <v>659</v>
      </c>
      <c r="AY8" s="506" t="s">
        <v>660</v>
      </c>
      <c r="AZ8" s="506" t="s">
        <v>659</v>
      </c>
      <c r="BA8" s="506" t="s">
        <v>660</v>
      </c>
      <c r="BB8" s="506" t="s">
        <v>659</v>
      </c>
      <c r="BC8" s="506" t="s">
        <v>660</v>
      </c>
      <c r="BD8" s="506" t="s">
        <v>659</v>
      </c>
      <c r="BE8" s="506" t="s">
        <v>660</v>
      </c>
      <c r="BF8" s="1162"/>
      <c r="BG8" s="1162"/>
      <c r="BH8" s="1162"/>
      <c r="BI8" s="779" t="s">
        <v>17</v>
      </c>
      <c r="BJ8" s="617" t="s">
        <v>18</v>
      </c>
      <c r="BK8" s="618" t="s">
        <v>934</v>
      </c>
      <c r="BL8" s="1052"/>
      <c r="BM8" s="1179"/>
      <c r="BN8" s="1052"/>
      <c r="BO8" s="1171"/>
      <c r="BP8" s="604"/>
      <c r="BQ8" s="604"/>
    </row>
    <row r="9" spans="2:71" ht="103.5" customHeight="1">
      <c r="B9" s="1011"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071" t="str">
        <f>+'Matriz PEI 2021-2024'!C10</f>
        <v>1.1. Realizar 914.879 acciones que promuevan la defensa, garantía y restablecimiento de los derechos de las personas en el Distrito Capital.</v>
      </c>
      <c r="D9" s="1109">
        <f>+'Matriz PEI 2021-2024'!E10</f>
        <v>914879</v>
      </c>
      <c r="E9" s="1080">
        <f>+'Matriz PEI 2021-2024'!D10</f>
        <v>0.7</v>
      </c>
      <c r="F9" s="1079" t="s">
        <v>942</v>
      </c>
      <c r="G9" s="1079" t="s">
        <v>944</v>
      </c>
      <c r="H9" s="28" t="str">
        <f>+'1.Informe Seguimiento POA 2023'!D13</f>
        <v>1.1.1 Realizar 373.106 intervenciones dentro del ejercicio del Ministerio Público para prevenir la vulneración de derechos y/o lograr el  restablecimiento de los mismos.</v>
      </c>
      <c r="I9" s="569">
        <f>+'1.Informe Seguimiento POA 2023'!E13</f>
        <v>0.38</v>
      </c>
      <c r="J9" s="58">
        <f>+'1.Informe Seguimiento POA 2023'!F13</f>
        <v>373106</v>
      </c>
      <c r="K9" s="573" t="str">
        <f>+'1.Informe Seguimiento POA 2023'!I13</f>
        <v>Promoción y Defensa de Derechos</v>
      </c>
      <c r="L9" s="573" t="str">
        <f>+'1.Informe Seguimiento POA 2023'!J13</f>
        <v>P.D. para Asuntos Penales I, Penales II, Derechos Humanos y Policivos y Civiles
P.D. para los Sectores Planeación y Movilidad y la P.D. para los Sectores Educación y Cultura, Recreación y Deporte</v>
      </c>
      <c r="M9" s="507">
        <f>+'1.Informe Seguimiento POA 2023'!K13</f>
        <v>102450</v>
      </c>
      <c r="N9" s="507">
        <f>+'1.Informe Seguimiento POA 2023'!L13</f>
        <v>106660</v>
      </c>
      <c r="O9" s="507">
        <f>+'1.Informe Seguimiento POA 2023'!M13</f>
        <v>114746</v>
      </c>
      <c r="P9" s="507">
        <f>+'1.Informe Seguimiento POA 2023'!N13</f>
        <v>49250</v>
      </c>
      <c r="Q9" s="256">
        <v>22050</v>
      </c>
      <c r="R9" s="256">
        <v>29988</v>
      </c>
      <c r="S9" s="256">
        <v>27075</v>
      </c>
      <c r="T9" s="256">
        <v>30354</v>
      </c>
      <c r="U9" s="256">
        <v>28635</v>
      </c>
      <c r="V9" s="256">
        <v>36860</v>
      </c>
      <c r="W9" s="256">
        <v>24690</v>
      </c>
      <c r="X9" s="256">
        <v>30952</v>
      </c>
      <c r="Y9" s="256">
        <v>102450</v>
      </c>
      <c r="Z9" s="256">
        <v>128154</v>
      </c>
      <c r="AA9" s="765">
        <v>1.2508931185944363</v>
      </c>
      <c r="AB9" s="256">
        <v>25305</v>
      </c>
      <c r="AC9" s="256">
        <v>29145</v>
      </c>
      <c r="AD9" s="256">
        <v>28020</v>
      </c>
      <c r="AE9" s="256">
        <v>33363</v>
      </c>
      <c r="AF9" s="256">
        <v>28020</v>
      </c>
      <c r="AG9" s="256">
        <v>36093</v>
      </c>
      <c r="AH9" s="256">
        <v>25315</v>
      </c>
      <c r="AI9" s="256">
        <v>31463</v>
      </c>
      <c r="AJ9" s="256">
        <v>106660</v>
      </c>
      <c r="AK9" s="256">
        <v>130064</v>
      </c>
      <c r="AL9" s="765">
        <v>1.2194262141383836</v>
      </c>
      <c r="AM9" s="256">
        <f>+'1.Informe Seguimiento POA 2023'!O13</f>
        <v>27678</v>
      </c>
      <c r="AN9" s="256">
        <f>+'1.Informe Seguimiento POA 2023'!P13</f>
        <v>35504</v>
      </c>
      <c r="AO9" s="256">
        <f>+'1.Informe Seguimiento POA 2023'!Q13</f>
        <v>30819</v>
      </c>
      <c r="AP9" s="256">
        <f>+'1.Informe Seguimiento POA 2023'!R13</f>
        <v>31739</v>
      </c>
      <c r="AQ9" s="256">
        <f>+'1.Informe Seguimiento POA 2023'!S13</f>
        <v>29500</v>
      </c>
      <c r="AR9" s="256">
        <f>+'1.Informe Seguimiento POA 2023'!T13</f>
        <v>0</v>
      </c>
      <c r="AS9" s="256">
        <f>+'1.Informe Seguimiento POA 2023'!U13</f>
        <v>26749</v>
      </c>
      <c r="AT9" s="256">
        <f>+'1.Informe Seguimiento POA 2023'!V13</f>
        <v>0</v>
      </c>
      <c r="AU9" s="256">
        <f>+'1.Informe Seguimiento POA 2023'!W13</f>
        <v>114746</v>
      </c>
      <c r="AV9" s="256">
        <f>+'1.Informe Seguimiento POA 2023'!X13</f>
        <v>67243</v>
      </c>
      <c r="AW9" s="576">
        <f>+'1.Informe Seguimiento POA 2023'!Y13</f>
        <v>0.58601607027695957</v>
      </c>
      <c r="AX9" s="508"/>
      <c r="AY9" s="508"/>
      <c r="AZ9" s="508"/>
      <c r="BA9" s="508"/>
      <c r="BB9" s="508"/>
      <c r="BC9" s="508"/>
      <c r="BD9" s="508"/>
      <c r="BE9" s="508"/>
      <c r="BF9" s="256">
        <f t="shared" ref="BF9:BF40" si="0">+P9</f>
        <v>49250</v>
      </c>
      <c r="BG9" s="256"/>
      <c r="BH9" s="508"/>
      <c r="BI9" s="256">
        <f>+Q9+S9+U9+W9+AM9+AO9+AB9+AD9+AF9+AH9</f>
        <v>267607</v>
      </c>
      <c r="BJ9" s="256">
        <f>+R9+T9+V9+X9+AN9+AP9+AC9+AE9+AG9+AI9</f>
        <v>325461</v>
      </c>
      <c r="BK9" s="508">
        <f>IF(AND(BI9&gt;0),BJ9/BI9,"No programado")</f>
        <v>1.2161901594502387</v>
      </c>
      <c r="BL9" s="508">
        <f>IF(AND(BJ9&gt;0,$J9&gt;0),BJ9/$J9,0)</f>
        <v>0.87230170514545469</v>
      </c>
      <c r="BM9" s="785">
        <f t="shared" ref="BM9:BM40" si="1">IF(AND(BL9&gt;0,I9&gt;0),BL9*I9,0)</f>
        <v>0.33147464795527276</v>
      </c>
      <c r="BN9" s="1095">
        <f>SUM(BM9:BM19)</f>
        <v>0.86438161553529169</v>
      </c>
      <c r="BO9" s="1053">
        <f>(IF(AND(BN9&gt;0,E9&gt;0),BN9*E9))+(IF(AND(BN20&gt;0,E20&gt;0),BN20*E20))+(IF(AND(BN26&gt;0,E26&gt;0),BN26*E26))</f>
        <v>0.85650394894571669</v>
      </c>
      <c r="BP9" s="605"/>
      <c r="BQ9" s="605"/>
    </row>
    <row r="10" spans="2:71" ht="133.19999999999999" customHeight="1">
      <c r="B10" s="1012"/>
      <c r="C10" s="1077"/>
      <c r="D10" s="1117"/>
      <c r="E10" s="1081"/>
      <c r="F10" s="1079"/>
      <c r="G10" s="1079"/>
      <c r="H10" s="28" t="str">
        <f>+'1.Informe Seguimiento POA 2023'!D14</f>
        <v>1.1.2 Orientar 317.663 personas en garantía de derechos.</v>
      </c>
      <c r="I10" s="569">
        <f>+'1.Informe Seguimiento POA 2023'!E14</f>
        <v>0.3</v>
      </c>
      <c r="J10" s="58">
        <f>+'1.Informe Seguimiento POA 2023'!F14</f>
        <v>317663</v>
      </c>
      <c r="K10" s="573" t="str">
        <f>+'1.Informe Seguimiento POA 2023'!I14</f>
        <v>Promoción y Defensa de Derechos</v>
      </c>
      <c r="L10" s="573" t="str">
        <f>+'1.Informe Seguimiento POA 2023'!J14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507">
        <f>+'1.Informe Seguimiento POA 2023'!K14</f>
        <v>78750</v>
      </c>
      <c r="N10" s="507">
        <f>+'1.Informe Seguimiento POA 2023'!L14</f>
        <v>97105</v>
      </c>
      <c r="O10" s="507">
        <f>+'1.Informe Seguimiento POA 2023'!M14</f>
        <v>101508</v>
      </c>
      <c r="P10" s="507">
        <f>+'1.Informe Seguimiento POA 2023'!N14</f>
        <v>40300</v>
      </c>
      <c r="Q10" s="256">
        <v>17420</v>
      </c>
      <c r="R10" s="256">
        <v>17308</v>
      </c>
      <c r="S10" s="256">
        <v>19380</v>
      </c>
      <c r="T10" s="256">
        <v>18431</v>
      </c>
      <c r="U10" s="256">
        <v>20444</v>
      </c>
      <c r="V10" s="256">
        <v>28295</v>
      </c>
      <c r="W10" s="256">
        <v>21506</v>
      </c>
      <c r="X10" s="256">
        <v>32130</v>
      </c>
      <c r="Y10" s="256">
        <v>78750</v>
      </c>
      <c r="Z10" s="256">
        <v>96164</v>
      </c>
      <c r="AA10" s="765">
        <v>1.2211301587301586</v>
      </c>
      <c r="AB10" s="256">
        <v>21621</v>
      </c>
      <c r="AC10" s="256">
        <v>26507</v>
      </c>
      <c r="AD10" s="256">
        <v>25997</v>
      </c>
      <c r="AE10" s="256">
        <v>27698</v>
      </c>
      <c r="AF10" s="256">
        <v>26645</v>
      </c>
      <c r="AG10" s="256">
        <v>30355</v>
      </c>
      <c r="AH10" s="256">
        <v>22842</v>
      </c>
      <c r="AI10" s="256">
        <v>29076</v>
      </c>
      <c r="AJ10" s="256">
        <v>97105</v>
      </c>
      <c r="AK10" s="256">
        <v>113636</v>
      </c>
      <c r="AL10" s="765">
        <v>1.170238401730086</v>
      </c>
      <c r="AM10" s="256">
        <f>+'1.Informe Seguimiento POA 2023'!O14</f>
        <v>22597</v>
      </c>
      <c r="AN10" s="256">
        <f>+'1.Informe Seguimiento POA 2023'!P14</f>
        <v>28592</v>
      </c>
      <c r="AO10" s="256">
        <f>+'1.Informe Seguimiento POA 2023'!Q14</f>
        <v>27765</v>
      </c>
      <c r="AP10" s="256">
        <f>+'1.Informe Seguimiento POA 2023'!R14</f>
        <v>31929</v>
      </c>
      <c r="AQ10" s="256">
        <f>+'1.Informe Seguimiento POA 2023'!S14</f>
        <v>28298</v>
      </c>
      <c r="AR10" s="256">
        <f>+'1.Informe Seguimiento POA 2023'!T14</f>
        <v>0</v>
      </c>
      <c r="AS10" s="256">
        <f>+'1.Informe Seguimiento POA 2023'!U14</f>
        <v>22848</v>
      </c>
      <c r="AT10" s="256">
        <f>+'1.Informe Seguimiento POA 2023'!V14</f>
        <v>0</v>
      </c>
      <c r="AU10" s="256">
        <f>+'1.Informe Seguimiento POA 2023'!W14</f>
        <v>101508</v>
      </c>
      <c r="AV10" s="256">
        <f>+'1.Informe Seguimiento POA 2023'!X14</f>
        <v>60521</v>
      </c>
      <c r="AW10" s="576">
        <f>+'1.Informe Seguimiento POA 2023'!Y14</f>
        <v>0.59621901722031756</v>
      </c>
      <c r="AX10" s="508"/>
      <c r="AY10" s="508"/>
      <c r="AZ10" s="508"/>
      <c r="BA10" s="508"/>
      <c r="BB10" s="508"/>
      <c r="BC10" s="508"/>
      <c r="BD10" s="508"/>
      <c r="BE10" s="508"/>
      <c r="BF10" s="256">
        <f t="shared" si="0"/>
        <v>40300</v>
      </c>
      <c r="BG10" s="256"/>
      <c r="BH10" s="508"/>
      <c r="BI10" s="256">
        <f t="shared" ref="BI10:BI11" si="2">+Q10+S10+U10+W10+AM10+AO10+AB10+AD10+AF10+AH10</f>
        <v>226217</v>
      </c>
      <c r="BJ10" s="256">
        <f t="shared" ref="BJ10:BJ11" si="3">+R10+T10+V10+X10+AN10+AP10+AC10+AE10+AG10+AI10</f>
        <v>270321</v>
      </c>
      <c r="BK10" s="508">
        <f t="shared" ref="BK10:BK26" si="4">IF(AND(BI10&gt;0),BJ10/BI10,"No programado")</f>
        <v>1.1949632432575801</v>
      </c>
      <c r="BL10" s="508">
        <f t="shared" ref="BL10:BL56" si="5">IF(AND(BJ10&gt;0,$J10&gt;0),BJ10/$J10,0)</f>
        <v>0.8509678495764379</v>
      </c>
      <c r="BM10" s="785">
        <f t="shared" si="1"/>
        <v>0.25529035487293134</v>
      </c>
      <c r="BN10" s="1005"/>
      <c r="BO10" s="1053"/>
      <c r="BP10" s="605"/>
      <c r="BQ10" s="605"/>
    </row>
    <row r="11" spans="2:71" ht="185.25" customHeight="1">
      <c r="B11" s="1012"/>
      <c r="C11" s="1077"/>
      <c r="D11" s="1117"/>
      <c r="E11" s="1081"/>
      <c r="F11" s="1079"/>
      <c r="G11" s="1079"/>
      <c r="H11" s="28" t="str">
        <f>+'1.Informe Seguimiento POA 2023'!D15</f>
        <v>1.1.3 Asistir 111.931 personas en garantía de derechos.</v>
      </c>
      <c r="I11" s="569">
        <f>+'1.Informe Seguimiento POA 2023'!E15</f>
        <v>0.15</v>
      </c>
      <c r="J11" s="58">
        <f>+'1.Informe Seguimiento POA 2023'!F15</f>
        <v>111931</v>
      </c>
      <c r="K11" s="573" t="str">
        <f>+'1.Informe Seguimiento POA 2023'!I15</f>
        <v>Promoción y Defensa de Derechos</v>
      </c>
      <c r="L11" s="573" t="str">
        <f>+'1.Informe Seguimiento POA 2023'!J15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507">
        <f>+'1.Informe Seguimiento POA 2023'!K15</f>
        <v>28695</v>
      </c>
      <c r="N11" s="507">
        <f>+'1.Informe Seguimiento POA 2023'!L15</f>
        <v>26115</v>
      </c>
      <c r="O11" s="507">
        <f>+'1.Informe Seguimiento POA 2023'!M15</f>
        <v>33521</v>
      </c>
      <c r="P11" s="507">
        <f>+'1.Informe Seguimiento POA 2023'!N15</f>
        <v>23600</v>
      </c>
      <c r="Q11" s="256">
        <v>8750</v>
      </c>
      <c r="R11" s="256">
        <v>4414</v>
      </c>
      <c r="S11" s="256">
        <v>10350</v>
      </c>
      <c r="T11" s="256">
        <v>6018</v>
      </c>
      <c r="U11" s="256">
        <v>6260</v>
      </c>
      <c r="V11" s="256">
        <v>8637</v>
      </c>
      <c r="W11" s="256">
        <v>3335</v>
      </c>
      <c r="X11" s="256">
        <v>11029</v>
      </c>
      <c r="Y11" s="256">
        <v>28695</v>
      </c>
      <c r="Z11" s="256">
        <v>30098</v>
      </c>
      <c r="AA11" s="765">
        <v>1.0488935354591393</v>
      </c>
      <c r="AB11" s="256">
        <v>6670</v>
      </c>
      <c r="AC11" s="256">
        <v>9518</v>
      </c>
      <c r="AD11" s="256">
        <v>8165</v>
      </c>
      <c r="AE11" s="256">
        <v>10298</v>
      </c>
      <c r="AF11" s="256">
        <v>6765</v>
      </c>
      <c r="AG11" s="256">
        <v>10102</v>
      </c>
      <c r="AH11" s="256">
        <v>4515</v>
      </c>
      <c r="AI11" s="256">
        <v>10654</v>
      </c>
      <c r="AJ11" s="256">
        <v>26115</v>
      </c>
      <c r="AK11" s="256">
        <v>40572</v>
      </c>
      <c r="AL11" s="765">
        <v>1.5535898908673176</v>
      </c>
      <c r="AM11" s="256">
        <f>+'1.Informe Seguimiento POA 2023'!O15</f>
        <v>8374</v>
      </c>
      <c r="AN11" s="256">
        <f>+'1.Informe Seguimiento POA 2023'!P15</f>
        <v>9857</v>
      </c>
      <c r="AO11" s="256">
        <f>+'1.Informe Seguimiento POA 2023'!Q15</f>
        <v>9237</v>
      </c>
      <c r="AP11" s="256">
        <f>+'1.Informe Seguimiento POA 2023'!R15</f>
        <v>10828</v>
      </c>
      <c r="AQ11" s="256">
        <f>+'1.Informe Seguimiento POA 2023'!S15</f>
        <v>9559</v>
      </c>
      <c r="AR11" s="256">
        <f>+'1.Informe Seguimiento POA 2023'!T15</f>
        <v>0</v>
      </c>
      <c r="AS11" s="256">
        <f>+'1.Informe Seguimiento POA 2023'!U15</f>
        <v>6351</v>
      </c>
      <c r="AT11" s="256">
        <f>+'1.Informe Seguimiento POA 2023'!V15</f>
        <v>0</v>
      </c>
      <c r="AU11" s="256">
        <f>+'1.Informe Seguimiento POA 2023'!W15</f>
        <v>33521</v>
      </c>
      <c r="AV11" s="256">
        <f>+'1.Informe Seguimiento POA 2023'!X15</f>
        <v>20685</v>
      </c>
      <c r="AW11" s="576">
        <f>+'1.Informe Seguimiento POA 2023'!Y15</f>
        <v>0.61707586289191851</v>
      </c>
      <c r="AX11" s="508"/>
      <c r="AY11" s="508"/>
      <c r="AZ11" s="508"/>
      <c r="BA11" s="508"/>
      <c r="BB11" s="508"/>
      <c r="BC11" s="508"/>
      <c r="BD11" s="508"/>
      <c r="BE11" s="508"/>
      <c r="BF11" s="256">
        <f t="shared" si="0"/>
        <v>23600</v>
      </c>
      <c r="BG11" s="256"/>
      <c r="BH11" s="508"/>
      <c r="BI11" s="256">
        <f t="shared" si="2"/>
        <v>72421</v>
      </c>
      <c r="BJ11" s="256">
        <f t="shared" si="3"/>
        <v>91355</v>
      </c>
      <c r="BK11" s="508">
        <f t="shared" si="4"/>
        <v>1.2614435039560348</v>
      </c>
      <c r="BL11" s="508">
        <f t="shared" si="5"/>
        <v>0.81617246339262584</v>
      </c>
      <c r="BM11" s="785">
        <f t="shared" si="1"/>
        <v>0.12242586950889386</v>
      </c>
      <c r="BN11" s="1005"/>
      <c r="BO11" s="1053"/>
      <c r="BP11" s="605"/>
      <c r="BQ11" s="605"/>
    </row>
    <row r="12" spans="2:71" ht="94.95" customHeight="1">
      <c r="B12" s="1012"/>
      <c r="C12" s="1077"/>
      <c r="D12" s="1117"/>
      <c r="E12" s="1081"/>
      <c r="F12" s="1079"/>
      <c r="G12" s="1079"/>
      <c r="H12" s="28" t="str">
        <f>+'1.Informe Seguimiento POA 2023'!D16</f>
        <v>1.1.4 Asistir a 27.767 personas en mecanismos alternativos de solución de conflictos.</v>
      </c>
      <c r="I12" s="569">
        <f>+'1.Informe Seguimiento POA 2023'!E16</f>
        <v>0.04</v>
      </c>
      <c r="J12" s="58">
        <f>+'1.Informe Seguimiento POA 2023'!F16</f>
        <v>27767</v>
      </c>
      <c r="K12" s="573" t="str">
        <f>+'1.Informe Seguimiento POA 2023'!I16</f>
        <v>Promoción y Defensa de Derechos</v>
      </c>
      <c r="L12" s="573" t="str">
        <f>+'1.Informe Seguimiento POA 2023'!J16</f>
        <v>Dirección de Conciliación y M.A.S.C.</v>
      </c>
      <c r="M12" s="507">
        <f>+'1.Informe Seguimiento POA 2023'!K16</f>
        <v>6810</v>
      </c>
      <c r="N12" s="507">
        <f>+'1.Informe Seguimiento POA 2023'!L16</f>
        <v>6900</v>
      </c>
      <c r="O12" s="507">
        <f>+'1.Informe Seguimiento POA 2023'!M16</f>
        <v>9681</v>
      </c>
      <c r="P12" s="507">
        <f>+'1.Informe Seguimiento POA 2023'!N16</f>
        <v>4376</v>
      </c>
      <c r="Q12" s="256">
        <v>2420</v>
      </c>
      <c r="R12" s="256">
        <v>1338</v>
      </c>
      <c r="S12" s="256">
        <v>2730</v>
      </c>
      <c r="T12" s="256">
        <v>1814</v>
      </c>
      <c r="U12" s="256">
        <v>1210</v>
      </c>
      <c r="V12" s="256">
        <v>2484</v>
      </c>
      <c r="W12" s="256">
        <v>450</v>
      </c>
      <c r="X12" s="256">
        <v>3080</v>
      </c>
      <c r="Y12" s="256">
        <v>6810</v>
      </c>
      <c r="Z12" s="256">
        <v>8716</v>
      </c>
      <c r="AA12" s="765">
        <v>1.2798825256975037</v>
      </c>
      <c r="AB12" s="256">
        <v>900</v>
      </c>
      <c r="AC12" s="256">
        <v>3289</v>
      </c>
      <c r="AD12" s="256">
        <v>1500</v>
      </c>
      <c r="AE12" s="256">
        <v>3199</v>
      </c>
      <c r="AF12" s="256">
        <v>2100</v>
      </c>
      <c r="AG12" s="256">
        <v>3709</v>
      </c>
      <c r="AH12" s="256">
        <v>2400</v>
      </c>
      <c r="AI12" s="256">
        <v>4344</v>
      </c>
      <c r="AJ12" s="256">
        <v>6900</v>
      </c>
      <c r="AK12" s="256">
        <v>14541</v>
      </c>
      <c r="AL12" s="765">
        <v>2.1073913043478263</v>
      </c>
      <c r="AM12" s="256">
        <f>+'1.Informe Seguimiento POA 2023'!O16</f>
        <v>1596</v>
      </c>
      <c r="AN12" s="256">
        <f>+'1.Informe Seguimiento POA 2023'!P16</f>
        <v>2984</v>
      </c>
      <c r="AO12" s="256">
        <f>+'1.Informe Seguimiento POA 2023'!Q16</f>
        <v>1894</v>
      </c>
      <c r="AP12" s="256">
        <f>+'1.Informe Seguimiento POA 2023'!R16</f>
        <v>3692</v>
      </c>
      <c r="AQ12" s="256">
        <f>+'1.Informe Seguimiento POA 2023'!S16</f>
        <v>3096</v>
      </c>
      <c r="AR12" s="256">
        <f>+'1.Informe Seguimiento POA 2023'!T16</f>
        <v>0</v>
      </c>
      <c r="AS12" s="256">
        <f>+'1.Informe Seguimiento POA 2023'!U16</f>
        <v>3095</v>
      </c>
      <c r="AT12" s="256">
        <f>+'1.Informe Seguimiento POA 2023'!V16</f>
        <v>0</v>
      </c>
      <c r="AU12" s="256">
        <f>+'1.Informe Seguimiento POA 2023'!W16</f>
        <v>9681</v>
      </c>
      <c r="AV12" s="256">
        <f>+'1.Informe Seguimiento POA 2023'!X16</f>
        <v>6676</v>
      </c>
      <c r="AW12" s="576">
        <f>+'1.Informe Seguimiento POA 2023'!Y16</f>
        <v>0.6895981820059911</v>
      </c>
      <c r="AX12" s="508"/>
      <c r="AY12" s="508"/>
      <c r="AZ12" s="508"/>
      <c r="BA12" s="508"/>
      <c r="BB12" s="508"/>
      <c r="BC12" s="508"/>
      <c r="BD12" s="508"/>
      <c r="BE12" s="508"/>
      <c r="BF12" s="256">
        <f t="shared" si="0"/>
        <v>4376</v>
      </c>
      <c r="BG12" s="256"/>
      <c r="BH12" s="508"/>
      <c r="BI12" s="256">
        <f>+Q12+S12+U12+W12+AM12+AO12+AB12+AD12+AF12+AH12</f>
        <v>17200</v>
      </c>
      <c r="BJ12" s="256">
        <f>+R12+T12+V12+X12+AN12+AP12+AC12+AE12+AG12+AI12</f>
        <v>29933</v>
      </c>
      <c r="BK12" s="508">
        <f t="shared" si="4"/>
        <v>1.7402906976744186</v>
      </c>
      <c r="BL12" s="508">
        <f t="shared" si="5"/>
        <v>1.0780062664313754</v>
      </c>
      <c r="BM12" s="785">
        <f t="shared" si="1"/>
        <v>4.312025065725502E-2</v>
      </c>
      <c r="BN12" s="1005"/>
      <c r="BO12" s="1053"/>
      <c r="BP12" s="605"/>
      <c r="BQ12" s="605"/>
    </row>
    <row r="13" spans="2:71" ht="165" customHeight="1">
      <c r="B13" s="1012"/>
      <c r="C13" s="1077"/>
      <c r="D13" s="1117"/>
      <c r="E13" s="1081"/>
      <c r="F13" s="1079"/>
      <c r="G13" s="1079"/>
      <c r="H13" s="28" t="str">
        <f>+'1.Informe Seguimiento POA 2023'!D17</f>
        <v>1.1.5 Atender y gestionar 53.992 peticiones y/o requerimientos presentados por la comunidad en garantía de derechos.</v>
      </c>
      <c r="I13" s="569">
        <f>+'1.Informe Seguimiento POA 2023'!E17</f>
        <v>0.06</v>
      </c>
      <c r="J13" s="58">
        <f>+'1.Informe Seguimiento POA 2023'!F17</f>
        <v>53992</v>
      </c>
      <c r="K13" s="573" t="str">
        <f>+'1.Informe Seguimiento POA 2023'!I17</f>
        <v>Promoción y Defensa de Derechos</v>
      </c>
      <c r="L13" s="573" t="str">
        <f>+'1.Informe Seguimiento POA 2023'!J17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507">
        <f>+'1.Informe Seguimiento POA 2023'!K17</f>
        <v>14307</v>
      </c>
      <c r="N13" s="507">
        <f>+'1.Informe Seguimiento POA 2023'!L17</f>
        <v>16115</v>
      </c>
      <c r="O13" s="507">
        <f>+'1.Informe Seguimiento POA 2023'!M17</f>
        <v>19470</v>
      </c>
      <c r="P13" s="507">
        <f>+'1.Informe Seguimiento POA 2023'!N17</f>
        <v>4100</v>
      </c>
      <c r="Q13" s="256">
        <v>3520</v>
      </c>
      <c r="R13" s="256">
        <v>2602</v>
      </c>
      <c r="S13" s="256">
        <v>4530</v>
      </c>
      <c r="T13" s="256">
        <v>4847</v>
      </c>
      <c r="U13" s="256">
        <v>5182</v>
      </c>
      <c r="V13" s="256">
        <v>3793</v>
      </c>
      <c r="W13" s="256">
        <v>1075</v>
      </c>
      <c r="X13" s="256">
        <v>5899</v>
      </c>
      <c r="Y13" s="256">
        <v>14307</v>
      </c>
      <c r="Z13" s="256">
        <v>17141</v>
      </c>
      <c r="AA13" s="765">
        <v>1.1980848535681834</v>
      </c>
      <c r="AB13" s="256">
        <v>3408</v>
      </c>
      <c r="AC13" s="256">
        <v>5102</v>
      </c>
      <c r="AD13" s="256">
        <v>4265</v>
      </c>
      <c r="AE13" s="256">
        <v>5964</v>
      </c>
      <c r="AF13" s="256">
        <v>4275</v>
      </c>
      <c r="AG13" s="256">
        <v>6560</v>
      </c>
      <c r="AH13" s="256">
        <v>4167</v>
      </c>
      <c r="AI13" s="256">
        <v>6851</v>
      </c>
      <c r="AJ13" s="256">
        <v>16115</v>
      </c>
      <c r="AK13" s="256">
        <v>24477</v>
      </c>
      <c r="AL13" s="765">
        <v>1.5188954390319578</v>
      </c>
      <c r="AM13" s="256">
        <f>+'1.Informe Seguimiento POA 2023'!O17</f>
        <v>4607</v>
      </c>
      <c r="AN13" s="256">
        <f>+'1.Informe Seguimiento POA 2023'!P17</f>
        <v>6041</v>
      </c>
      <c r="AO13" s="256">
        <f>+'1.Informe Seguimiento POA 2023'!Q17</f>
        <v>5458</v>
      </c>
      <c r="AP13" s="256">
        <f>+'1.Informe Seguimiento POA 2023'!R17</f>
        <v>7617</v>
      </c>
      <c r="AQ13" s="256">
        <f>+'1.Informe Seguimiento POA 2023'!S17</f>
        <v>5458</v>
      </c>
      <c r="AR13" s="256">
        <f>+'1.Informe Seguimiento POA 2023'!T17</f>
        <v>0</v>
      </c>
      <c r="AS13" s="256">
        <f>+'1.Informe Seguimiento POA 2023'!U17</f>
        <v>3947</v>
      </c>
      <c r="AT13" s="256">
        <f>+'1.Informe Seguimiento POA 2023'!V17</f>
        <v>0</v>
      </c>
      <c r="AU13" s="256">
        <f>+'1.Informe Seguimiento POA 2023'!W17</f>
        <v>19470</v>
      </c>
      <c r="AV13" s="256">
        <f>+'1.Informe Seguimiento POA 2023'!X17</f>
        <v>13658</v>
      </c>
      <c r="AW13" s="576">
        <f>+'1.Informe Seguimiento POA 2023'!Y17</f>
        <v>0.70148947098099645</v>
      </c>
      <c r="AX13" s="508"/>
      <c r="AY13" s="508"/>
      <c r="AZ13" s="508"/>
      <c r="BA13" s="508"/>
      <c r="BB13" s="508"/>
      <c r="BC13" s="508"/>
      <c r="BD13" s="508"/>
      <c r="BE13" s="508"/>
      <c r="BF13" s="256">
        <f t="shared" si="0"/>
        <v>4100</v>
      </c>
      <c r="BG13" s="256"/>
      <c r="BH13" s="508"/>
      <c r="BI13" s="256">
        <f t="shared" ref="BI13" si="6">+Q13+S13+U13+W13+AM13+AO13+AB13+AD13+AF13+AH13</f>
        <v>40487</v>
      </c>
      <c r="BJ13" s="256">
        <f t="shared" ref="BJ13" si="7">+R13+T13+V13+X13+AN13+AP13+AC13+AE13+AG13+AI13</f>
        <v>55276</v>
      </c>
      <c r="BK13" s="508">
        <f t="shared" si="4"/>
        <v>1.3652777434732137</v>
      </c>
      <c r="BL13" s="508">
        <f t="shared" si="5"/>
        <v>1.0237813009334715</v>
      </c>
      <c r="BM13" s="785">
        <f t="shared" si="1"/>
        <v>6.1426878056008292E-2</v>
      </c>
      <c r="BN13" s="1005"/>
      <c r="BO13" s="1053"/>
      <c r="BP13" s="605"/>
      <c r="BQ13" s="605"/>
    </row>
    <row r="14" spans="2:71" ht="96" customHeight="1">
      <c r="B14" s="1012"/>
      <c r="C14" s="1077"/>
      <c r="D14" s="1117"/>
      <c r="E14" s="1081"/>
      <c r="F14" s="1079"/>
      <c r="G14" s="1079"/>
      <c r="H14" s="28" t="str">
        <f>+'1.Informe Seguimiento POA 2023'!D18</f>
        <v>1.1.6 Generar 80 espacios de mejora, de transferencia de conocimientos y buenas prácticas que permitan brindar una atención idónea a las personas que acuden a la Personería de Bogotá, D. C</v>
      </c>
      <c r="I14" s="569">
        <f>+'1.Informe Seguimiento POA 2023'!E18</f>
        <v>0.01</v>
      </c>
      <c r="J14" s="58">
        <f>+'1.Informe Seguimiento POA 2023'!F18</f>
        <v>80</v>
      </c>
      <c r="K14" s="573" t="str">
        <f>+'1.Informe Seguimiento POA 2023'!I18</f>
        <v>Promoción y Defensa de Derechos</v>
      </c>
      <c r="L14" s="573" t="str">
        <f>+'1.Informe Seguimiento POA 2023'!J18</f>
        <v>P.D. para la Coordinación del MP y DDHH y sus dependencias adscritas.</v>
      </c>
      <c r="M14" s="507">
        <f>+'1.Informe Seguimiento POA 2023'!K18</f>
        <v>20</v>
      </c>
      <c r="N14" s="507">
        <f>+'1.Informe Seguimiento POA 2023'!L18</f>
        <v>20</v>
      </c>
      <c r="O14" s="507">
        <f>+'1.Informe Seguimiento POA 2023'!M18</f>
        <v>20</v>
      </c>
      <c r="P14" s="507">
        <f>+'1.Informe Seguimiento POA 2023'!N18</f>
        <v>20</v>
      </c>
      <c r="Q14" s="256">
        <v>5</v>
      </c>
      <c r="R14" s="256">
        <v>1</v>
      </c>
      <c r="S14" s="256">
        <v>15</v>
      </c>
      <c r="T14" s="256">
        <v>10</v>
      </c>
      <c r="U14" s="256">
        <v>0</v>
      </c>
      <c r="V14" s="256">
        <v>6</v>
      </c>
      <c r="W14" s="256">
        <v>0</v>
      </c>
      <c r="X14" s="256">
        <v>3</v>
      </c>
      <c r="Y14" s="256">
        <v>20</v>
      </c>
      <c r="Z14" s="256">
        <v>20</v>
      </c>
      <c r="AA14" s="765">
        <v>1</v>
      </c>
      <c r="AB14" s="256">
        <v>2</v>
      </c>
      <c r="AC14" s="256">
        <v>0</v>
      </c>
      <c r="AD14" s="256">
        <v>11</v>
      </c>
      <c r="AE14" s="256">
        <v>11</v>
      </c>
      <c r="AF14" s="256">
        <v>6</v>
      </c>
      <c r="AG14" s="256">
        <v>4</v>
      </c>
      <c r="AH14" s="256">
        <v>1</v>
      </c>
      <c r="AI14" s="256">
        <v>5</v>
      </c>
      <c r="AJ14" s="256">
        <v>20</v>
      </c>
      <c r="AK14" s="256">
        <v>20</v>
      </c>
      <c r="AL14" s="765">
        <v>1</v>
      </c>
      <c r="AM14" s="256">
        <f>+'1.Informe Seguimiento POA 2023'!O18</f>
        <v>0</v>
      </c>
      <c r="AN14" s="256">
        <f>+'1.Informe Seguimiento POA 2023'!P18</f>
        <v>2</v>
      </c>
      <c r="AO14" s="256">
        <f>+'1.Informe Seguimiento POA 2023'!Q18</f>
        <v>7</v>
      </c>
      <c r="AP14" s="256">
        <f>+'1.Informe Seguimiento POA 2023'!R18</f>
        <v>5</v>
      </c>
      <c r="AQ14" s="256">
        <f>+'1.Informe Seguimiento POA 2023'!S18</f>
        <v>9</v>
      </c>
      <c r="AR14" s="256">
        <f>+'1.Informe Seguimiento POA 2023'!T18</f>
        <v>0</v>
      </c>
      <c r="AS14" s="256">
        <f>+'1.Informe Seguimiento POA 2023'!U18</f>
        <v>4</v>
      </c>
      <c r="AT14" s="256">
        <f>+'1.Informe Seguimiento POA 2023'!V18</f>
        <v>0</v>
      </c>
      <c r="AU14" s="256">
        <f>+'1.Informe Seguimiento POA 2023'!W18</f>
        <v>20</v>
      </c>
      <c r="AV14" s="256">
        <f>+'1.Informe Seguimiento POA 2023'!X18</f>
        <v>7</v>
      </c>
      <c r="AW14" s="576">
        <f>+'1.Informe Seguimiento POA 2023'!Y18</f>
        <v>0.35</v>
      </c>
      <c r="AX14" s="508"/>
      <c r="AY14" s="508"/>
      <c r="AZ14" s="508"/>
      <c r="BA14" s="508"/>
      <c r="BB14" s="508"/>
      <c r="BC14" s="508"/>
      <c r="BD14" s="508"/>
      <c r="BE14" s="508"/>
      <c r="BF14" s="256">
        <f t="shared" si="0"/>
        <v>20</v>
      </c>
      <c r="BG14" s="256"/>
      <c r="BH14" s="508"/>
      <c r="BI14" s="256">
        <f>+Q14+S14+U14+W14+AM14+AO14+AB14+AD14+AF14+AH14</f>
        <v>47</v>
      </c>
      <c r="BJ14" s="256">
        <f>+R14+T14+V14+X14+AN14+AP14+AC14+AE14+AG14+AI14</f>
        <v>47</v>
      </c>
      <c r="BK14" s="508">
        <f t="shared" si="4"/>
        <v>1</v>
      </c>
      <c r="BL14" s="508">
        <f t="shared" si="5"/>
        <v>0.58750000000000002</v>
      </c>
      <c r="BM14" s="785">
        <f t="shared" si="1"/>
        <v>5.875E-3</v>
      </c>
      <c r="BN14" s="1005"/>
      <c r="BO14" s="1053"/>
      <c r="BP14" s="605"/>
      <c r="BQ14" s="605"/>
    </row>
    <row r="15" spans="2:71" ht="115.2" customHeight="1">
      <c r="B15" s="1012"/>
      <c r="C15" s="1077"/>
      <c r="D15" s="1117"/>
      <c r="E15" s="1081"/>
      <c r="F15" s="1079"/>
      <c r="G15" s="1079"/>
      <c r="H15" s="28" t="str">
        <f>+'1.Informe Seguimiento POA 2023'!D20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569">
        <f>+'1.Informe Seguimiento POA 2023'!E20</f>
        <v>0.02</v>
      </c>
      <c r="J15" s="72">
        <f>+'1.Informe Seguimiento POA 2023'!F20</f>
        <v>19500</v>
      </c>
      <c r="K15" s="573" t="str">
        <f>+'1.Informe Seguimiento POA 2023'!I20</f>
        <v>Promoción y Defensa de Derechos</v>
      </c>
      <c r="L15" s="573" t="str">
        <f>+'1.Informe Seguimiento POA 2023'!J20</f>
        <v>P.D. para la Coordinación de la Gestión de Personerías Locales y sus Personerías Locales adscritas</v>
      </c>
      <c r="M15" s="507">
        <f>+'1.Informe Seguimiento POA 2023'!K20</f>
        <v>5000</v>
      </c>
      <c r="N15" s="507">
        <f>+'1.Informe Seguimiento POA 2023'!L20</f>
        <v>6000</v>
      </c>
      <c r="O15" s="507">
        <f>+'1.Informe Seguimiento POA 2023'!M20</f>
        <v>6500</v>
      </c>
      <c r="P15" s="507">
        <f>+'1.Informe Seguimiento POA 2023'!N20</f>
        <v>2000</v>
      </c>
      <c r="Q15" s="256">
        <v>1020</v>
      </c>
      <c r="R15" s="256">
        <v>977</v>
      </c>
      <c r="S15" s="256">
        <v>1380</v>
      </c>
      <c r="T15" s="256">
        <v>1846</v>
      </c>
      <c r="U15" s="256">
        <v>1380</v>
      </c>
      <c r="V15" s="256">
        <v>1748</v>
      </c>
      <c r="W15" s="256">
        <v>1220</v>
      </c>
      <c r="X15" s="256">
        <v>1608</v>
      </c>
      <c r="Y15" s="256">
        <v>5000</v>
      </c>
      <c r="Z15" s="256">
        <v>6179</v>
      </c>
      <c r="AA15" s="765">
        <v>1.2358</v>
      </c>
      <c r="AB15" s="256">
        <v>1200</v>
      </c>
      <c r="AC15" s="256">
        <v>1452</v>
      </c>
      <c r="AD15" s="256">
        <v>1800</v>
      </c>
      <c r="AE15" s="256">
        <v>1952</v>
      </c>
      <c r="AF15" s="256">
        <v>1800</v>
      </c>
      <c r="AG15" s="256">
        <v>2402</v>
      </c>
      <c r="AH15" s="256">
        <v>1200</v>
      </c>
      <c r="AI15" s="256">
        <v>1740</v>
      </c>
      <c r="AJ15" s="256">
        <v>6000</v>
      </c>
      <c r="AK15" s="256">
        <v>7546</v>
      </c>
      <c r="AL15" s="765">
        <v>1.2576666666666667</v>
      </c>
      <c r="AM15" s="256">
        <f>+'1.Informe Seguimiento POA 2023'!O20</f>
        <v>1300</v>
      </c>
      <c r="AN15" s="256">
        <f>+'1.Informe Seguimiento POA 2023'!P20</f>
        <v>1879</v>
      </c>
      <c r="AO15" s="256">
        <f>+'1.Informe Seguimiento POA 2023'!Q20</f>
        <v>1950</v>
      </c>
      <c r="AP15" s="256">
        <f>+'1.Informe Seguimiento POA 2023'!R20</f>
        <v>1980</v>
      </c>
      <c r="AQ15" s="256">
        <f>+'1.Informe Seguimiento POA 2023'!S20</f>
        <v>1950</v>
      </c>
      <c r="AR15" s="256">
        <f>+'1.Informe Seguimiento POA 2023'!T20</f>
        <v>0</v>
      </c>
      <c r="AS15" s="256">
        <f>+'1.Informe Seguimiento POA 2023'!U20</f>
        <v>1300</v>
      </c>
      <c r="AT15" s="256">
        <f>+'1.Informe Seguimiento POA 2023'!V20</f>
        <v>0</v>
      </c>
      <c r="AU15" s="256">
        <f>+'1.Informe Seguimiento POA 2023'!W20</f>
        <v>6500</v>
      </c>
      <c r="AV15" s="256">
        <f>+'1.Informe Seguimiento POA 2023'!X20</f>
        <v>3859</v>
      </c>
      <c r="AW15" s="576">
        <f>+'1.Informe Seguimiento POA 2023'!Y20</f>
        <v>0.59369230769230774</v>
      </c>
      <c r="AX15" s="508"/>
      <c r="AY15" s="508"/>
      <c r="AZ15" s="508"/>
      <c r="BA15" s="508"/>
      <c r="BB15" s="508"/>
      <c r="BC15" s="508"/>
      <c r="BD15" s="508"/>
      <c r="BE15" s="508"/>
      <c r="BF15" s="256">
        <f t="shared" si="0"/>
        <v>2000</v>
      </c>
      <c r="BG15" s="256"/>
      <c r="BH15" s="508"/>
      <c r="BI15" s="256">
        <f t="shared" ref="BI15:BI16" si="8">+Q15+S15+U15+W15+AM15+AO15+AB15+AD15+AF15+AH15</f>
        <v>14250</v>
      </c>
      <c r="BJ15" s="256">
        <f t="shared" ref="BJ15:BJ16" si="9">+R15+T15+V15+X15+AN15+AP15+AC15+AE15+AG15+AI15</f>
        <v>17584</v>
      </c>
      <c r="BK15" s="508">
        <f>IF(AND(BI15&gt;0),BJ15/BI15,"No programado")</f>
        <v>1.2339649122807017</v>
      </c>
      <c r="BL15" s="508">
        <f t="shared" si="5"/>
        <v>0.9017435897435897</v>
      </c>
      <c r="BM15" s="785">
        <f t="shared" si="1"/>
        <v>1.8034871794871794E-2</v>
      </c>
      <c r="BN15" s="1005"/>
      <c r="BO15" s="1053"/>
      <c r="BP15" s="605"/>
      <c r="BQ15" s="605"/>
    </row>
    <row r="16" spans="2:71" ht="121.5" customHeight="1">
      <c r="B16" s="1012"/>
      <c r="C16" s="1077"/>
      <c r="D16" s="1117"/>
      <c r="E16" s="1081"/>
      <c r="F16" s="1079"/>
      <c r="G16" s="1079"/>
      <c r="H16" s="28" t="str">
        <f>+'1.Informe Seguimiento POA 2023'!D21</f>
        <v>1.1.9 Realizar 9.000 intervenciones de manera oportuna para evitar situaciones de caducidad y perdida de fuerza ejecutoria en las actuaciones administrativas y policivas</v>
      </c>
      <c r="I16" s="78">
        <f>+'1.Informe Seguimiento POA 2023'!E21</f>
        <v>0.01</v>
      </c>
      <c r="J16" s="72">
        <f>+'1.Informe Seguimiento POA 2023'!F21</f>
        <v>9000</v>
      </c>
      <c r="K16" s="573" t="str">
        <f>+'1.Informe Seguimiento POA 2023'!I21</f>
        <v>Promoción y Defensa de Derechos</v>
      </c>
      <c r="L16" s="573" t="str">
        <f>+'1.Informe Seguimiento POA 2023'!J21</f>
        <v>P.D. para la Coordinación de la Gestión de Personerías Locales y sus Personerías Locales adscritas</v>
      </c>
      <c r="M16" s="507">
        <f>+'1.Informe Seguimiento POA 2023'!K21</f>
        <v>3000</v>
      </c>
      <c r="N16" s="507">
        <f>+'1.Informe Seguimiento POA 2023'!L21</f>
        <v>3000</v>
      </c>
      <c r="O16" s="507">
        <f>+'1.Informe Seguimiento POA 2023'!M21</f>
        <v>2000</v>
      </c>
      <c r="P16" s="507">
        <f>+'1.Informe Seguimiento POA 2023'!N21</f>
        <v>1000</v>
      </c>
      <c r="Q16" s="256">
        <v>640</v>
      </c>
      <c r="R16" s="256">
        <v>488</v>
      </c>
      <c r="S16" s="256">
        <v>810</v>
      </c>
      <c r="T16" s="256">
        <v>1360</v>
      </c>
      <c r="U16" s="256">
        <v>810</v>
      </c>
      <c r="V16" s="256">
        <v>1087</v>
      </c>
      <c r="W16" s="256">
        <v>740</v>
      </c>
      <c r="X16" s="256">
        <v>903</v>
      </c>
      <c r="Y16" s="256">
        <v>3000</v>
      </c>
      <c r="Z16" s="256">
        <v>3838</v>
      </c>
      <c r="AA16" s="765">
        <v>1.2793333333333334</v>
      </c>
      <c r="AB16" s="256">
        <v>600</v>
      </c>
      <c r="AC16" s="256">
        <v>438</v>
      </c>
      <c r="AD16" s="256">
        <v>900</v>
      </c>
      <c r="AE16" s="256">
        <v>727</v>
      </c>
      <c r="AF16" s="256">
        <v>900</v>
      </c>
      <c r="AG16" s="256">
        <v>817</v>
      </c>
      <c r="AH16" s="256">
        <v>600</v>
      </c>
      <c r="AI16" s="256">
        <v>1208</v>
      </c>
      <c r="AJ16" s="256">
        <v>3000</v>
      </c>
      <c r="AK16" s="256">
        <v>3190</v>
      </c>
      <c r="AL16" s="765">
        <v>1.0633333333333332</v>
      </c>
      <c r="AM16" s="256">
        <f>+'1.Informe Seguimiento POA 2023'!O21</f>
        <v>400</v>
      </c>
      <c r="AN16" s="256">
        <f>+'1.Informe Seguimiento POA 2023'!P21</f>
        <v>407</v>
      </c>
      <c r="AO16" s="256">
        <f>+'1.Informe Seguimiento POA 2023'!Q21</f>
        <v>600</v>
      </c>
      <c r="AP16" s="256">
        <f>+'1.Informe Seguimiento POA 2023'!R21</f>
        <v>571</v>
      </c>
      <c r="AQ16" s="256">
        <f>+'1.Informe Seguimiento POA 2023'!S21</f>
        <v>600</v>
      </c>
      <c r="AR16" s="256">
        <f>+'1.Informe Seguimiento POA 2023'!T21</f>
        <v>0</v>
      </c>
      <c r="AS16" s="256">
        <f>+'1.Informe Seguimiento POA 2023'!U21</f>
        <v>400</v>
      </c>
      <c r="AT16" s="256">
        <f>+'1.Informe Seguimiento POA 2023'!V21</f>
        <v>0</v>
      </c>
      <c r="AU16" s="256">
        <f>+'1.Informe Seguimiento POA 2023'!W21</f>
        <v>2000</v>
      </c>
      <c r="AV16" s="256">
        <f>+'1.Informe Seguimiento POA 2023'!X21</f>
        <v>978</v>
      </c>
      <c r="AW16" s="576">
        <f>+'1.Informe Seguimiento POA 2023'!Y21</f>
        <v>0.48899999999999999</v>
      </c>
      <c r="AX16" s="508"/>
      <c r="AY16" s="508"/>
      <c r="AZ16" s="508"/>
      <c r="BA16" s="508"/>
      <c r="BB16" s="508"/>
      <c r="BC16" s="508"/>
      <c r="BD16" s="508"/>
      <c r="BE16" s="508"/>
      <c r="BF16" s="256">
        <f t="shared" si="0"/>
        <v>1000</v>
      </c>
      <c r="BG16" s="256"/>
      <c r="BH16" s="508"/>
      <c r="BI16" s="256">
        <f t="shared" si="8"/>
        <v>7000</v>
      </c>
      <c r="BJ16" s="256">
        <f t="shared" si="9"/>
        <v>8006</v>
      </c>
      <c r="BK16" s="508">
        <f t="shared" si="4"/>
        <v>1.1437142857142857</v>
      </c>
      <c r="BL16" s="508">
        <f t="shared" si="5"/>
        <v>0.88955555555555554</v>
      </c>
      <c r="BM16" s="785">
        <f t="shared" si="1"/>
        <v>8.8955555555555559E-3</v>
      </c>
      <c r="BN16" s="1005"/>
      <c r="BO16" s="1053"/>
      <c r="BP16" s="605"/>
      <c r="BQ16" s="605"/>
    </row>
    <row r="17" spans="2:69" ht="84.75" customHeight="1">
      <c r="B17" s="1012"/>
      <c r="C17" s="1077"/>
      <c r="D17" s="1117"/>
      <c r="E17" s="1081"/>
      <c r="F17" s="1079"/>
      <c r="G17" s="1079"/>
      <c r="H17" s="28" t="str">
        <f>+'1.Informe Seguimiento POA 2023'!D22</f>
        <v>1.1.10 Impulsar 1.800 expedientes que contengan orden de policía (MULTA) en firme y ejecutoriada, para que se efectúen cobros persuasivos y/o se de traslado para el cobro coactivo.</v>
      </c>
      <c r="I17" s="78">
        <f>+'1.Informe Seguimiento POA 2023'!E22</f>
        <v>0.01</v>
      </c>
      <c r="J17" s="72">
        <f>+'1.Informe Seguimiento POA 2023'!F22</f>
        <v>1800</v>
      </c>
      <c r="K17" s="573" t="str">
        <f>+'1.Informe Seguimiento POA 2023'!I22</f>
        <v>Promoción y Defensa de Derechos</v>
      </c>
      <c r="L17" s="573" t="str">
        <f>+'1.Informe Seguimiento POA 2023'!J22</f>
        <v>P.D. para la Coordinación de la Gestión de Personerías Locales y sus Personerías Locales adscritas</v>
      </c>
      <c r="M17" s="507">
        <f>+'1.Informe Seguimiento POA 2023'!K22</f>
        <v>700</v>
      </c>
      <c r="N17" s="507">
        <f>+'1.Informe Seguimiento POA 2023'!L22</f>
        <v>500</v>
      </c>
      <c r="O17" s="507">
        <f>+'1.Informe Seguimiento POA 2023'!M22</f>
        <v>300</v>
      </c>
      <c r="P17" s="507">
        <f>+'1.Informe Seguimiento POA 2023'!N22</f>
        <v>300</v>
      </c>
      <c r="Q17" s="256">
        <v>145</v>
      </c>
      <c r="R17" s="256">
        <v>74</v>
      </c>
      <c r="S17" s="256">
        <v>190</v>
      </c>
      <c r="T17" s="256">
        <v>635</v>
      </c>
      <c r="U17" s="256">
        <v>195</v>
      </c>
      <c r="V17" s="256">
        <v>110</v>
      </c>
      <c r="W17" s="256">
        <v>170</v>
      </c>
      <c r="X17" s="256">
        <v>221</v>
      </c>
      <c r="Y17" s="256">
        <v>700</v>
      </c>
      <c r="Z17" s="256">
        <v>1040</v>
      </c>
      <c r="AA17" s="765">
        <v>1.4857142857142858</v>
      </c>
      <c r="AB17" s="256">
        <v>100</v>
      </c>
      <c r="AC17" s="256">
        <v>82</v>
      </c>
      <c r="AD17" s="256">
        <v>150</v>
      </c>
      <c r="AE17" s="256">
        <v>74</v>
      </c>
      <c r="AF17" s="256">
        <v>150</v>
      </c>
      <c r="AG17" s="256">
        <v>150</v>
      </c>
      <c r="AH17" s="256">
        <v>100</v>
      </c>
      <c r="AI17" s="256">
        <v>275</v>
      </c>
      <c r="AJ17" s="256">
        <v>500</v>
      </c>
      <c r="AK17" s="256">
        <v>581</v>
      </c>
      <c r="AL17" s="765">
        <v>1.1619999999999999</v>
      </c>
      <c r="AM17" s="256">
        <f>+'1.Informe Seguimiento POA 2023'!O22</f>
        <v>60</v>
      </c>
      <c r="AN17" s="256">
        <f>+'1.Informe Seguimiento POA 2023'!P22</f>
        <v>72</v>
      </c>
      <c r="AO17" s="256">
        <f>+'1.Informe Seguimiento POA 2023'!Q22</f>
        <v>90</v>
      </c>
      <c r="AP17" s="256">
        <f>+'1.Informe Seguimiento POA 2023'!R22</f>
        <v>99</v>
      </c>
      <c r="AQ17" s="256">
        <f>+'1.Informe Seguimiento POA 2023'!S22</f>
        <v>90</v>
      </c>
      <c r="AR17" s="256">
        <f>+'1.Informe Seguimiento POA 2023'!T22</f>
        <v>0</v>
      </c>
      <c r="AS17" s="256">
        <f>+'1.Informe Seguimiento POA 2023'!U22</f>
        <v>60</v>
      </c>
      <c r="AT17" s="256">
        <f>+'1.Informe Seguimiento POA 2023'!V22</f>
        <v>0</v>
      </c>
      <c r="AU17" s="256">
        <f>+'1.Informe Seguimiento POA 2023'!W22</f>
        <v>300</v>
      </c>
      <c r="AV17" s="256">
        <f>+'1.Informe Seguimiento POA 2023'!X22</f>
        <v>171</v>
      </c>
      <c r="AW17" s="576">
        <f>+'1.Informe Seguimiento POA 2023'!Y22</f>
        <v>0.56999999999999995</v>
      </c>
      <c r="AX17" s="508"/>
      <c r="AY17" s="508"/>
      <c r="AZ17" s="508"/>
      <c r="BA17" s="508"/>
      <c r="BB17" s="508"/>
      <c r="BC17" s="508"/>
      <c r="BD17" s="508"/>
      <c r="BE17" s="508"/>
      <c r="BF17" s="256">
        <f t="shared" si="0"/>
        <v>300</v>
      </c>
      <c r="BG17" s="256"/>
      <c r="BH17" s="508"/>
      <c r="BI17" s="256">
        <f>+Q17+S17+U17+W17+AM17+AO17+AB17+AD17+AF17+AH17</f>
        <v>1350</v>
      </c>
      <c r="BJ17" s="256">
        <f>+R17+T17+V17+X17+AN17+AP17+AC17+AE17+AG17+AI17</f>
        <v>1792</v>
      </c>
      <c r="BK17" s="508">
        <f t="shared" si="4"/>
        <v>1.3274074074074074</v>
      </c>
      <c r="BL17" s="508">
        <f t="shared" si="5"/>
        <v>0.99555555555555553</v>
      </c>
      <c r="BM17" s="785">
        <f t="shared" si="1"/>
        <v>9.955555555555556E-3</v>
      </c>
      <c r="BN17" s="1005"/>
      <c r="BO17" s="1053"/>
      <c r="BP17" s="605"/>
      <c r="BQ17" s="605"/>
    </row>
    <row r="18" spans="2:69" ht="83.25" customHeight="1">
      <c r="B18" s="1012"/>
      <c r="C18" s="1077"/>
      <c r="D18" s="1117"/>
      <c r="E18" s="1081"/>
      <c r="F18" s="1079"/>
      <c r="G18" s="1079"/>
      <c r="H18" s="28" t="str">
        <f>+'1.Informe Seguimiento POA 2023'!D23</f>
        <v>1.1.11 Establecer de forma periódica, 40 estados de la vulneración de  los derechos humanos en las localidades, dando a conocer a las Entidades correspondientes los hechos observados que requieren su intervención.</v>
      </c>
      <c r="I18" s="78">
        <f>+'1.Informe Seguimiento POA 2023'!E23</f>
        <v>0.01</v>
      </c>
      <c r="J18" s="72">
        <f>+'1.Informe Seguimiento POA 2023'!F23</f>
        <v>40</v>
      </c>
      <c r="K18" s="573" t="str">
        <f>+'1.Informe Seguimiento POA 2023'!I23</f>
        <v>Promoción y Defensa de Derechos</v>
      </c>
      <c r="L18" s="573" t="str">
        <f>+'1.Informe Seguimiento POA 2023'!J23</f>
        <v>P.D. para la Coordinación de la Gestión de Personerías Locales y sus Personerías Locales adscritas</v>
      </c>
      <c r="M18" s="507">
        <f>+'1.Informe Seguimiento POA 2023'!K23</f>
        <v>0</v>
      </c>
      <c r="N18" s="507">
        <f>+'1.Informe Seguimiento POA 2023'!L23</f>
        <v>0</v>
      </c>
      <c r="O18" s="507">
        <f>+'1.Informe Seguimiento POA 2023'!M23</f>
        <v>20</v>
      </c>
      <c r="P18" s="507">
        <f>+'1.Informe Seguimiento POA 2023'!N23</f>
        <v>20</v>
      </c>
      <c r="Q18" s="256">
        <v>0</v>
      </c>
      <c r="R18" s="256">
        <v>0</v>
      </c>
      <c r="S18" s="256">
        <v>0</v>
      </c>
      <c r="T18" s="256">
        <v>0</v>
      </c>
      <c r="U18" s="256">
        <v>0</v>
      </c>
      <c r="V18" s="256">
        <v>0</v>
      </c>
      <c r="W18" s="256">
        <v>0</v>
      </c>
      <c r="X18" s="256">
        <v>0</v>
      </c>
      <c r="Y18" s="256">
        <v>0</v>
      </c>
      <c r="Z18" s="256">
        <v>0</v>
      </c>
      <c r="AA18" s="765" t="s">
        <v>1072</v>
      </c>
      <c r="AB18" s="256">
        <v>0</v>
      </c>
      <c r="AC18" s="256">
        <v>0</v>
      </c>
      <c r="AD18" s="256">
        <v>0</v>
      </c>
      <c r="AE18" s="256">
        <v>0</v>
      </c>
      <c r="AF18" s="256">
        <v>0</v>
      </c>
      <c r="AG18" s="256">
        <v>0</v>
      </c>
      <c r="AH18" s="256">
        <v>0</v>
      </c>
      <c r="AI18" s="256">
        <v>0</v>
      </c>
      <c r="AJ18" s="256">
        <v>0</v>
      </c>
      <c r="AK18" s="256">
        <v>0</v>
      </c>
      <c r="AL18" s="765" t="s">
        <v>1072</v>
      </c>
      <c r="AM18" s="256">
        <f>+'1.Informe Seguimiento POA 2023'!O23</f>
        <v>0</v>
      </c>
      <c r="AN18" s="256">
        <f>+'1.Informe Seguimiento POA 2023'!P23</f>
        <v>0</v>
      </c>
      <c r="AO18" s="256">
        <f>+'1.Informe Seguimiento POA 2023'!Q23</f>
        <v>0</v>
      </c>
      <c r="AP18" s="256">
        <f>+'1.Informe Seguimiento POA 2023'!R23</f>
        <v>0</v>
      </c>
      <c r="AQ18" s="256">
        <f>+'1.Informe Seguimiento POA 2023'!S23</f>
        <v>0</v>
      </c>
      <c r="AR18" s="256">
        <f>+'1.Informe Seguimiento POA 2023'!T23</f>
        <v>0</v>
      </c>
      <c r="AS18" s="256">
        <f>+'1.Informe Seguimiento POA 2023'!U23</f>
        <v>20</v>
      </c>
      <c r="AT18" s="256">
        <f>+'1.Informe Seguimiento POA 2023'!V23</f>
        <v>0</v>
      </c>
      <c r="AU18" s="256">
        <f>+'1.Informe Seguimiento POA 2023'!W23</f>
        <v>20</v>
      </c>
      <c r="AV18" s="256">
        <f>+'1.Informe Seguimiento POA 2023'!X23</f>
        <v>0</v>
      </c>
      <c r="AW18" s="576">
        <f>+'1.Informe Seguimiento POA 2023'!Y23</f>
        <v>0</v>
      </c>
      <c r="AX18" s="508"/>
      <c r="AY18" s="508"/>
      <c r="AZ18" s="508"/>
      <c r="BA18" s="508"/>
      <c r="BB18" s="508"/>
      <c r="BC18" s="508"/>
      <c r="BD18" s="508"/>
      <c r="BE18" s="508"/>
      <c r="BF18" s="256">
        <f t="shared" si="0"/>
        <v>20</v>
      </c>
      <c r="BG18" s="256"/>
      <c r="BH18" s="509"/>
      <c r="BI18" s="256">
        <f t="shared" ref="BI18" si="10">+Q18+S18+U18+W18+AM18+AO18+AB18+AD18+AF18+AH18</f>
        <v>0</v>
      </c>
      <c r="BJ18" s="256">
        <f t="shared" ref="BJ18" si="11">+R18+T18+V18+X18+AN18+AP18+AC18+AE18+AG18+AI18</f>
        <v>0</v>
      </c>
      <c r="BK18" s="508" t="str">
        <f t="shared" si="4"/>
        <v>No programado</v>
      </c>
      <c r="BL18" s="508">
        <f t="shared" si="5"/>
        <v>0</v>
      </c>
      <c r="BM18" s="785">
        <f t="shared" si="1"/>
        <v>0</v>
      </c>
      <c r="BN18" s="1005"/>
      <c r="BO18" s="1053"/>
      <c r="BP18" s="605"/>
      <c r="BQ18" s="605"/>
    </row>
    <row r="19" spans="2:69" ht="153.6" customHeight="1">
      <c r="B19" s="1012"/>
      <c r="C19" s="1072"/>
      <c r="D19" s="1118"/>
      <c r="E19" s="1082"/>
      <c r="F19" s="570" t="s">
        <v>991</v>
      </c>
      <c r="G19" s="570" t="s">
        <v>222</v>
      </c>
      <c r="H19" s="28" t="str">
        <f>+'1.Informe Seguimiento POA 2023'!D19</f>
        <v>1.1.7 Entregar en un termino menor a los cinco (5) días hábiles, mas del 95% de las solicitudes de elaboración de tutelas, desacatos e impugnaciones que realicen las personas en el Distrito Capital.</v>
      </c>
      <c r="I19" s="960">
        <f>+'1.Informe Seguimiento POA 2023'!E19</f>
        <v>0.01</v>
      </c>
      <c r="J19" s="72" t="str">
        <f>+'1.Informe Seguimiento POA 2023'!F19</f>
        <v>&gt;=95%</v>
      </c>
      <c r="K19" s="573" t="str">
        <f>+'1.Informe Seguimiento POA 2023'!I19</f>
        <v>Promoción y Defensa de Derechos</v>
      </c>
      <c r="L19" s="573" t="str">
        <f>+'1.Informe Seguimiento POA 2023'!J19</f>
        <v>P.D. para Asuntos Jurisdiccionales, Víctimas y Penal II.
P.D. para la Coordinación de la Gestión de Personerías Locales y sus Personerías Locales adscritas</v>
      </c>
      <c r="M19" s="507" t="str">
        <f>+'1.Informe Seguimiento POA 2023'!K19</f>
        <v>&gt;=95%</v>
      </c>
      <c r="N19" s="507" t="str">
        <f>+'1.Informe Seguimiento POA 2023'!L19</f>
        <v>&gt;=95%</v>
      </c>
      <c r="O19" s="507" t="str">
        <f>+'1.Informe Seguimiento POA 2023'!M19</f>
        <v>&gt;=95%</v>
      </c>
      <c r="P19" s="507" t="str">
        <f>+'1.Informe Seguimiento POA 2023'!N19</f>
        <v>&gt;=95%</v>
      </c>
      <c r="Q19" s="766">
        <v>0.94999999999999984</v>
      </c>
      <c r="R19" s="766">
        <v>0.99199999999999999</v>
      </c>
      <c r="S19" s="766">
        <v>0.94999999999999984</v>
      </c>
      <c r="T19" s="766">
        <v>0.99633333333333329</v>
      </c>
      <c r="U19" s="766">
        <v>0.94999999999999984</v>
      </c>
      <c r="V19" s="767">
        <v>0.999</v>
      </c>
      <c r="W19" s="766">
        <v>0.94999999999999984</v>
      </c>
      <c r="X19" s="766">
        <v>1</v>
      </c>
      <c r="Y19" s="766">
        <v>0.94999999999999984</v>
      </c>
      <c r="Z19" s="767">
        <v>0.996</v>
      </c>
      <c r="AA19" s="765">
        <v>1.0484210526315791</v>
      </c>
      <c r="AB19" s="766">
        <v>0.94999999999999984</v>
      </c>
      <c r="AC19" s="766">
        <v>1</v>
      </c>
      <c r="AD19" s="766">
        <v>0.94999999999999984</v>
      </c>
      <c r="AE19" s="766">
        <v>1</v>
      </c>
      <c r="AF19" s="766">
        <v>0.94999999999999984</v>
      </c>
      <c r="AG19" s="767">
        <v>0.99933333333333341</v>
      </c>
      <c r="AH19" s="766">
        <v>0.94999999999999984</v>
      </c>
      <c r="AI19" s="766">
        <v>0.99799999999999989</v>
      </c>
      <c r="AJ19" s="766">
        <v>0.94999999999999984</v>
      </c>
      <c r="AK19" s="767">
        <v>0.999</v>
      </c>
      <c r="AL19" s="765">
        <v>1.0515789473684212</v>
      </c>
      <c r="AM19" s="569">
        <f>+'1.Informe Seguimiento POA 2023'!O19</f>
        <v>0.94999999999999984</v>
      </c>
      <c r="AN19" s="569">
        <f>+'1.Informe Seguimiento POA 2023'!P19</f>
        <v>1</v>
      </c>
      <c r="AO19" s="569">
        <f>+'1.Informe Seguimiento POA 2023'!Q19</f>
        <v>0.94999999999999984</v>
      </c>
      <c r="AP19" s="569">
        <f>+'1.Informe Seguimiento POA 2023'!R19</f>
        <v>1</v>
      </c>
      <c r="AQ19" s="569">
        <f>+'1.Informe Seguimiento POA 2023'!S19</f>
        <v>0.94999999999999984</v>
      </c>
      <c r="AR19" s="575">
        <f>+'1.Informe Seguimiento POA 2023'!T19</f>
        <v>0</v>
      </c>
      <c r="AS19" s="569">
        <f>+'1.Informe Seguimiento POA 2023'!U19</f>
        <v>0.94999999999999984</v>
      </c>
      <c r="AT19" s="569">
        <f>+'1.Informe Seguimiento POA 2023'!V19</f>
        <v>0</v>
      </c>
      <c r="AU19" s="569">
        <f>+'1.Informe Seguimiento POA 2023'!W19</f>
        <v>0.94999999999999984</v>
      </c>
      <c r="AV19" s="575">
        <f>+'1.Informe Seguimiento POA 2023'!X19</f>
        <v>1</v>
      </c>
      <c r="AW19" s="576">
        <f>+'1.Informe Seguimiento POA 2023'!Y19</f>
        <v>0.52631578947368429</v>
      </c>
      <c r="AX19" s="508"/>
      <c r="AY19" s="508"/>
      <c r="AZ19" s="508"/>
      <c r="BA19" s="508"/>
      <c r="BB19" s="508"/>
      <c r="BC19" s="508"/>
      <c r="BD19" s="508"/>
      <c r="BE19" s="508"/>
      <c r="BF19" s="256" t="str">
        <f t="shared" si="0"/>
        <v>&gt;=95%</v>
      </c>
      <c r="BG19" s="256"/>
      <c r="BH19" s="508"/>
      <c r="BI19" s="509">
        <f>IFERROR(AVERAGE(Q19,S19,U19,W19,AM19,AO19,AB19,AD19,AF19,AH19),0)</f>
        <v>0.94999999999999984</v>
      </c>
      <c r="BJ19" s="509">
        <f>IFERROR(AVERAGE(R19,T19,V19,X19,AN19,AP19,AC19,AE19,AG19,AI19),0)</f>
        <v>0.99846666666666672</v>
      </c>
      <c r="BK19" s="508">
        <f>IF(AND(BI19&gt;0),BJ19/BI19,"No programado")</f>
        <v>1.0510175438596494</v>
      </c>
      <c r="BL19" s="961">
        <f>((IF(AND(BJ19&gt;0,95%&gt;0),BJ19/95%,0))*0.75)</f>
        <v>0.78826315789473689</v>
      </c>
      <c r="BM19" s="785">
        <f t="shared" si="1"/>
        <v>7.8826315789473685E-3</v>
      </c>
      <c r="BN19" s="1096"/>
      <c r="BO19" s="1053"/>
      <c r="BP19" s="605"/>
      <c r="BQ19" s="605"/>
    </row>
    <row r="20" spans="2:69" ht="135.75" customHeight="1">
      <c r="B20" s="1012"/>
      <c r="C20" s="1071" t="str">
        <f>+'Matriz PEI 2021-2024'!C11</f>
        <v>1.2. Realizar 284.891 acciones que propendan por la efectiva defensa y garantía de los derechos de los sujetos de especial protección constitucional, con énfasis en las personas mayores, mujeres y la población migrante en el Distrito Capital</v>
      </c>
      <c r="D20" s="1109">
        <f>+'Matriz PEI 2021-2024'!E11</f>
        <v>284891</v>
      </c>
      <c r="E20" s="1080">
        <f>+'Matriz PEI 2021-2024'!D11</f>
        <v>0.2</v>
      </c>
      <c r="F20" s="1071" t="s">
        <v>894</v>
      </c>
      <c r="G20" s="1071" t="s">
        <v>895</v>
      </c>
      <c r="H20" s="28" t="str">
        <f>+'1.Informe Seguimiento POA 2023'!D24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78">
        <f>+'1.Informe Seguimiento POA 2023'!E24</f>
        <v>0.75</v>
      </c>
      <c r="J20" s="72">
        <f>+'1.Informe Seguimiento POA 2023'!F24</f>
        <v>231061</v>
      </c>
      <c r="K20" s="573" t="str">
        <f>+'1.Informe Seguimiento POA 2023'!I24</f>
        <v>Promoción y Defensa de Derechos</v>
      </c>
      <c r="L20" s="573" t="str">
        <f>+'1.Informe Seguimiento POA 2023'!J24</f>
        <v>P.D. para la Coordinación del MP y DDHH y sus dependencias adscritas
P.D. para la Coordinación de la Gestión de Personerías Locales y sus Personerías Locales adscritas</v>
      </c>
      <c r="M20" s="507">
        <f>+'1.Informe Seguimiento POA 2023'!K24</f>
        <v>62360</v>
      </c>
      <c r="N20" s="507">
        <f>+'1.Informe Seguimiento POA 2023'!L24</f>
        <v>71570</v>
      </c>
      <c r="O20" s="507">
        <f>+'1.Informe Seguimiento POA 2023'!M24</f>
        <v>78131</v>
      </c>
      <c r="P20" s="507">
        <f>+'1.Informe Seguimiento POA 2023'!N24</f>
        <v>19000</v>
      </c>
      <c r="Q20" s="256">
        <v>5300</v>
      </c>
      <c r="R20" s="256">
        <v>25347</v>
      </c>
      <c r="S20" s="256">
        <v>15930</v>
      </c>
      <c r="T20" s="256">
        <v>25884</v>
      </c>
      <c r="U20" s="256">
        <v>21720</v>
      </c>
      <c r="V20" s="256">
        <v>17775</v>
      </c>
      <c r="W20" s="256">
        <v>19410</v>
      </c>
      <c r="X20" s="256">
        <v>7874</v>
      </c>
      <c r="Y20" s="256">
        <v>62360</v>
      </c>
      <c r="Z20" s="256">
        <v>76880</v>
      </c>
      <c r="AA20" s="765">
        <v>1.2328415651058371</v>
      </c>
      <c r="AB20" s="256">
        <v>10700</v>
      </c>
      <c r="AC20" s="256">
        <v>16789</v>
      </c>
      <c r="AD20" s="256">
        <v>21400</v>
      </c>
      <c r="AE20" s="256">
        <v>27872</v>
      </c>
      <c r="AF20" s="256">
        <v>23550</v>
      </c>
      <c r="AG20" s="256">
        <v>22710</v>
      </c>
      <c r="AH20" s="256">
        <v>15920</v>
      </c>
      <c r="AI20" s="256">
        <v>12229</v>
      </c>
      <c r="AJ20" s="256">
        <v>71570</v>
      </c>
      <c r="AK20" s="256">
        <v>79600</v>
      </c>
      <c r="AL20" s="765">
        <v>1.1121978482604442</v>
      </c>
      <c r="AM20" s="256">
        <f>+'1.Informe Seguimiento POA 2023'!O24</f>
        <v>12130</v>
      </c>
      <c r="AN20" s="256">
        <f>+'1.Informe Seguimiento POA 2023'!P24</f>
        <v>17431</v>
      </c>
      <c r="AO20" s="256">
        <f>+'1.Informe Seguimiento POA 2023'!Q24</f>
        <v>23258</v>
      </c>
      <c r="AP20" s="256">
        <f>+'1.Informe Seguimiento POA 2023'!R24</f>
        <v>25433</v>
      </c>
      <c r="AQ20" s="256">
        <f>+'1.Informe Seguimiento POA 2023'!S24</f>
        <v>25340</v>
      </c>
      <c r="AR20" s="256">
        <f>+'1.Informe Seguimiento POA 2023'!T24</f>
        <v>0</v>
      </c>
      <c r="AS20" s="256">
        <f>+'1.Informe Seguimiento POA 2023'!U24</f>
        <v>17403</v>
      </c>
      <c r="AT20" s="256">
        <f>+'1.Informe Seguimiento POA 2023'!V24</f>
        <v>0</v>
      </c>
      <c r="AU20" s="256">
        <f>+'1.Informe Seguimiento POA 2023'!W24</f>
        <v>78131</v>
      </c>
      <c r="AV20" s="256">
        <f>+'1.Informe Seguimiento POA 2023'!X24</f>
        <v>42864</v>
      </c>
      <c r="AW20" s="576">
        <f>+'1.Informe Seguimiento POA 2023'!Y24</f>
        <v>0.54861706620931516</v>
      </c>
      <c r="AX20" s="508"/>
      <c r="AY20" s="508"/>
      <c r="AZ20" s="508"/>
      <c r="BA20" s="508"/>
      <c r="BB20" s="508"/>
      <c r="BC20" s="508"/>
      <c r="BD20" s="508"/>
      <c r="BE20" s="508"/>
      <c r="BF20" s="256">
        <f t="shared" si="0"/>
        <v>19000</v>
      </c>
      <c r="BG20" s="256"/>
      <c r="BH20" s="508"/>
      <c r="BI20" s="256">
        <f t="shared" ref="BI20" si="12">+Q20+S20+U20+W20+AM20+AO20+AB20+AD20+AF20+AH20</f>
        <v>169318</v>
      </c>
      <c r="BJ20" s="256">
        <f t="shared" ref="BJ20" si="13">+R20+T20+V20+X20+AN20+AP20+AC20+AE20+AG20+AI20</f>
        <v>199344</v>
      </c>
      <c r="BK20" s="508">
        <f t="shared" si="4"/>
        <v>1.177334955527469</v>
      </c>
      <c r="BL20" s="508">
        <f t="shared" si="5"/>
        <v>0.86273321763516997</v>
      </c>
      <c r="BM20" s="785">
        <f t="shared" si="1"/>
        <v>0.6470499132263775</v>
      </c>
      <c r="BN20" s="1107">
        <f>+BM20+BM21+BM22+BM23+BM24+BM25</f>
        <v>0.89084772671869927</v>
      </c>
      <c r="BO20" s="1053"/>
      <c r="BP20" s="606"/>
      <c r="BQ20" s="606"/>
    </row>
    <row r="21" spans="2:69" ht="106.2" customHeight="1">
      <c r="B21" s="1012"/>
      <c r="C21" s="1077"/>
      <c r="D21" s="1110"/>
      <c r="E21" s="1081"/>
      <c r="F21" s="1077"/>
      <c r="G21" s="1077"/>
      <c r="H21" s="28" t="str">
        <f>+'1.Informe Seguimiento POA 2023'!D25</f>
        <v>1.2.2 Adelantar 22.448 acciones necesarias en favor de la población víctima del conflicto armado interno mediante el apoyo jurídico, la atención psicosocial, la gestión para acceso a derechos, la toma de declaraciones y la elaboración de derechos de petición.</v>
      </c>
      <c r="I21" s="78">
        <f>+'1.Informe Seguimiento POA 2023'!E25</f>
        <v>0.12</v>
      </c>
      <c r="J21" s="72">
        <f>+'1.Informe Seguimiento POA 2023'!F25</f>
        <v>22448</v>
      </c>
      <c r="K21" s="573" t="str">
        <f>+'1.Informe Seguimiento POA 2023'!I25</f>
        <v>Promoción y Defensa de Derechos</v>
      </c>
      <c r="L21" s="573" t="str">
        <f>+'1.Informe Seguimiento POA 2023'!J25</f>
        <v>P.D. para la Protección de las Víctimas del Conflicto Armado Interno
P.D. para la Coordinación de la Gestión de Personerías Locales y sus Personerías Locales adscritas</v>
      </c>
      <c r="M21" s="507">
        <f>+'1.Informe Seguimiento POA 2023'!K25</f>
        <v>5480</v>
      </c>
      <c r="N21" s="507">
        <f>+'1.Informe Seguimiento POA 2023'!L25</f>
        <v>5480</v>
      </c>
      <c r="O21" s="507">
        <f>+'1.Informe Seguimiento POA 2023'!M25</f>
        <v>7188</v>
      </c>
      <c r="P21" s="507">
        <f>+'1.Informe Seguimiento POA 2023'!N25</f>
        <v>4300</v>
      </c>
      <c r="Q21" s="256">
        <v>1404</v>
      </c>
      <c r="R21" s="256">
        <v>1308</v>
      </c>
      <c r="S21" s="256">
        <v>1944</v>
      </c>
      <c r="T21" s="256">
        <v>1590</v>
      </c>
      <c r="U21" s="256">
        <v>684</v>
      </c>
      <c r="V21" s="256">
        <v>2806</v>
      </c>
      <c r="W21" s="256">
        <v>1448</v>
      </c>
      <c r="X21" s="256">
        <v>2904</v>
      </c>
      <c r="Y21" s="256">
        <v>5480</v>
      </c>
      <c r="Z21" s="256">
        <v>8608</v>
      </c>
      <c r="AA21" s="765">
        <v>1.5708029197080291</v>
      </c>
      <c r="AB21" s="256">
        <v>920</v>
      </c>
      <c r="AC21" s="256">
        <v>2701</v>
      </c>
      <c r="AD21" s="256">
        <v>1760</v>
      </c>
      <c r="AE21" s="256">
        <v>2810</v>
      </c>
      <c r="AF21" s="256">
        <v>1680</v>
      </c>
      <c r="AG21" s="256">
        <v>2279</v>
      </c>
      <c r="AH21" s="256">
        <v>1120</v>
      </c>
      <c r="AI21" s="256">
        <v>2568</v>
      </c>
      <c r="AJ21" s="256">
        <v>5480</v>
      </c>
      <c r="AK21" s="256">
        <v>10358</v>
      </c>
      <c r="AL21" s="765">
        <v>1.8901459854014599</v>
      </c>
      <c r="AM21" s="256">
        <f>+'1.Informe Seguimiento POA 2023'!O25</f>
        <v>1338</v>
      </c>
      <c r="AN21" s="256">
        <f>+'1.Informe Seguimiento POA 2023'!P25</f>
        <v>2015</v>
      </c>
      <c r="AO21" s="256">
        <f>+'1.Informe Seguimiento POA 2023'!Q25</f>
        <v>2168</v>
      </c>
      <c r="AP21" s="256">
        <f>+'1.Informe Seguimiento POA 2023'!R25</f>
        <v>2566</v>
      </c>
      <c r="AQ21" s="256">
        <f>+'1.Informe Seguimiento POA 2023'!S25</f>
        <v>2088</v>
      </c>
      <c r="AR21" s="256">
        <f>+'1.Informe Seguimiento POA 2023'!T25</f>
        <v>0</v>
      </c>
      <c r="AS21" s="256">
        <f>+'1.Informe Seguimiento POA 2023'!U25</f>
        <v>1594</v>
      </c>
      <c r="AT21" s="256">
        <f>+'1.Informe Seguimiento POA 2023'!V25</f>
        <v>0</v>
      </c>
      <c r="AU21" s="256">
        <f>+'1.Informe Seguimiento POA 2023'!W25</f>
        <v>7188</v>
      </c>
      <c r="AV21" s="256">
        <f>+'1.Informe Seguimiento POA 2023'!X25</f>
        <v>4581</v>
      </c>
      <c r="AW21" s="576">
        <f>+'1.Informe Seguimiento POA 2023'!Y25</f>
        <v>0.63731218697829717</v>
      </c>
      <c r="AX21" s="508"/>
      <c r="AY21" s="508"/>
      <c r="AZ21" s="508"/>
      <c r="BA21" s="508"/>
      <c r="BB21" s="508"/>
      <c r="BC21" s="508"/>
      <c r="BD21" s="508"/>
      <c r="BE21" s="508"/>
      <c r="BF21" s="256">
        <f t="shared" si="0"/>
        <v>4300</v>
      </c>
      <c r="BG21" s="256"/>
      <c r="BH21" s="508"/>
      <c r="BI21" s="256">
        <f t="shared" ref="BI21:BI25" si="14">+Q21+S21+U21+W21+AM21+AO21+AB21+AD21+AF21+AH21</f>
        <v>14466</v>
      </c>
      <c r="BJ21" s="256">
        <f t="shared" ref="BJ21:BJ25" si="15">+R21+T21+V21+X21+AN21+AP21+AC21+AE21+AG21+AI21</f>
        <v>23547</v>
      </c>
      <c r="BK21" s="508">
        <f t="shared" si="4"/>
        <v>1.6277478224802986</v>
      </c>
      <c r="BL21" s="508">
        <f t="shared" si="5"/>
        <v>1.0489575908766928</v>
      </c>
      <c r="BM21" s="785">
        <f t="shared" si="1"/>
        <v>0.12587491090520314</v>
      </c>
      <c r="BN21" s="1108"/>
      <c r="BO21" s="1053"/>
      <c r="BP21" s="606"/>
      <c r="BQ21" s="606"/>
    </row>
    <row r="22" spans="2:69" ht="67.8" customHeight="1">
      <c r="B22" s="1012"/>
      <c r="C22" s="1077"/>
      <c r="D22" s="1110"/>
      <c r="E22" s="1081"/>
      <c r="F22" s="1077"/>
      <c r="G22" s="1077"/>
      <c r="H22" s="28" t="str">
        <f>+'1.Informe Seguimiento POA 2023'!D26</f>
        <v>1.2.3 Prevenir mediante la elaboración de 18.412 acciones constitucionales, la vulneración de derechos  con énfasis en sujetos de especial protección constitucional.</v>
      </c>
      <c r="I22" s="78">
        <f>+'1.Informe Seguimiento POA 2023'!E26</f>
        <v>0.09</v>
      </c>
      <c r="J22" s="72">
        <f>+'1.Informe Seguimiento POA 2023'!F26</f>
        <v>18412</v>
      </c>
      <c r="K22" s="573" t="str">
        <f>+'1.Informe Seguimiento POA 2023'!I26</f>
        <v>Promoción y Defensa de Derechos</v>
      </c>
      <c r="L22" s="573" t="str">
        <f>+'1.Informe Seguimiento POA 2023'!J26</f>
        <v>P.D. para Asuntos Jurisdiccionales y Víctimas.
P.D. para la Coordinación de la Gestión de Personerías Locales y sus Personerías Locales adscritas</v>
      </c>
      <c r="M22" s="507">
        <f>+'1.Informe Seguimiento POA 2023'!K26</f>
        <v>4790</v>
      </c>
      <c r="N22" s="507">
        <f>+'1.Informe Seguimiento POA 2023'!L26</f>
        <v>4790</v>
      </c>
      <c r="O22" s="507">
        <f>+'1.Informe Seguimiento POA 2023'!M26</f>
        <v>5832</v>
      </c>
      <c r="P22" s="507">
        <f>+'1.Informe Seguimiento POA 2023'!N26</f>
        <v>3000</v>
      </c>
      <c r="Q22" s="256">
        <v>1350</v>
      </c>
      <c r="R22" s="256">
        <v>1189</v>
      </c>
      <c r="S22" s="256">
        <v>1650</v>
      </c>
      <c r="T22" s="256">
        <v>1167</v>
      </c>
      <c r="U22" s="256">
        <v>1070</v>
      </c>
      <c r="V22" s="256">
        <v>1356</v>
      </c>
      <c r="W22" s="256">
        <v>720</v>
      </c>
      <c r="X22" s="256">
        <v>1750</v>
      </c>
      <c r="Y22" s="256">
        <v>4790</v>
      </c>
      <c r="Z22" s="256">
        <v>5462</v>
      </c>
      <c r="AA22" s="765">
        <v>1.1402922755741127</v>
      </c>
      <c r="AB22" s="256">
        <v>1311</v>
      </c>
      <c r="AC22" s="256">
        <v>1473</v>
      </c>
      <c r="AD22" s="256">
        <v>1674</v>
      </c>
      <c r="AE22" s="256">
        <v>1824</v>
      </c>
      <c r="AF22" s="256">
        <v>1107</v>
      </c>
      <c r="AG22" s="256">
        <v>2201</v>
      </c>
      <c r="AH22" s="256">
        <v>698</v>
      </c>
      <c r="AI22" s="256">
        <v>2040</v>
      </c>
      <c r="AJ22" s="256">
        <v>4790</v>
      </c>
      <c r="AK22" s="256">
        <v>7538</v>
      </c>
      <c r="AL22" s="765">
        <v>1.5736951983298539</v>
      </c>
      <c r="AM22" s="256">
        <f>+'1.Informe Seguimiento POA 2023'!O26</f>
        <v>1307</v>
      </c>
      <c r="AN22" s="256">
        <f>+'1.Informe Seguimiento POA 2023'!P26</f>
        <v>2040</v>
      </c>
      <c r="AO22" s="256">
        <f>+'1.Informe Seguimiento POA 2023'!Q26</f>
        <v>1545</v>
      </c>
      <c r="AP22" s="256">
        <f>+'1.Informe Seguimiento POA 2023'!R26</f>
        <v>2544</v>
      </c>
      <c r="AQ22" s="256">
        <f>+'1.Informe Seguimiento POA 2023'!S26</f>
        <v>1565</v>
      </c>
      <c r="AR22" s="256">
        <f>+'1.Informe Seguimiento POA 2023'!T26</f>
        <v>0</v>
      </c>
      <c r="AS22" s="256">
        <f>+'1.Informe Seguimiento POA 2023'!U26</f>
        <v>1415</v>
      </c>
      <c r="AT22" s="256">
        <f>+'1.Informe Seguimiento POA 2023'!V26</f>
        <v>0</v>
      </c>
      <c r="AU22" s="256">
        <f>+'1.Informe Seguimiento POA 2023'!W26</f>
        <v>5832</v>
      </c>
      <c r="AV22" s="256">
        <f>+'1.Informe Seguimiento POA 2023'!X26</f>
        <v>4584</v>
      </c>
      <c r="AW22" s="576">
        <f>+'1.Informe Seguimiento POA 2023'!Y26</f>
        <v>0.78600823045267487</v>
      </c>
      <c r="AX22" s="508"/>
      <c r="AY22" s="508"/>
      <c r="AZ22" s="508"/>
      <c r="BA22" s="508"/>
      <c r="BB22" s="508"/>
      <c r="BC22" s="508"/>
      <c r="BD22" s="508"/>
      <c r="BE22" s="508"/>
      <c r="BF22" s="256">
        <f t="shared" si="0"/>
        <v>3000</v>
      </c>
      <c r="BG22" s="256"/>
      <c r="BH22" s="508"/>
      <c r="BI22" s="256">
        <f t="shared" si="14"/>
        <v>12432</v>
      </c>
      <c r="BJ22" s="256">
        <f t="shared" si="15"/>
        <v>17584</v>
      </c>
      <c r="BK22" s="508">
        <f>IF(AND(BI22&gt;0),BJ22/BI22,"No programado")</f>
        <v>1.4144144144144144</v>
      </c>
      <c r="BL22" s="508">
        <f t="shared" si="5"/>
        <v>0.95502932869867474</v>
      </c>
      <c r="BM22" s="785">
        <f t="shared" si="1"/>
        <v>8.5952639582880727E-2</v>
      </c>
      <c r="BN22" s="1108"/>
      <c r="BO22" s="1053"/>
      <c r="BP22" s="606"/>
      <c r="BQ22" s="606"/>
    </row>
    <row r="23" spans="2:69" ht="85.2" customHeight="1">
      <c r="B23" s="1012"/>
      <c r="C23" s="1077"/>
      <c r="D23" s="1110"/>
      <c r="E23" s="1081"/>
      <c r="F23" s="1077"/>
      <c r="G23" s="1077"/>
      <c r="H23" s="28" t="str">
        <f>+'1.Informe Seguimiento POA 2023'!D27</f>
        <v>1.2.4 Fortalecer el ejercicio del ministerio público ante las comisarías de familia, verificando el cumplimiento a 3.154 medidas de protección que se imponen.</v>
      </c>
      <c r="I23" s="78">
        <f>+'1.Informe Seguimiento POA 2023'!E27</f>
        <v>0.02</v>
      </c>
      <c r="J23" s="72">
        <f>+'1.Informe Seguimiento POA 2023'!F27</f>
        <v>3154</v>
      </c>
      <c r="K23" s="573" t="str">
        <f>+'1.Informe Seguimiento POA 2023'!I27</f>
        <v>Promoción y Defensa de Derechos</v>
      </c>
      <c r="L23" s="573" t="str">
        <f>+'1.Informe Seguimiento POA 2023'!J27</f>
        <v>P.D. para la Familia y Sujetos de Especial Protección Constitucional</v>
      </c>
      <c r="M23" s="507">
        <f>+'1.Informe Seguimiento POA 2023'!K27</f>
        <v>940</v>
      </c>
      <c r="N23" s="507">
        <f>+'1.Informe Seguimiento POA 2023'!L27</f>
        <v>800</v>
      </c>
      <c r="O23" s="507">
        <f>+'1.Informe Seguimiento POA 2023'!M27</f>
        <v>814</v>
      </c>
      <c r="P23" s="507">
        <f>+'1.Informe Seguimiento POA 2023'!N27</f>
        <v>600</v>
      </c>
      <c r="Q23" s="256">
        <v>100</v>
      </c>
      <c r="R23" s="256">
        <v>264</v>
      </c>
      <c r="S23" s="256">
        <v>390</v>
      </c>
      <c r="T23" s="256">
        <v>224</v>
      </c>
      <c r="U23" s="256">
        <v>290</v>
      </c>
      <c r="V23" s="256">
        <v>244</v>
      </c>
      <c r="W23" s="256">
        <v>160</v>
      </c>
      <c r="X23" s="256">
        <v>177</v>
      </c>
      <c r="Y23" s="256">
        <v>940</v>
      </c>
      <c r="Z23" s="256">
        <v>909</v>
      </c>
      <c r="AA23" s="765">
        <v>0.96702127659574466</v>
      </c>
      <c r="AB23" s="256">
        <v>140</v>
      </c>
      <c r="AC23" s="256">
        <v>53</v>
      </c>
      <c r="AD23" s="256">
        <v>270</v>
      </c>
      <c r="AE23" s="256">
        <v>144</v>
      </c>
      <c r="AF23" s="256">
        <v>240</v>
      </c>
      <c r="AG23" s="256">
        <v>485</v>
      </c>
      <c r="AH23" s="256">
        <v>150</v>
      </c>
      <c r="AI23" s="256">
        <v>248</v>
      </c>
      <c r="AJ23" s="256">
        <v>800</v>
      </c>
      <c r="AK23" s="256">
        <v>930</v>
      </c>
      <c r="AL23" s="765">
        <v>1.1625000000000001</v>
      </c>
      <c r="AM23" s="256">
        <f>+'1.Informe Seguimiento POA 2023'!O27</f>
        <v>142</v>
      </c>
      <c r="AN23" s="256">
        <f>+'1.Informe Seguimiento POA 2023'!P27</f>
        <v>175</v>
      </c>
      <c r="AO23" s="256">
        <f>+'1.Informe Seguimiento POA 2023'!Q27</f>
        <v>276</v>
      </c>
      <c r="AP23" s="256">
        <f>+'1.Informe Seguimiento POA 2023'!R27</f>
        <v>156</v>
      </c>
      <c r="AQ23" s="256">
        <f>+'1.Informe Seguimiento POA 2023'!S27</f>
        <v>245</v>
      </c>
      <c r="AR23" s="256">
        <f>+'1.Informe Seguimiento POA 2023'!T27</f>
        <v>0</v>
      </c>
      <c r="AS23" s="256">
        <f>+'1.Informe Seguimiento POA 2023'!U27</f>
        <v>151</v>
      </c>
      <c r="AT23" s="256">
        <f>+'1.Informe Seguimiento POA 2023'!V27</f>
        <v>0</v>
      </c>
      <c r="AU23" s="256">
        <f>+'1.Informe Seguimiento POA 2023'!W27</f>
        <v>814</v>
      </c>
      <c r="AV23" s="256">
        <f>+'1.Informe Seguimiento POA 2023'!X27</f>
        <v>331</v>
      </c>
      <c r="AW23" s="576">
        <f>+'1.Informe Seguimiento POA 2023'!Y27</f>
        <v>0.40663390663390664</v>
      </c>
      <c r="AX23" s="508"/>
      <c r="AY23" s="508"/>
      <c r="AZ23" s="508"/>
      <c r="BA23" s="508"/>
      <c r="BB23" s="508"/>
      <c r="BC23" s="508"/>
      <c r="BD23" s="508"/>
      <c r="BE23" s="508"/>
      <c r="BF23" s="256">
        <f t="shared" si="0"/>
        <v>600</v>
      </c>
      <c r="BG23" s="256"/>
      <c r="BH23" s="508"/>
      <c r="BI23" s="256">
        <f t="shared" si="14"/>
        <v>2158</v>
      </c>
      <c r="BJ23" s="256">
        <f t="shared" si="15"/>
        <v>2170</v>
      </c>
      <c r="BK23" s="508">
        <f t="shared" si="4"/>
        <v>1.0055607043558852</v>
      </c>
      <c r="BL23" s="508">
        <f t="shared" si="5"/>
        <v>0.68801521876981608</v>
      </c>
      <c r="BM23" s="785">
        <f t="shared" si="1"/>
        <v>1.3760304375396323E-2</v>
      </c>
      <c r="BN23" s="1108"/>
      <c r="BO23" s="1053"/>
      <c r="BP23" s="606"/>
      <c r="BQ23" s="606"/>
    </row>
    <row r="24" spans="2:69" ht="120" customHeight="1">
      <c r="B24" s="1012"/>
      <c r="C24" s="1077"/>
      <c r="D24" s="1110"/>
      <c r="E24" s="1081"/>
      <c r="F24" s="1077"/>
      <c r="G24" s="1077"/>
      <c r="H24" s="28" t="str">
        <f>+'1.Informe Seguimiento POA 2023'!D28</f>
        <v>1.2.5 Participar en 9.024 comités, mesas y consejos interinstitucionales en garantía de derechos, con énfasis en temas relacionados con sujetos de especial protección constitucional, en particular, persona mayor, mujer y población migrante.</v>
      </c>
      <c r="I24" s="78">
        <f>+'1.Informe Seguimiento POA 2023'!E28</f>
        <v>0.01</v>
      </c>
      <c r="J24" s="72">
        <f>+'1.Informe Seguimiento POA 2023'!F28</f>
        <v>9024</v>
      </c>
      <c r="K24" s="573" t="str">
        <f>+'1.Informe Seguimiento POA 2023'!I28</f>
        <v>Promoción y Defensa de Derechos</v>
      </c>
      <c r="L24" s="573" t="str">
        <f>+'1.Informe Seguimiento POA 2023'!J28</f>
        <v>P.D. para la Coordinación del MP y DDHH, P.D. para Asuntos Penales I, Penales II, Derechos Humanos, Familia, Víctimas, Asuntos Jurisdiccionales y Consumidor.
 P.D. para la Coordinación de la Gestión de Personerías Locales y sus Personerías Locales adscritas</v>
      </c>
      <c r="M24" s="507">
        <f>+'1.Informe Seguimiento POA 2023'!K28</f>
        <v>2802</v>
      </c>
      <c r="N24" s="507">
        <f>+'1.Informe Seguimiento POA 2023'!L28</f>
        <v>2771</v>
      </c>
      <c r="O24" s="507">
        <f>+'1.Informe Seguimiento POA 2023'!M28</f>
        <v>2405</v>
      </c>
      <c r="P24" s="507">
        <f>+'1.Informe Seguimiento POA 2023'!N28</f>
        <v>1046</v>
      </c>
      <c r="Q24" s="256">
        <v>196</v>
      </c>
      <c r="R24" s="256">
        <v>642</v>
      </c>
      <c r="S24" s="256">
        <v>327</v>
      </c>
      <c r="T24" s="256">
        <v>722</v>
      </c>
      <c r="U24" s="256">
        <v>451</v>
      </c>
      <c r="V24" s="256">
        <v>856</v>
      </c>
      <c r="W24" s="256">
        <v>1828</v>
      </c>
      <c r="X24" s="256">
        <v>933</v>
      </c>
      <c r="Y24" s="256">
        <v>2802</v>
      </c>
      <c r="Z24" s="256">
        <v>3153</v>
      </c>
      <c r="AA24" s="765">
        <v>1.1252676659528908</v>
      </c>
      <c r="AB24" s="256">
        <v>678</v>
      </c>
      <c r="AC24" s="256">
        <v>602</v>
      </c>
      <c r="AD24" s="256">
        <v>702</v>
      </c>
      <c r="AE24" s="256">
        <v>847</v>
      </c>
      <c r="AF24" s="256">
        <v>703</v>
      </c>
      <c r="AG24" s="256">
        <v>810</v>
      </c>
      <c r="AH24" s="256">
        <v>688</v>
      </c>
      <c r="AI24" s="256">
        <v>811</v>
      </c>
      <c r="AJ24" s="256">
        <v>2771</v>
      </c>
      <c r="AK24" s="256">
        <v>3070</v>
      </c>
      <c r="AL24" s="765">
        <v>1.1079032840129917</v>
      </c>
      <c r="AM24" s="256">
        <f>+'1.Informe Seguimiento POA 2023'!O28</f>
        <v>544</v>
      </c>
      <c r="AN24" s="256">
        <f>+'1.Informe Seguimiento POA 2023'!P28</f>
        <v>483</v>
      </c>
      <c r="AO24" s="256">
        <f>+'1.Informe Seguimiento POA 2023'!Q28</f>
        <v>652</v>
      </c>
      <c r="AP24" s="256">
        <f>+'1.Informe Seguimiento POA 2023'!R28</f>
        <v>828</v>
      </c>
      <c r="AQ24" s="256">
        <f>+'1.Informe Seguimiento POA 2023'!S28</f>
        <v>657</v>
      </c>
      <c r="AR24" s="256">
        <f>+'1.Informe Seguimiento POA 2023'!T28</f>
        <v>0</v>
      </c>
      <c r="AS24" s="256">
        <f>+'1.Informe Seguimiento POA 2023'!U28</f>
        <v>552</v>
      </c>
      <c r="AT24" s="256">
        <f>+'1.Informe Seguimiento POA 2023'!V28</f>
        <v>0</v>
      </c>
      <c r="AU24" s="256">
        <f>+'1.Informe Seguimiento POA 2023'!W28</f>
        <v>2405</v>
      </c>
      <c r="AV24" s="256">
        <f>+'1.Informe Seguimiento POA 2023'!X28</f>
        <v>1311</v>
      </c>
      <c r="AW24" s="576">
        <f>+'1.Informe Seguimiento POA 2023'!Y28</f>
        <v>0.54511434511434509</v>
      </c>
      <c r="AX24" s="508"/>
      <c r="AY24" s="508"/>
      <c r="AZ24" s="508"/>
      <c r="BA24" s="508"/>
      <c r="BB24" s="508"/>
      <c r="BC24" s="508"/>
      <c r="BD24" s="508"/>
      <c r="BE24" s="508"/>
      <c r="BF24" s="256">
        <f t="shared" si="0"/>
        <v>1046</v>
      </c>
      <c r="BG24" s="256"/>
      <c r="BH24" s="508"/>
      <c r="BI24" s="256">
        <f t="shared" si="14"/>
        <v>6769</v>
      </c>
      <c r="BJ24" s="256">
        <f t="shared" si="15"/>
        <v>7534</v>
      </c>
      <c r="BK24" s="508">
        <f t="shared" si="4"/>
        <v>1.1130152164278329</v>
      </c>
      <c r="BL24" s="508">
        <f t="shared" si="5"/>
        <v>0.83488475177304966</v>
      </c>
      <c r="BM24" s="785">
        <f t="shared" si="1"/>
        <v>8.3488475177304969E-3</v>
      </c>
      <c r="BN24" s="1108"/>
      <c r="BO24" s="1053"/>
      <c r="BP24" s="606"/>
      <c r="BQ24" s="606"/>
    </row>
    <row r="25" spans="2:69" ht="105">
      <c r="B25" s="1012"/>
      <c r="C25" s="1072"/>
      <c r="D25" s="1111"/>
      <c r="E25" s="1082"/>
      <c r="F25" s="1072"/>
      <c r="G25" s="1072"/>
      <c r="H25" s="28" t="str">
        <f>+'1.Informe Seguimiento POA 2023'!D29</f>
        <v>1.2.6 Realizar 792 seguimientos a la amenaza y vulneración de los derechos, con énfasis en sujetos de especial protección constitucional, en particular, persona mayor, mujer y población migrante</v>
      </c>
      <c r="I25" s="78">
        <f>+'1.Informe Seguimiento POA 2023'!E29</f>
        <v>0.01</v>
      </c>
      <c r="J25" s="72">
        <f>+'1.Informe Seguimiento POA 2023'!F29</f>
        <v>792</v>
      </c>
      <c r="K25" s="573" t="str">
        <f>+'1.Informe Seguimiento POA 2023'!I29</f>
        <v>Promoción y Defensa de Derechos</v>
      </c>
      <c r="L25" s="573" t="str">
        <f>+'1.Informe Seguimiento POA 2023'!J29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507">
        <f>+'1.Informe Seguimiento POA 2023'!K29</f>
        <v>228</v>
      </c>
      <c r="N25" s="507">
        <f>+'1.Informe Seguimiento POA 2023'!L29</f>
        <v>208</v>
      </c>
      <c r="O25" s="507">
        <f>+'1.Informe Seguimiento POA 2023'!M29</f>
        <v>236</v>
      </c>
      <c r="P25" s="507">
        <f>+'1.Informe Seguimiento POA 2023'!N29</f>
        <v>120</v>
      </c>
      <c r="Q25" s="256">
        <v>41</v>
      </c>
      <c r="R25" s="256">
        <v>64</v>
      </c>
      <c r="S25" s="256">
        <v>51</v>
      </c>
      <c r="T25" s="256">
        <v>88</v>
      </c>
      <c r="U25" s="256">
        <v>72</v>
      </c>
      <c r="V25" s="256">
        <v>87</v>
      </c>
      <c r="W25" s="256">
        <v>64</v>
      </c>
      <c r="X25" s="256">
        <v>61</v>
      </c>
      <c r="Y25" s="256">
        <v>228</v>
      </c>
      <c r="Z25" s="256">
        <v>300</v>
      </c>
      <c r="AA25" s="765">
        <v>1.3157894736842106</v>
      </c>
      <c r="AB25" s="256">
        <v>45</v>
      </c>
      <c r="AC25" s="256">
        <v>88</v>
      </c>
      <c r="AD25" s="256">
        <v>64</v>
      </c>
      <c r="AE25" s="256">
        <v>94</v>
      </c>
      <c r="AF25" s="256">
        <v>57</v>
      </c>
      <c r="AG25" s="256">
        <v>87</v>
      </c>
      <c r="AH25" s="256">
        <v>42</v>
      </c>
      <c r="AI25" s="256">
        <v>80</v>
      </c>
      <c r="AJ25" s="256">
        <v>208</v>
      </c>
      <c r="AK25" s="256">
        <v>349</v>
      </c>
      <c r="AL25" s="765">
        <v>1.6778846153846154</v>
      </c>
      <c r="AM25" s="256">
        <f>+'1.Informe Seguimiento POA 2023'!O29</f>
        <v>44</v>
      </c>
      <c r="AN25" s="256">
        <f>+'1.Informe Seguimiento POA 2023'!P29</f>
        <v>50</v>
      </c>
      <c r="AO25" s="256">
        <f>+'1.Informe Seguimiento POA 2023'!Q29</f>
        <v>76</v>
      </c>
      <c r="AP25" s="256">
        <f>+'1.Informe Seguimiento POA 2023'!R29</f>
        <v>82</v>
      </c>
      <c r="AQ25" s="256">
        <f>+'1.Informe Seguimiento POA 2023'!S29</f>
        <v>69</v>
      </c>
      <c r="AR25" s="256">
        <f>+'1.Informe Seguimiento POA 2023'!T29</f>
        <v>0</v>
      </c>
      <c r="AS25" s="256">
        <f>+'1.Informe Seguimiento POA 2023'!U29</f>
        <v>47</v>
      </c>
      <c r="AT25" s="256">
        <f>+'1.Informe Seguimiento POA 2023'!V29</f>
        <v>0</v>
      </c>
      <c r="AU25" s="256">
        <f>+'1.Informe Seguimiento POA 2023'!W29</f>
        <v>236</v>
      </c>
      <c r="AV25" s="256">
        <f>+'1.Informe Seguimiento POA 2023'!X29</f>
        <v>132</v>
      </c>
      <c r="AW25" s="576">
        <f>+'1.Informe Seguimiento POA 2023'!Y29</f>
        <v>0.55932203389830504</v>
      </c>
      <c r="AX25" s="508"/>
      <c r="AY25" s="508"/>
      <c r="AZ25" s="508"/>
      <c r="BA25" s="508"/>
      <c r="BB25" s="508"/>
      <c r="BC25" s="508"/>
      <c r="BD25" s="508"/>
      <c r="BE25" s="508"/>
      <c r="BF25" s="256">
        <f t="shared" si="0"/>
        <v>120</v>
      </c>
      <c r="BG25" s="256"/>
      <c r="BH25" s="508"/>
      <c r="BI25" s="256">
        <f t="shared" si="14"/>
        <v>556</v>
      </c>
      <c r="BJ25" s="256">
        <f t="shared" si="15"/>
        <v>781</v>
      </c>
      <c r="BK25" s="508">
        <f t="shared" si="4"/>
        <v>1.4046762589928057</v>
      </c>
      <c r="BL25" s="508">
        <f t="shared" si="5"/>
        <v>0.98611111111111116</v>
      </c>
      <c r="BM25" s="785">
        <f t="shared" si="1"/>
        <v>9.8611111111111122E-3</v>
      </c>
      <c r="BN25" s="1182"/>
      <c r="BO25" s="1053"/>
      <c r="BP25" s="606"/>
      <c r="BQ25" s="606"/>
    </row>
    <row r="26" spans="2:69" ht="90" customHeight="1">
      <c r="B26" s="1012"/>
      <c r="C26" s="1071" t="str">
        <f>+'Matriz PEI 2021-2024'!C12</f>
        <v>1.3. Construir e Implementar 35 estrategias que permitan incrementar la oferta y cobertura de los servicios prestados por la Entidad.</v>
      </c>
      <c r="D26" s="1115">
        <f>+'Matriz PEI 2021-2024'!E12</f>
        <v>35</v>
      </c>
      <c r="E26" s="1080">
        <f>+'Matriz PEI 2021-2024'!D12</f>
        <v>0.1</v>
      </c>
      <c r="F26" s="1071" t="s">
        <v>896</v>
      </c>
      <c r="G26" s="1071" t="s">
        <v>897</v>
      </c>
      <c r="H26" s="28" t="str">
        <f>+'1.Informe Seguimiento POA 2023'!D30</f>
        <v>1.3.1 Realizar 20 actividades que permitan el acercamiento de la Entidad a la Comunidad.</v>
      </c>
      <c r="I26" s="78">
        <f>+'1.Informe Seguimiento POA 2023'!E30</f>
        <v>0.56000000000000005</v>
      </c>
      <c r="J26" s="72">
        <f>+'1.Informe Seguimiento POA 2023'!F30</f>
        <v>20</v>
      </c>
      <c r="K26" s="573" t="str">
        <f>+'1.Informe Seguimiento POA 2023'!I30</f>
        <v>Promoción y Defensa de Derechos</v>
      </c>
      <c r="L26" s="573" t="str">
        <f>+'1.Informe Seguimiento POA 2023'!J30</f>
        <v>P.D. para la Coordinación del MP y DDHH y sus dependencias adscritas
 P.D. para la Coordinación de la Gestión de Personerías Locales y sus Personerías Locales adscritas</v>
      </c>
      <c r="M26" s="507">
        <f>+'1.Informe Seguimiento POA 2023'!K30</f>
        <v>2</v>
      </c>
      <c r="N26" s="507">
        <f>+'1.Informe Seguimiento POA 2023'!L30</f>
        <v>8</v>
      </c>
      <c r="O26" s="507">
        <f>+'1.Informe Seguimiento POA 2023'!M30</f>
        <v>8</v>
      </c>
      <c r="P26" s="507">
        <f>+'1.Informe Seguimiento POA 2023'!N30</f>
        <v>2</v>
      </c>
      <c r="Q26" s="256">
        <v>0</v>
      </c>
      <c r="R26" s="256">
        <v>0</v>
      </c>
      <c r="S26" s="256">
        <v>0</v>
      </c>
      <c r="T26" s="256">
        <v>0.1</v>
      </c>
      <c r="U26" s="256">
        <v>2</v>
      </c>
      <c r="V26" s="256">
        <v>0.6</v>
      </c>
      <c r="W26" s="256">
        <v>0</v>
      </c>
      <c r="X26" s="256">
        <v>1.3</v>
      </c>
      <c r="Y26" s="256">
        <v>2</v>
      </c>
      <c r="Z26" s="256">
        <v>2</v>
      </c>
      <c r="AA26" s="765">
        <v>1</v>
      </c>
      <c r="AB26" s="256">
        <v>0</v>
      </c>
      <c r="AC26" s="256">
        <v>0.2</v>
      </c>
      <c r="AD26" s="256">
        <v>2</v>
      </c>
      <c r="AE26" s="256">
        <v>1.8000000000000003</v>
      </c>
      <c r="AF26" s="256">
        <v>5</v>
      </c>
      <c r="AG26" s="256">
        <v>2.6</v>
      </c>
      <c r="AH26" s="256">
        <v>1</v>
      </c>
      <c r="AI26" s="256">
        <v>3.4</v>
      </c>
      <c r="AJ26" s="256">
        <v>8</v>
      </c>
      <c r="AK26" s="256">
        <v>8</v>
      </c>
      <c r="AL26" s="765">
        <v>1</v>
      </c>
      <c r="AM26" s="256">
        <f>+'1.Informe Seguimiento POA 2023'!O30</f>
        <v>0</v>
      </c>
      <c r="AN26" s="256">
        <f>+'1.Informe Seguimiento POA 2023'!P30</f>
        <v>0.4</v>
      </c>
      <c r="AO26" s="256">
        <f>+'1.Informe Seguimiento POA 2023'!Q30</f>
        <v>2</v>
      </c>
      <c r="AP26" s="256">
        <f>+'1.Informe Seguimiento POA 2023'!R30</f>
        <v>6.4</v>
      </c>
      <c r="AQ26" s="256">
        <f>+'1.Informe Seguimiento POA 2023'!S30</f>
        <v>5.6</v>
      </c>
      <c r="AR26" s="256">
        <f>+'1.Informe Seguimiento POA 2023'!T30</f>
        <v>0</v>
      </c>
      <c r="AS26" s="256">
        <f>+'1.Informe Seguimiento POA 2023'!U30</f>
        <v>0.4</v>
      </c>
      <c r="AT26" s="256">
        <f>+'1.Informe Seguimiento POA 2023'!V30</f>
        <v>0</v>
      </c>
      <c r="AU26" s="256">
        <f>+'1.Informe Seguimiento POA 2023'!W30</f>
        <v>8</v>
      </c>
      <c r="AV26" s="256">
        <f>+'1.Informe Seguimiento POA 2023'!X30</f>
        <v>6.8000000000000007</v>
      </c>
      <c r="AW26" s="576">
        <f>+'1.Informe Seguimiento POA 2023'!Y30</f>
        <v>0.85000000000000009</v>
      </c>
      <c r="AX26" s="508"/>
      <c r="AY26" s="508"/>
      <c r="AZ26" s="508"/>
      <c r="BA26" s="508"/>
      <c r="BB26" s="508"/>
      <c r="BC26" s="508"/>
      <c r="BD26" s="508"/>
      <c r="BE26" s="508"/>
      <c r="BF26" s="256">
        <f t="shared" si="0"/>
        <v>2</v>
      </c>
      <c r="BG26" s="256"/>
      <c r="BH26" s="508"/>
      <c r="BI26" s="256">
        <f t="shared" ref="BI26:BI28" si="16">+Q26+S26+U26+W26+AM26+AO26+AB26+AD26+AF26+AH26</f>
        <v>12</v>
      </c>
      <c r="BJ26" s="256">
        <f t="shared" ref="BJ26:BJ28" si="17">+R26+T26+V26+X26+AN26+AP26+AC26+AE26+AG26+AI26</f>
        <v>16.8</v>
      </c>
      <c r="BK26" s="508">
        <f t="shared" si="4"/>
        <v>1.4000000000000001</v>
      </c>
      <c r="BL26" s="508">
        <f t="shared" si="5"/>
        <v>0.84000000000000008</v>
      </c>
      <c r="BM26" s="785">
        <f t="shared" si="1"/>
        <v>0.4704000000000001</v>
      </c>
      <c r="BN26" s="1107">
        <f>+BM26+BM27+BM28</f>
        <v>0.73267272727272736</v>
      </c>
      <c r="BO26" s="1053"/>
      <c r="BP26" s="606"/>
      <c r="BQ26" s="606"/>
    </row>
    <row r="27" spans="2:69" ht="92.25" customHeight="1">
      <c r="B27" s="1012"/>
      <c r="C27" s="1077"/>
      <c r="D27" s="1116"/>
      <c r="E27" s="1081"/>
      <c r="F27" s="1077"/>
      <c r="G27" s="1077"/>
      <c r="H27" s="28" t="str">
        <f>+'1.Informe Seguimiento POA 2023'!D31</f>
        <v>1.3.2 Incrementar la cobertura de los servicios que presta el proceso de Promoción y Defensa de Derechos, mediante la implementación de 11 acciones que propendan por el mejoramiento de los mismos.</v>
      </c>
      <c r="I27" s="78">
        <f>+'1.Informe Seguimiento POA 2023'!E31</f>
        <v>0.31</v>
      </c>
      <c r="J27" s="72">
        <f>+'1.Informe Seguimiento POA 2023'!F31</f>
        <v>11</v>
      </c>
      <c r="K27" s="573" t="str">
        <f>+'1.Informe Seguimiento POA 2023'!I31</f>
        <v>Promoción y Defensa de Derechos</v>
      </c>
      <c r="L27" s="573" t="str">
        <f>+'1.Informe Seguimiento POA 2023'!J31</f>
        <v>P.D. para la Coordinación del MP y DDHH y sus dependencias adscritas
 P.D. para la Coordinación de la Gestión de Personerías Locales y sus Personerías Locales adscritas</v>
      </c>
      <c r="M27" s="507">
        <f>+'1.Informe Seguimiento POA 2023'!K31</f>
        <v>3</v>
      </c>
      <c r="N27" s="507">
        <f>+'1.Informe Seguimiento POA 2023'!L31</f>
        <v>3</v>
      </c>
      <c r="O27" s="507">
        <f>+'1.Informe Seguimiento POA 2023'!M31</f>
        <v>3</v>
      </c>
      <c r="P27" s="507">
        <f>+'1.Informe Seguimiento POA 2023'!N31</f>
        <v>2</v>
      </c>
      <c r="Q27" s="256">
        <v>0</v>
      </c>
      <c r="R27" s="256">
        <v>0</v>
      </c>
      <c r="S27" s="256">
        <v>1</v>
      </c>
      <c r="T27" s="256">
        <v>0</v>
      </c>
      <c r="U27" s="256">
        <v>2</v>
      </c>
      <c r="V27" s="256">
        <v>1</v>
      </c>
      <c r="W27" s="256">
        <v>0</v>
      </c>
      <c r="X27" s="256">
        <v>2</v>
      </c>
      <c r="Y27" s="256">
        <v>3</v>
      </c>
      <c r="Z27" s="256">
        <v>3</v>
      </c>
      <c r="AA27" s="765">
        <v>1</v>
      </c>
      <c r="AB27" s="256">
        <v>0</v>
      </c>
      <c r="AC27" s="256">
        <v>0</v>
      </c>
      <c r="AD27" s="256">
        <v>0</v>
      </c>
      <c r="AE27" s="256">
        <v>0</v>
      </c>
      <c r="AF27" s="256">
        <v>3</v>
      </c>
      <c r="AG27" s="256">
        <v>1</v>
      </c>
      <c r="AH27" s="256">
        <v>0</v>
      </c>
      <c r="AI27" s="256">
        <v>2</v>
      </c>
      <c r="AJ27" s="256">
        <v>3</v>
      </c>
      <c r="AK27" s="256">
        <v>3</v>
      </c>
      <c r="AL27" s="765">
        <v>1</v>
      </c>
      <c r="AM27" s="256">
        <f>+'1.Informe Seguimiento POA 2023'!O31</f>
        <v>0</v>
      </c>
      <c r="AN27" s="256">
        <f>+'1.Informe Seguimiento POA 2023'!P31</f>
        <v>0</v>
      </c>
      <c r="AO27" s="256">
        <f>+'1.Informe Seguimiento POA 2023'!Q31</f>
        <v>1</v>
      </c>
      <c r="AP27" s="256">
        <f>+'1.Informe Seguimiento POA 2023'!R31</f>
        <v>1</v>
      </c>
      <c r="AQ27" s="256">
        <f>+'1.Informe Seguimiento POA 2023'!S31</f>
        <v>0</v>
      </c>
      <c r="AR27" s="256">
        <f>+'1.Informe Seguimiento POA 2023'!T31</f>
        <v>0</v>
      </c>
      <c r="AS27" s="256">
        <f>+'1.Informe Seguimiento POA 2023'!U31</f>
        <v>2</v>
      </c>
      <c r="AT27" s="256">
        <f>+'1.Informe Seguimiento POA 2023'!V31</f>
        <v>0</v>
      </c>
      <c r="AU27" s="256">
        <f>+'1.Informe Seguimiento POA 2023'!W31</f>
        <v>3</v>
      </c>
      <c r="AV27" s="256">
        <f>+'1.Informe Seguimiento POA 2023'!X31</f>
        <v>1</v>
      </c>
      <c r="AW27" s="576">
        <f>+'1.Informe Seguimiento POA 2023'!Y31</f>
        <v>0.33333333333333331</v>
      </c>
      <c r="AX27" s="508"/>
      <c r="AY27" s="508"/>
      <c r="AZ27" s="508"/>
      <c r="BA27" s="508"/>
      <c r="BB27" s="508"/>
      <c r="BC27" s="508"/>
      <c r="BD27" s="508"/>
      <c r="BE27" s="508"/>
      <c r="BF27" s="256">
        <f t="shared" si="0"/>
        <v>2</v>
      </c>
      <c r="BG27" s="256"/>
      <c r="BH27" s="508"/>
      <c r="BI27" s="256">
        <f t="shared" si="16"/>
        <v>7</v>
      </c>
      <c r="BJ27" s="256">
        <f t="shared" si="17"/>
        <v>7</v>
      </c>
      <c r="BK27" s="508">
        <f>IF(AND(BI27&gt;0),BJ27/BI27,"No programado")</f>
        <v>1</v>
      </c>
      <c r="BL27" s="508">
        <f t="shared" si="5"/>
        <v>0.63636363636363635</v>
      </c>
      <c r="BM27" s="785">
        <f t="shared" si="1"/>
        <v>0.19727272727272727</v>
      </c>
      <c r="BN27" s="1108"/>
      <c r="BO27" s="1053"/>
      <c r="BP27" s="606"/>
      <c r="BQ27" s="606"/>
    </row>
    <row r="28" spans="2:69" ht="83.25" customHeight="1">
      <c r="B28" s="1012"/>
      <c r="C28" s="1077"/>
      <c r="D28" s="1116"/>
      <c r="E28" s="1081"/>
      <c r="F28" s="1077"/>
      <c r="G28" s="1077"/>
      <c r="H28" s="28" t="str">
        <f>+'1.Informe Seguimiento POA 2023'!D32</f>
        <v>1.3.3 Implementar 4 herramientas para la promoción y prevención a infracciones del Derecho Internacional Humanitario en el Distrito Capital</v>
      </c>
      <c r="I28" s="78">
        <f>+'1.Informe Seguimiento POA 2023'!E32</f>
        <v>0.13</v>
      </c>
      <c r="J28" s="72">
        <f>+'1.Informe Seguimiento POA 2023'!F32</f>
        <v>4</v>
      </c>
      <c r="K28" s="573" t="str">
        <f>+'1.Informe Seguimiento POA 2023'!I32</f>
        <v>Promoción y Defensa de Derechos</v>
      </c>
      <c r="L28" s="573" t="str">
        <f>+'1.Informe Seguimiento POA 2023'!J32</f>
        <v>P.D. para la Coordinación del MP y DDHH y sus dependencias adscritas
 P.D. para la Coordinación de la Gestión de Personerías Locales y sus Personerías Locales adscritas</v>
      </c>
      <c r="M28" s="507">
        <f>+'1.Informe Seguimiento POA 2023'!K32</f>
        <v>1</v>
      </c>
      <c r="N28" s="507">
        <f>+'1.Informe Seguimiento POA 2023'!L32</f>
        <v>1</v>
      </c>
      <c r="O28" s="507">
        <f>+'1.Informe Seguimiento POA 2023'!M32</f>
        <v>1</v>
      </c>
      <c r="P28" s="507">
        <f>+'1.Informe Seguimiento POA 2023'!N32</f>
        <v>1</v>
      </c>
      <c r="Q28" s="256">
        <v>0</v>
      </c>
      <c r="R28" s="256">
        <v>0</v>
      </c>
      <c r="S28" s="256">
        <v>0</v>
      </c>
      <c r="T28" s="256">
        <v>0</v>
      </c>
      <c r="U28" s="256">
        <v>1</v>
      </c>
      <c r="V28" s="256">
        <v>0</v>
      </c>
      <c r="W28" s="256">
        <v>0</v>
      </c>
      <c r="X28" s="256">
        <v>1</v>
      </c>
      <c r="Y28" s="256">
        <v>1</v>
      </c>
      <c r="Z28" s="256">
        <v>1</v>
      </c>
      <c r="AA28" s="765">
        <v>1</v>
      </c>
      <c r="AB28" s="256">
        <v>0</v>
      </c>
      <c r="AC28" s="256">
        <v>0</v>
      </c>
      <c r="AD28" s="256">
        <v>0</v>
      </c>
      <c r="AE28" s="256">
        <v>0</v>
      </c>
      <c r="AF28" s="256">
        <v>0</v>
      </c>
      <c r="AG28" s="256">
        <v>0</v>
      </c>
      <c r="AH28" s="256">
        <v>1</v>
      </c>
      <c r="AI28" s="256">
        <v>1</v>
      </c>
      <c r="AJ28" s="256">
        <v>1</v>
      </c>
      <c r="AK28" s="256">
        <v>1</v>
      </c>
      <c r="AL28" s="765">
        <v>1</v>
      </c>
      <c r="AM28" s="256">
        <f>+'1.Informe Seguimiento POA 2023'!O32</f>
        <v>0</v>
      </c>
      <c r="AN28" s="256">
        <f>+'1.Informe Seguimiento POA 2023'!P32</f>
        <v>0</v>
      </c>
      <c r="AO28" s="256">
        <f>+'1.Informe Seguimiento POA 2023'!Q32</f>
        <v>0</v>
      </c>
      <c r="AP28" s="256">
        <f>+'1.Informe Seguimiento POA 2023'!R32</f>
        <v>0</v>
      </c>
      <c r="AQ28" s="256">
        <f>+'1.Informe Seguimiento POA 2023'!S32</f>
        <v>0</v>
      </c>
      <c r="AR28" s="256">
        <f>+'1.Informe Seguimiento POA 2023'!T32</f>
        <v>0</v>
      </c>
      <c r="AS28" s="256">
        <f>+'1.Informe Seguimiento POA 2023'!U32</f>
        <v>1</v>
      </c>
      <c r="AT28" s="256">
        <f>+'1.Informe Seguimiento POA 2023'!V32</f>
        <v>0</v>
      </c>
      <c r="AU28" s="256">
        <f>+'1.Informe Seguimiento POA 2023'!W32</f>
        <v>1</v>
      </c>
      <c r="AV28" s="256">
        <f>+'1.Informe Seguimiento POA 2023'!X32</f>
        <v>0</v>
      </c>
      <c r="AW28" s="576">
        <f>+'1.Informe Seguimiento POA 2023'!Y32</f>
        <v>0</v>
      </c>
      <c r="AX28" s="508"/>
      <c r="AY28" s="508"/>
      <c r="AZ28" s="508"/>
      <c r="BA28" s="508"/>
      <c r="BB28" s="508"/>
      <c r="BC28" s="508"/>
      <c r="BD28" s="508"/>
      <c r="BE28" s="508"/>
      <c r="BF28" s="256">
        <f t="shared" si="0"/>
        <v>1</v>
      </c>
      <c r="BG28" s="256"/>
      <c r="BH28" s="508"/>
      <c r="BI28" s="256">
        <f t="shared" si="16"/>
        <v>2</v>
      </c>
      <c r="BJ28" s="256">
        <f t="shared" si="17"/>
        <v>2</v>
      </c>
      <c r="BK28" s="508">
        <f>IF(AND(BI28&gt;0),BJ28/BI28,"No programado")</f>
        <v>1</v>
      </c>
      <c r="BL28" s="508">
        <f t="shared" si="5"/>
        <v>0.5</v>
      </c>
      <c r="BM28" s="785">
        <f t="shared" si="1"/>
        <v>6.5000000000000002E-2</v>
      </c>
      <c r="BN28" s="1108"/>
      <c r="BO28" s="1053"/>
      <c r="BP28" s="606"/>
      <c r="BQ28" s="606"/>
    </row>
    <row r="29" spans="2:69" ht="102" customHeight="1">
      <c r="B29" s="1042" t="str">
        <f>+'Matriz PEI 2021-2024'!B13</f>
        <v>2. Realizar acciones de prevención y control a la Función Pública, en el marco del cumplimiento del Plan de Desarrollo, con énfasis en los Derechos e intereses colectivos.</v>
      </c>
      <c r="C29" s="1112" t="str">
        <f>+'Matriz PEI 2021-2024'!C13</f>
        <v>2.1. Realizar 22 acciones de prevención y control a la función pública en medio ambiente, agua, protección y bienestar animal y desarrollo urbano.</v>
      </c>
      <c r="D29" s="1150">
        <f>+'Matriz PEI 2021-2024'!E13</f>
        <v>22</v>
      </c>
      <c r="E29" s="1148">
        <f>+'Matriz PEI 2021-2024'!D13</f>
        <v>0.3</v>
      </c>
      <c r="F29" s="1112" t="s">
        <v>898</v>
      </c>
      <c r="G29" s="1112" t="s">
        <v>899</v>
      </c>
      <c r="H29" s="80" t="str">
        <f>+'1.Informe Seguimiento POA 2023'!D33</f>
        <v>2.1.1 Realizar 16 informes en los cuales se evalúen las políticas ambientales, el manejo de recursos hídricos, protección y bienestar animal y desarrollo urbano en el Distrito Capital.</v>
      </c>
      <c r="I29" s="81">
        <f>+'1.Informe Seguimiento POA 2023'!E33</f>
        <v>0.72727272727272696</v>
      </c>
      <c r="J29" s="82">
        <f>+'1.Informe Seguimiento POA 2023'!F33</f>
        <v>16</v>
      </c>
      <c r="K29" s="512" t="str">
        <f>+'1.Informe Seguimiento POA 2023'!I33</f>
        <v>Prevención y Control a la Función Pública</v>
      </c>
      <c r="L29" s="110" t="str">
        <f>+'1.Informe Seguimiento POA 2023'!J33</f>
        <v xml:space="preserve">Personería Delegada para la Coordinación de Prevención y Control a la Función Pública y sus Personerías Delegadas.
Personería Delegada para la Coordinación de Gestión de las Personerías Locales y sus Personerías Locales. </v>
      </c>
      <c r="M29" s="513">
        <f>+'1.Informe Seguimiento POA 2023'!K33</f>
        <v>2</v>
      </c>
      <c r="N29" s="513">
        <f>+'1.Informe Seguimiento POA 2023'!L33</f>
        <v>7</v>
      </c>
      <c r="O29" s="513">
        <f>+'1.Informe Seguimiento POA 2023'!M33</f>
        <v>6</v>
      </c>
      <c r="P29" s="513">
        <f>+'1.Informe Seguimiento POA 2023'!N33</f>
        <v>1</v>
      </c>
      <c r="Q29" s="254">
        <v>0</v>
      </c>
      <c r="R29" s="254">
        <v>0</v>
      </c>
      <c r="S29" s="254">
        <v>0</v>
      </c>
      <c r="T29" s="577">
        <v>0</v>
      </c>
      <c r="U29" s="254">
        <v>2</v>
      </c>
      <c r="V29" s="577">
        <v>0</v>
      </c>
      <c r="W29" s="254">
        <v>0</v>
      </c>
      <c r="X29" s="577">
        <v>2</v>
      </c>
      <c r="Y29" s="254">
        <v>2</v>
      </c>
      <c r="Z29" s="254">
        <v>2</v>
      </c>
      <c r="AA29" s="514">
        <v>1</v>
      </c>
      <c r="AB29" s="254">
        <v>0</v>
      </c>
      <c r="AC29" s="254">
        <v>0</v>
      </c>
      <c r="AD29" s="254">
        <v>2</v>
      </c>
      <c r="AE29" s="577">
        <v>0</v>
      </c>
      <c r="AF29" s="254">
        <v>0</v>
      </c>
      <c r="AG29" s="577">
        <v>2</v>
      </c>
      <c r="AH29" s="254">
        <v>5</v>
      </c>
      <c r="AI29" s="577">
        <v>5</v>
      </c>
      <c r="AJ29" s="254">
        <v>7</v>
      </c>
      <c r="AK29" s="254">
        <v>7</v>
      </c>
      <c r="AL29" s="514">
        <v>1</v>
      </c>
      <c r="AM29" s="254">
        <f>+'1.Informe Seguimiento POA 2023'!O33</f>
        <v>0</v>
      </c>
      <c r="AN29" s="254">
        <f>+'1.Informe Seguimiento POA 2023'!P33</f>
        <v>0</v>
      </c>
      <c r="AO29" s="254">
        <f>+'1.Informe Seguimiento POA 2023'!Q33</f>
        <v>3</v>
      </c>
      <c r="AP29" s="577">
        <f>+'1.Informe Seguimiento POA 2023'!R33</f>
        <v>0</v>
      </c>
      <c r="AQ29" s="254">
        <f>+'1.Informe Seguimiento POA 2023'!S33</f>
        <v>0</v>
      </c>
      <c r="AR29" s="577">
        <f>+'1.Informe Seguimiento POA 2023'!T33</f>
        <v>0</v>
      </c>
      <c r="AS29" s="254">
        <f>+'1.Informe Seguimiento POA 2023'!U33</f>
        <v>3</v>
      </c>
      <c r="AT29" s="577">
        <f>+'1.Informe Seguimiento POA 2023'!V33</f>
        <v>0</v>
      </c>
      <c r="AU29" s="254">
        <f>+'1.Informe Seguimiento POA 2023'!W33</f>
        <v>6</v>
      </c>
      <c r="AV29" s="254">
        <f>+'1.Informe Seguimiento POA 2023'!X33</f>
        <v>0</v>
      </c>
      <c r="AW29" s="514">
        <f>+'1.Informe Seguimiento POA 2023'!Y33</f>
        <v>0</v>
      </c>
      <c r="AX29" s="514"/>
      <c r="AY29" s="514"/>
      <c r="AZ29" s="514"/>
      <c r="BA29" s="514"/>
      <c r="BB29" s="514"/>
      <c r="BC29" s="514"/>
      <c r="BD29" s="514"/>
      <c r="BE29" s="514"/>
      <c r="BF29" s="254">
        <f t="shared" si="0"/>
        <v>1</v>
      </c>
      <c r="BG29" s="254"/>
      <c r="BH29" s="514"/>
      <c r="BI29" s="254">
        <f>+Q29+S29+U29+W29+AM29+AO29+AB29+AD29+AF29+AH29</f>
        <v>12</v>
      </c>
      <c r="BJ29" s="254">
        <f>+R29+T29+V29+X29+AN29+AP29+AC29+AE29+AG29+AI29</f>
        <v>9</v>
      </c>
      <c r="BK29" s="591">
        <f t="shared" ref="BK29:BK93" si="18">IF(AND(BI29&gt;0),BJ29/BI29,"No programado")</f>
        <v>0.75</v>
      </c>
      <c r="BL29" s="514">
        <f t="shared" si="5"/>
        <v>0.5625</v>
      </c>
      <c r="BM29" s="786">
        <f t="shared" si="1"/>
        <v>0.40909090909090889</v>
      </c>
      <c r="BN29" s="1175">
        <f>+BM29+BM30</f>
        <v>0.59090909090909083</v>
      </c>
      <c r="BO29" s="1039">
        <f>(IF(AND(BN29&gt;0,E29&gt;0),BN29*E29))+(IF(AND(BN31&gt;0,E31&gt;0),BN31*E31))+(IF(AND(BN33&gt;0,E33&gt;0),BN33*E33))</f>
        <v>0.78604629201605547</v>
      </c>
      <c r="BP29" s="606"/>
      <c r="BQ29" s="606"/>
    </row>
    <row r="30" spans="2:69" ht="120" customHeight="1">
      <c r="B30" s="1037"/>
      <c r="C30" s="1114"/>
      <c r="D30" s="1151"/>
      <c r="E30" s="1149"/>
      <c r="F30" s="1114"/>
      <c r="G30" s="1114"/>
      <c r="H30" s="80" t="str">
        <f>+'1.Informe Seguimiento POA 2023'!D34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81">
        <f>+'1.Informe Seguimiento POA 2023'!E34</f>
        <v>0.27272727272727298</v>
      </c>
      <c r="J30" s="82">
        <f>+'1.Informe Seguimiento POA 2023'!F34</f>
        <v>6</v>
      </c>
      <c r="K30" s="512" t="str">
        <f>+'1.Informe Seguimiento POA 2023'!I34</f>
        <v>Prevención y Control a la Función Pública</v>
      </c>
      <c r="L30" s="110" t="str">
        <f>+'1.Informe Seguimiento POA 2023'!J34</f>
        <v xml:space="preserve">Personería Delegada para la Coordinación de Prevención y Control a la Función Pública y sus Personerías Delegadas.
Personería Delegada para la Coordinación de Gestión de las Personerías Locales y sus Personerías Locales. </v>
      </c>
      <c r="M30" s="513">
        <f>+'1.Informe Seguimiento POA 2023'!K34</f>
        <v>1</v>
      </c>
      <c r="N30" s="513">
        <f>+'1.Informe Seguimiento POA 2023'!L34</f>
        <v>1</v>
      </c>
      <c r="O30" s="513">
        <f>+'1.Informe Seguimiento POA 2023'!M34</f>
        <v>3</v>
      </c>
      <c r="P30" s="513">
        <f>+'1.Informe Seguimiento POA 2023'!N34</f>
        <v>1</v>
      </c>
      <c r="Q30" s="254">
        <v>1</v>
      </c>
      <c r="R30" s="254">
        <v>1</v>
      </c>
      <c r="S30" s="254">
        <v>0</v>
      </c>
      <c r="T30" s="577">
        <v>0</v>
      </c>
      <c r="U30" s="254">
        <v>0</v>
      </c>
      <c r="V30" s="577">
        <v>0</v>
      </c>
      <c r="W30" s="254">
        <v>0</v>
      </c>
      <c r="X30" s="577">
        <v>0</v>
      </c>
      <c r="Y30" s="254">
        <v>1</v>
      </c>
      <c r="Z30" s="254">
        <v>1</v>
      </c>
      <c r="AA30" s="514">
        <v>1</v>
      </c>
      <c r="AB30" s="254">
        <v>0</v>
      </c>
      <c r="AC30" s="254">
        <v>0</v>
      </c>
      <c r="AD30" s="254">
        <v>0</v>
      </c>
      <c r="AE30" s="577">
        <v>0</v>
      </c>
      <c r="AF30" s="254">
        <v>0</v>
      </c>
      <c r="AG30" s="577">
        <v>0</v>
      </c>
      <c r="AH30" s="254">
        <v>1</v>
      </c>
      <c r="AI30" s="577">
        <v>1</v>
      </c>
      <c r="AJ30" s="254">
        <v>1</v>
      </c>
      <c r="AK30" s="254">
        <v>1</v>
      </c>
      <c r="AL30" s="514">
        <v>1</v>
      </c>
      <c r="AM30" s="254">
        <f>+'1.Informe Seguimiento POA 2023'!O34</f>
        <v>0</v>
      </c>
      <c r="AN30" s="254">
        <f>+'1.Informe Seguimiento POA 2023'!P34</f>
        <v>0</v>
      </c>
      <c r="AO30" s="254">
        <f>+'1.Informe Seguimiento POA 2023'!Q34</f>
        <v>1</v>
      </c>
      <c r="AP30" s="577">
        <f>+'1.Informe Seguimiento POA 2023'!R34</f>
        <v>2</v>
      </c>
      <c r="AQ30" s="254">
        <f>+'1.Informe Seguimiento POA 2023'!S34</f>
        <v>1</v>
      </c>
      <c r="AR30" s="577">
        <f>+'1.Informe Seguimiento POA 2023'!T34</f>
        <v>0</v>
      </c>
      <c r="AS30" s="254">
        <f>+'1.Informe Seguimiento POA 2023'!U34</f>
        <v>1</v>
      </c>
      <c r="AT30" s="577">
        <f>+'1.Informe Seguimiento POA 2023'!V34</f>
        <v>0</v>
      </c>
      <c r="AU30" s="254">
        <f>+'1.Informe Seguimiento POA 2023'!W34</f>
        <v>3</v>
      </c>
      <c r="AV30" s="254">
        <f>+'1.Informe Seguimiento POA 2023'!X34</f>
        <v>2</v>
      </c>
      <c r="AW30" s="514">
        <f>+'1.Informe Seguimiento POA 2023'!Y34</f>
        <v>0.66666666666666663</v>
      </c>
      <c r="AX30" s="514"/>
      <c r="AY30" s="514"/>
      <c r="AZ30" s="514"/>
      <c r="BA30" s="514"/>
      <c r="BB30" s="514"/>
      <c r="BC30" s="514"/>
      <c r="BD30" s="514"/>
      <c r="BE30" s="514"/>
      <c r="BF30" s="254">
        <f t="shared" si="0"/>
        <v>1</v>
      </c>
      <c r="BG30" s="254"/>
      <c r="BH30" s="514"/>
      <c r="BI30" s="254">
        <f t="shared" ref="BI30:BI36" si="19">+Q30+S30+U30+W30+AM30+AO30+AB30+AD30+AF30+AH30</f>
        <v>3</v>
      </c>
      <c r="BJ30" s="254">
        <f t="shared" ref="BJ30:BJ36" si="20">+R30+T30+V30+X30+AN30+AP30+AC30+AE30+AG30+AI30</f>
        <v>4</v>
      </c>
      <c r="BK30" s="591">
        <f t="shared" si="18"/>
        <v>1.3333333333333333</v>
      </c>
      <c r="BL30" s="514">
        <f t="shared" si="5"/>
        <v>0.66666666666666663</v>
      </c>
      <c r="BM30" s="786">
        <f t="shared" si="1"/>
        <v>0.18181818181818199</v>
      </c>
      <c r="BN30" s="1175"/>
      <c r="BO30" s="1040"/>
      <c r="BP30" s="606"/>
      <c r="BQ30" s="606"/>
    </row>
    <row r="31" spans="2:69" ht="100.5" customHeight="1">
      <c r="B31" s="1037"/>
      <c r="C31" s="1112" t="str">
        <f>+'Matriz PEI 2021-2024'!C14</f>
        <v>2.2. Fortalecer la moralidad publica realizando  952 acciones de prevención y control a la función pública.</v>
      </c>
      <c r="D31" s="1150">
        <f>+'Matriz PEI 2021-2024'!E14</f>
        <v>952</v>
      </c>
      <c r="E31" s="1148">
        <f>+'Matriz PEI 2021-2024'!D14</f>
        <v>0.6</v>
      </c>
      <c r="F31" s="1112" t="s">
        <v>900</v>
      </c>
      <c r="G31" s="1112" t="s">
        <v>901</v>
      </c>
      <c r="H31" s="80" t="str">
        <f>+'1.Informe Seguimiento POA 2023'!D35</f>
        <v>2.2.1 Realizar 817 acciones de prevención y control a la función pública para fortalecer la moralidad pública.</v>
      </c>
      <c r="I31" s="81">
        <f>+'1.Informe Seguimiento POA 2023'!E35</f>
        <v>0.89</v>
      </c>
      <c r="J31" s="82">
        <f>+'1.Informe Seguimiento POA 2023'!F35</f>
        <v>817</v>
      </c>
      <c r="K31" s="512" t="str">
        <f>+'1.Informe Seguimiento POA 2023'!I35</f>
        <v>Prevención y Control a la Función Pública</v>
      </c>
      <c r="L31" s="110" t="str">
        <f>+'1.Informe Seguimiento POA 2023'!J35</f>
        <v xml:space="preserve">Personería Delegada para la Coordinación de Prevención y Control a la Función Pública y sus Personerías Delegadas.
Personería Delegada para la Coordinación de Gestión de las Personerías Locales y sus Personerías Locales. </v>
      </c>
      <c r="M31" s="513">
        <f>+'1.Informe Seguimiento POA 2023'!K35</f>
        <v>200</v>
      </c>
      <c r="N31" s="513">
        <f>+'1.Informe Seguimiento POA 2023'!L35</f>
        <v>286</v>
      </c>
      <c r="O31" s="513">
        <f>+'1.Informe Seguimiento POA 2023'!M35</f>
        <v>259</v>
      </c>
      <c r="P31" s="513">
        <f>+'1.Informe Seguimiento POA 2023'!N35</f>
        <v>72</v>
      </c>
      <c r="Q31" s="254">
        <v>13</v>
      </c>
      <c r="R31" s="254">
        <v>37</v>
      </c>
      <c r="S31" s="254">
        <v>70</v>
      </c>
      <c r="T31" s="577">
        <v>74</v>
      </c>
      <c r="U31" s="254">
        <v>72</v>
      </c>
      <c r="V31" s="577">
        <v>40</v>
      </c>
      <c r="W31" s="254">
        <v>45</v>
      </c>
      <c r="X31" s="577">
        <v>129</v>
      </c>
      <c r="Y31" s="254">
        <v>200</v>
      </c>
      <c r="Z31" s="254">
        <v>280</v>
      </c>
      <c r="AA31" s="514">
        <v>1.4</v>
      </c>
      <c r="AB31" s="254">
        <v>41</v>
      </c>
      <c r="AC31" s="254">
        <v>16</v>
      </c>
      <c r="AD31" s="254">
        <v>77</v>
      </c>
      <c r="AE31" s="577">
        <v>97</v>
      </c>
      <c r="AF31" s="254">
        <v>114</v>
      </c>
      <c r="AG31" s="577">
        <v>74</v>
      </c>
      <c r="AH31" s="254">
        <v>54</v>
      </c>
      <c r="AI31" s="577">
        <v>106</v>
      </c>
      <c r="AJ31" s="254">
        <v>286</v>
      </c>
      <c r="AK31" s="254">
        <v>293</v>
      </c>
      <c r="AL31" s="514">
        <v>1.0244755244755244</v>
      </c>
      <c r="AM31" s="254">
        <f>+'1.Informe Seguimiento POA 2023'!O35</f>
        <v>43</v>
      </c>
      <c r="AN31" s="254">
        <f>+'1.Informe Seguimiento POA 2023'!P35</f>
        <v>29</v>
      </c>
      <c r="AO31" s="254">
        <f>+'1.Informe Seguimiento POA 2023'!Q35</f>
        <v>88</v>
      </c>
      <c r="AP31" s="577">
        <f>+'1.Informe Seguimiento POA 2023'!R35</f>
        <v>56</v>
      </c>
      <c r="AQ31" s="254">
        <f>+'1.Informe Seguimiento POA 2023'!S35</f>
        <v>91</v>
      </c>
      <c r="AR31" s="577">
        <f>+'1.Informe Seguimiento POA 2023'!T35</f>
        <v>0</v>
      </c>
      <c r="AS31" s="254">
        <f>+'1.Informe Seguimiento POA 2023'!U35</f>
        <v>37</v>
      </c>
      <c r="AT31" s="577">
        <f>+'1.Informe Seguimiento POA 2023'!V35</f>
        <v>0</v>
      </c>
      <c r="AU31" s="254">
        <f>+'1.Informe Seguimiento POA 2023'!W35</f>
        <v>259</v>
      </c>
      <c r="AV31" s="254">
        <f>+'1.Informe Seguimiento POA 2023'!X35</f>
        <v>85</v>
      </c>
      <c r="AW31" s="514">
        <f>+'1.Informe Seguimiento POA 2023'!Y35</f>
        <v>0.3281853281853282</v>
      </c>
      <c r="AX31" s="514"/>
      <c r="AY31" s="514"/>
      <c r="AZ31" s="514"/>
      <c r="BA31" s="514"/>
      <c r="BB31" s="514"/>
      <c r="BC31" s="514"/>
      <c r="BD31" s="514"/>
      <c r="BE31" s="514"/>
      <c r="BF31" s="254">
        <f t="shared" si="0"/>
        <v>72</v>
      </c>
      <c r="BG31" s="254"/>
      <c r="BH31" s="514"/>
      <c r="BI31" s="254">
        <f t="shared" si="19"/>
        <v>617</v>
      </c>
      <c r="BJ31" s="254">
        <f t="shared" si="20"/>
        <v>658</v>
      </c>
      <c r="BK31" s="591">
        <f t="shared" si="18"/>
        <v>1.0664505672609401</v>
      </c>
      <c r="BL31" s="514">
        <f t="shared" si="5"/>
        <v>0.8053855569155447</v>
      </c>
      <c r="BM31" s="786">
        <f t="shared" si="1"/>
        <v>0.71679314565483476</v>
      </c>
      <c r="BN31" s="1175">
        <f>+BM31+BM32</f>
        <v>0.82760796046964957</v>
      </c>
      <c r="BO31" s="1040"/>
      <c r="BP31" s="606"/>
      <c r="BQ31" s="606"/>
    </row>
    <row r="32" spans="2:69" ht="100.5" customHeight="1">
      <c r="B32" s="1037"/>
      <c r="C32" s="1114"/>
      <c r="D32" s="1151"/>
      <c r="E32" s="1149"/>
      <c r="F32" s="1114"/>
      <c r="G32" s="1114"/>
      <c r="H32" s="80" t="str">
        <f>+'1.Informe Seguimiento POA 2023'!D36</f>
        <v>2.2.2 Realizar 135 acciones de prevención y control a la función pública - seguimientos, para fortalecer la moralidad pública en el Distrito Capital.</v>
      </c>
      <c r="I32" s="81">
        <f>+'1.Informe Seguimiento POA 2023'!E36</f>
        <v>0.11</v>
      </c>
      <c r="J32" s="82">
        <f>+'1.Informe Seguimiento POA 2023'!F36</f>
        <v>135</v>
      </c>
      <c r="K32" s="512" t="str">
        <f>+'1.Informe Seguimiento POA 2023'!I36</f>
        <v>Prevención y Control a la Función Pública</v>
      </c>
      <c r="L32" s="110" t="str">
        <f>+'1.Informe Seguimiento POA 2023'!J36</f>
        <v xml:space="preserve">Personería Delegada para la Coordinación de Prevención y Control a la Función Pública y sus Personerías Delegadas.
Personería Delegada para la Coordinación de Gestión de las Personerías Locales y sus Personerías Locales. </v>
      </c>
      <c r="M32" s="513">
        <f>+'1.Informe Seguimiento POA 2023'!K36</f>
        <v>28</v>
      </c>
      <c r="N32" s="513">
        <f>+'1.Informe Seguimiento POA 2023'!L36</f>
        <v>67</v>
      </c>
      <c r="O32" s="513">
        <f>+'1.Informe Seguimiento POA 2023'!M36</f>
        <v>30</v>
      </c>
      <c r="P32" s="513">
        <f>+'1.Informe Seguimiento POA 2023'!N36</f>
        <v>10</v>
      </c>
      <c r="Q32" s="254">
        <v>0</v>
      </c>
      <c r="R32" s="254">
        <v>0</v>
      </c>
      <c r="S32" s="254">
        <v>4</v>
      </c>
      <c r="T32" s="577">
        <v>23</v>
      </c>
      <c r="U32" s="254">
        <v>8</v>
      </c>
      <c r="V32" s="577">
        <v>0</v>
      </c>
      <c r="W32" s="254">
        <v>16</v>
      </c>
      <c r="X32" s="577">
        <v>43</v>
      </c>
      <c r="Y32" s="254">
        <v>28</v>
      </c>
      <c r="Z32" s="254">
        <v>66</v>
      </c>
      <c r="AA32" s="514">
        <v>2.3571428571428572</v>
      </c>
      <c r="AB32" s="254">
        <v>1</v>
      </c>
      <c r="AC32" s="254">
        <v>2</v>
      </c>
      <c r="AD32" s="254">
        <v>20</v>
      </c>
      <c r="AE32" s="577">
        <v>9</v>
      </c>
      <c r="AF32" s="254">
        <v>43</v>
      </c>
      <c r="AG32" s="577">
        <v>18</v>
      </c>
      <c r="AH32" s="254">
        <v>3</v>
      </c>
      <c r="AI32" s="577">
        <v>38</v>
      </c>
      <c r="AJ32" s="254">
        <v>67</v>
      </c>
      <c r="AK32" s="254">
        <v>67</v>
      </c>
      <c r="AL32" s="514">
        <v>1</v>
      </c>
      <c r="AM32" s="254">
        <f>+'1.Informe Seguimiento POA 2023'!O36</f>
        <v>1</v>
      </c>
      <c r="AN32" s="254">
        <f>+'1.Informe Seguimiento POA 2023'!P36</f>
        <v>1</v>
      </c>
      <c r="AO32" s="254">
        <f>+'1.Informe Seguimiento POA 2023'!Q36</f>
        <v>3</v>
      </c>
      <c r="AP32" s="577">
        <f>+'1.Informe Seguimiento POA 2023'!R36</f>
        <v>2</v>
      </c>
      <c r="AQ32" s="254">
        <f>+'1.Informe Seguimiento POA 2023'!S36</f>
        <v>20</v>
      </c>
      <c r="AR32" s="577">
        <f>+'1.Informe Seguimiento POA 2023'!T36</f>
        <v>0</v>
      </c>
      <c r="AS32" s="254">
        <f>+'1.Informe Seguimiento POA 2023'!U36</f>
        <v>6</v>
      </c>
      <c r="AT32" s="577">
        <f>+'1.Informe Seguimiento POA 2023'!V36</f>
        <v>0</v>
      </c>
      <c r="AU32" s="254">
        <f>+'1.Informe Seguimiento POA 2023'!W36</f>
        <v>30</v>
      </c>
      <c r="AV32" s="254">
        <f>+'1.Informe Seguimiento POA 2023'!X36</f>
        <v>3</v>
      </c>
      <c r="AW32" s="514">
        <f>+'1.Informe Seguimiento POA 2023'!Y36</f>
        <v>0.1</v>
      </c>
      <c r="AX32" s="514"/>
      <c r="AY32" s="514"/>
      <c r="AZ32" s="514"/>
      <c r="BA32" s="514"/>
      <c r="BB32" s="514"/>
      <c r="BC32" s="514"/>
      <c r="BD32" s="514"/>
      <c r="BE32" s="514"/>
      <c r="BF32" s="254">
        <f t="shared" si="0"/>
        <v>10</v>
      </c>
      <c r="BG32" s="254"/>
      <c r="BH32" s="514"/>
      <c r="BI32" s="254">
        <f t="shared" si="19"/>
        <v>99</v>
      </c>
      <c r="BJ32" s="254">
        <f t="shared" si="20"/>
        <v>136</v>
      </c>
      <c r="BK32" s="591">
        <f t="shared" si="18"/>
        <v>1.3737373737373737</v>
      </c>
      <c r="BL32" s="514">
        <f t="shared" si="5"/>
        <v>1.0074074074074073</v>
      </c>
      <c r="BM32" s="786">
        <f t="shared" si="1"/>
        <v>0.11081481481481481</v>
      </c>
      <c r="BN32" s="1175"/>
      <c r="BO32" s="1040"/>
      <c r="BP32" s="606"/>
      <c r="BQ32" s="606"/>
    </row>
    <row r="33" spans="2:69" ht="65.25" customHeight="1">
      <c r="B33" s="1037"/>
      <c r="C33" s="1112" t="str">
        <f>+'Matriz PEI 2021-2024'!C15</f>
        <v>2.3. Fortalecer 312 espacios de participación ciudadana en la Personería de Bogotá</v>
      </c>
      <c r="D33" s="1150">
        <f>+'Matriz PEI 2021-2024'!E15</f>
        <v>312</v>
      </c>
      <c r="E33" s="1148">
        <f>+'Matriz PEI 2021-2024'!D15</f>
        <v>0.1</v>
      </c>
      <c r="F33" s="1112" t="s">
        <v>902</v>
      </c>
      <c r="G33" s="1112" t="s">
        <v>903</v>
      </c>
      <c r="H33" s="80" t="str">
        <f>+'1.Informe Seguimiento POA 2023'!D37</f>
        <v>2.3.1 Realizar 52 audiencias públicas y/o mesas de trabajo, las cuales permitan la participación ciudadana, con énfasis en los Derechos e intereses colectivos.</v>
      </c>
      <c r="I33" s="81">
        <f>+'1.Informe Seguimiento POA 2023'!E37</f>
        <v>0.2</v>
      </c>
      <c r="J33" s="82">
        <f>+'1.Informe Seguimiento POA 2023'!F37</f>
        <v>52</v>
      </c>
      <c r="K33" s="512" t="str">
        <f>+'1.Informe Seguimiento POA 2023'!I37</f>
        <v>Prevención y Control a la Función Pública</v>
      </c>
      <c r="L33" s="110" t="str">
        <f>+'1.Informe Seguimiento POA 2023'!J37</f>
        <v>Personería Delegada para la Coordinación de Prevención y Control a la Función Pública y sus Personerías Delegadas.</v>
      </c>
      <c r="M33" s="513">
        <f>+'1.Informe Seguimiento POA 2023'!K37</f>
        <v>12</v>
      </c>
      <c r="N33" s="513">
        <f>+'1.Informe Seguimiento POA 2023'!L37</f>
        <v>21</v>
      </c>
      <c r="O33" s="513">
        <f>+'1.Informe Seguimiento POA 2023'!M37</f>
        <v>15</v>
      </c>
      <c r="P33" s="513">
        <f>+'1.Informe Seguimiento POA 2023'!N37</f>
        <v>4</v>
      </c>
      <c r="Q33" s="254">
        <v>1</v>
      </c>
      <c r="R33" s="254">
        <v>2</v>
      </c>
      <c r="S33" s="254">
        <v>3</v>
      </c>
      <c r="T33" s="577">
        <v>3</v>
      </c>
      <c r="U33" s="254">
        <v>3</v>
      </c>
      <c r="V33" s="577">
        <v>3</v>
      </c>
      <c r="W33" s="254">
        <v>5</v>
      </c>
      <c r="X33" s="577">
        <v>4</v>
      </c>
      <c r="Y33" s="254">
        <v>12</v>
      </c>
      <c r="Z33" s="254">
        <v>12</v>
      </c>
      <c r="AA33" s="514">
        <v>1</v>
      </c>
      <c r="AB33" s="254">
        <v>2</v>
      </c>
      <c r="AC33" s="254">
        <v>0</v>
      </c>
      <c r="AD33" s="254">
        <v>6</v>
      </c>
      <c r="AE33" s="577">
        <v>3</v>
      </c>
      <c r="AF33" s="254">
        <v>5</v>
      </c>
      <c r="AG33" s="577">
        <v>9</v>
      </c>
      <c r="AH33" s="254">
        <v>8</v>
      </c>
      <c r="AI33" s="577">
        <v>11</v>
      </c>
      <c r="AJ33" s="254">
        <v>21</v>
      </c>
      <c r="AK33" s="254">
        <v>23</v>
      </c>
      <c r="AL33" s="514">
        <v>1.0952380952380953</v>
      </c>
      <c r="AM33" s="254">
        <f>+'1.Informe Seguimiento POA 2023'!O37</f>
        <v>5</v>
      </c>
      <c r="AN33" s="254">
        <f>+'1.Informe Seguimiento POA 2023'!P37</f>
        <v>5</v>
      </c>
      <c r="AO33" s="254">
        <f>+'1.Informe Seguimiento POA 2023'!Q37</f>
        <v>9</v>
      </c>
      <c r="AP33" s="577">
        <f>+'1.Informe Seguimiento POA 2023'!R37</f>
        <v>8</v>
      </c>
      <c r="AQ33" s="254">
        <f>+'1.Informe Seguimiento POA 2023'!S37</f>
        <v>0</v>
      </c>
      <c r="AR33" s="577">
        <f>+'1.Informe Seguimiento POA 2023'!T37</f>
        <v>0</v>
      </c>
      <c r="AS33" s="254">
        <f>+'1.Informe Seguimiento POA 2023'!U37</f>
        <v>1</v>
      </c>
      <c r="AT33" s="577">
        <f>+'1.Informe Seguimiento POA 2023'!V37</f>
        <v>0</v>
      </c>
      <c r="AU33" s="254">
        <f>+'1.Informe Seguimiento POA 2023'!W37</f>
        <v>15</v>
      </c>
      <c r="AV33" s="254">
        <f>+'1.Informe Seguimiento POA 2023'!X37</f>
        <v>13</v>
      </c>
      <c r="AW33" s="514">
        <f>+'1.Informe Seguimiento POA 2023'!Y37</f>
        <v>0.8666666666666667</v>
      </c>
      <c r="AX33" s="514"/>
      <c r="AY33" s="514"/>
      <c r="AZ33" s="514"/>
      <c r="BA33" s="514"/>
      <c r="BB33" s="514"/>
      <c r="BC33" s="514"/>
      <c r="BD33" s="514"/>
      <c r="BE33" s="514"/>
      <c r="BF33" s="254">
        <f t="shared" si="0"/>
        <v>4</v>
      </c>
      <c r="BG33" s="254"/>
      <c r="BH33" s="514"/>
      <c r="BI33" s="254">
        <f t="shared" si="19"/>
        <v>47</v>
      </c>
      <c r="BJ33" s="254">
        <f t="shared" si="20"/>
        <v>48</v>
      </c>
      <c r="BK33" s="591">
        <f t="shared" si="18"/>
        <v>1.0212765957446808</v>
      </c>
      <c r="BL33" s="514">
        <f t="shared" si="5"/>
        <v>0.92307692307692313</v>
      </c>
      <c r="BM33" s="786">
        <f t="shared" si="1"/>
        <v>0.18461538461538463</v>
      </c>
      <c r="BN33" s="1176">
        <f>+BM33+BM34+BM35</f>
        <v>1.1220878846153846</v>
      </c>
      <c r="BO33" s="1040"/>
      <c r="BP33" s="606"/>
      <c r="BQ33" s="606"/>
    </row>
    <row r="34" spans="2:69" ht="63.75" customHeight="1">
      <c r="B34" s="1037"/>
      <c r="C34" s="1113"/>
      <c r="D34" s="1152"/>
      <c r="E34" s="1153"/>
      <c r="F34" s="1113"/>
      <c r="G34" s="1113"/>
      <c r="H34" s="80" t="str">
        <f>+'1.Informe Seguimiento POA 2023'!D38</f>
        <v>2.3.2 Realizar 160 acompañamientos a los ciudadanos que intervienen en los diferentes espacios de participación ciudadana.</v>
      </c>
      <c r="I34" s="81">
        <f>+'1.Informe Seguimiento POA 2023'!E38</f>
        <v>0.46700000000000003</v>
      </c>
      <c r="J34" s="82">
        <f>+'1.Informe Seguimiento POA 2023'!F38</f>
        <v>160</v>
      </c>
      <c r="K34" s="512" t="str">
        <f>+'1.Informe Seguimiento POA 2023'!I38</f>
        <v>Prevención y Control a la Función Pública</v>
      </c>
      <c r="L34" s="110" t="str">
        <f>+'1.Informe Seguimiento POA 2023'!J38</f>
        <v xml:space="preserve">Personería Delegada para la Coordinación de Gestión de las Personerías Locales y sus Personerías Locales. </v>
      </c>
      <c r="M34" s="513">
        <f>+'1.Informe Seguimiento POA 2023'!K38</f>
        <v>40</v>
      </c>
      <c r="N34" s="513">
        <f>+'1.Informe Seguimiento POA 2023'!L38</f>
        <v>60</v>
      </c>
      <c r="O34" s="513">
        <f>+'1.Informe Seguimiento POA 2023'!M38</f>
        <v>40</v>
      </c>
      <c r="P34" s="513">
        <f>+'1.Informe Seguimiento POA 2023'!N38</f>
        <v>20</v>
      </c>
      <c r="Q34" s="254">
        <v>8</v>
      </c>
      <c r="R34" s="254">
        <v>23</v>
      </c>
      <c r="S34" s="254">
        <v>12</v>
      </c>
      <c r="T34" s="577">
        <v>21</v>
      </c>
      <c r="U34" s="254">
        <v>12</v>
      </c>
      <c r="V34" s="577">
        <v>26</v>
      </c>
      <c r="W34" s="254">
        <v>8</v>
      </c>
      <c r="X34" s="577">
        <v>19</v>
      </c>
      <c r="Y34" s="254">
        <v>40</v>
      </c>
      <c r="Z34" s="254">
        <v>89</v>
      </c>
      <c r="AA34" s="514">
        <v>2.2250000000000001</v>
      </c>
      <c r="AB34" s="254">
        <v>12</v>
      </c>
      <c r="AC34" s="254">
        <v>18</v>
      </c>
      <c r="AD34" s="254">
        <v>18</v>
      </c>
      <c r="AE34" s="577">
        <v>13</v>
      </c>
      <c r="AF34" s="254">
        <v>18</v>
      </c>
      <c r="AG34" s="577">
        <v>7</v>
      </c>
      <c r="AH34" s="254">
        <v>12</v>
      </c>
      <c r="AI34" s="577">
        <v>29</v>
      </c>
      <c r="AJ34" s="254">
        <v>60</v>
      </c>
      <c r="AK34" s="254">
        <v>67</v>
      </c>
      <c r="AL34" s="514">
        <v>1.1166666666666667</v>
      </c>
      <c r="AM34" s="254">
        <f>+'1.Informe Seguimiento POA 2023'!O38</f>
        <v>8</v>
      </c>
      <c r="AN34" s="254">
        <f>+'1.Informe Seguimiento POA 2023'!P38</f>
        <v>24</v>
      </c>
      <c r="AO34" s="254">
        <f>+'1.Informe Seguimiento POA 2023'!Q38</f>
        <v>12</v>
      </c>
      <c r="AP34" s="577">
        <f>+'1.Informe Seguimiento POA 2023'!R38</f>
        <v>2</v>
      </c>
      <c r="AQ34" s="254">
        <f>+'1.Informe Seguimiento POA 2023'!S38</f>
        <v>12</v>
      </c>
      <c r="AR34" s="577">
        <f>+'1.Informe Seguimiento POA 2023'!T38</f>
        <v>0</v>
      </c>
      <c r="AS34" s="254">
        <f>+'1.Informe Seguimiento POA 2023'!U38</f>
        <v>8</v>
      </c>
      <c r="AT34" s="577">
        <f>+'1.Informe Seguimiento POA 2023'!V38</f>
        <v>0</v>
      </c>
      <c r="AU34" s="254">
        <f>+'1.Informe Seguimiento POA 2023'!W38</f>
        <v>40</v>
      </c>
      <c r="AV34" s="254">
        <f>+'1.Informe Seguimiento POA 2023'!X38</f>
        <v>26</v>
      </c>
      <c r="AW34" s="514">
        <f>+'1.Informe Seguimiento POA 2023'!Y38</f>
        <v>0.65</v>
      </c>
      <c r="AX34" s="514"/>
      <c r="AY34" s="514"/>
      <c r="AZ34" s="514"/>
      <c r="BA34" s="514"/>
      <c r="BB34" s="514"/>
      <c r="BC34" s="514"/>
      <c r="BD34" s="514"/>
      <c r="BE34" s="514"/>
      <c r="BF34" s="254">
        <f t="shared" si="0"/>
        <v>20</v>
      </c>
      <c r="BG34" s="254"/>
      <c r="BH34" s="514"/>
      <c r="BI34" s="254">
        <f t="shared" si="19"/>
        <v>120</v>
      </c>
      <c r="BJ34" s="254">
        <f t="shared" si="20"/>
        <v>182</v>
      </c>
      <c r="BK34" s="591">
        <f t="shared" si="18"/>
        <v>1.5166666666666666</v>
      </c>
      <c r="BL34" s="514">
        <f t="shared" si="5"/>
        <v>1.1375</v>
      </c>
      <c r="BM34" s="786">
        <f t="shared" si="1"/>
        <v>0.53121249999999998</v>
      </c>
      <c r="BN34" s="1176"/>
      <c r="BO34" s="1040"/>
      <c r="BP34" s="606"/>
      <c r="BQ34" s="606"/>
    </row>
    <row r="35" spans="2:69" ht="102" customHeight="1">
      <c r="B35" s="1038"/>
      <c r="C35" s="1114"/>
      <c r="D35" s="1151"/>
      <c r="E35" s="1149"/>
      <c r="F35" s="1114"/>
      <c r="G35" s="1114"/>
      <c r="H35" s="80" t="str">
        <f>+'1.Informe Seguimiento POA 2023'!D39</f>
        <v>2.3.3 Realizar 100 espacios de diálogo con las personas para retroalimentar las actividades de participación ciudadana</v>
      </c>
      <c r="I35" s="81">
        <f>+'1.Informe Seguimiento POA 2023'!E39</f>
        <v>0.33300000000000002</v>
      </c>
      <c r="J35" s="82">
        <f>+'1.Informe Seguimiento POA 2023'!F39</f>
        <v>100</v>
      </c>
      <c r="K35" s="512" t="str">
        <f>+'1.Informe Seguimiento POA 2023'!I39</f>
        <v>Prevención y Control a la Función Pública</v>
      </c>
      <c r="L35" s="110" t="str">
        <f>+'1.Informe Seguimiento POA 2023'!J39</f>
        <v>Personería Delegada para la Coordinación de Gestión de las Personerías Locales y sus Personerías Locales. 
Personería Delegada para la Coordinación de Prevención y Control a la Función Pública y sus Personerías Delegadas.</v>
      </c>
      <c r="M35" s="513">
        <f>+'1.Informe Seguimiento POA 2023'!K39</f>
        <v>20</v>
      </c>
      <c r="N35" s="513">
        <f>+'1.Informe Seguimiento POA 2023'!L39</f>
        <v>30</v>
      </c>
      <c r="O35" s="513">
        <f>+'1.Informe Seguimiento POA 2023'!M39</f>
        <v>30</v>
      </c>
      <c r="P35" s="513">
        <f>+'1.Informe Seguimiento POA 2023'!N39</f>
        <v>20</v>
      </c>
      <c r="Q35" s="254">
        <v>4</v>
      </c>
      <c r="R35" s="254">
        <v>0</v>
      </c>
      <c r="S35" s="254">
        <v>6</v>
      </c>
      <c r="T35" s="577">
        <v>7</v>
      </c>
      <c r="U35" s="254">
        <v>6</v>
      </c>
      <c r="V35" s="577">
        <v>16</v>
      </c>
      <c r="W35" s="254">
        <v>4</v>
      </c>
      <c r="X35" s="577">
        <v>20</v>
      </c>
      <c r="Y35" s="254">
        <v>20</v>
      </c>
      <c r="Z35" s="254">
        <v>43</v>
      </c>
      <c r="AA35" s="514">
        <v>2.15</v>
      </c>
      <c r="AB35" s="254">
        <v>6</v>
      </c>
      <c r="AC35" s="254">
        <v>13</v>
      </c>
      <c r="AD35" s="254">
        <v>9</v>
      </c>
      <c r="AE35" s="577">
        <v>4</v>
      </c>
      <c r="AF35" s="254">
        <v>9</v>
      </c>
      <c r="AG35" s="577">
        <v>18</v>
      </c>
      <c r="AH35" s="254">
        <v>6</v>
      </c>
      <c r="AI35" s="577">
        <v>22</v>
      </c>
      <c r="AJ35" s="254">
        <v>30</v>
      </c>
      <c r="AK35" s="254">
        <v>57</v>
      </c>
      <c r="AL35" s="514">
        <v>1.9</v>
      </c>
      <c r="AM35" s="254">
        <f>+'1.Informe Seguimiento POA 2023'!O39</f>
        <v>2</v>
      </c>
      <c r="AN35" s="254">
        <f>+'1.Informe Seguimiento POA 2023'!P39</f>
        <v>17</v>
      </c>
      <c r="AO35" s="254">
        <f>+'1.Informe Seguimiento POA 2023'!Q39</f>
        <v>10</v>
      </c>
      <c r="AP35" s="577">
        <f>+'1.Informe Seguimiento POA 2023'!R39</f>
        <v>5</v>
      </c>
      <c r="AQ35" s="254">
        <f>+'1.Informe Seguimiento POA 2023'!S39</f>
        <v>10</v>
      </c>
      <c r="AR35" s="577">
        <f>+'1.Informe Seguimiento POA 2023'!T39</f>
        <v>0</v>
      </c>
      <c r="AS35" s="254">
        <f>+'1.Informe Seguimiento POA 2023'!U39</f>
        <v>8</v>
      </c>
      <c r="AT35" s="577">
        <f>+'1.Informe Seguimiento POA 2023'!V39</f>
        <v>0</v>
      </c>
      <c r="AU35" s="254">
        <f>+'1.Informe Seguimiento POA 2023'!W39</f>
        <v>30</v>
      </c>
      <c r="AV35" s="254">
        <f>+'1.Informe Seguimiento POA 2023'!X39</f>
        <v>22</v>
      </c>
      <c r="AW35" s="514">
        <f>+'1.Informe Seguimiento POA 2023'!Y39</f>
        <v>0.73333333333333328</v>
      </c>
      <c r="AX35" s="514"/>
      <c r="AY35" s="514"/>
      <c r="AZ35" s="514"/>
      <c r="BA35" s="514"/>
      <c r="BB35" s="514"/>
      <c r="BC35" s="514"/>
      <c r="BD35" s="514"/>
      <c r="BE35" s="514"/>
      <c r="BF35" s="254">
        <f t="shared" si="0"/>
        <v>20</v>
      </c>
      <c r="BG35" s="254"/>
      <c r="BH35" s="514"/>
      <c r="BI35" s="254">
        <f t="shared" si="19"/>
        <v>62</v>
      </c>
      <c r="BJ35" s="254">
        <f t="shared" si="20"/>
        <v>122</v>
      </c>
      <c r="BK35" s="591">
        <f t="shared" si="18"/>
        <v>1.967741935483871</v>
      </c>
      <c r="BL35" s="514">
        <f t="shared" si="5"/>
        <v>1.22</v>
      </c>
      <c r="BM35" s="786">
        <f t="shared" si="1"/>
        <v>0.40626000000000001</v>
      </c>
      <c r="BN35" s="1177"/>
      <c r="BO35" s="1041"/>
      <c r="BP35" s="606"/>
      <c r="BQ35" s="606"/>
    </row>
    <row r="36" spans="2:69" ht="93.75" customHeight="1">
      <c r="B36" s="1011" t="str">
        <f>+'Matriz PEI 2021-2024'!B16</f>
        <v>3. Vigilar la conducta oficial de los(as) servidores(as) públicos(as) del Distrito Capital, mediante acciones preventivas y correctivas, que permitan un adecuado cumplimiento de los principios de la Función Pública</v>
      </c>
      <c r="C36" s="1071" t="str">
        <f>+'Matriz PEI 2021-2024'!C16</f>
        <v>3.1. Descongestionar 6.700 procesos disciplinarios con criterios de calidad, efectividad y garantía del debido proceso.</v>
      </c>
      <c r="D36" s="1137">
        <f>+'Matriz PEI 2021-2024'!E16</f>
        <v>6700</v>
      </c>
      <c r="E36" s="1073">
        <f>+'Matriz PEI 2021-2024'!D16</f>
        <v>0.4</v>
      </c>
      <c r="F36" s="570" t="s">
        <v>904</v>
      </c>
      <c r="G36" s="571" t="s">
        <v>905</v>
      </c>
      <c r="H36" s="28" t="str">
        <f>+'1.Informe Seguimiento POA 2023'!D40</f>
        <v xml:space="preserve">3.1.1 Identificar y decidir de fondo 6.700  procesos, priorizando aquellos que se encuentren con riesgo de prescripción y/o vencidos en su etapa procesal (indagación, investigación y juzgamiento). </v>
      </c>
      <c r="I36" s="78">
        <f>+'1.Informe Seguimiento POA 2023'!E40</f>
        <v>0.8</v>
      </c>
      <c r="J36" s="72">
        <f>+'1.Informe Seguimiento POA 2023'!F40</f>
        <v>6700</v>
      </c>
      <c r="K36" s="573" t="str">
        <f>+'1.Informe Seguimiento POA 2023'!I40</f>
        <v>Potestad Disciplinaria</v>
      </c>
      <c r="L36" s="573" t="str">
        <f>+'1.Informe Seguimiento POA 2023'!J40</f>
        <v>Personería Delegada para la Coordinación de Potestad Disciplinaria</v>
      </c>
      <c r="M36" s="507">
        <f>+'1.Informe Seguimiento POA 2023'!K40</f>
        <v>1600</v>
      </c>
      <c r="N36" s="507">
        <f>+'1.Informe Seguimiento POA 2023'!L40</f>
        <v>1800</v>
      </c>
      <c r="O36" s="507">
        <f>+'1.Informe Seguimiento POA 2023'!M40</f>
        <v>1800</v>
      </c>
      <c r="P36" s="507">
        <f>+'1.Informe Seguimiento POA 2023'!N40</f>
        <v>1500</v>
      </c>
      <c r="Q36" s="256">
        <v>250</v>
      </c>
      <c r="R36" s="256">
        <v>319</v>
      </c>
      <c r="S36" s="256">
        <v>450</v>
      </c>
      <c r="T36" s="256">
        <v>528</v>
      </c>
      <c r="U36" s="256">
        <v>140</v>
      </c>
      <c r="V36" s="256">
        <v>329</v>
      </c>
      <c r="W36" s="256">
        <v>760</v>
      </c>
      <c r="X36" s="256">
        <v>393</v>
      </c>
      <c r="Y36" s="256">
        <v>1600</v>
      </c>
      <c r="Z36" s="256">
        <v>1569</v>
      </c>
      <c r="AA36" s="765">
        <v>0.98062499999999997</v>
      </c>
      <c r="AB36" s="256">
        <v>300</v>
      </c>
      <c r="AC36" s="256">
        <v>318</v>
      </c>
      <c r="AD36" s="256">
        <v>490</v>
      </c>
      <c r="AE36" s="256">
        <v>366</v>
      </c>
      <c r="AF36" s="256">
        <v>630</v>
      </c>
      <c r="AG36" s="256">
        <v>450</v>
      </c>
      <c r="AH36" s="256">
        <v>380</v>
      </c>
      <c r="AI36" s="256">
        <v>605</v>
      </c>
      <c r="AJ36" s="256">
        <v>1800</v>
      </c>
      <c r="AK36" s="256">
        <v>1739</v>
      </c>
      <c r="AL36" s="765">
        <v>0.96611111111111114</v>
      </c>
      <c r="AM36" s="256">
        <f>+'1.Informe Seguimiento POA 2023'!O40</f>
        <v>320</v>
      </c>
      <c r="AN36" s="256">
        <f>+'1.Informe Seguimiento POA 2023'!P40</f>
        <v>294</v>
      </c>
      <c r="AO36" s="256">
        <f>+'1.Informe Seguimiento POA 2023'!Q40</f>
        <v>396</v>
      </c>
      <c r="AP36" s="256">
        <f>+'1.Informe Seguimiento POA 2023'!R40</f>
        <v>360</v>
      </c>
      <c r="AQ36" s="256">
        <f>+'1.Informe Seguimiento POA 2023'!S40</f>
        <v>481</v>
      </c>
      <c r="AR36" s="256">
        <f>+'1.Informe Seguimiento POA 2023'!T40</f>
        <v>0</v>
      </c>
      <c r="AS36" s="256">
        <f>+'1.Informe Seguimiento POA 2023'!U40</f>
        <v>603</v>
      </c>
      <c r="AT36" s="256">
        <f>+'1.Informe Seguimiento POA 2023'!V40</f>
        <v>0</v>
      </c>
      <c r="AU36" s="256">
        <f>+'1.Informe Seguimiento POA 2023'!W40</f>
        <v>1800</v>
      </c>
      <c r="AV36" s="256">
        <f>+'1.Informe Seguimiento POA 2023'!X40</f>
        <v>654</v>
      </c>
      <c r="AW36" s="576">
        <f>+'1.Informe Seguimiento POA 2023'!Y40</f>
        <v>0.36333333333333334</v>
      </c>
      <c r="AX36" s="508"/>
      <c r="AY36" s="508"/>
      <c r="AZ36" s="508"/>
      <c r="BA36" s="508"/>
      <c r="BB36" s="508"/>
      <c r="BC36" s="508"/>
      <c r="BD36" s="508"/>
      <c r="BE36" s="508"/>
      <c r="BF36" s="256">
        <f t="shared" si="0"/>
        <v>1500</v>
      </c>
      <c r="BG36" s="256"/>
      <c r="BH36" s="508"/>
      <c r="BI36" s="256">
        <f t="shared" si="19"/>
        <v>4116</v>
      </c>
      <c r="BJ36" s="256">
        <f t="shared" si="20"/>
        <v>3962</v>
      </c>
      <c r="BK36" s="508">
        <f t="shared" si="18"/>
        <v>0.9625850340136054</v>
      </c>
      <c r="BL36" s="508">
        <f t="shared" si="5"/>
        <v>0.59134328358208954</v>
      </c>
      <c r="BM36" s="785">
        <f t="shared" si="1"/>
        <v>0.47307462686567164</v>
      </c>
      <c r="BN36" s="1097">
        <f>SUM(BM36:BM37)</f>
        <v>0.61764462686567168</v>
      </c>
      <c r="BO36" s="1004">
        <f>(IF(AND(BN36&gt;0,E36&gt;0),BN36*E36))+(IF(AND(BN38&gt;0,E38&gt;0),BN38*E38))+(IF(AND(BN40&gt;0,E40&gt;0),BN40*E40))+(IF(AND(BN41&gt;0,E41&gt;0),BN41*E41))</f>
        <v>0.67729432133450396</v>
      </c>
      <c r="BP36" s="605"/>
      <c r="BQ36" s="605"/>
    </row>
    <row r="37" spans="2:69" ht="67.5" customHeight="1">
      <c r="B37" s="1012"/>
      <c r="C37" s="1072"/>
      <c r="D37" s="1138"/>
      <c r="E37" s="1074"/>
      <c r="F37" s="570" t="s">
        <v>275</v>
      </c>
      <c r="G37" s="571" t="s">
        <v>906</v>
      </c>
      <c r="H37" s="28" t="str">
        <f>+'1.Informe Seguimiento POA 2023'!D41</f>
        <v>3.1.2 Evaluar y dar impulso procesal al 100% las noticias disciplinarias (quejas) puestas en conocimiento de la Entidad.</v>
      </c>
      <c r="I37" s="78">
        <f>+'1.Informe Seguimiento POA 2023'!E41</f>
        <v>0.2</v>
      </c>
      <c r="J37" s="569">
        <f>+'1.Informe Seguimiento POA 2023'!F41</f>
        <v>1</v>
      </c>
      <c r="K37" s="573" t="str">
        <f>+'1.Informe Seguimiento POA 2023'!I41</f>
        <v>Potestad Disciplinaria</v>
      </c>
      <c r="L37" s="573" t="str">
        <f>+'1.Informe Seguimiento POA 2023'!J41</f>
        <v>Personería Delegada para la Coordinación de Potestad Disciplinaria</v>
      </c>
      <c r="M37" s="567">
        <f>+'1.Informe Seguimiento POA 2023'!K41</f>
        <v>1</v>
      </c>
      <c r="N37" s="567">
        <f>+'1.Informe Seguimiento POA 2023'!L41</f>
        <v>1</v>
      </c>
      <c r="O37" s="567">
        <f>+'1.Informe Seguimiento POA 2023'!M41</f>
        <v>1</v>
      </c>
      <c r="P37" s="567">
        <f>+'1.Informe Seguimiento POA 2023'!N41</f>
        <v>1</v>
      </c>
      <c r="Q37" s="767">
        <v>1</v>
      </c>
      <c r="R37" s="767">
        <v>0.72299999999999998</v>
      </c>
      <c r="S37" s="767">
        <v>1</v>
      </c>
      <c r="T37" s="767">
        <v>0.69200000000000006</v>
      </c>
      <c r="U37" s="767">
        <v>1</v>
      </c>
      <c r="V37" s="767">
        <v>1.0813333333333333</v>
      </c>
      <c r="W37" s="767">
        <v>1</v>
      </c>
      <c r="X37" s="767">
        <v>1.5069999999999999</v>
      </c>
      <c r="Y37" s="510">
        <v>1</v>
      </c>
      <c r="Z37" s="510">
        <v>1</v>
      </c>
      <c r="AA37" s="510">
        <v>1</v>
      </c>
      <c r="AB37" s="767">
        <v>1</v>
      </c>
      <c r="AC37" s="767">
        <v>0.79066666666666663</v>
      </c>
      <c r="AD37" s="767">
        <v>1</v>
      </c>
      <c r="AE37" s="767">
        <v>0.91633333333333322</v>
      </c>
      <c r="AF37" s="767">
        <v>1</v>
      </c>
      <c r="AG37" s="767">
        <v>0.91733333333333322</v>
      </c>
      <c r="AH37" s="767">
        <v>1</v>
      </c>
      <c r="AI37" s="767">
        <v>1.2533333333333332</v>
      </c>
      <c r="AJ37" s="510">
        <v>1</v>
      </c>
      <c r="AK37" s="510">
        <v>0.96899999999999997</v>
      </c>
      <c r="AL37" s="510">
        <v>0.96899999999999997</v>
      </c>
      <c r="AM37" s="575">
        <f>+'1.Informe Seguimiento POA 2023'!O41</f>
        <v>1</v>
      </c>
      <c r="AN37" s="575">
        <f>+'1.Informe Seguimiento POA 2023'!P41</f>
        <v>0.85099999999999998</v>
      </c>
      <c r="AO37" s="575">
        <f>+'1.Informe Seguimiento POA 2023'!Q41</f>
        <v>1</v>
      </c>
      <c r="AP37" s="575">
        <f>+'1.Informe Seguimiento POA 2023'!R41</f>
        <v>0.90600000000000003</v>
      </c>
      <c r="AQ37" s="575">
        <f>+'1.Informe Seguimiento POA 2023'!S41</f>
        <v>1</v>
      </c>
      <c r="AR37" s="575">
        <f>+'1.Informe Seguimiento POA 2023'!T41</f>
        <v>0</v>
      </c>
      <c r="AS37" s="575">
        <f>+'1.Informe Seguimiento POA 2023'!U41</f>
        <v>1</v>
      </c>
      <c r="AT37" s="575">
        <f>+'1.Informe Seguimiento POA 2023'!V41</f>
        <v>0</v>
      </c>
      <c r="AU37" s="510">
        <f>+'1.Informe Seguimiento POA 2023'!W41</f>
        <v>1</v>
      </c>
      <c r="AV37" s="510">
        <f>+'1.Informe Seguimiento POA 2023'!X41</f>
        <v>0.878</v>
      </c>
      <c r="AW37" s="510">
        <f>+'1.Informe Seguimiento POA 2023'!Y41</f>
        <v>0.439</v>
      </c>
      <c r="AX37" s="582"/>
      <c r="AY37" s="582"/>
      <c r="AZ37" s="582"/>
      <c r="BA37" s="582"/>
      <c r="BB37" s="582"/>
      <c r="BC37" s="582"/>
      <c r="BD37" s="582"/>
      <c r="BE37" s="582"/>
      <c r="BF37" s="569">
        <f t="shared" si="0"/>
        <v>1</v>
      </c>
      <c r="BG37" s="569"/>
      <c r="BH37" s="582"/>
      <c r="BI37" s="508">
        <f>IFERROR(AVERAGE(Q37,S37,U37,W37,AM37,AO37,AB37,AD37,AF37,AH37),0)</f>
        <v>1</v>
      </c>
      <c r="BJ37" s="508">
        <f>IFERROR(AVERAGE(R37,T37,V37,X37,AN37,AP37,AC37,AE37,AG37,AI37),0)</f>
        <v>0.96379999999999999</v>
      </c>
      <c r="BK37" s="508">
        <f t="shared" si="18"/>
        <v>0.96379999999999999</v>
      </c>
      <c r="BL37" s="961">
        <f>(IF(AND(BJ37&gt;0,$J37&gt;0),BJ37/$J37,0))*0.75</f>
        <v>0.72284999999999999</v>
      </c>
      <c r="BM37" s="785">
        <f t="shared" si="1"/>
        <v>0.14457</v>
      </c>
      <c r="BN37" s="1098"/>
      <c r="BO37" s="1005"/>
      <c r="BP37" s="605"/>
      <c r="BQ37" s="605"/>
    </row>
    <row r="38" spans="2:69" ht="95.25" customHeight="1">
      <c r="B38" s="1012"/>
      <c r="C38" s="1071" t="str">
        <f>+'Matriz PEI 2021-2024'!C17</f>
        <v xml:space="preserve">3.2. Identificar el 100% de los hechos constitutivos de faltas disciplinarias para ejercer el poder preferente en las Oficinas de Control Interno Disciplinario, en temas de interés e impacto para el Distrito Capital. </v>
      </c>
      <c r="D38" s="1073">
        <f>+'Matriz PEI 2021-2024'!E17</f>
        <v>1</v>
      </c>
      <c r="E38" s="1073">
        <f>+'Matriz PEI 2021-2024'!D17</f>
        <v>0.15</v>
      </c>
      <c r="F38" s="572" t="s">
        <v>292</v>
      </c>
      <c r="G38" s="571" t="s">
        <v>907</v>
      </c>
      <c r="H38" s="28" t="str">
        <f>+'1.Informe Seguimiento POA 2023'!D42</f>
        <v>3.2.1 Realizar una visita de seguimiento a las 51 Oficinas de Control Interno Disciplinario del Distrito e identificar hechos constitutivos de faltas relevantes en temas de interés e impacto en cada anualidad.</v>
      </c>
      <c r="I38" s="78">
        <f>+'1.Informe Seguimiento POA 2023'!E42</f>
        <v>0.5</v>
      </c>
      <c r="J38" s="72">
        <f>+'1.Informe Seguimiento POA 2023'!F42</f>
        <v>204</v>
      </c>
      <c r="K38" s="573" t="str">
        <f>+'1.Informe Seguimiento POA 2023'!I42</f>
        <v>Potestad Disciplinaria</v>
      </c>
      <c r="L38" s="573" t="str">
        <f>+'1.Informe Seguimiento POA 2023'!J42</f>
        <v>Personería Delegada para la Coordinación de Potestad Disciplinaria</v>
      </c>
      <c r="M38" s="507">
        <f>+'1.Informe Seguimiento POA 2023'!K42</f>
        <v>51</v>
      </c>
      <c r="N38" s="507">
        <f>+'1.Informe Seguimiento POA 2023'!L42</f>
        <v>51</v>
      </c>
      <c r="O38" s="507">
        <f>+'1.Informe Seguimiento POA 2023'!M42</f>
        <v>51</v>
      </c>
      <c r="P38" s="507">
        <f>+'1.Informe Seguimiento POA 2023'!N42</f>
        <v>51</v>
      </c>
      <c r="Q38" s="515">
        <v>0</v>
      </c>
      <c r="R38" s="515">
        <v>12</v>
      </c>
      <c r="S38" s="515">
        <v>15</v>
      </c>
      <c r="T38" s="515">
        <v>39</v>
      </c>
      <c r="U38" s="515">
        <v>15</v>
      </c>
      <c r="V38" s="515">
        <v>0</v>
      </c>
      <c r="W38" s="515">
        <v>21</v>
      </c>
      <c r="X38" s="515">
        <v>0</v>
      </c>
      <c r="Y38" s="256">
        <v>51</v>
      </c>
      <c r="Z38" s="256">
        <v>51</v>
      </c>
      <c r="AA38" s="765">
        <v>1</v>
      </c>
      <c r="AB38" s="515">
        <v>0</v>
      </c>
      <c r="AC38" s="515">
        <v>0</v>
      </c>
      <c r="AD38" s="515">
        <v>30</v>
      </c>
      <c r="AE38" s="515">
        <v>0</v>
      </c>
      <c r="AF38" s="515">
        <v>21</v>
      </c>
      <c r="AG38" s="515">
        <v>9</v>
      </c>
      <c r="AH38" s="515">
        <v>0</v>
      </c>
      <c r="AI38" s="515">
        <v>42</v>
      </c>
      <c r="AJ38" s="256">
        <v>51</v>
      </c>
      <c r="AK38" s="256">
        <v>51</v>
      </c>
      <c r="AL38" s="765">
        <v>1</v>
      </c>
      <c r="AM38" s="515">
        <f>+'1.Informe Seguimiento POA 2023'!O42</f>
        <v>0</v>
      </c>
      <c r="AN38" s="515">
        <f>+'1.Informe Seguimiento POA 2023'!P42</f>
        <v>0</v>
      </c>
      <c r="AO38" s="515">
        <f>+'1.Informe Seguimiento POA 2023'!Q42</f>
        <v>21</v>
      </c>
      <c r="AP38" s="515">
        <f>+'1.Informe Seguimiento POA 2023'!R42</f>
        <v>10</v>
      </c>
      <c r="AQ38" s="515">
        <f>+'1.Informe Seguimiento POA 2023'!S42</f>
        <v>18</v>
      </c>
      <c r="AR38" s="515">
        <f>+'1.Informe Seguimiento POA 2023'!T42</f>
        <v>0</v>
      </c>
      <c r="AS38" s="515">
        <f>+'1.Informe Seguimiento POA 2023'!U42</f>
        <v>12</v>
      </c>
      <c r="AT38" s="515">
        <f>+'1.Informe Seguimiento POA 2023'!V42</f>
        <v>0</v>
      </c>
      <c r="AU38" s="256">
        <f>+'1.Informe Seguimiento POA 2023'!W42</f>
        <v>51</v>
      </c>
      <c r="AV38" s="256">
        <f>+'1.Informe Seguimiento POA 2023'!X42</f>
        <v>10</v>
      </c>
      <c r="AW38" s="576">
        <f>+'1.Informe Seguimiento POA 2023'!Y42</f>
        <v>0.19607843137254902</v>
      </c>
      <c r="AX38" s="508"/>
      <c r="AY38" s="508"/>
      <c r="AZ38" s="508"/>
      <c r="BA38" s="508"/>
      <c r="BB38" s="508"/>
      <c r="BC38" s="508"/>
      <c r="BD38" s="508"/>
      <c r="BE38" s="508"/>
      <c r="BF38" s="256">
        <f t="shared" si="0"/>
        <v>51</v>
      </c>
      <c r="BG38" s="256"/>
      <c r="BH38" s="508"/>
      <c r="BI38" s="256">
        <f t="shared" ref="BI38" si="21">+Q38+S38+U38+W38+AM38+AO38+AB38+AD38+AF38+AH38</f>
        <v>123</v>
      </c>
      <c r="BJ38" s="256">
        <f t="shared" ref="BJ38" si="22">+R38+T38+V38+X38+AN38+AP38+AC38+AE38+AG38+AI38</f>
        <v>112</v>
      </c>
      <c r="BK38" s="508">
        <f t="shared" si="18"/>
        <v>0.91056910569105687</v>
      </c>
      <c r="BL38" s="508">
        <f t="shared" si="5"/>
        <v>0.5490196078431373</v>
      </c>
      <c r="BM38" s="785">
        <f t="shared" si="1"/>
        <v>0.27450980392156865</v>
      </c>
      <c r="BN38" s="1097">
        <f>SUM(BM38:BM39)</f>
        <v>0.64790980392156861</v>
      </c>
      <c r="BO38" s="1005"/>
      <c r="BP38" s="605"/>
      <c r="BQ38" s="605"/>
    </row>
    <row r="39" spans="2:69" ht="95.25" customHeight="1">
      <c r="B39" s="1012"/>
      <c r="C39" s="1072"/>
      <c r="D39" s="1074"/>
      <c r="E39" s="1104"/>
      <c r="F39" s="653" t="s">
        <v>276</v>
      </c>
      <c r="G39" s="653" t="s">
        <v>622</v>
      </c>
      <c r="H39" s="28" t="str">
        <f>+'1.Informe Seguimiento POA 2023'!D43</f>
        <v>3.2.2 Asumir por competencia preferente el 100% de los procesos cuyos temas sean considerados de interés e impacto el Distrito Capital.</v>
      </c>
      <c r="I39" s="78">
        <f>+'1.Informe Seguimiento POA 2023'!E43</f>
        <v>0.5</v>
      </c>
      <c r="J39" s="569">
        <f>+'1.Informe Seguimiento POA 2023'!F43</f>
        <v>1</v>
      </c>
      <c r="K39" s="573" t="str">
        <f>+'1.Informe Seguimiento POA 2023'!I43</f>
        <v>Potestad Disciplinaria</v>
      </c>
      <c r="L39" s="573" t="str">
        <f>+'1.Informe Seguimiento POA 2023'!J43</f>
        <v>Personería Delegada para la Coordinación de Potestad Disciplinaria</v>
      </c>
      <c r="M39" s="567">
        <f>+'1.Informe Seguimiento POA 2023'!K43</f>
        <v>1</v>
      </c>
      <c r="N39" s="567">
        <f>+'1.Informe Seguimiento POA 2023'!L43</f>
        <v>1</v>
      </c>
      <c r="O39" s="567">
        <f>+'1.Informe Seguimiento POA 2023'!M43</f>
        <v>1</v>
      </c>
      <c r="P39" s="567">
        <f>+'1.Informe Seguimiento POA 2023'!N43</f>
        <v>1</v>
      </c>
      <c r="Q39" s="767">
        <v>0</v>
      </c>
      <c r="R39" s="767">
        <v>1</v>
      </c>
      <c r="S39" s="767">
        <v>1</v>
      </c>
      <c r="T39" s="767">
        <v>1</v>
      </c>
      <c r="U39" s="767">
        <v>1</v>
      </c>
      <c r="V39" s="767">
        <v>1</v>
      </c>
      <c r="W39" s="767">
        <v>1</v>
      </c>
      <c r="X39" s="767">
        <v>1</v>
      </c>
      <c r="Y39" s="510">
        <v>1</v>
      </c>
      <c r="Z39" s="510">
        <v>1</v>
      </c>
      <c r="AA39" s="510">
        <v>1</v>
      </c>
      <c r="AB39" s="767">
        <v>1</v>
      </c>
      <c r="AC39" s="767">
        <v>1</v>
      </c>
      <c r="AD39" s="767">
        <v>1</v>
      </c>
      <c r="AE39" s="767">
        <v>1</v>
      </c>
      <c r="AF39" s="767">
        <v>1</v>
      </c>
      <c r="AG39" s="767">
        <v>0.92966666666666675</v>
      </c>
      <c r="AH39" s="767">
        <v>1</v>
      </c>
      <c r="AI39" s="767">
        <v>1.0276666666666667</v>
      </c>
      <c r="AJ39" s="510">
        <v>1</v>
      </c>
      <c r="AK39" s="510">
        <v>0.98899999999999999</v>
      </c>
      <c r="AL39" s="510">
        <v>0.98899999999999999</v>
      </c>
      <c r="AM39" s="575">
        <f>+'1.Informe Seguimiento POA 2023'!O43</f>
        <v>1</v>
      </c>
      <c r="AN39" s="575">
        <f>+'1.Informe Seguimiento POA 2023'!P43</f>
        <v>1</v>
      </c>
      <c r="AO39" s="575">
        <f>+'1.Informe Seguimiento POA 2023'!Q43</f>
        <v>1</v>
      </c>
      <c r="AP39" s="575">
        <f>+'1.Informe Seguimiento POA 2023'!R43</f>
        <v>1</v>
      </c>
      <c r="AQ39" s="575">
        <f>+'1.Informe Seguimiento POA 2023'!S43</f>
        <v>1</v>
      </c>
      <c r="AR39" s="575">
        <f>+'1.Informe Seguimiento POA 2023'!T43</f>
        <v>0</v>
      </c>
      <c r="AS39" s="575">
        <f>+'1.Informe Seguimiento POA 2023'!U43</f>
        <v>1</v>
      </c>
      <c r="AT39" s="575">
        <f>+'1.Informe Seguimiento POA 2023'!V43</f>
        <v>0</v>
      </c>
      <c r="AU39" s="510">
        <f>+'1.Informe Seguimiento POA 2023'!W43</f>
        <v>1</v>
      </c>
      <c r="AV39" s="510">
        <f>+'1.Informe Seguimiento POA 2023'!X43</f>
        <v>1</v>
      </c>
      <c r="AW39" s="510">
        <f>+'1.Informe Seguimiento POA 2023'!Y43</f>
        <v>0.5</v>
      </c>
      <c r="AX39" s="582"/>
      <c r="AY39" s="582"/>
      <c r="AZ39" s="582"/>
      <c r="BA39" s="582"/>
      <c r="BB39" s="582"/>
      <c r="BC39" s="582"/>
      <c r="BD39" s="582"/>
      <c r="BE39" s="582"/>
      <c r="BF39" s="569">
        <f t="shared" si="0"/>
        <v>1</v>
      </c>
      <c r="BG39" s="569"/>
      <c r="BH39" s="582"/>
      <c r="BI39" s="508">
        <f>IFERROR(AVERAGE(Q39,S39,U39,W39,AM39,AO39,AB39,AD39,AF39,AH39),0)</f>
        <v>0.9</v>
      </c>
      <c r="BJ39" s="508">
        <f>IFERROR(AVERAGE(R39,T39,V39,X39,AN39,AP39,AC39,AE39,AG39,AI39),0)</f>
        <v>0.99573333333333325</v>
      </c>
      <c r="BK39" s="508">
        <f t="shared" si="18"/>
        <v>1.1063703703703702</v>
      </c>
      <c r="BL39" s="961">
        <f>(IF(AND(BJ39&gt;0,$J39&gt;0),BJ39/$J39,0))*0.75</f>
        <v>0.74679999999999991</v>
      </c>
      <c r="BM39" s="785">
        <f t="shared" si="1"/>
        <v>0.37339999999999995</v>
      </c>
      <c r="BN39" s="1099"/>
      <c r="BO39" s="1005"/>
      <c r="BP39" s="605"/>
      <c r="BQ39" s="605"/>
    </row>
    <row r="40" spans="2:69" ht="126.75" customHeight="1">
      <c r="B40" s="1012"/>
      <c r="C40" s="89" t="str">
        <f>+'Matriz PEI 2021-2024'!C18</f>
        <v>3.3. Generar 8 escenarios que fortalezcan el conocimiento y las competencias del operador disciplinario, que apoya el cumplimiento de la labor misional, extendiendo el alcance a los jueces naturales en el Distrito Capital.</v>
      </c>
      <c r="D40" s="516">
        <f>+'Matriz PEI 2021-2024'!E18</f>
        <v>8</v>
      </c>
      <c r="E40" s="517">
        <f>+'Matriz PEI 2021-2024'!D18</f>
        <v>0.1</v>
      </c>
      <c r="F40" s="89" t="s">
        <v>908</v>
      </c>
      <c r="G40" s="89" t="s">
        <v>909</v>
      </c>
      <c r="H40" s="28" t="str">
        <f>+'1.Informe Seguimiento POA 2023'!D44</f>
        <v>3.3.1 Generar 8 escenarios de intercambio de conocimiento con los(as) servidores(as) públicos(as) para fortalecer el conocimiento en la sustanciación de procesos disciplinarios en el Distrito Capital.</v>
      </c>
      <c r="I40" s="78">
        <f>+'1.Informe Seguimiento POA 2023'!E44</f>
        <v>1</v>
      </c>
      <c r="J40" s="72">
        <f>+'1.Informe Seguimiento POA 2023'!F44</f>
        <v>8</v>
      </c>
      <c r="K40" s="573" t="str">
        <f>+'1.Informe Seguimiento POA 2023'!I44</f>
        <v>Potestad Disciplinaria</v>
      </c>
      <c r="L40" s="573" t="str">
        <f>+'1.Informe Seguimiento POA 2023'!J44</f>
        <v>Personería Delegada para la Coordinación de Potestad Disciplinaria</v>
      </c>
      <c r="M40" s="507">
        <f>+'1.Informe Seguimiento POA 2023'!K44</f>
        <v>2</v>
      </c>
      <c r="N40" s="507">
        <f>+'1.Informe Seguimiento POA 2023'!L44</f>
        <v>2</v>
      </c>
      <c r="O40" s="507">
        <f>+'1.Informe Seguimiento POA 2023'!M44</f>
        <v>2</v>
      </c>
      <c r="P40" s="507">
        <f>+'1.Informe Seguimiento POA 2023'!N44</f>
        <v>2</v>
      </c>
      <c r="Q40" s="256">
        <v>0</v>
      </c>
      <c r="R40" s="256">
        <v>0</v>
      </c>
      <c r="S40" s="256">
        <v>0</v>
      </c>
      <c r="T40" s="256">
        <v>1</v>
      </c>
      <c r="U40" s="256">
        <v>1</v>
      </c>
      <c r="V40" s="256">
        <v>0</v>
      </c>
      <c r="W40" s="256">
        <v>1</v>
      </c>
      <c r="X40" s="256">
        <v>1</v>
      </c>
      <c r="Y40" s="256">
        <v>2</v>
      </c>
      <c r="Z40" s="256">
        <v>2</v>
      </c>
      <c r="AA40" s="765">
        <v>1</v>
      </c>
      <c r="AB40" s="256">
        <v>0</v>
      </c>
      <c r="AC40" s="256">
        <v>0</v>
      </c>
      <c r="AD40" s="256">
        <v>0</v>
      </c>
      <c r="AE40" s="256">
        <v>1</v>
      </c>
      <c r="AF40" s="256">
        <v>1</v>
      </c>
      <c r="AG40" s="256">
        <v>0</v>
      </c>
      <c r="AH40" s="256">
        <v>1</v>
      </c>
      <c r="AI40" s="256">
        <v>1</v>
      </c>
      <c r="AJ40" s="256">
        <v>2</v>
      </c>
      <c r="AK40" s="256">
        <v>2</v>
      </c>
      <c r="AL40" s="765">
        <v>1</v>
      </c>
      <c r="AM40" s="256">
        <f>+'1.Informe Seguimiento POA 2023'!O44</f>
        <v>0</v>
      </c>
      <c r="AN40" s="256">
        <f>+'1.Informe Seguimiento POA 2023'!P44</f>
        <v>0</v>
      </c>
      <c r="AO40" s="256">
        <f>+'1.Informe Seguimiento POA 2023'!Q44</f>
        <v>0</v>
      </c>
      <c r="AP40" s="256">
        <f>+'1.Informe Seguimiento POA 2023'!R44</f>
        <v>1</v>
      </c>
      <c r="AQ40" s="256">
        <f>+'1.Informe Seguimiento POA 2023'!S44</f>
        <v>1</v>
      </c>
      <c r="AR40" s="256">
        <f>+'1.Informe Seguimiento POA 2023'!T44</f>
        <v>0</v>
      </c>
      <c r="AS40" s="256">
        <f>+'1.Informe Seguimiento POA 2023'!U44</f>
        <v>1</v>
      </c>
      <c r="AT40" s="256">
        <f>+'1.Informe Seguimiento POA 2023'!V44</f>
        <v>0</v>
      </c>
      <c r="AU40" s="256">
        <f>+'1.Informe Seguimiento POA 2023'!W44</f>
        <v>2</v>
      </c>
      <c r="AV40" s="256">
        <f>+'1.Informe Seguimiento POA 2023'!X44</f>
        <v>1</v>
      </c>
      <c r="AW40" s="576">
        <f>+'1.Informe Seguimiento POA 2023'!Y44</f>
        <v>0.5</v>
      </c>
      <c r="AX40" s="508"/>
      <c r="AY40" s="508"/>
      <c r="AZ40" s="508"/>
      <c r="BA40" s="508"/>
      <c r="BB40" s="508"/>
      <c r="BC40" s="508"/>
      <c r="BD40" s="508"/>
      <c r="BE40" s="508"/>
      <c r="BF40" s="256">
        <f t="shared" si="0"/>
        <v>2</v>
      </c>
      <c r="BG40" s="256"/>
      <c r="BH40" s="508"/>
      <c r="BI40" s="256">
        <f t="shared" ref="BI40" si="23">+Q40+S40+U40+W40+AM40+AO40+AB40+AD40+AF40+AH40</f>
        <v>4</v>
      </c>
      <c r="BJ40" s="256">
        <f t="shared" ref="BJ40" si="24">+R40+T40+V40+X40+AN40+AP40+AC40+AE40+AG40+AI40</f>
        <v>5</v>
      </c>
      <c r="BK40" s="508">
        <f t="shared" si="18"/>
        <v>1.25</v>
      </c>
      <c r="BL40" s="508">
        <f t="shared" si="5"/>
        <v>0.625</v>
      </c>
      <c r="BM40" s="785">
        <f t="shared" si="1"/>
        <v>0.625</v>
      </c>
      <c r="BN40" s="593">
        <f>SUM(BM40)</f>
        <v>0.625</v>
      </c>
      <c r="BO40" s="1005"/>
      <c r="BP40" s="605"/>
      <c r="BQ40" s="605"/>
    </row>
    <row r="41" spans="2:69" ht="61.5" customHeight="1">
      <c r="B41" s="1012"/>
      <c r="C41" s="1071" t="str">
        <f>+'Matriz PEI 2021-2024'!C19</f>
        <v>3.4. Implementar al 100% tres soluciones informáticas propias para la ejecución y gestión de la Potestad Disciplinaria.</v>
      </c>
      <c r="D41" s="1073">
        <f>+'Matriz PEI 2021-2024'!E19</f>
        <v>1</v>
      </c>
      <c r="E41" s="1073">
        <f>+'Matriz PEI 2021-2024'!D19</f>
        <v>0.35</v>
      </c>
      <c r="F41" s="1071" t="s">
        <v>994</v>
      </c>
      <c r="G41" s="586" t="s">
        <v>910</v>
      </c>
      <c r="H41" s="28" t="str">
        <f>+'1.Informe Seguimiento POA 2023'!D45</f>
        <v>3.4.1 Implementar un sistema de comunicación efectiva y eficiente con las Oficinas de Control Interno del Distrito Capital.</v>
      </c>
      <c r="I41" s="78">
        <f>+'1.Informe Seguimiento POA 2023'!E45</f>
        <v>0.2</v>
      </c>
      <c r="J41" s="72">
        <f>+'1.Informe Seguimiento POA 2023'!F45</f>
        <v>1</v>
      </c>
      <c r="K41" s="573" t="str">
        <f>+'1.Informe Seguimiento POA 2023'!I45</f>
        <v>Potestad Disciplinaria</v>
      </c>
      <c r="L41" s="573" t="str">
        <f>+'1.Informe Seguimiento POA 2023'!J45</f>
        <v>Personería Delegada para la Coordinación de Potestad Disciplinaria</v>
      </c>
      <c r="M41" s="568">
        <f>+'1.Informe Seguimiento POA 2023'!K45</f>
        <v>0.5</v>
      </c>
      <c r="N41" s="568">
        <f>+'1.Informe Seguimiento POA 2023'!L45</f>
        <v>0.5</v>
      </c>
      <c r="O41" s="568">
        <f>+'1.Informe Seguimiento POA 2023'!M45</f>
        <v>0</v>
      </c>
      <c r="P41" s="568">
        <f>+'1.Informe Seguimiento POA 2023'!N45</f>
        <v>0</v>
      </c>
      <c r="Q41" s="518">
        <v>0.05</v>
      </c>
      <c r="R41" s="518">
        <v>0.05</v>
      </c>
      <c r="S41" s="518">
        <v>0.2</v>
      </c>
      <c r="T41" s="518">
        <v>0</v>
      </c>
      <c r="U41" s="518">
        <v>0.15000000000000002</v>
      </c>
      <c r="V41" s="518">
        <v>0.35</v>
      </c>
      <c r="W41" s="518">
        <v>0.1</v>
      </c>
      <c r="X41" s="518">
        <v>0.1</v>
      </c>
      <c r="Y41" s="518">
        <v>0.5</v>
      </c>
      <c r="Z41" s="518">
        <v>0.5</v>
      </c>
      <c r="AA41" s="766">
        <v>1</v>
      </c>
      <c r="AB41" s="518">
        <v>0.15000000000000002</v>
      </c>
      <c r="AC41" s="518">
        <v>0.15000000000000002</v>
      </c>
      <c r="AD41" s="518">
        <v>0.15000000000000002</v>
      </c>
      <c r="AE41" s="518">
        <v>0.15000000000000002</v>
      </c>
      <c r="AF41" s="518">
        <v>0.15000000000000002</v>
      </c>
      <c r="AG41" s="518">
        <v>0.15000000000000002</v>
      </c>
      <c r="AH41" s="518">
        <v>0.05</v>
      </c>
      <c r="AI41" s="518">
        <v>0.05</v>
      </c>
      <c r="AJ41" s="518">
        <v>0.50000000000000011</v>
      </c>
      <c r="AK41" s="518">
        <v>0.50000000000000011</v>
      </c>
      <c r="AL41" s="766">
        <v>1</v>
      </c>
      <c r="AM41" s="518">
        <f>+'1.Informe Seguimiento POA 2023'!O45</f>
        <v>0</v>
      </c>
      <c r="AN41" s="518">
        <f>+'1.Informe Seguimiento POA 2023'!P45</f>
        <v>0</v>
      </c>
      <c r="AO41" s="518">
        <f>+'1.Informe Seguimiento POA 2023'!Q45</f>
        <v>0</v>
      </c>
      <c r="AP41" s="518">
        <f>+'1.Informe Seguimiento POA 2023'!R45</f>
        <v>0</v>
      </c>
      <c r="AQ41" s="518">
        <f>+'1.Informe Seguimiento POA 2023'!S45</f>
        <v>0</v>
      </c>
      <c r="AR41" s="518">
        <f>+'1.Informe Seguimiento POA 2023'!T45</f>
        <v>0</v>
      </c>
      <c r="AS41" s="518">
        <f>+'1.Informe Seguimiento POA 2023'!U45</f>
        <v>0</v>
      </c>
      <c r="AT41" s="518">
        <f>+'1.Informe Seguimiento POA 2023'!V45</f>
        <v>0</v>
      </c>
      <c r="AU41" s="518">
        <f>+'1.Informe Seguimiento POA 2023'!W45</f>
        <v>0</v>
      </c>
      <c r="AV41" s="518">
        <f>+'1.Informe Seguimiento POA 2023'!X45</f>
        <v>0</v>
      </c>
      <c r="AW41" s="569">
        <f>+'1.Informe Seguimiento POA 2023'!Y45</f>
        <v>0</v>
      </c>
      <c r="AX41" s="583"/>
      <c r="AY41" s="583"/>
      <c r="AZ41" s="583"/>
      <c r="BA41" s="583"/>
      <c r="BB41" s="583"/>
      <c r="BC41" s="583"/>
      <c r="BD41" s="583"/>
      <c r="BE41" s="583"/>
      <c r="BF41" s="518">
        <f t="shared" ref="BF41:BF72" si="25">+P41</f>
        <v>0</v>
      </c>
      <c r="BG41" s="518"/>
      <c r="BH41" s="583"/>
      <c r="BI41" s="518">
        <f t="shared" ref="BI41:BI43" si="26">+Q41+S41+U41+W41+AM41+AO41+AB41+AD41+AF41+AH41</f>
        <v>1</v>
      </c>
      <c r="BJ41" s="518">
        <f t="shared" ref="BJ41:BJ43" si="27">+R41+T41+V41+X41+AN41+AP41+AC41+AE41+AG41+AI41</f>
        <v>1</v>
      </c>
      <c r="BK41" s="508">
        <f t="shared" si="18"/>
        <v>1</v>
      </c>
      <c r="BL41" s="508">
        <f t="shared" si="5"/>
        <v>1</v>
      </c>
      <c r="BM41" s="785">
        <f t="shared" ref="BM41:BM72" si="28">IF(AND(BL41&gt;0,I41&gt;0),BL41*I41,0)</f>
        <v>0.2</v>
      </c>
      <c r="BN41" s="1100">
        <f>SUM(BM41:BM43)</f>
        <v>0.77299999999999991</v>
      </c>
      <c r="BO41" s="1005"/>
      <c r="BP41" s="605"/>
      <c r="BQ41" s="605"/>
    </row>
    <row r="42" spans="2:69" ht="61.5" customHeight="1">
      <c r="B42" s="1012"/>
      <c r="C42" s="1077"/>
      <c r="D42" s="1105"/>
      <c r="E42" s="1106"/>
      <c r="F42" s="1077"/>
      <c r="G42" s="652"/>
      <c r="H42" s="28" t="str">
        <f>+'1.Informe Seguimiento POA 2023'!D46</f>
        <v xml:space="preserve">3.4.2 Diseñar e implementar un sistema de información misional que generé el expediente electrónico  </v>
      </c>
      <c r="I42" s="78">
        <f>+'1.Informe Seguimiento POA 2023'!E46</f>
        <v>0.7</v>
      </c>
      <c r="J42" s="72">
        <f>+'1.Informe Seguimiento POA 2023'!F46</f>
        <v>1</v>
      </c>
      <c r="K42" s="573" t="str">
        <f>+'1.Informe Seguimiento POA 2023'!I46</f>
        <v>Potestad Disciplinaria</v>
      </c>
      <c r="L42" s="573" t="str">
        <f>+'1.Informe Seguimiento POA 2023'!J46</f>
        <v>Personería Delegada para la Coordinación de Potestad Disciplinaria</v>
      </c>
      <c r="M42" s="568">
        <f>+'1.Informe Seguimiento POA 2023'!K46</f>
        <v>0.2</v>
      </c>
      <c r="N42" s="568">
        <f>+'1.Informe Seguimiento POA 2023'!L46</f>
        <v>0.4</v>
      </c>
      <c r="O42" s="568">
        <f>+'1.Informe Seguimiento POA 2023'!M46</f>
        <v>0.3</v>
      </c>
      <c r="P42" s="568">
        <f>+'1.Informe Seguimiento POA 2023'!N46</f>
        <v>0.1</v>
      </c>
      <c r="Q42" s="518">
        <v>0.02</v>
      </c>
      <c r="R42" s="518">
        <v>0.02</v>
      </c>
      <c r="S42" s="518">
        <v>0.06</v>
      </c>
      <c r="T42" s="518">
        <v>0.06</v>
      </c>
      <c r="U42" s="518">
        <v>0.06</v>
      </c>
      <c r="V42" s="518">
        <v>0.06</v>
      </c>
      <c r="W42" s="518">
        <v>0.06</v>
      </c>
      <c r="X42" s="518">
        <v>0.06</v>
      </c>
      <c r="Y42" s="518">
        <v>0.2</v>
      </c>
      <c r="Z42" s="518">
        <v>0.2</v>
      </c>
      <c r="AA42" s="766">
        <v>1</v>
      </c>
      <c r="AB42" s="518">
        <v>0.05</v>
      </c>
      <c r="AC42" s="518">
        <v>0</v>
      </c>
      <c r="AD42" s="518">
        <v>0.11</v>
      </c>
      <c r="AE42" s="518">
        <v>0.11</v>
      </c>
      <c r="AF42" s="518">
        <v>0.15000000000000002</v>
      </c>
      <c r="AG42" s="518">
        <v>0.2</v>
      </c>
      <c r="AH42" s="518">
        <v>0.09</v>
      </c>
      <c r="AI42" s="518">
        <v>0.09</v>
      </c>
      <c r="AJ42" s="518">
        <v>0.4</v>
      </c>
      <c r="AK42" s="518">
        <v>0.4</v>
      </c>
      <c r="AL42" s="766">
        <v>1</v>
      </c>
      <c r="AM42" s="518">
        <f>+'1.Informe Seguimiento POA 2023'!O46</f>
        <v>0.06</v>
      </c>
      <c r="AN42" s="518">
        <f>+'1.Informe Seguimiento POA 2023'!P46</f>
        <v>0.06</v>
      </c>
      <c r="AO42" s="518">
        <f>+'1.Informe Seguimiento POA 2023'!Q46</f>
        <v>0.09</v>
      </c>
      <c r="AP42" s="518">
        <f>+'1.Informe Seguimiento POA 2023'!R46</f>
        <v>0.05</v>
      </c>
      <c r="AQ42" s="518">
        <f>+'1.Informe Seguimiento POA 2023'!S46</f>
        <v>0.09</v>
      </c>
      <c r="AR42" s="518">
        <f>+'1.Informe Seguimiento POA 2023'!T46</f>
        <v>0</v>
      </c>
      <c r="AS42" s="518">
        <f>+'1.Informe Seguimiento POA 2023'!U46</f>
        <v>0.06</v>
      </c>
      <c r="AT42" s="518">
        <f>+'1.Informe Seguimiento POA 2023'!V46</f>
        <v>0</v>
      </c>
      <c r="AU42" s="518">
        <f>+'1.Informe Seguimiento POA 2023'!W46</f>
        <v>0.3</v>
      </c>
      <c r="AV42" s="518">
        <f>+'1.Informe Seguimiento POA 2023'!X46</f>
        <v>0.11</v>
      </c>
      <c r="AW42" s="569">
        <f>+'1.Informe Seguimiento POA 2023'!Y46</f>
        <v>0.3666666666666667</v>
      </c>
      <c r="AX42" s="583"/>
      <c r="AY42" s="583"/>
      <c r="AZ42" s="583"/>
      <c r="BA42" s="583"/>
      <c r="BB42" s="583"/>
      <c r="BC42" s="583"/>
      <c r="BD42" s="583"/>
      <c r="BE42" s="583"/>
      <c r="BF42" s="518">
        <f t="shared" si="25"/>
        <v>0.1</v>
      </c>
      <c r="BG42" s="518"/>
      <c r="BH42" s="583"/>
      <c r="BI42" s="518">
        <f t="shared" si="26"/>
        <v>0.75</v>
      </c>
      <c r="BJ42" s="518">
        <f t="shared" si="27"/>
        <v>0.71</v>
      </c>
      <c r="BK42" s="508">
        <f t="shared" si="18"/>
        <v>0.94666666666666666</v>
      </c>
      <c r="BL42" s="508">
        <f t="shared" si="5"/>
        <v>0.71</v>
      </c>
      <c r="BM42" s="785">
        <f t="shared" si="28"/>
        <v>0.49699999999999994</v>
      </c>
      <c r="BN42" s="1100"/>
      <c r="BO42" s="1005"/>
      <c r="BP42" s="605"/>
      <c r="BQ42" s="605"/>
    </row>
    <row r="43" spans="2:69" ht="61.5" customHeight="1">
      <c r="B43" s="1019"/>
      <c r="C43" s="1072"/>
      <c r="D43" s="1074"/>
      <c r="E43" s="1104"/>
      <c r="F43" s="1072"/>
      <c r="G43" s="653"/>
      <c r="H43" s="28" t="str">
        <f>+'1.Informe Seguimiento POA 2023'!D47</f>
        <v xml:space="preserve">3.4.3 Diseñar e implementar una relatoría de las decisiones de fondo adoptadas en ejercicio de la potestad disciplinaria  </v>
      </c>
      <c r="I43" s="78">
        <f>+'1.Informe Seguimiento POA 2023'!E47</f>
        <v>0.1</v>
      </c>
      <c r="J43" s="72">
        <f>+'1.Informe Seguimiento POA 2023'!F47</f>
        <v>1</v>
      </c>
      <c r="K43" s="573" t="str">
        <f>+'1.Informe Seguimiento POA 2023'!I47</f>
        <v>Potestad Disciplinaria</v>
      </c>
      <c r="L43" s="573" t="str">
        <f>+'1.Informe Seguimiento POA 2023'!J47</f>
        <v>Personería Delegada para la Coordinación de Potestad Disciplinaria</v>
      </c>
      <c r="M43" s="568">
        <f>+'1.Informe Seguimiento POA 2023'!K47</f>
        <v>0.1</v>
      </c>
      <c r="N43" s="568">
        <f>+'1.Informe Seguimiento POA 2023'!L47</f>
        <v>0.3</v>
      </c>
      <c r="O43" s="568">
        <f>+'1.Informe Seguimiento POA 2023'!M47</f>
        <v>0.4</v>
      </c>
      <c r="P43" s="568">
        <f>+'1.Informe Seguimiento POA 2023'!N47</f>
        <v>0.2</v>
      </c>
      <c r="Q43" s="518">
        <v>0</v>
      </c>
      <c r="R43" s="518">
        <v>0</v>
      </c>
      <c r="S43" s="518">
        <v>0.02</v>
      </c>
      <c r="T43" s="518">
        <v>0.02</v>
      </c>
      <c r="U43" s="518">
        <v>0.05</v>
      </c>
      <c r="V43" s="518">
        <v>0.05</v>
      </c>
      <c r="W43" s="518">
        <v>0.03</v>
      </c>
      <c r="X43" s="518">
        <v>0.03</v>
      </c>
      <c r="Y43" s="518">
        <v>0.1</v>
      </c>
      <c r="Z43" s="518">
        <v>0.1</v>
      </c>
      <c r="AA43" s="766">
        <v>1</v>
      </c>
      <c r="AB43" s="518">
        <v>0.06</v>
      </c>
      <c r="AC43" s="518">
        <v>0.06</v>
      </c>
      <c r="AD43" s="518">
        <v>0.09</v>
      </c>
      <c r="AE43" s="518">
        <v>0.09</v>
      </c>
      <c r="AF43" s="518">
        <v>0.09</v>
      </c>
      <c r="AG43" s="518">
        <v>0.09</v>
      </c>
      <c r="AH43" s="518">
        <v>0.06</v>
      </c>
      <c r="AI43" s="518">
        <v>6.0000000000000005E-2</v>
      </c>
      <c r="AJ43" s="518">
        <v>0.3</v>
      </c>
      <c r="AK43" s="518">
        <v>0.3</v>
      </c>
      <c r="AL43" s="766">
        <v>1</v>
      </c>
      <c r="AM43" s="518">
        <f>+'1.Informe Seguimiento POA 2023'!O47</f>
        <v>0.08</v>
      </c>
      <c r="AN43" s="518">
        <f>+'1.Informe Seguimiento POA 2023'!P47</f>
        <v>0.08</v>
      </c>
      <c r="AO43" s="518">
        <f>+'1.Informe Seguimiento POA 2023'!Q47</f>
        <v>0.12</v>
      </c>
      <c r="AP43" s="518">
        <f>+'1.Informe Seguimiento POA 2023'!R47</f>
        <v>0.28000000000000003</v>
      </c>
      <c r="AQ43" s="518">
        <f>+'1.Informe Seguimiento POA 2023'!S47</f>
        <v>0.12</v>
      </c>
      <c r="AR43" s="518">
        <f>+'1.Informe Seguimiento POA 2023'!T47</f>
        <v>0</v>
      </c>
      <c r="AS43" s="518">
        <f>+'1.Informe Seguimiento POA 2023'!U47</f>
        <v>0.08</v>
      </c>
      <c r="AT43" s="518">
        <f>+'1.Informe Seguimiento POA 2023'!V47</f>
        <v>0</v>
      </c>
      <c r="AU43" s="518">
        <f>+'1.Informe Seguimiento POA 2023'!W47</f>
        <v>0.4</v>
      </c>
      <c r="AV43" s="518">
        <f>+'1.Informe Seguimiento POA 2023'!X47</f>
        <v>0.36000000000000004</v>
      </c>
      <c r="AW43" s="569">
        <f>+'1.Informe Seguimiento POA 2023'!Y47</f>
        <v>0.9</v>
      </c>
      <c r="AX43" s="583"/>
      <c r="AY43" s="583"/>
      <c r="AZ43" s="583"/>
      <c r="BA43" s="583"/>
      <c r="BB43" s="583"/>
      <c r="BC43" s="583"/>
      <c r="BD43" s="583"/>
      <c r="BE43" s="583"/>
      <c r="BF43" s="518">
        <f t="shared" si="25"/>
        <v>0.2</v>
      </c>
      <c r="BG43" s="518"/>
      <c r="BH43" s="583"/>
      <c r="BI43" s="518">
        <f t="shared" si="26"/>
        <v>0.59999999999999987</v>
      </c>
      <c r="BJ43" s="518">
        <f t="shared" si="27"/>
        <v>0.76</v>
      </c>
      <c r="BK43" s="508">
        <f t="shared" si="18"/>
        <v>1.2666666666666671</v>
      </c>
      <c r="BL43" s="508">
        <f t="shared" si="5"/>
        <v>0.76</v>
      </c>
      <c r="BM43" s="785">
        <f t="shared" si="28"/>
        <v>7.6000000000000012E-2</v>
      </c>
      <c r="BN43" s="1100"/>
      <c r="BO43" s="1006"/>
      <c r="BP43" s="605"/>
      <c r="BQ43" s="605"/>
    </row>
    <row r="44" spans="2:69" ht="75" customHeight="1">
      <c r="B44" s="1037"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112" t="str">
        <f>+'Matriz PEI 2021-2024'!C20</f>
        <v>4.1. Implementar el 100% de las acciones que impulsen el crecimiento del Modelo de Madurez de Transformación Digital de la Entidad, aplicando los principios , lineamientos y normas que lo enmarcan.</v>
      </c>
      <c r="D44" s="1119">
        <f>+'Matriz PEI 2021-2024'!E20</f>
        <v>1</v>
      </c>
      <c r="E44" s="1119">
        <f>+'Matriz PEI 2021-2024'!D20</f>
        <v>0.15</v>
      </c>
      <c r="F44" s="1112" t="s">
        <v>911</v>
      </c>
      <c r="G44" s="1112" t="s">
        <v>912</v>
      </c>
      <c r="H44" s="80" t="str">
        <f>+'1.Informe Seguimiento POA 2023'!D48</f>
        <v>4.1.1 Implementar el 100 % de los proyectos de hoja de ruta del Plan Estratégico de Tecnología de la Información de tal forma que se optimicen los procesos de la Entidad</v>
      </c>
      <c r="I44" s="81">
        <f>+'1.Informe Seguimiento POA 2023'!E48</f>
        <v>0.14000000000000001</v>
      </c>
      <c r="J44" s="574">
        <f>+'1.Informe Seguimiento POA 2023'!F48</f>
        <v>1</v>
      </c>
      <c r="K44" s="512" t="str">
        <f>+'1.Informe Seguimiento POA 2023'!I48</f>
        <v>Direccionamiento TIC</v>
      </c>
      <c r="L44" s="110" t="str">
        <f>+'1.Informe Seguimiento POA 2023'!J48</f>
        <v>Dirección de Tecnologías de la  Información y las Comunicaciones</v>
      </c>
      <c r="M44" s="93">
        <f>+'1.Informe Seguimiento POA 2023'!K48</f>
        <v>0.3</v>
      </c>
      <c r="N44" s="93">
        <f>+'1.Informe Seguimiento POA 2023'!L48</f>
        <v>0.4</v>
      </c>
      <c r="O44" s="93">
        <f>+'1.Informe Seguimiento POA 2023'!M48</f>
        <v>0.25</v>
      </c>
      <c r="P44" s="93">
        <f>+'1.Informe Seguimiento POA 2023'!N48</f>
        <v>0.05</v>
      </c>
      <c r="Q44" s="519">
        <v>0.06</v>
      </c>
      <c r="R44" s="519">
        <v>0.06</v>
      </c>
      <c r="S44" s="519">
        <v>0.09</v>
      </c>
      <c r="T44" s="519">
        <v>0.09</v>
      </c>
      <c r="U44" s="519">
        <v>0.09</v>
      </c>
      <c r="V44" s="578">
        <v>0.09</v>
      </c>
      <c r="W44" s="519">
        <v>6.0000000000000005E-2</v>
      </c>
      <c r="X44" s="578">
        <v>6.0000000000000005E-2</v>
      </c>
      <c r="Y44" s="519">
        <v>0.3</v>
      </c>
      <c r="Z44" s="520">
        <v>0.3</v>
      </c>
      <c r="AA44" s="519">
        <v>1</v>
      </c>
      <c r="AB44" s="519">
        <v>7.0000000000000007E-2</v>
      </c>
      <c r="AC44" s="519">
        <v>7.0000000000000007E-2</v>
      </c>
      <c r="AD44" s="519">
        <v>0.13</v>
      </c>
      <c r="AE44" s="519">
        <v>0.13</v>
      </c>
      <c r="AF44" s="519">
        <v>0.13</v>
      </c>
      <c r="AG44" s="578">
        <v>0.13</v>
      </c>
      <c r="AH44" s="519">
        <v>7.0000000000000007E-2</v>
      </c>
      <c r="AI44" s="578">
        <v>7.0000000000000007E-2</v>
      </c>
      <c r="AJ44" s="519">
        <v>0.4</v>
      </c>
      <c r="AK44" s="520">
        <v>0.4</v>
      </c>
      <c r="AL44" s="519">
        <v>1</v>
      </c>
      <c r="AM44" s="519">
        <f>+'1.Informe Seguimiento POA 2023'!O48</f>
        <v>0.05</v>
      </c>
      <c r="AN44" s="519">
        <f>+'1.Informe Seguimiento POA 2023'!P48</f>
        <v>0.05</v>
      </c>
      <c r="AO44" s="519">
        <f>+'1.Informe Seguimiento POA 2023'!Q48</f>
        <v>7.0000000000000007E-2</v>
      </c>
      <c r="AP44" s="519">
        <f>+'1.Informe Seguimiento POA 2023'!R48</f>
        <v>7.0000000000000007E-2</v>
      </c>
      <c r="AQ44" s="519">
        <f>+'1.Informe Seguimiento POA 2023'!S48</f>
        <v>7.0000000000000007E-2</v>
      </c>
      <c r="AR44" s="578">
        <f>+'1.Informe Seguimiento POA 2023'!T48</f>
        <v>0</v>
      </c>
      <c r="AS44" s="519">
        <f>+'1.Informe Seguimiento POA 2023'!U48</f>
        <v>0.06</v>
      </c>
      <c r="AT44" s="578">
        <f>+'1.Informe Seguimiento POA 2023'!V48</f>
        <v>0</v>
      </c>
      <c r="AU44" s="519">
        <f>+'1.Informe Seguimiento POA 2023'!W48</f>
        <v>0.25</v>
      </c>
      <c r="AV44" s="520">
        <f>+'1.Informe Seguimiento POA 2023'!X48</f>
        <v>0.12000000000000001</v>
      </c>
      <c r="AW44" s="519">
        <f>+'1.Informe Seguimiento POA 2023'!Y48</f>
        <v>0.48000000000000004</v>
      </c>
      <c r="AX44" s="519"/>
      <c r="AY44" s="519"/>
      <c r="AZ44" s="519"/>
      <c r="BA44" s="519"/>
      <c r="BB44" s="519"/>
      <c r="BC44" s="519"/>
      <c r="BD44" s="519"/>
      <c r="BE44" s="519"/>
      <c r="BF44" s="519">
        <f t="shared" si="25"/>
        <v>0.05</v>
      </c>
      <c r="BG44" s="519"/>
      <c r="BH44" s="519"/>
      <c r="BI44" s="574">
        <f>Q44+S44+U44+W44+AB44+AD44+AF44+AH44+AM44+AO44</f>
        <v>0.82000000000000006</v>
      </c>
      <c r="BJ44" s="574">
        <f>R44+T44+V44+X44+AC44+AE44+AG44+AI44+AN44+AP44</f>
        <v>0.82000000000000006</v>
      </c>
      <c r="BK44" s="591">
        <f t="shared" si="18"/>
        <v>1</v>
      </c>
      <c r="BL44" s="514">
        <f t="shared" si="5"/>
        <v>0.82000000000000006</v>
      </c>
      <c r="BM44" s="787">
        <f t="shared" si="28"/>
        <v>0.11480000000000001</v>
      </c>
      <c r="BN44" s="1086">
        <f>SUM(BM44:BM50)</f>
        <v>0.81720000000000004</v>
      </c>
      <c r="BO44" s="1034">
        <f>((IF(AND(BN44&gt;0,E44&gt;0),BN44*E44))+(IF(AND(BN51&gt;0,E51&gt;0),BN51*E51))+(IF(AND(BN57&gt;0,E57&gt;0),BN57*E57))+(IF(AND(BN65&gt;0,E65&gt;0),BN65*E65))+(IF(AND(BN83&gt;0,E83&gt;0),BN83*E83))+(IF(AND(BN89&gt;0,E89&gt;0),BN89*E89))+(IF(AND(BN91&gt;0,E91&gt;0),BN91*E91)))</f>
        <v>0.81568036678057698</v>
      </c>
      <c r="BP44" s="607"/>
      <c r="BQ44" s="607"/>
    </row>
    <row r="45" spans="2:69" ht="80.25" customHeight="1">
      <c r="B45" s="1037"/>
      <c r="C45" s="1113"/>
      <c r="D45" s="1120"/>
      <c r="E45" s="1131"/>
      <c r="F45" s="1113"/>
      <c r="G45" s="1113"/>
      <c r="H45" s="80" t="str">
        <f>+'1.Informe Seguimiento POA 2023'!D49</f>
        <v>4.1.2 Ejecutar en un 100 % las actividades programadas en el plan de Seguridad de la Información, garantizando la disponibilidad, confiabilidad e integridad de los activos de información</v>
      </c>
      <c r="I45" s="81">
        <f>+'1.Informe Seguimiento POA 2023'!E49</f>
        <v>0.14000000000000001</v>
      </c>
      <c r="J45" s="574">
        <f>+'1.Informe Seguimiento POA 2023'!F49</f>
        <v>1</v>
      </c>
      <c r="K45" s="512" t="str">
        <f>+'1.Informe Seguimiento POA 2023'!I49</f>
        <v>Direccionamiento TIC</v>
      </c>
      <c r="L45" s="110" t="str">
        <f>+'1.Informe Seguimiento POA 2023'!J49</f>
        <v>Dirección de Tecnologías de la  Información y las Comunicaciones</v>
      </c>
      <c r="M45" s="93">
        <f>+'1.Informe Seguimiento POA 2023'!K49</f>
        <v>0.3</v>
      </c>
      <c r="N45" s="93">
        <f>+'1.Informe Seguimiento POA 2023'!L49</f>
        <v>0.4</v>
      </c>
      <c r="O45" s="93">
        <f>+'1.Informe Seguimiento POA 2023'!M49</f>
        <v>0.25</v>
      </c>
      <c r="P45" s="93">
        <f>+'1.Informe Seguimiento POA 2023'!N49</f>
        <v>0.05</v>
      </c>
      <c r="Q45" s="519">
        <v>0.06</v>
      </c>
      <c r="R45" s="519">
        <v>0.06</v>
      </c>
      <c r="S45" s="519">
        <v>0.09</v>
      </c>
      <c r="T45" s="519">
        <v>0.09</v>
      </c>
      <c r="U45" s="519">
        <v>0.09</v>
      </c>
      <c r="V45" s="578">
        <v>0.09</v>
      </c>
      <c r="W45" s="519">
        <v>0.06</v>
      </c>
      <c r="X45" s="578">
        <v>0.06</v>
      </c>
      <c r="Y45" s="519">
        <v>0.3</v>
      </c>
      <c r="Z45" s="520">
        <v>0.3</v>
      </c>
      <c r="AA45" s="519">
        <v>1</v>
      </c>
      <c r="AB45" s="519">
        <v>7.0000000000000007E-2</v>
      </c>
      <c r="AC45" s="519">
        <v>7.0000000000000007E-2</v>
      </c>
      <c r="AD45" s="519">
        <v>0.13</v>
      </c>
      <c r="AE45" s="519">
        <v>0.13</v>
      </c>
      <c r="AF45" s="519">
        <v>0.13</v>
      </c>
      <c r="AG45" s="578">
        <v>0.13</v>
      </c>
      <c r="AH45" s="519">
        <v>7.0000000000000007E-2</v>
      </c>
      <c r="AI45" s="578">
        <v>7.0000000000000007E-2</v>
      </c>
      <c r="AJ45" s="519">
        <v>0.4</v>
      </c>
      <c r="AK45" s="520">
        <v>0.4</v>
      </c>
      <c r="AL45" s="519">
        <v>1</v>
      </c>
      <c r="AM45" s="519">
        <f>+'1.Informe Seguimiento POA 2023'!O49</f>
        <v>0.05</v>
      </c>
      <c r="AN45" s="519">
        <f>+'1.Informe Seguimiento POA 2023'!P49</f>
        <v>0.05</v>
      </c>
      <c r="AO45" s="519">
        <f>+'1.Informe Seguimiento POA 2023'!Q49</f>
        <v>7.0000000000000007E-2</v>
      </c>
      <c r="AP45" s="519">
        <f>+'1.Informe Seguimiento POA 2023'!R49</f>
        <v>7.0000000000000007E-2</v>
      </c>
      <c r="AQ45" s="519">
        <f>+'1.Informe Seguimiento POA 2023'!S49</f>
        <v>7.0000000000000007E-2</v>
      </c>
      <c r="AR45" s="578">
        <f>+'1.Informe Seguimiento POA 2023'!T49</f>
        <v>0</v>
      </c>
      <c r="AS45" s="519">
        <f>+'1.Informe Seguimiento POA 2023'!U49</f>
        <v>0.06</v>
      </c>
      <c r="AT45" s="578">
        <f>+'1.Informe Seguimiento POA 2023'!V49</f>
        <v>0</v>
      </c>
      <c r="AU45" s="519">
        <f>+'1.Informe Seguimiento POA 2023'!W49</f>
        <v>0.25</v>
      </c>
      <c r="AV45" s="520">
        <f>+'1.Informe Seguimiento POA 2023'!X49</f>
        <v>0.12000000000000001</v>
      </c>
      <c r="AW45" s="519">
        <f>+'1.Informe Seguimiento POA 2023'!Y49</f>
        <v>0.48000000000000004</v>
      </c>
      <c r="AX45" s="519"/>
      <c r="AY45" s="519"/>
      <c r="AZ45" s="519"/>
      <c r="BA45" s="519"/>
      <c r="BB45" s="519"/>
      <c r="BC45" s="519"/>
      <c r="BD45" s="519"/>
      <c r="BE45" s="519"/>
      <c r="BF45" s="519">
        <f t="shared" si="25"/>
        <v>0.05</v>
      </c>
      <c r="BG45" s="519"/>
      <c r="BH45" s="519"/>
      <c r="BI45" s="574">
        <f t="shared" ref="BI45:BI50" si="29">Q45+S45+U45+W45+AB45+AD45+AF45+AH45+AM45+AO45</f>
        <v>0.82000000000000006</v>
      </c>
      <c r="BJ45" s="574">
        <f t="shared" ref="BJ45:BJ50" si="30">R45+T45+V45+X45+AC45+AE45+AG45+AI45+AN45+AP45</f>
        <v>0.82000000000000006</v>
      </c>
      <c r="BK45" s="591">
        <f t="shared" si="18"/>
        <v>1</v>
      </c>
      <c r="BL45" s="514">
        <f t="shared" si="5"/>
        <v>0.82000000000000006</v>
      </c>
      <c r="BM45" s="787">
        <f t="shared" si="28"/>
        <v>0.11480000000000001</v>
      </c>
      <c r="BN45" s="1087"/>
      <c r="BO45" s="1035"/>
      <c r="BP45" s="607"/>
      <c r="BQ45" s="607"/>
    </row>
    <row r="46" spans="2:69" ht="111" customHeight="1">
      <c r="B46" s="1037"/>
      <c r="C46" s="1113"/>
      <c r="D46" s="1120"/>
      <c r="E46" s="1131"/>
      <c r="F46" s="1113"/>
      <c r="G46" s="1113"/>
      <c r="H46" s="80" t="str">
        <f>+'1.Informe Seguimiento POA 2023'!D50</f>
        <v>4.1.3 Realizar el 100% de las actividades definidas en la estrategia de servicios ciudadanos digitales, que permitan acceder a los tramites y servicios de la Entidad a través de canales digitales rápidos, fiables y seguros</v>
      </c>
      <c r="I46" s="81">
        <f>+'1.Informe Seguimiento POA 2023'!E50</f>
        <v>0.14000000000000001</v>
      </c>
      <c r="J46" s="574">
        <f>+'1.Informe Seguimiento POA 2023'!F50</f>
        <v>1</v>
      </c>
      <c r="K46" s="512" t="str">
        <f>+'1.Informe Seguimiento POA 2023'!I50</f>
        <v>Direccionamiento TIC</v>
      </c>
      <c r="L46" s="110" t="str">
        <f>+'1.Informe Seguimiento POA 2023'!J50</f>
        <v>Dirección de Tecnologías de la  Información y las Comunicaciones</v>
      </c>
      <c r="M46" s="93">
        <f>+'1.Informe Seguimiento POA 2023'!K50</f>
        <v>0.3</v>
      </c>
      <c r="N46" s="93">
        <f>+'1.Informe Seguimiento POA 2023'!L50</f>
        <v>0.4</v>
      </c>
      <c r="O46" s="93">
        <f>+'1.Informe Seguimiento POA 2023'!M50</f>
        <v>0.25</v>
      </c>
      <c r="P46" s="93">
        <f>+'1.Informe Seguimiento POA 2023'!N50</f>
        <v>0.05</v>
      </c>
      <c r="Q46" s="519">
        <v>0.05</v>
      </c>
      <c r="R46" s="519">
        <v>0.05</v>
      </c>
      <c r="S46" s="519">
        <v>0.09</v>
      </c>
      <c r="T46" s="519">
        <v>0.09</v>
      </c>
      <c r="U46" s="519">
        <v>0.09</v>
      </c>
      <c r="V46" s="578">
        <v>0.09</v>
      </c>
      <c r="W46" s="519">
        <v>7.0000000000000007E-2</v>
      </c>
      <c r="X46" s="578">
        <v>7.0000000000000007E-2</v>
      </c>
      <c r="Y46" s="519">
        <v>0.30000000000000004</v>
      </c>
      <c r="Z46" s="520">
        <v>0.30000000000000004</v>
      </c>
      <c r="AA46" s="519">
        <v>1</v>
      </c>
      <c r="AB46" s="519">
        <v>7.0000000000000007E-2</v>
      </c>
      <c r="AC46" s="519">
        <v>7.0000000000000007E-2</v>
      </c>
      <c r="AD46" s="519">
        <v>0.13</v>
      </c>
      <c r="AE46" s="519">
        <v>0.13</v>
      </c>
      <c r="AF46" s="519">
        <v>0.13</v>
      </c>
      <c r="AG46" s="578">
        <v>0.13</v>
      </c>
      <c r="AH46" s="519">
        <v>7.0000000000000007E-2</v>
      </c>
      <c r="AI46" s="578">
        <v>7.0000000000000007E-2</v>
      </c>
      <c r="AJ46" s="519">
        <v>0.4</v>
      </c>
      <c r="AK46" s="520">
        <v>0.4</v>
      </c>
      <c r="AL46" s="519">
        <v>1</v>
      </c>
      <c r="AM46" s="519">
        <f>+'1.Informe Seguimiento POA 2023'!O50</f>
        <v>0.05</v>
      </c>
      <c r="AN46" s="519">
        <f>+'1.Informe Seguimiento POA 2023'!P50</f>
        <v>0.05</v>
      </c>
      <c r="AO46" s="519">
        <f>+'1.Informe Seguimiento POA 2023'!Q50</f>
        <v>7.0000000000000007E-2</v>
      </c>
      <c r="AP46" s="519">
        <f>+'1.Informe Seguimiento POA 2023'!R50</f>
        <v>7.0000000000000007E-2</v>
      </c>
      <c r="AQ46" s="519">
        <f>+'1.Informe Seguimiento POA 2023'!S50</f>
        <v>7.0000000000000007E-2</v>
      </c>
      <c r="AR46" s="578">
        <f>+'1.Informe Seguimiento POA 2023'!T50</f>
        <v>0</v>
      </c>
      <c r="AS46" s="519">
        <f>+'1.Informe Seguimiento POA 2023'!U50</f>
        <v>0.06</v>
      </c>
      <c r="AT46" s="578">
        <f>+'1.Informe Seguimiento POA 2023'!V50</f>
        <v>0</v>
      </c>
      <c r="AU46" s="519">
        <f>+'1.Informe Seguimiento POA 2023'!W50</f>
        <v>0.25</v>
      </c>
      <c r="AV46" s="520">
        <f>+'1.Informe Seguimiento POA 2023'!X50</f>
        <v>0.12000000000000001</v>
      </c>
      <c r="AW46" s="519">
        <f>+'1.Informe Seguimiento POA 2023'!Y50</f>
        <v>0.48000000000000004</v>
      </c>
      <c r="AX46" s="519"/>
      <c r="AY46" s="519"/>
      <c r="AZ46" s="519"/>
      <c r="BA46" s="519"/>
      <c r="BB46" s="519"/>
      <c r="BC46" s="519"/>
      <c r="BD46" s="519"/>
      <c r="BE46" s="519"/>
      <c r="BF46" s="519">
        <f t="shared" si="25"/>
        <v>0.05</v>
      </c>
      <c r="BG46" s="519"/>
      <c r="BH46" s="519"/>
      <c r="BI46" s="574">
        <f t="shared" si="29"/>
        <v>0.82000000000000006</v>
      </c>
      <c r="BJ46" s="574">
        <f t="shared" si="30"/>
        <v>0.82000000000000006</v>
      </c>
      <c r="BK46" s="591">
        <f t="shared" si="18"/>
        <v>1</v>
      </c>
      <c r="BL46" s="514">
        <f t="shared" si="5"/>
        <v>0.82000000000000006</v>
      </c>
      <c r="BM46" s="787">
        <f t="shared" si="28"/>
        <v>0.11480000000000001</v>
      </c>
      <c r="BN46" s="1087"/>
      <c r="BO46" s="1035"/>
      <c r="BP46" s="607"/>
      <c r="BQ46" s="607"/>
    </row>
    <row r="47" spans="2:69" ht="82.5" customHeight="1">
      <c r="B47" s="1037"/>
      <c r="C47" s="1113"/>
      <c r="D47" s="1120"/>
      <c r="E47" s="1131"/>
      <c r="F47" s="1113"/>
      <c r="G47" s="1113"/>
      <c r="H47" s="80" t="str">
        <f>+'1.Informe Seguimiento POA 2023'!D51</f>
        <v>4.1.4 Implementar en un 100% los lineamientos que adopte la Entidad para mejorar la gestión de datos que facilite la toma de decisiones</v>
      </c>
      <c r="I47" s="81">
        <f>+'1.Informe Seguimiento POA 2023'!E51</f>
        <v>0.14000000000000001</v>
      </c>
      <c r="J47" s="574">
        <f>+'1.Informe Seguimiento POA 2023'!F51</f>
        <v>1</v>
      </c>
      <c r="K47" s="512" t="str">
        <f>+'1.Informe Seguimiento POA 2023'!I51</f>
        <v>Direccionamiento TIC</v>
      </c>
      <c r="L47" s="110" t="str">
        <f>+'1.Informe Seguimiento POA 2023'!J51</f>
        <v>Dirección de Tecnologías de la  Información y las Comunicaciones</v>
      </c>
      <c r="M47" s="93">
        <f>+'1.Informe Seguimiento POA 2023'!K51</f>
        <v>0.3</v>
      </c>
      <c r="N47" s="93">
        <f>+'1.Informe Seguimiento POA 2023'!L51</f>
        <v>0.4</v>
      </c>
      <c r="O47" s="93">
        <f>+'1.Informe Seguimiento POA 2023'!M51</f>
        <v>0.25</v>
      </c>
      <c r="P47" s="93">
        <f>+'1.Informe Seguimiento POA 2023'!N51</f>
        <v>0.05</v>
      </c>
      <c r="Q47" s="519">
        <v>0.05</v>
      </c>
      <c r="R47" s="519">
        <v>0.05</v>
      </c>
      <c r="S47" s="519">
        <v>0.09</v>
      </c>
      <c r="T47" s="519">
        <v>0.09</v>
      </c>
      <c r="U47" s="519">
        <v>0.09</v>
      </c>
      <c r="V47" s="578">
        <v>0.09</v>
      </c>
      <c r="W47" s="519">
        <v>7.0000000000000007E-2</v>
      </c>
      <c r="X47" s="578">
        <v>7.0000000000000007E-2</v>
      </c>
      <c r="Y47" s="519">
        <v>0.30000000000000004</v>
      </c>
      <c r="Z47" s="520">
        <v>0.30000000000000004</v>
      </c>
      <c r="AA47" s="519">
        <v>1</v>
      </c>
      <c r="AB47" s="519">
        <v>7.0000000000000007E-2</v>
      </c>
      <c r="AC47" s="519">
        <v>7.0000000000000007E-2</v>
      </c>
      <c r="AD47" s="519">
        <v>0.13</v>
      </c>
      <c r="AE47" s="519">
        <v>0.13</v>
      </c>
      <c r="AF47" s="519">
        <v>0.13</v>
      </c>
      <c r="AG47" s="578">
        <v>0.13</v>
      </c>
      <c r="AH47" s="519">
        <v>7.0000000000000007E-2</v>
      </c>
      <c r="AI47" s="578">
        <v>7.0000000000000007E-2</v>
      </c>
      <c r="AJ47" s="519">
        <v>0.4</v>
      </c>
      <c r="AK47" s="520">
        <v>0.4</v>
      </c>
      <c r="AL47" s="519">
        <v>1</v>
      </c>
      <c r="AM47" s="519">
        <f>+'1.Informe Seguimiento POA 2023'!O51</f>
        <v>0.05</v>
      </c>
      <c r="AN47" s="519">
        <f>+'1.Informe Seguimiento POA 2023'!P51</f>
        <v>0.03</v>
      </c>
      <c r="AO47" s="519">
        <f>+'1.Informe Seguimiento POA 2023'!Q51</f>
        <v>7.0000000000000007E-2</v>
      </c>
      <c r="AP47" s="519">
        <f>+'1.Informe Seguimiento POA 2023'!R51</f>
        <v>7.0000000000000007E-2</v>
      </c>
      <c r="AQ47" s="519">
        <f>+'1.Informe Seguimiento POA 2023'!S51</f>
        <v>7.0000000000000007E-2</v>
      </c>
      <c r="AR47" s="578">
        <f>+'1.Informe Seguimiento POA 2023'!T51</f>
        <v>0</v>
      </c>
      <c r="AS47" s="519">
        <f>+'1.Informe Seguimiento POA 2023'!U51</f>
        <v>0.06</v>
      </c>
      <c r="AT47" s="578">
        <f>+'1.Informe Seguimiento POA 2023'!V51</f>
        <v>0</v>
      </c>
      <c r="AU47" s="519">
        <f>+'1.Informe Seguimiento POA 2023'!W51</f>
        <v>0.25</v>
      </c>
      <c r="AV47" s="520">
        <f>+'1.Informe Seguimiento POA 2023'!X51</f>
        <v>0.1</v>
      </c>
      <c r="AW47" s="519">
        <f>+'1.Informe Seguimiento POA 2023'!Y51</f>
        <v>0.4</v>
      </c>
      <c r="AX47" s="519"/>
      <c r="AY47" s="519"/>
      <c r="AZ47" s="519"/>
      <c r="BA47" s="519"/>
      <c r="BB47" s="519"/>
      <c r="BC47" s="519"/>
      <c r="BD47" s="519"/>
      <c r="BE47" s="519"/>
      <c r="BF47" s="519">
        <f t="shared" si="25"/>
        <v>0.05</v>
      </c>
      <c r="BG47" s="519"/>
      <c r="BH47" s="519"/>
      <c r="BI47" s="574">
        <f t="shared" si="29"/>
        <v>0.82000000000000006</v>
      </c>
      <c r="BJ47" s="574">
        <f t="shared" si="30"/>
        <v>0.8</v>
      </c>
      <c r="BK47" s="591">
        <f t="shared" si="18"/>
        <v>0.97560975609756095</v>
      </c>
      <c r="BL47" s="514">
        <f t="shared" si="5"/>
        <v>0.8</v>
      </c>
      <c r="BM47" s="787">
        <f t="shared" si="28"/>
        <v>0.11200000000000002</v>
      </c>
      <c r="BN47" s="1087"/>
      <c r="BO47" s="1035"/>
      <c r="BP47" s="607"/>
      <c r="BQ47" s="607"/>
    </row>
    <row r="48" spans="2:69" ht="94.5" customHeight="1">
      <c r="B48" s="1037"/>
      <c r="C48" s="1113"/>
      <c r="D48" s="1120"/>
      <c r="E48" s="1131"/>
      <c r="F48" s="1113"/>
      <c r="G48" s="1113"/>
      <c r="H48" s="80" t="str">
        <f>+'1.Informe Seguimiento POA 2023'!D52</f>
        <v>4.1.5 Desarrollar el 100% de los requerimientos prioritarios a Sistemas de Información y de apoyo que garanticen el óptimo desempeño de la gestión de los procesos en la Entidad</v>
      </c>
      <c r="I48" s="81">
        <f>+'1.Informe Seguimiento POA 2023'!E52</f>
        <v>0.14000000000000001</v>
      </c>
      <c r="J48" s="574">
        <f>+'1.Informe Seguimiento POA 2023'!F52</f>
        <v>1</v>
      </c>
      <c r="K48" s="512" t="str">
        <f>+'1.Informe Seguimiento POA 2023'!I52</f>
        <v>Direccionamiento TIC</v>
      </c>
      <c r="L48" s="110" t="str">
        <f>+'1.Informe Seguimiento POA 2023'!J52</f>
        <v>Dirección de Tecnologías de la  Información y las Comunicaciones</v>
      </c>
      <c r="M48" s="93">
        <f>+'1.Informe Seguimiento POA 2023'!K52</f>
        <v>0.3</v>
      </c>
      <c r="N48" s="93">
        <f>+'1.Informe Seguimiento POA 2023'!L52</f>
        <v>0.4</v>
      </c>
      <c r="O48" s="93">
        <f>+'1.Informe Seguimiento POA 2023'!M52</f>
        <v>0.25</v>
      </c>
      <c r="P48" s="93">
        <f>+'1.Informe Seguimiento POA 2023'!N52</f>
        <v>0.05</v>
      </c>
      <c r="Q48" s="519">
        <v>0.05</v>
      </c>
      <c r="R48" s="519">
        <v>0.05</v>
      </c>
      <c r="S48" s="519">
        <v>0.09</v>
      </c>
      <c r="T48" s="519">
        <v>0.09</v>
      </c>
      <c r="U48" s="519">
        <v>0.09</v>
      </c>
      <c r="V48" s="578">
        <v>0.09</v>
      </c>
      <c r="W48" s="519">
        <v>6.9999999999999993E-2</v>
      </c>
      <c r="X48" s="578">
        <v>6.9999999999999993E-2</v>
      </c>
      <c r="Y48" s="519">
        <v>0.3</v>
      </c>
      <c r="Z48" s="520">
        <v>0.3</v>
      </c>
      <c r="AA48" s="519">
        <v>1</v>
      </c>
      <c r="AB48" s="519">
        <v>7.0000000000000007E-2</v>
      </c>
      <c r="AC48" s="519">
        <v>7.0000000000000007E-2</v>
      </c>
      <c r="AD48" s="519">
        <v>0.13</v>
      </c>
      <c r="AE48" s="519">
        <v>0.13</v>
      </c>
      <c r="AF48" s="519">
        <v>0.13</v>
      </c>
      <c r="AG48" s="578">
        <v>0.13</v>
      </c>
      <c r="AH48" s="519">
        <v>7.0000000000000007E-2</v>
      </c>
      <c r="AI48" s="578">
        <v>7.0000000000000007E-2</v>
      </c>
      <c r="AJ48" s="519">
        <v>0.4</v>
      </c>
      <c r="AK48" s="520">
        <v>0.4</v>
      </c>
      <c r="AL48" s="519">
        <v>1</v>
      </c>
      <c r="AM48" s="519">
        <f>+'1.Informe Seguimiento POA 2023'!O52</f>
        <v>0.05</v>
      </c>
      <c r="AN48" s="519">
        <f>+'1.Informe Seguimiento POA 2023'!P52</f>
        <v>0.05</v>
      </c>
      <c r="AO48" s="519">
        <f>+'1.Informe Seguimiento POA 2023'!Q52</f>
        <v>7.0000000000000007E-2</v>
      </c>
      <c r="AP48" s="519">
        <f>+'1.Informe Seguimiento POA 2023'!R52</f>
        <v>7.0000000000000007E-2</v>
      </c>
      <c r="AQ48" s="519">
        <f>+'1.Informe Seguimiento POA 2023'!S52</f>
        <v>7.0000000000000007E-2</v>
      </c>
      <c r="AR48" s="578">
        <f>+'1.Informe Seguimiento POA 2023'!T52</f>
        <v>0</v>
      </c>
      <c r="AS48" s="519">
        <f>+'1.Informe Seguimiento POA 2023'!U52</f>
        <v>0.06</v>
      </c>
      <c r="AT48" s="578">
        <f>+'1.Informe Seguimiento POA 2023'!V52</f>
        <v>0</v>
      </c>
      <c r="AU48" s="519">
        <f>+'1.Informe Seguimiento POA 2023'!W52</f>
        <v>0.25</v>
      </c>
      <c r="AV48" s="520">
        <f>+'1.Informe Seguimiento POA 2023'!X52</f>
        <v>0.12000000000000001</v>
      </c>
      <c r="AW48" s="519">
        <f>+'1.Informe Seguimiento POA 2023'!Y52</f>
        <v>0.48000000000000004</v>
      </c>
      <c r="AX48" s="519"/>
      <c r="AY48" s="519"/>
      <c r="AZ48" s="519"/>
      <c r="BA48" s="519"/>
      <c r="BB48" s="519"/>
      <c r="BC48" s="519"/>
      <c r="BD48" s="519"/>
      <c r="BE48" s="519"/>
      <c r="BF48" s="519">
        <f t="shared" si="25"/>
        <v>0.05</v>
      </c>
      <c r="BG48" s="519"/>
      <c r="BH48" s="519"/>
      <c r="BI48" s="574">
        <f t="shared" si="29"/>
        <v>0.82000000000000006</v>
      </c>
      <c r="BJ48" s="574">
        <f t="shared" si="30"/>
        <v>0.82000000000000006</v>
      </c>
      <c r="BK48" s="591">
        <f t="shared" si="18"/>
        <v>1</v>
      </c>
      <c r="BL48" s="514">
        <f t="shared" si="5"/>
        <v>0.82000000000000006</v>
      </c>
      <c r="BM48" s="787">
        <f t="shared" si="28"/>
        <v>0.11480000000000001</v>
      </c>
      <c r="BN48" s="1087"/>
      <c r="BO48" s="1035"/>
      <c r="BP48" s="607"/>
      <c r="BQ48" s="607"/>
    </row>
    <row r="49" spans="2:69" ht="71.25" customHeight="1">
      <c r="B49" s="1037"/>
      <c r="C49" s="1113"/>
      <c r="D49" s="1120"/>
      <c r="E49" s="1131"/>
      <c r="F49" s="1113"/>
      <c r="G49" s="1113"/>
      <c r="H49" s="80" t="str">
        <f>+'1.Informe Seguimiento POA 2023'!D53</f>
        <v>4.1.6 Implementar en un 100% las actividades programadas en el plan de uso y apropiación de las TIC, para una óptima gestión institucional</v>
      </c>
      <c r="I49" s="81">
        <f>+'1.Informe Seguimiento POA 2023'!E53</f>
        <v>0.15</v>
      </c>
      <c r="J49" s="574">
        <f>+'1.Informe Seguimiento POA 2023'!F53</f>
        <v>1</v>
      </c>
      <c r="K49" s="512" t="str">
        <f>+'1.Informe Seguimiento POA 2023'!I53</f>
        <v>Direccionamiento TIC</v>
      </c>
      <c r="L49" s="110" t="str">
        <f>+'1.Informe Seguimiento POA 2023'!J53</f>
        <v>Dirección de Tecnologías de la  Información y las Comunicaciones</v>
      </c>
      <c r="M49" s="93">
        <f>+'1.Informe Seguimiento POA 2023'!K53</f>
        <v>0.3</v>
      </c>
      <c r="N49" s="93">
        <f>+'1.Informe Seguimiento POA 2023'!L53</f>
        <v>0.4</v>
      </c>
      <c r="O49" s="93">
        <f>+'1.Informe Seguimiento POA 2023'!M53</f>
        <v>0.25</v>
      </c>
      <c r="P49" s="93">
        <f>+'1.Informe Seguimiento POA 2023'!N53</f>
        <v>0.05</v>
      </c>
      <c r="Q49" s="519">
        <v>0.05</v>
      </c>
      <c r="R49" s="519">
        <v>0.05</v>
      </c>
      <c r="S49" s="519">
        <v>0.09</v>
      </c>
      <c r="T49" s="519">
        <v>0.09</v>
      </c>
      <c r="U49" s="519">
        <v>0.09</v>
      </c>
      <c r="V49" s="578">
        <v>0.09</v>
      </c>
      <c r="W49" s="519">
        <v>7.0000000000000007E-2</v>
      </c>
      <c r="X49" s="578">
        <v>7.0000000000000007E-2</v>
      </c>
      <c r="Y49" s="519">
        <v>0.30000000000000004</v>
      </c>
      <c r="Z49" s="520">
        <v>0.30000000000000004</v>
      </c>
      <c r="AA49" s="519">
        <v>1</v>
      </c>
      <c r="AB49" s="519">
        <v>7.0000000000000007E-2</v>
      </c>
      <c r="AC49" s="519">
        <v>7.0000000000000007E-2</v>
      </c>
      <c r="AD49" s="519">
        <v>0.13</v>
      </c>
      <c r="AE49" s="519">
        <v>0.13</v>
      </c>
      <c r="AF49" s="519">
        <v>0.13</v>
      </c>
      <c r="AG49" s="578">
        <v>0.13</v>
      </c>
      <c r="AH49" s="519">
        <v>7.0000000000000007E-2</v>
      </c>
      <c r="AI49" s="578">
        <v>7.0000000000000007E-2</v>
      </c>
      <c r="AJ49" s="519">
        <v>0.4</v>
      </c>
      <c r="AK49" s="520">
        <v>0.4</v>
      </c>
      <c r="AL49" s="519">
        <v>1</v>
      </c>
      <c r="AM49" s="519">
        <f>+'1.Informe Seguimiento POA 2023'!O53</f>
        <v>0.05</v>
      </c>
      <c r="AN49" s="519">
        <f>+'1.Informe Seguimiento POA 2023'!P53</f>
        <v>0.05</v>
      </c>
      <c r="AO49" s="519">
        <f>+'1.Informe Seguimiento POA 2023'!Q53</f>
        <v>7.0000000000000007E-2</v>
      </c>
      <c r="AP49" s="519">
        <f>+'1.Informe Seguimiento POA 2023'!R53</f>
        <v>7.0000000000000007E-2</v>
      </c>
      <c r="AQ49" s="519">
        <f>+'1.Informe Seguimiento POA 2023'!S53</f>
        <v>7.0000000000000007E-2</v>
      </c>
      <c r="AR49" s="578">
        <f>+'1.Informe Seguimiento POA 2023'!T53</f>
        <v>0</v>
      </c>
      <c r="AS49" s="519">
        <f>+'1.Informe Seguimiento POA 2023'!U53</f>
        <v>0.06</v>
      </c>
      <c r="AT49" s="578">
        <f>+'1.Informe Seguimiento POA 2023'!V53</f>
        <v>0</v>
      </c>
      <c r="AU49" s="519">
        <f>+'1.Informe Seguimiento POA 2023'!W53</f>
        <v>0.25</v>
      </c>
      <c r="AV49" s="520">
        <f>+'1.Informe Seguimiento POA 2023'!X53</f>
        <v>0.12000000000000001</v>
      </c>
      <c r="AW49" s="519">
        <f>+'1.Informe Seguimiento POA 2023'!Y53</f>
        <v>0.48000000000000004</v>
      </c>
      <c r="AX49" s="519"/>
      <c r="AY49" s="519"/>
      <c r="AZ49" s="519"/>
      <c r="BA49" s="519"/>
      <c r="BB49" s="519"/>
      <c r="BC49" s="519"/>
      <c r="BD49" s="519"/>
      <c r="BE49" s="519"/>
      <c r="BF49" s="519">
        <f t="shared" si="25"/>
        <v>0.05</v>
      </c>
      <c r="BG49" s="519"/>
      <c r="BH49" s="519"/>
      <c r="BI49" s="574">
        <f t="shared" si="29"/>
        <v>0.82000000000000006</v>
      </c>
      <c r="BJ49" s="574">
        <f t="shared" si="30"/>
        <v>0.82000000000000006</v>
      </c>
      <c r="BK49" s="591">
        <f t="shared" si="18"/>
        <v>1</v>
      </c>
      <c r="BL49" s="514">
        <f t="shared" si="5"/>
        <v>0.82000000000000006</v>
      </c>
      <c r="BM49" s="787">
        <f t="shared" si="28"/>
        <v>0.123</v>
      </c>
      <c r="BN49" s="1087"/>
      <c r="BO49" s="1035"/>
      <c r="BP49" s="607"/>
      <c r="BQ49" s="607"/>
    </row>
    <row r="50" spans="2:69" ht="87.75" customHeight="1">
      <c r="B50" s="1037"/>
      <c r="C50" s="1114"/>
      <c r="D50" s="1121"/>
      <c r="E50" s="1132"/>
      <c r="F50" s="1114"/>
      <c r="G50" s="1114"/>
      <c r="H50" s="80" t="str">
        <f>+'1.Informe Seguimiento POA 2023'!D54</f>
        <v>4.1.7 Optimizar la infraestructura tecnológica cumpliendo el 100% de las actividades de la hoja de ruta proyectada para garantizar la prestación continua de los servicios en la Entidad</v>
      </c>
      <c r="I50" s="81">
        <f>+'1.Informe Seguimiento POA 2023'!E54</f>
        <v>0.15</v>
      </c>
      <c r="J50" s="574">
        <f>+'1.Informe Seguimiento POA 2023'!F54</f>
        <v>1</v>
      </c>
      <c r="K50" s="512" t="str">
        <f>+'1.Informe Seguimiento POA 2023'!I54</f>
        <v>Direccionamiento TIC</v>
      </c>
      <c r="L50" s="110" t="str">
        <f>+'1.Informe Seguimiento POA 2023'!J54</f>
        <v>Dirección de Tecnologías de la  Información y las Comunicaciones</v>
      </c>
      <c r="M50" s="93">
        <f>+'1.Informe Seguimiento POA 2023'!K54</f>
        <v>0.3</v>
      </c>
      <c r="N50" s="93">
        <f>+'1.Informe Seguimiento POA 2023'!L54</f>
        <v>0.4</v>
      </c>
      <c r="O50" s="93">
        <f>+'1.Informe Seguimiento POA 2023'!M54</f>
        <v>0.25</v>
      </c>
      <c r="P50" s="93">
        <f>+'1.Informe Seguimiento POA 2023'!N54</f>
        <v>0.05</v>
      </c>
      <c r="Q50" s="519">
        <v>0.06</v>
      </c>
      <c r="R50" s="519">
        <v>0.06</v>
      </c>
      <c r="S50" s="519">
        <v>0.09</v>
      </c>
      <c r="T50" s="519">
        <v>0.09</v>
      </c>
      <c r="U50" s="519">
        <v>0.09</v>
      </c>
      <c r="V50" s="578">
        <v>0.09</v>
      </c>
      <c r="W50" s="519">
        <v>0.06</v>
      </c>
      <c r="X50" s="578">
        <v>0.06</v>
      </c>
      <c r="Y50" s="519">
        <v>0.3</v>
      </c>
      <c r="Z50" s="520">
        <v>0.3</v>
      </c>
      <c r="AA50" s="519">
        <v>1</v>
      </c>
      <c r="AB50" s="519">
        <v>7.0000000000000007E-2</v>
      </c>
      <c r="AC50" s="519">
        <v>7.0000000000000007E-2</v>
      </c>
      <c r="AD50" s="519">
        <v>0.13</v>
      </c>
      <c r="AE50" s="519">
        <v>0.13</v>
      </c>
      <c r="AF50" s="519">
        <v>0.13</v>
      </c>
      <c r="AG50" s="578">
        <v>0.13</v>
      </c>
      <c r="AH50" s="519">
        <v>7.0000000000000007E-2</v>
      </c>
      <c r="AI50" s="578">
        <v>7.0000000000000007E-2</v>
      </c>
      <c r="AJ50" s="519">
        <v>0.4</v>
      </c>
      <c r="AK50" s="520">
        <v>0.4</v>
      </c>
      <c r="AL50" s="519">
        <v>1</v>
      </c>
      <c r="AM50" s="519">
        <f>+'1.Informe Seguimiento POA 2023'!O54</f>
        <v>0.05</v>
      </c>
      <c r="AN50" s="519">
        <f>+'1.Informe Seguimiento POA 2023'!P54</f>
        <v>0.05</v>
      </c>
      <c r="AO50" s="519">
        <f>+'1.Informe Seguimiento POA 2023'!Q54</f>
        <v>7.0000000000000007E-2</v>
      </c>
      <c r="AP50" s="519">
        <f>+'1.Informe Seguimiento POA 2023'!R54</f>
        <v>7.0000000000000007E-2</v>
      </c>
      <c r="AQ50" s="519">
        <f>+'1.Informe Seguimiento POA 2023'!S54</f>
        <v>7.0000000000000007E-2</v>
      </c>
      <c r="AR50" s="578">
        <f>+'1.Informe Seguimiento POA 2023'!T54</f>
        <v>0</v>
      </c>
      <c r="AS50" s="519">
        <f>+'1.Informe Seguimiento POA 2023'!U54</f>
        <v>0.06</v>
      </c>
      <c r="AT50" s="578">
        <f>+'1.Informe Seguimiento POA 2023'!V54</f>
        <v>0</v>
      </c>
      <c r="AU50" s="519">
        <f>+'1.Informe Seguimiento POA 2023'!W54</f>
        <v>0.25</v>
      </c>
      <c r="AV50" s="520">
        <f>+'1.Informe Seguimiento POA 2023'!X54</f>
        <v>0.12000000000000001</v>
      </c>
      <c r="AW50" s="519">
        <f>+'1.Informe Seguimiento POA 2023'!Y54</f>
        <v>0.48000000000000004</v>
      </c>
      <c r="AX50" s="519"/>
      <c r="AY50" s="519"/>
      <c r="AZ50" s="519"/>
      <c r="BA50" s="519"/>
      <c r="BB50" s="519"/>
      <c r="BC50" s="519"/>
      <c r="BD50" s="519"/>
      <c r="BE50" s="519"/>
      <c r="BF50" s="519">
        <f t="shared" si="25"/>
        <v>0.05</v>
      </c>
      <c r="BG50" s="519"/>
      <c r="BH50" s="519"/>
      <c r="BI50" s="574">
        <f t="shared" si="29"/>
        <v>0.82000000000000006</v>
      </c>
      <c r="BJ50" s="574">
        <f t="shared" si="30"/>
        <v>0.82000000000000006</v>
      </c>
      <c r="BK50" s="591">
        <f t="shared" si="18"/>
        <v>1</v>
      </c>
      <c r="BL50" s="514">
        <f t="shared" si="5"/>
        <v>0.82000000000000006</v>
      </c>
      <c r="BM50" s="787">
        <f t="shared" si="28"/>
        <v>0.123</v>
      </c>
      <c r="BN50" s="1088"/>
      <c r="BO50" s="1035"/>
      <c r="BP50" s="607"/>
      <c r="BQ50" s="607"/>
    </row>
    <row r="51" spans="2:69" ht="105" customHeight="1">
      <c r="B51" s="1037"/>
      <c r="C51" s="1071" t="str">
        <f>+'Matriz PEI 2021-2024'!C21</f>
        <v>4.2. Consolidar el 90% del Modelo Integrado de Planeación y Gestión –MIPG- y sus sistemas de gestión articulados, como compromiso con la Calidad, la Excelencia, la Responsabilidad Ambiental y la Mejora en la prestación del Servicio.</v>
      </c>
      <c r="D51" s="1080">
        <f>+'Matriz PEI 2021-2024'!E21</f>
        <v>0.9</v>
      </c>
      <c r="E51" s="1080">
        <f>+'Matriz PEI 2021-2024'!D21</f>
        <v>0.15</v>
      </c>
      <c r="F51" s="89" t="s">
        <v>148</v>
      </c>
      <c r="G51" s="89" t="s">
        <v>945</v>
      </c>
      <c r="H51" s="28" t="str">
        <f>+'1.Informe Seguimiento POA 2023'!D55</f>
        <v>4.2.1 Formular e implementar el 100% de las acciones para la Sostenibilidad y mejora del Sistema de Gestión de la Calidad 
-SGC- (Meta Transversal)</v>
      </c>
      <c r="I51" s="78">
        <f>+'1.Informe Seguimiento POA 2023'!E55</f>
        <v>0.2</v>
      </c>
      <c r="J51" s="569">
        <f>+'1.Informe Seguimiento POA 2023'!F55</f>
        <v>1</v>
      </c>
      <c r="K51" s="573" t="str">
        <f>+'1.Informe Seguimiento POA 2023'!I55</f>
        <v>Direccionamiento Estratégico</v>
      </c>
      <c r="L51" s="573" t="str">
        <f>+'1.Informe Seguimiento POA 2023'!J55</f>
        <v>Dirección de Planeación
Aportan: Dependencias lideradas por  Responsables de procesos y operativos de todos los procesos institucionales</v>
      </c>
      <c r="M51" s="567">
        <f>+'1.Informe Seguimiento POA 2023'!K55</f>
        <v>1</v>
      </c>
      <c r="N51" s="567">
        <f>+'1.Informe Seguimiento POA 2023'!L55</f>
        <v>1</v>
      </c>
      <c r="O51" s="567">
        <f>+'1.Informe Seguimiento POA 2023'!M55</f>
        <v>1</v>
      </c>
      <c r="P51" s="567">
        <f>+'1.Informe Seguimiento POA 2023'!N55</f>
        <v>1</v>
      </c>
      <c r="Q51" s="766">
        <v>0.2</v>
      </c>
      <c r="R51" s="766">
        <v>0.2</v>
      </c>
      <c r="S51" s="766">
        <v>0.22000000000000003</v>
      </c>
      <c r="T51" s="766">
        <v>0.18482662638903868</v>
      </c>
      <c r="U51" s="766">
        <v>0.29000000000000004</v>
      </c>
      <c r="V51" s="766">
        <v>0.31566361788617886</v>
      </c>
      <c r="W51" s="766">
        <v>0.29000000000000004</v>
      </c>
      <c r="X51" s="766">
        <v>0.29200000000000004</v>
      </c>
      <c r="Y51" s="510">
        <v>1</v>
      </c>
      <c r="Z51" s="510">
        <v>0.99249024427521759</v>
      </c>
      <c r="AA51" s="510">
        <v>0.99249024427521759</v>
      </c>
      <c r="AB51" s="958">
        <v>0.24000000000000002</v>
      </c>
      <c r="AC51" s="958">
        <v>0.24000000000000002</v>
      </c>
      <c r="AD51" s="958">
        <v>0.27</v>
      </c>
      <c r="AE51" s="958">
        <v>0.27799999999999997</v>
      </c>
      <c r="AF51" s="958">
        <v>0.27</v>
      </c>
      <c r="AG51" s="958">
        <v>0.27800000000000002</v>
      </c>
      <c r="AH51" s="958">
        <v>0.22</v>
      </c>
      <c r="AI51" s="958">
        <v>0.2036</v>
      </c>
      <c r="AJ51" s="510">
        <v>1</v>
      </c>
      <c r="AK51" s="510">
        <v>0.99960000000000004</v>
      </c>
      <c r="AL51" s="510">
        <v>0.99960000000000004</v>
      </c>
      <c r="AM51" s="569">
        <f>+'1.Informe Seguimiento POA 2023'!O55</f>
        <v>0.24000000000000002</v>
      </c>
      <c r="AN51" s="569">
        <f>+'1.Informe Seguimiento POA 2023'!P55</f>
        <v>0.24000000000000002</v>
      </c>
      <c r="AO51" s="569">
        <f>+'1.Informe Seguimiento POA 2023'!Q55</f>
        <v>0.27</v>
      </c>
      <c r="AP51" s="569">
        <f>+'1.Informe Seguimiento POA 2023'!R55</f>
        <v>0.26890000000000003</v>
      </c>
      <c r="AQ51" s="569">
        <f>+'1.Informe Seguimiento POA 2023'!S55</f>
        <v>0.27</v>
      </c>
      <c r="AR51" s="569">
        <f>+'1.Informe Seguimiento POA 2023'!T55</f>
        <v>0</v>
      </c>
      <c r="AS51" s="569">
        <f>+'1.Informe Seguimiento POA 2023'!U55</f>
        <v>0.22</v>
      </c>
      <c r="AT51" s="569">
        <f>+'1.Informe Seguimiento POA 2023'!V55</f>
        <v>0</v>
      </c>
      <c r="AU51" s="510">
        <f>+'1.Informe Seguimiento POA 2023'!W55</f>
        <v>1</v>
      </c>
      <c r="AV51" s="510">
        <f>+'1.Informe Seguimiento POA 2023'!X55</f>
        <v>0.50890000000000002</v>
      </c>
      <c r="AW51" s="510">
        <f>+'1.Informe Seguimiento POA 2023'!Y55</f>
        <v>0.50890000000000002</v>
      </c>
      <c r="AX51" s="582"/>
      <c r="AY51" s="582"/>
      <c r="AZ51" s="582"/>
      <c r="BA51" s="582"/>
      <c r="BB51" s="582"/>
      <c r="BC51" s="582"/>
      <c r="BD51" s="582"/>
      <c r="BE51" s="582"/>
      <c r="BF51" s="569">
        <f t="shared" si="25"/>
        <v>1</v>
      </c>
      <c r="BG51" s="569"/>
      <c r="BH51" s="582"/>
      <c r="BI51" s="509">
        <f>AVERAGE((Q51+S51+U51+W51),(AB51+AD51+AF51+AH51),(AM51+AO51))</f>
        <v>0.83666666666666656</v>
      </c>
      <c r="BJ51" s="509">
        <f>AVERAGE((R51+T51+V51+X51),(AC51+AE51+AG51+AI51),(AN51+AP51))</f>
        <v>0.83366341475840589</v>
      </c>
      <c r="BK51" s="508">
        <f t="shared" si="18"/>
        <v>0.99641045588654098</v>
      </c>
      <c r="BL51" s="961">
        <f>(IF(AND(BJ51&gt;0,$J51&gt;0),BJ51/$J51,0))*0.75</f>
        <v>0.62524756106880441</v>
      </c>
      <c r="BM51" s="785">
        <f t="shared" si="28"/>
        <v>0.1250495122137609</v>
      </c>
      <c r="BN51" s="1097">
        <f>SUM(BM51:BM56)</f>
        <v>0.78957094078518941</v>
      </c>
      <c r="BO51" s="1035"/>
      <c r="BP51" s="606"/>
      <c r="BQ51" s="606"/>
    </row>
    <row r="52" spans="2:69" ht="96" customHeight="1">
      <c r="B52" s="1037"/>
      <c r="C52" s="1077"/>
      <c r="D52" s="1081"/>
      <c r="E52" s="1081"/>
      <c r="F52" s="89" t="s">
        <v>149</v>
      </c>
      <c r="G52" s="89" t="s">
        <v>632</v>
      </c>
      <c r="H52" s="28" t="str">
        <f>+'1.Informe Seguimiento POA 2023'!D56</f>
        <v>4.2.2 Implementar el 40% de las actividades requeridas para la sostenibilidad y mejora del MIPG, de acuerdo con la metodología establecida por la Función Pública. (Meta Transversal)</v>
      </c>
      <c r="I52" s="78">
        <f>+'1.Informe Seguimiento POA 2023'!E56</f>
        <v>0.2</v>
      </c>
      <c r="J52" s="569">
        <f>+'1.Informe Seguimiento POA 2023'!F56</f>
        <v>0.4</v>
      </c>
      <c r="K52" s="573" t="str">
        <f>+'1.Informe Seguimiento POA 2023'!I56</f>
        <v>Direccionamiento Estratégico</v>
      </c>
      <c r="L52" s="573" t="str">
        <f>+'1.Informe Seguimiento POA 2023'!J56</f>
        <v>Dirección de Planeación
Aportan: Dependencias lideradas por  Responsables de procesos y operativos de todos los procesos institucionales</v>
      </c>
      <c r="M52" s="567">
        <f>+'1.Informe Seguimiento POA 2023'!K56</f>
        <v>0.22</v>
      </c>
      <c r="N52" s="567">
        <f>+'1.Informe Seguimiento POA 2023'!L56</f>
        <v>0.14000000000000001</v>
      </c>
      <c r="O52" s="567">
        <f>+'1.Informe Seguimiento POA 2023'!M56</f>
        <v>0.02</v>
      </c>
      <c r="P52" s="567">
        <f>+'1.Informe Seguimiento POA 2023'!N56</f>
        <v>0.02</v>
      </c>
      <c r="Q52" s="766">
        <v>0.03</v>
      </c>
      <c r="R52" s="766">
        <v>0.03</v>
      </c>
      <c r="S52" s="766">
        <v>0.04</v>
      </c>
      <c r="T52" s="766">
        <v>0.01</v>
      </c>
      <c r="U52" s="766">
        <v>7.0000000000000007E-2</v>
      </c>
      <c r="V52" s="766">
        <v>7.0000000000000007E-2</v>
      </c>
      <c r="W52" s="766">
        <v>0.08</v>
      </c>
      <c r="X52" s="766">
        <v>0.09</v>
      </c>
      <c r="Y52" s="510">
        <v>0.22000000000000003</v>
      </c>
      <c r="Z52" s="510">
        <v>0.2</v>
      </c>
      <c r="AA52" s="510">
        <v>0.90909090909090906</v>
      </c>
      <c r="AB52" s="958">
        <v>5.1000000000000004E-2</v>
      </c>
      <c r="AC52" s="958">
        <v>5.1000000000000004E-2</v>
      </c>
      <c r="AD52" s="958">
        <v>3.5999999999999997E-2</v>
      </c>
      <c r="AE52" s="958">
        <v>3.5400000000000001E-2</v>
      </c>
      <c r="AF52" s="958">
        <v>2.7E-2</v>
      </c>
      <c r="AG52" s="958">
        <v>2.7E-2</v>
      </c>
      <c r="AH52" s="958">
        <v>2.6000000000000002E-2</v>
      </c>
      <c r="AI52" s="958">
        <v>2.6599999999999999E-2</v>
      </c>
      <c r="AJ52" s="510">
        <v>0.13999999999999999</v>
      </c>
      <c r="AK52" s="510">
        <v>0.14000000000000001</v>
      </c>
      <c r="AL52" s="510">
        <v>1.0000000000000002</v>
      </c>
      <c r="AM52" s="569">
        <f>+'1.Informe Seguimiento POA 2023'!O56</f>
        <v>5.0000000000000001E-3</v>
      </c>
      <c r="AN52" s="569">
        <f>+'1.Informe Seguimiento POA 2023'!P56</f>
        <v>5.0000000000000001E-3</v>
      </c>
      <c r="AO52" s="569">
        <f>+'1.Informe Seguimiento POA 2023'!Q56</f>
        <v>5.0000000000000001E-3</v>
      </c>
      <c r="AP52" s="569">
        <f>+'1.Informe Seguimiento POA 2023'!R56</f>
        <v>4.8999999999999998E-3</v>
      </c>
      <c r="AQ52" s="569">
        <f>+'1.Informe Seguimiento POA 2023'!S56</f>
        <v>6.0000000000000001E-3</v>
      </c>
      <c r="AR52" s="569">
        <f>+'1.Informe Seguimiento POA 2023'!T56</f>
        <v>0</v>
      </c>
      <c r="AS52" s="569">
        <f>+'1.Informe Seguimiento POA 2023'!U56</f>
        <v>4.0000000000000001E-3</v>
      </c>
      <c r="AT52" s="569">
        <f>+'1.Informe Seguimiento POA 2023'!V56</f>
        <v>0</v>
      </c>
      <c r="AU52" s="510">
        <f>+'1.Informe Seguimiento POA 2023'!W56</f>
        <v>0.02</v>
      </c>
      <c r="AV52" s="510">
        <f>+'1.Informe Seguimiento POA 2023'!X56</f>
        <v>9.8999999999999991E-3</v>
      </c>
      <c r="AW52" s="510">
        <f>+'1.Informe Seguimiento POA 2023'!Y56</f>
        <v>0.49499999999999994</v>
      </c>
      <c r="AX52" s="582"/>
      <c r="AY52" s="582"/>
      <c r="AZ52" s="582"/>
      <c r="BA52" s="582"/>
      <c r="BB52" s="582"/>
      <c r="BC52" s="582"/>
      <c r="BD52" s="582"/>
      <c r="BE52" s="582"/>
      <c r="BF52" s="569">
        <f t="shared" si="25"/>
        <v>0.02</v>
      </c>
      <c r="BG52" s="569"/>
      <c r="BH52" s="582"/>
      <c r="BI52" s="508">
        <f t="shared" ref="BI52" si="31">Q52+S52+U52+W52+AB52+AD52+AF52+AH52+AM52+AO52</f>
        <v>0.37000000000000005</v>
      </c>
      <c r="BJ52" s="508">
        <f t="shared" ref="BJ52" si="32">R52+T52+V52+X52+AC52+AE52+AG52+AI52+AN52+AP52</f>
        <v>0.34990000000000004</v>
      </c>
      <c r="BK52" s="508">
        <f t="shared" si="18"/>
        <v>0.94567567567567568</v>
      </c>
      <c r="BL52" s="508">
        <f t="shared" si="5"/>
        <v>0.87475000000000003</v>
      </c>
      <c r="BM52" s="785">
        <f t="shared" si="28"/>
        <v>0.17495000000000002</v>
      </c>
      <c r="BN52" s="1098"/>
      <c r="BO52" s="1035"/>
      <c r="BP52" s="608"/>
      <c r="BQ52" s="608"/>
    </row>
    <row r="53" spans="2:69" ht="74.25" customHeight="1">
      <c r="B53" s="1037"/>
      <c r="C53" s="1077"/>
      <c r="D53" s="1081"/>
      <c r="E53" s="1081"/>
      <c r="F53" s="89" t="s">
        <v>150</v>
      </c>
      <c r="G53" s="89" t="s">
        <v>160</v>
      </c>
      <c r="H53" s="28" t="str">
        <f>+'1.Informe Seguimiento POA 2023'!D57</f>
        <v>4.2.3 Implementar el 100% de los requisitos del Sistema de Gestión Ambiental –SGA-, bajo los estándares de la norma ISO 14001</v>
      </c>
      <c r="I53" s="78">
        <f>+'1.Informe Seguimiento POA 2023'!E57</f>
        <v>0.15</v>
      </c>
      <c r="J53" s="569">
        <f>+'1.Informe Seguimiento POA 2023'!F57</f>
        <v>1</v>
      </c>
      <c r="K53" s="573" t="str">
        <f>+'1.Informe Seguimiento POA 2023'!I57</f>
        <v>Direccionamiento Estratégico</v>
      </c>
      <c r="L53" s="573" t="str">
        <f>+'1.Informe Seguimiento POA 2023'!J57</f>
        <v>Dirección de Planeación</v>
      </c>
      <c r="M53" s="567">
        <f>+'1.Informe Seguimiento POA 2023'!K57</f>
        <v>0.38</v>
      </c>
      <c r="N53" s="567">
        <f>+'1.Informe Seguimiento POA 2023'!L57</f>
        <v>0.33</v>
      </c>
      <c r="O53" s="567">
        <f>+'1.Informe Seguimiento POA 2023'!M57</f>
        <v>0.28999999999999998</v>
      </c>
      <c r="P53" s="567">
        <f>+'1.Informe Seguimiento POA 2023'!N57</f>
        <v>0</v>
      </c>
      <c r="Q53" s="766">
        <v>0.09</v>
      </c>
      <c r="R53" s="766">
        <v>0.09</v>
      </c>
      <c r="S53" s="766">
        <v>0.09</v>
      </c>
      <c r="T53" s="766">
        <v>0.09</v>
      </c>
      <c r="U53" s="766">
        <v>0.11</v>
      </c>
      <c r="V53" s="766">
        <v>0.11</v>
      </c>
      <c r="W53" s="766">
        <v>0.09</v>
      </c>
      <c r="X53" s="766">
        <v>0.09</v>
      </c>
      <c r="Y53" s="510">
        <v>0.38</v>
      </c>
      <c r="Z53" s="510">
        <v>0.38</v>
      </c>
      <c r="AA53" s="510">
        <v>1</v>
      </c>
      <c r="AB53" s="958">
        <v>8.7999999999999995E-2</v>
      </c>
      <c r="AC53" s="958">
        <v>8.7999999999999995E-2</v>
      </c>
      <c r="AD53" s="958">
        <v>8.7999999999999995E-2</v>
      </c>
      <c r="AE53" s="958">
        <v>8.7999999999999995E-2</v>
      </c>
      <c r="AF53" s="958">
        <v>8.7999999999999995E-2</v>
      </c>
      <c r="AG53" s="958">
        <v>8.7999999999999995E-2</v>
      </c>
      <c r="AH53" s="958">
        <v>6.6000000000000003E-2</v>
      </c>
      <c r="AI53" s="958">
        <v>6.6000000000000003E-2</v>
      </c>
      <c r="AJ53" s="510">
        <v>0.33</v>
      </c>
      <c r="AK53" s="510">
        <v>0.33</v>
      </c>
      <c r="AL53" s="510">
        <v>1</v>
      </c>
      <c r="AM53" s="569">
        <f>+'1.Informe Seguimiento POA 2023'!O57</f>
        <v>8.0600000000000005E-2</v>
      </c>
      <c r="AN53" s="569">
        <f>+'1.Informe Seguimiento POA 2023'!P57</f>
        <v>8.0600000000000005E-2</v>
      </c>
      <c r="AO53" s="569">
        <f>+'1.Informe Seguimiento POA 2023'!Q57</f>
        <v>0.1094</v>
      </c>
      <c r="AP53" s="569">
        <f>+'1.Informe Seguimiento POA 2023'!R57</f>
        <v>0.1094</v>
      </c>
      <c r="AQ53" s="569">
        <f>+'1.Informe Seguimiento POA 2023'!S57</f>
        <v>4.5100000000000001E-2</v>
      </c>
      <c r="AR53" s="569">
        <f>+'1.Informe Seguimiento POA 2023'!T57</f>
        <v>0</v>
      </c>
      <c r="AS53" s="569">
        <f>+'1.Informe Seguimiento POA 2023'!U57</f>
        <v>5.4900000000000004E-2</v>
      </c>
      <c r="AT53" s="569">
        <f>+'1.Informe Seguimiento POA 2023'!V57</f>
        <v>0</v>
      </c>
      <c r="AU53" s="510">
        <f>+'1.Informe Seguimiento POA 2023'!W57</f>
        <v>0.29000000000000004</v>
      </c>
      <c r="AV53" s="510">
        <f>+'1.Informe Seguimiento POA 2023'!X57</f>
        <v>0.19</v>
      </c>
      <c r="AW53" s="510">
        <f>+'1.Informe Seguimiento POA 2023'!Y57</f>
        <v>0.65517241379310343</v>
      </c>
      <c r="AX53" s="582"/>
      <c r="AY53" s="582"/>
      <c r="AZ53" s="582"/>
      <c r="BA53" s="582"/>
      <c r="BB53" s="582"/>
      <c r="BC53" s="582"/>
      <c r="BD53" s="582"/>
      <c r="BE53" s="582"/>
      <c r="BF53" s="569">
        <f t="shared" si="25"/>
        <v>0</v>
      </c>
      <c r="BG53" s="569"/>
      <c r="BH53" s="582"/>
      <c r="BI53" s="508">
        <f t="shared" ref="BI53" si="33">Q53+S53+U53+W53+AB53+AD53+AF53+AH53+AM53+AO53</f>
        <v>0.89999999999999991</v>
      </c>
      <c r="BJ53" s="508">
        <f t="shared" ref="BJ53" si="34">R53+T53+V53+X53+AC53+AE53+AG53+AI53+AN53+AP53</f>
        <v>0.89999999999999991</v>
      </c>
      <c r="BK53" s="508">
        <f t="shared" si="18"/>
        <v>1</v>
      </c>
      <c r="BL53" s="508">
        <f t="shared" si="5"/>
        <v>0.89999999999999991</v>
      </c>
      <c r="BM53" s="785">
        <f t="shared" si="28"/>
        <v>0.13499999999999998</v>
      </c>
      <c r="BN53" s="1098"/>
      <c r="BO53" s="1035"/>
      <c r="BP53" s="608"/>
      <c r="BQ53" s="608"/>
    </row>
    <row r="54" spans="2:69" ht="63" customHeight="1">
      <c r="B54" s="1037"/>
      <c r="C54" s="1077"/>
      <c r="D54" s="1081"/>
      <c r="E54" s="1081"/>
      <c r="F54" s="89" t="s">
        <v>161</v>
      </c>
      <c r="G54" s="89" t="s">
        <v>633</v>
      </c>
      <c r="H54" s="28" t="str">
        <f>+'1.Informe Seguimiento POA 2023'!D58</f>
        <v>4.2.4 Realizar 12 acciones de monitoreo y revisión  al Plan Anticorrupción y de Atención al Ciudadano -PAAC- de la vigencia.</v>
      </c>
      <c r="I54" s="78">
        <f>+'1.Informe Seguimiento POA 2023'!E58</f>
        <v>0.1</v>
      </c>
      <c r="J54" s="72">
        <f>+'1.Informe Seguimiento POA 2023'!F58</f>
        <v>12</v>
      </c>
      <c r="K54" s="573" t="str">
        <f>+'1.Informe Seguimiento POA 2023'!I58</f>
        <v>Direccionamiento Estratégico</v>
      </c>
      <c r="L54" s="573" t="str">
        <f>+'1.Informe Seguimiento POA 2023'!J58</f>
        <v>Dirección de Planeación</v>
      </c>
      <c r="M54" s="507">
        <f>+'1.Informe Seguimiento POA 2023'!K58</f>
        <v>3</v>
      </c>
      <c r="N54" s="507">
        <f>+'1.Informe Seguimiento POA 2023'!L58</f>
        <v>3</v>
      </c>
      <c r="O54" s="507">
        <f>+'1.Informe Seguimiento POA 2023'!M58</f>
        <v>3</v>
      </c>
      <c r="P54" s="507">
        <f>+'1.Informe Seguimiento POA 2023'!N58</f>
        <v>3</v>
      </c>
      <c r="Q54" s="657">
        <v>1</v>
      </c>
      <c r="R54" s="657">
        <v>1</v>
      </c>
      <c r="S54" s="657">
        <v>0</v>
      </c>
      <c r="T54" s="657">
        <v>0</v>
      </c>
      <c r="U54" s="657">
        <v>1</v>
      </c>
      <c r="V54" s="657">
        <v>1</v>
      </c>
      <c r="W54" s="657">
        <v>1</v>
      </c>
      <c r="X54" s="657">
        <v>1</v>
      </c>
      <c r="Y54" s="657">
        <v>3</v>
      </c>
      <c r="Z54" s="657">
        <v>3</v>
      </c>
      <c r="AA54" s="510">
        <v>1</v>
      </c>
      <c r="AB54" s="657">
        <v>1</v>
      </c>
      <c r="AC54" s="657">
        <v>1</v>
      </c>
      <c r="AD54" s="657">
        <v>1</v>
      </c>
      <c r="AE54" s="657">
        <v>1</v>
      </c>
      <c r="AF54" s="657">
        <v>1</v>
      </c>
      <c r="AG54" s="657">
        <v>1</v>
      </c>
      <c r="AH54" s="657">
        <v>0</v>
      </c>
      <c r="AI54" s="657">
        <v>0</v>
      </c>
      <c r="AJ54" s="657">
        <v>3</v>
      </c>
      <c r="AK54" s="657">
        <v>3</v>
      </c>
      <c r="AL54" s="510">
        <v>1</v>
      </c>
      <c r="AM54" s="507">
        <f>+'1.Informe Seguimiento POA 2023'!O58</f>
        <v>1</v>
      </c>
      <c r="AN54" s="507">
        <f>+'1.Informe Seguimiento POA 2023'!P58</f>
        <v>1</v>
      </c>
      <c r="AO54" s="507">
        <f>+'1.Informe Seguimiento POA 2023'!Q58</f>
        <v>1</v>
      </c>
      <c r="AP54" s="507">
        <f>+'1.Informe Seguimiento POA 2023'!R58</f>
        <v>1</v>
      </c>
      <c r="AQ54" s="507">
        <f>+'1.Informe Seguimiento POA 2023'!S58</f>
        <v>1</v>
      </c>
      <c r="AR54" s="507">
        <f>+'1.Informe Seguimiento POA 2023'!T58</f>
        <v>0</v>
      </c>
      <c r="AS54" s="507">
        <f>+'1.Informe Seguimiento POA 2023'!U58</f>
        <v>0</v>
      </c>
      <c r="AT54" s="507">
        <f>+'1.Informe Seguimiento POA 2023'!V58</f>
        <v>0</v>
      </c>
      <c r="AU54" s="507">
        <f>+'1.Informe Seguimiento POA 2023'!W58</f>
        <v>3</v>
      </c>
      <c r="AV54" s="507">
        <f>+'1.Informe Seguimiento POA 2023'!X58</f>
        <v>2</v>
      </c>
      <c r="AW54" s="510">
        <f>+'1.Informe Seguimiento POA 2023'!Y58</f>
        <v>0.66666666666666663</v>
      </c>
      <c r="AX54" s="508"/>
      <c r="AY54" s="508"/>
      <c r="AZ54" s="508"/>
      <c r="BA54" s="508"/>
      <c r="BB54" s="508"/>
      <c r="BC54" s="508"/>
      <c r="BD54" s="508"/>
      <c r="BE54" s="508"/>
      <c r="BF54" s="256">
        <f t="shared" si="25"/>
        <v>3</v>
      </c>
      <c r="BG54" s="256"/>
      <c r="BH54" s="508"/>
      <c r="BI54" s="256">
        <f t="shared" ref="BI54" si="35">+Q54+S54+U54+W54+AM54+AO54+AB54+AD54+AF54+AH54</f>
        <v>8</v>
      </c>
      <c r="BJ54" s="256">
        <f t="shared" ref="BJ54" si="36">+R54+T54+V54+X54+AN54+AP54+AC54+AE54+AG54+AI54</f>
        <v>8</v>
      </c>
      <c r="BK54" s="508">
        <f t="shared" si="18"/>
        <v>1</v>
      </c>
      <c r="BL54" s="508">
        <f t="shared" si="5"/>
        <v>0.66666666666666663</v>
      </c>
      <c r="BM54" s="785">
        <f t="shared" si="28"/>
        <v>6.6666666666666666E-2</v>
      </c>
      <c r="BN54" s="1098"/>
      <c r="BO54" s="1035"/>
      <c r="BP54" s="608"/>
      <c r="BQ54" s="608"/>
    </row>
    <row r="55" spans="2:69" ht="83.4" customHeight="1">
      <c r="B55" s="1037"/>
      <c r="C55" s="1077"/>
      <c r="D55" s="1081"/>
      <c r="E55" s="1081"/>
      <c r="F55" s="89" t="s">
        <v>358</v>
      </c>
      <c r="G55" s="89" t="s">
        <v>995</v>
      </c>
      <c r="H55" s="28" t="str">
        <f>+'1.Informe Seguimiento POA 2023'!D59</f>
        <v>4.2.5 Incrementar al 90% la percepción de los usuarios que califican como excelente y bueno el servicio en la Personería de Bogotá</v>
      </c>
      <c r="I55" s="78">
        <f>+'1.Informe Seguimiento POA 2023'!E59</f>
        <v>0.2</v>
      </c>
      <c r="J55" s="569">
        <f>+'1.Informe Seguimiento POA 2023'!F59</f>
        <v>0.9</v>
      </c>
      <c r="K55" s="573" t="str">
        <f>+'1.Informe Seguimiento POA 2023'!I59</f>
        <v>Servicio al Usuario</v>
      </c>
      <c r="L55" s="573" t="str">
        <f>+'1.Informe Seguimiento POA 2023'!J59</f>
        <v>Secretaría General</v>
      </c>
      <c r="M55" s="569">
        <f>+'1.Informe Seguimiento POA 2023'!K59</f>
        <v>0.9</v>
      </c>
      <c r="N55" s="569">
        <f>+'1.Informe Seguimiento POA 2023'!L59</f>
        <v>0.9</v>
      </c>
      <c r="O55" s="569">
        <f>+'1.Informe Seguimiento POA 2023'!M59</f>
        <v>0.9</v>
      </c>
      <c r="P55" s="569">
        <f>+'1.Informe Seguimiento POA 2023'!N59</f>
        <v>0.9</v>
      </c>
      <c r="Q55" s="766">
        <v>0.9</v>
      </c>
      <c r="R55" s="766">
        <v>0.79800000000000004</v>
      </c>
      <c r="S55" s="766">
        <v>0</v>
      </c>
      <c r="T55" s="766">
        <v>0</v>
      </c>
      <c r="U55" s="766">
        <v>0.9</v>
      </c>
      <c r="V55" s="766">
        <v>0.93400000000000005</v>
      </c>
      <c r="W55" s="766">
        <v>0</v>
      </c>
      <c r="X55" s="766">
        <v>0</v>
      </c>
      <c r="Y55" s="510">
        <v>0.9</v>
      </c>
      <c r="Z55" s="510">
        <v>0.93400000000000005</v>
      </c>
      <c r="AA55" s="510">
        <v>1.0377777777777779</v>
      </c>
      <c r="AB55" s="958">
        <v>0.9</v>
      </c>
      <c r="AC55" s="958">
        <v>0.95899999999999996</v>
      </c>
      <c r="AD55" s="958">
        <v>0</v>
      </c>
      <c r="AE55" s="958">
        <v>0</v>
      </c>
      <c r="AF55" s="958">
        <v>0.9</v>
      </c>
      <c r="AG55" s="958">
        <v>0.96</v>
      </c>
      <c r="AH55" s="958">
        <v>0</v>
      </c>
      <c r="AI55" s="958">
        <v>0</v>
      </c>
      <c r="AJ55" s="510">
        <v>0.9</v>
      </c>
      <c r="AK55" s="510">
        <v>0.95899999999999996</v>
      </c>
      <c r="AL55" s="510">
        <v>1.0655555555555556</v>
      </c>
      <c r="AM55" s="569">
        <f>+'1.Informe Seguimiento POA 2023'!O59</f>
        <v>0.9</v>
      </c>
      <c r="AN55" s="569">
        <f>+'1.Informe Seguimiento POA 2023'!P59</f>
        <v>0.97499999999999998</v>
      </c>
      <c r="AO55" s="569">
        <f>+'1.Informe Seguimiento POA 2023'!Q59</f>
        <v>0</v>
      </c>
      <c r="AP55" s="569">
        <f>+'1.Informe Seguimiento POA 2023'!R59</f>
        <v>0</v>
      </c>
      <c r="AQ55" s="569">
        <f>+'1.Informe Seguimiento POA 2023'!S59</f>
        <v>0.9</v>
      </c>
      <c r="AR55" s="569">
        <f>+'1.Informe Seguimiento POA 2023'!T59</f>
        <v>0</v>
      </c>
      <c r="AS55" s="569">
        <f>+'1.Informe Seguimiento POA 2023'!U59</f>
        <v>0</v>
      </c>
      <c r="AT55" s="569">
        <f>+'1.Informe Seguimiento POA 2023'!V59</f>
        <v>0</v>
      </c>
      <c r="AU55" s="510">
        <f>+'1.Informe Seguimiento POA 2023'!W59</f>
        <v>0.9</v>
      </c>
      <c r="AV55" s="510">
        <f>+'1.Informe Seguimiento POA 2023'!X59</f>
        <v>0.97499999999999998</v>
      </c>
      <c r="AW55" s="510">
        <f>+'1.Informe Seguimiento POA 2023'!Y59</f>
        <v>0.54166666666666663</v>
      </c>
      <c r="AX55" s="582"/>
      <c r="AY55" s="582"/>
      <c r="AZ55" s="582"/>
      <c r="BA55" s="582"/>
      <c r="BB55" s="582"/>
      <c r="BC55" s="582"/>
      <c r="BD55" s="582"/>
      <c r="BE55" s="582"/>
      <c r="BF55" s="569">
        <f t="shared" si="25"/>
        <v>0.9</v>
      </c>
      <c r="BG55" s="569"/>
      <c r="BH55" s="582"/>
      <c r="BI55" s="509">
        <f>IFERROR(AVERAGE(Y55,AJ55,AM55),0)</f>
        <v>0.9</v>
      </c>
      <c r="BJ55" s="509">
        <f>IFERROR(AVERAGE(Z55,AK55,AN55),0)</f>
        <v>0.95599999999999996</v>
      </c>
      <c r="BK55" s="508">
        <f t="shared" si="18"/>
        <v>1.0622222222222222</v>
      </c>
      <c r="BL55" s="961">
        <f>(IF(AND(BJ55&gt;0,$J55&gt;0),BJ55/$J55,0))*0.75</f>
        <v>0.79666666666666663</v>
      </c>
      <c r="BM55" s="785">
        <f t="shared" si="28"/>
        <v>0.15933333333333333</v>
      </c>
      <c r="BN55" s="1098"/>
      <c r="BO55" s="1035"/>
      <c r="BP55" s="608"/>
      <c r="BQ55" s="608"/>
    </row>
    <row r="56" spans="2:69" ht="70.5" customHeight="1">
      <c r="B56" s="1037"/>
      <c r="C56" s="1072"/>
      <c r="D56" s="1082"/>
      <c r="E56" s="1082"/>
      <c r="F56" s="89" t="s">
        <v>1086</v>
      </c>
      <c r="G56" s="89" t="s">
        <v>365</v>
      </c>
      <c r="H56" s="28" t="str">
        <f>+'1.Informe Seguimiento POA 2023'!D60</f>
        <v xml:space="preserve">4.2.6 Implementar 7 lineamientos en compromiso con la calidad para satisfacer las necesidades y expectativas de los (as) usuarios(as) y partes interesadas </v>
      </c>
      <c r="I56" s="78">
        <f>+'1.Informe Seguimiento POA 2023'!E60</f>
        <v>0.15</v>
      </c>
      <c r="J56" s="72">
        <f>+'1.Informe Seguimiento POA 2023'!F60</f>
        <v>7</v>
      </c>
      <c r="K56" s="573" t="str">
        <f>+'1.Informe Seguimiento POA 2023'!I60</f>
        <v>Servicio al Usuario</v>
      </c>
      <c r="L56" s="573" t="str">
        <f>+'1.Informe Seguimiento POA 2023'!J60</f>
        <v>Secretaría General</v>
      </c>
      <c r="M56" s="523">
        <f>+'1.Informe Seguimiento POA 2023'!K60</f>
        <v>2</v>
      </c>
      <c r="N56" s="523">
        <f>+'1.Informe Seguimiento POA 2023'!L60</f>
        <v>3</v>
      </c>
      <c r="O56" s="523">
        <f>+'1.Informe Seguimiento POA 2023'!M60</f>
        <v>1</v>
      </c>
      <c r="P56" s="523">
        <f>+'1.Informe Seguimiento POA 2023'!N60</f>
        <v>1</v>
      </c>
      <c r="Q56" s="657">
        <v>1</v>
      </c>
      <c r="R56" s="657">
        <v>1</v>
      </c>
      <c r="S56" s="657">
        <v>1</v>
      </c>
      <c r="T56" s="657">
        <v>1</v>
      </c>
      <c r="U56" s="657">
        <v>0</v>
      </c>
      <c r="V56" s="657">
        <v>0</v>
      </c>
      <c r="W56" s="657">
        <v>0</v>
      </c>
      <c r="X56" s="657">
        <v>0</v>
      </c>
      <c r="Y56" s="657">
        <v>2</v>
      </c>
      <c r="Z56" s="657">
        <v>2</v>
      </c>
      <c r="AA56" s="510">
        <v>1</v>
      </c>
      <c r="AB56" s="657">
        <v>1</v>
      </c>
      <c r="AC56" s="657">
        <v>1</v>
      </c>
      <c r="AD56" s="657">
        <v>1</v>
      </c>
      <c r="AE56" s="657">
        <v>1</v>
      </c>
      <c r="AF56" s="657">
        <v>0</v>
      </c>
      <c r="AG56" s="657">
        <v>0</v>
      </c>
      <c r="AH56" s="657">
        <v>1</v>
      </c>
      <c r="AI56" s="657">
        <v>1</v>
      </c>
      <c r="AJ56" s="657">
        <v>3</v>
      </c>
      <c r="AK56" s="657">
        <v>3</v>
      </c>
      <c r="AL56" s="510">
        <v>1</v>
      </c>
      <c r="AM56" s="507">
        <f>+'1.Informe Seguimiento POA 2023'!O60</f>
        <v>0</v>
      </c>
      <c r="AN56" s="507">
        <f>+'1.Informe Seguimiento POA 2023'!P60</f>
        <v>0</v>
      </c>
      <c r="AO56" s="507">
        <f>+'1.Informe Seguimiento POA 2023'!Q60</f>
        <v>1</v>
      </c>
      <c r="AP56" s="507">
        <f>+'1.Informe Seguimiento POA 2023'!R60</f>
        <v>1</v>
      </c>
      <c r="AQ56" s="507">
        <f>+'1.Informe Seguimiento POA 2023'!S60</f>
        <v>0</v>
      </c>
      <c r="AR56" s="507">
        <f>+'1.Informe Seguimiento POA 2023'!T60</f>
        <v>0</v>
      </c>
      <c r="AS56" s="507">
        <f>+'1.Informe Seguimiento POA 2023'!U60</f>
        <v>0</v>
      </c>
      <c r="AT56" s="507">
        <f>+'1.Informe Seguimiento POA 2023'!V60</f>
        <v>0</v>
      </c>
      <c r="AU56" s="507">
        <f>+'1.Informe Seguimiento POA 2023'!W60</f>
        <v>1</v>
      </c>
      <c r="AV56" s="507">
        <f>+'1.Informe Seguimiento POA 2023'!X60</f>
        <v>1</v>
      </c>
      <c r="AW56" s="510">
        <f>+'1.Informe Seguimiento POA 2023'!Y60</f>
        <v>1</v>
      </c>
      <c r="AX56" s="508"/>
      <c r="AY56" s="508"/>
      <c r="AZ56" s="508"/>
      <c r="BA56" s="508"/>
      <c r="BB56" s="508"/>
      <c r="BC56" s="508"/>
      <c r="BD56" s="508"/>
      <c r="BE56" s="508"/>
      <c r="BF56" s="256">
        <f t="shared" si="25"/>
        <v>1</v>
      </c>
      <c r="BG56" s="256"/>
      <c r="BH56" s="508"/>
      <c r="BI56" s="256">
        <f t="shared" ref="BI56" si="37">+Q56+S56+U56+W56+AM56+AO56+AB56+AD56+AF56+AH56</f>
        <v>6</v>
      </c>
      <c r="BJ56" s="256">
        <f t="shared" ref="BJ56" si="38">+R56+T56+V56+X56+AN56+AP56+AC56+AE56+AG56+AI56</f>
        <v>6</v>
      </c>
      <c r="BK56" s="508">
        <f t="shared" si="18"/>
        <v>1</v>
      </c>
      <c r="BL56" s="508">
        <f t="shared" si="5"/>
        <v>0.8571428571428571</v>
      </c>
      <c r="BM56" s="788">
        <f t="shared" si="28"/>
        <v>0.12857142857142856</v>
      </c>
      <c r="BN56" s="1099"/>
      <c r="BO56" s="1035"/>
      <c r="BP56" s="608"/>
      <c r="BQ56" s="608"/>
    </row>
    <row r="57" spans="2:69" ht="63.6" customHeight="1">
      <c r="B57" s="1037"/>
      <c r="C57" s="1112" t="str">
        <f>+'Matriz PEI 2021-2024'!C22</f>
        <v xml:space="preserve">4.3. Realizar el 100% de las actividades relacionadas con la Gestión del Talento Humano, que permita su fortalecimiento y el desarrollo de sus conocimientos, su competencia y bienestar. </v>
      </c>
      <c r="D57" s="1119">
        <f>+'Matriz PEI 2021-2024'!E22</f>
        <v>1</v>
      </c>
      <c r="E57" s="1119">
        <f>+'Matriz PEI 2021-2024'!D22</f>
        <v>0.14000000000000001</v>
      </c>
      <c r="F57" s="109" t="str">
        <f>+'1.Informe Seguimiento POA 2023'!H61</f>
        <v>Porcentaje de novedades y situaciones administrativas gestionadas</v>
      </c>
      <c r="G57" s="109" t="str">
        <f>+'08-G. DEL TALENTO HUMANO'!J16</f>
        <v>N° de novedades y situaciones administrativas gestionadas /  N° requerimientos de novedades y situaciones administrativas presentados * 100</v>
      </c>
      <c r="H57" s="80" t="str">
        <f>+'1.Informe Seguimiento POA 2023'!D61</f>
        <v xml:space="preserve">4.3.1 Gestionar el 100% de las novedades y situaciones administrativas de los servidores públicos de la Entidad.
</v>
      </c>
      <c r="I57" s="81">
        <f>+'1.Informe Seguimiento POA 2023'!E61</f>
        <v>0.1</v>
      </c>
      <c r="J57" s="574">
        <f>+'1.Informe Seguimiento POA 2023'!F61</f>
        <v>1</v>
      </c>
      <c r="K57" s="512" t="str">
        <f>+'1.Informe Seguimiento POA 2023'!I61</f>
        <v>Gestión del Talento Humano</v>
      </c>
      <c r="L57" s="110" t="str">
        <f>+'1.Informe Seguimiento POA 2023'!J61</f>
        <v xml:space="preserve">
Dirección de Talento Humano
</v>
      </c>
      <c r="M57" s="524">
        <f>+'1.Informe Seguimiento POA 2023'!K61</f>
        <v>1</v>
      </c>
      <c r="N57" s="524">
        <f>+'1.Informe Seguimiento POA 2023'!L61</f>
        <v>1</v>
      </c>
      <c r="O57" s="524">
        <f>+'1.Informe Seguimiento POA 2023'!M61</f>
        <v>1</v>
      </c>
      <c r="P57" s="524">
        <f>+'1.Informe Seguimiento POA 2023'!N61</f>
        <v>1</v>
      </c>
      <c r="Q57" s="242">
        <v>1</v>
      </c>
      <c r="R57" s="242">
        <v>1</v>
      </c>
      <c r="S57" s="100">
        <v>1</v>
      </c>
      <c r="T57" s="100">
        <v>1</v>
      </c>
      <c r="U57" s="100">
        <v>1</v>
      </c>
      <c r="V57" s="100">
        <v>1</v>
      </c>
      <c r="W57" s="100">
        <v>1</v>
      </c>
      <c r="X57" s="100">
        <v>1</v>
      </c>
      <c r="Y57" s="519">
        <v>1</v>
      </c>
      <c r="Z57" s="520">
        <v>1</v>
      </c>
      <c r="AA57" s="519">
        <v>1</v>
      </c>
      <c r="AB57" s="242">
        <v>1</v>
      </c>
      <c r="AC57" s="242">
        <v>1</v>
      </c>
      <c r="AD57" s="100">
        <v>1</v>
      </c>
      <c r="AE57" s="100">
        <v>1</v>
      </c>
      <c r="AF57" s="100">
        <v>1</v>
      </c>
      <c r="AG57" s="100">
        <v>1</v>
      </c>
      <c r="AH57" s="100">
        <v>1</v>
      </c>
      <c r="AI57" s="100">
        <v>1</v>
      </c>
      <c r="AJ57" s="519">
        <v>1</v>
      </c>
      <c r="AK57" s="520">
        <v>1</v>
      </c>
      <c r="AL57" s="519">
        <v>1</v>
      </c>
      <c r="AM57" s="242">
        <f>+'1.Informe Seguimiento POA 2023'!O61</f>
        <v>1</v>
      </c>
      <c r="AN57" s="242">
        <f>+'1.Informe Seguimiento POA 2023'!P61</f>
        <v>1</v>
      </c>
      <c r="AO57" s="100">
        <f>+'1.Informe Seguimiento POA 2023'!Q61</f>
        <v>1</v>
      </c>
      <c r="AP57" s="100">
        <f>+'1.Informe Seguimiento POA 2023'!R61</f>
        <v>1</v>
      </c>
      <c r="AQ57" s="100">
        <f>+'1.Informe Seguimiento POA 2023'!S61</f>
        <v>1</v>
      </c>
      <c r="AR57" s="100">
        <f>+'1.Informe Seguimiento POA 2023'!T61</f>
        <v>0</v>
      </c>
      <c r="AS57" s="100">
        <f>+'1.Informe Seguimiento POA 2023'!U61</f>
        <v>1</v>
      </c>
      <c r="AT57" s="100">
        <f>+'1.Informe Seguimiento POA 2023'!V61</f>
        <v>0</v>
      </c>
      <c r="AU57" s="519">
        <f>+'1.Informe Seguimiento POA 2023'!W61</f>
        <v>1</v>
      </c>
      <c r="AV57" s="520">
        <f>+'1.Informe Seguimiento POA 2023'!X61</f>
        <v>1</v>
      </c>
      <c r="AW57" s="519">
        <f>+'1.Informe Seguimiento POA 2023'!Y61</f>
        <v>0.5</v>
      </c>
      <c r="AX57" s="519"/>
      <c r="AY57" s="519"/>
      <c r="AZ57" s="519"/>
      <c r="BA57" s="519"/>
      <c r="BB57" s="519"/>
      <c r="BC57" s="519"/>
      <c r="BD57" s="519"/>
      <c r="BE57" s="519"/>
      <c r="BF57" s="519">
        <f t="shared" si="25"/>
        <v>1</v>
      </c>
      <c r="BG57" s="519"/>
      <c r="BH57" s="519"/>
      <c r="BI57" s="525">
        <f t="shared" ref="BI57:BJ59" si="39">IFERROR(AVERAGE(Q57,S57,U57,W57,AB57,AD57,AF57,AH57,AM57,AO57),0)</f>
        <v>1</v>
      </c>
      <c r="BJ57" s="945">
        <f t="shared" si="39"/>
        <v>1</v>
      </c>
      <c r="BK57" s="591">
        <f t="shared" si="18"/>
        <v>1</v>
      </c>
      <c r="BL57" s="962">
        <f>(IF(AND(BJ57&gt;0,$J57&gt;0),BJ57/$J57,0)/4)*3</f>
        <v>0.75</v>
      </c>
      <c r="BM57" s="526">
        <f t="shared" si="28"/>
        <v>7.5000000000000011E-2</v>
      </c>
      <c r="BN57" s="1122">
        <f>SUM(BM57:BM64)</f>
        <v>0.66575786742866883</v>
      </c>
      <c r="BO57" s="1035"/>
      <c r="BP57" s="599"/>
      <c r="BQ57" s="599"/>
    </row>
    <row r="58" spans="2:69" ht="88.5" customHeight="1">
      <c r="B58" s="1037"/>
      <c r="C58" s="1113"/>
      <c r="D58" s="1120"/>
      <c r="E58" s="1120"/>
      <c r="F58" s="109" t="str">
        <f>+'1.Informe Seguimiento POA 2023'!H62</f>
        <v xml:space="preserve">Novedades incluidas en la nómina  oportunamente  </v>
      </c>
      <c r="G58" s="109" t="str">
        <f>+'08-G. DEL TALENTO HUMANO'!J17</f>
        <v xml:space="preserve"> N° de Novedades incluidas en la Nomina oportunamente / N° de novedades radicadas en los plazos establecidos</v>
      </c>
      <c r="H58" s="80" t="str">
        <f>+'1.Informe Seguimiento POA 2023'!D62</f>
        <v xml:space="preserve">4.3.2 Incluir el 97,8% de las Novedades en la nómina oportunamente, para liquidación y pago </v>
      </c>
      <c r="I58" s="81">
        <f>+'1.Informe Seguimiento POA 2023'!E62</f>
        <v>0.1</v>
      </c>
      <c r="J58" s="574">
        <f>+'1.Informe Seguimiento POA 2023'!F62</f>
        <v>0.97799999999999998</v>
      </c>
      <c r="K58" s="512" t="str">
        <f>+'1.Informe Seguimiento POA 2023'!I62</f>
        <v>Gestión del Talento Humano</v>
      </c>
      <c r="L58" s="110" t="str">
        <f>+'1.Informe Seguimiento POA 2023'!J62</f>
        <v>Dependencia Líder: 
Dirección de Talento Humano
Dependencia Operativa:
Subdirección de Gestión del Talento Humano</v>
      </c>
      <c r="M58" s="524">
        <f>+'1.Informe Seguimiento POA 2023'!K62</f>
        <v>0.97</v>
      </c>
      <c r="N58" s="524">
        <f>+'1.Informe Seguimiento POA 2023'!L62</f>
        <v>0.98</v>
      </c>
      <c r="O58" s="524">
        <f>+'1.Informe Seguimiento POA 2023'!M62</f>
        <v>0.98</v>
      </c>
      <c r="P58" s="524">
        <f>+'1.Informe Seguimiento POA 2023'!N62</f>
        <v>0.98</v>
      </c>
      <c r="Q58" s="242">
        <v>0.97000000000000008</v>
      </c>
      <c r="R58" s="242">
        <v>0.99400000000000011</v>
      </c>
      <c r="S58" s="242">
        <v>0.97000000000000008</v>
      </c>
      <c r="T58" s="242">
        <v>0.97033333333333316</v>
      </c>
      <c r="U58" s="242">
        <v>0.97000000000000008</v>
      </c>
      <c r="V58" s="242">
        <v>0.96833333333333327</v>
      </c>
      <c r="W58" s="242">
        <v>0.97000000000000008</v>
      </c>
      <c r="X58" s="242">
        <v>0.97766666666666657</v>
      </c>
      <c r="Y58" s="519">
        <v>0.97000000000000008</v>
      </c>
      <c r="Z58" s="520">
        <v>0.97699999999999998</v>
      </c>
      <c r="AA58" s="519">
        <v>1.0072164948453608</v>
      </c>
      <c r="AB58" s="242">
        <v>0.98</v>
      </c>
      <c r="AC58" s="242">
        <v>0.98766666666666669</v>
      </c>
      <c r="AD58" s="242">
        <v>0.98</v>
      </c>
      <c r="AE58" s="242">
        <v>0.95699999999999996</v>
      </c>
      <c r="AF58" s="242">
        <v>0.98</v>
      </c>
      <c r="AG58" s="242">
        <v>0.9903333333333334</v>
      </c>
      <c r="AH58" s="242">
        <v>0.98</v>
      </c>
      <c r="AI58" s="242">
        <v>0.996</v>
      </c>
      <c r="AJ58" s="519">
        <v>0.98000000000000032</v>
      </c>
      <c r="AK58" s="520">
        <v>0.98199999999999998</v>
      </c>
      <c r="AL58" s="519">
        <v>1.0020408163265302</v>
      </c>
      <c r="AM58" s="242">
        <f>+'1.Informe Seguimiento POA 2023'!O62</f>
        <v>0.98</v>
      </c>
      <c r="AN58" s="242">
        <f>+'1.Informe Seguimiento POA 2023'!P62</f>
        <v>0.999</v>
      </c>
      <c r="AO58" s="242">
        <f>+'1.Informe Seguimiento POA 2023'!Q62</f>
        <v>0.98</v>
      </c>
      <c r="AP58" s="242">
        <f>+'1.Informe Seguimiento POA 2023'!R62</f>
        <v>1</v>
      </c>
      <c r="AQ58" s="242">
        <f>+'1.Informe Seguimiento POA 2023'!S62</f>
        <v>0.98</v>
      </c>
      <c r="AR58" s="242">
        <f>+'1.Informe Seguimiento POA 2023'!T62</f>
        <v>0</v>
      </c>
      <c r="AS58" s="242">
        <f>+'1.Informe Seguimiento POA 2023'!U62</f>
        <v>0.98</v>
      </c>
      <c r="AT58" s="242">
        <f>+'1.Informe Seguimiento POA 2023'!V62</f>
        <v>0</v>
      </c>
      <c r="AU58" s="519">
        <f>+'1.Informe Seguimiento POA 2023'!W62</f>
        <v>0.98000000000000032</v>
      </c>
      <c r="AV58" s="520">
        <f>+'1.Informe Seguimiento POA 2023'!X62</f>
        <v>0.999</v>
      </c>
      <c r="AW58" s="519">
        <f>+'1.Informe Seguimiento POA 2023'!Y62</f>
        <v>0.50969387755102025</v>
      </c>
      <c r="AX58" s="519"/>
      <c r="AY58" s="519"/>
      <c r="AZ58" s="519"/>
      <c r="BA58" s="519"/>
      <c r="BB58" s="519"/>
      <c r="BC58" s="519"/>
      <c r="BD58" s="519"/>
      <c r="BE58" s="519"/>
      <c r="BF58" s="519">
        <f t="shared" si="25"/>
        <v>0.98</v>
      </c>
      <c r="BG58" s="519"/>
      <c r="BH58" s="519"/>
      <c r="BI58" s="945">
        <f t="shared" si="39"/>
        <v>0.9760000000000002</v>
      </c>
      <c r="BJ58" s="945">
        <f t="shared" si="39"/>
        <v>0.98403333333333332</v>
      </c>
      <c r="BK58" s="591">
        <f t="shared" si="18"/>
        <v>1.0082308743169397</v>
      </c>
      <c r="BL58" s="962">
        <f>(IF(AND(BJ58&gt;0,$J58&gt;0),BJ58/$J58,0)/4)*3</f>
        <v>0.75462678936605321</v>
      </c>
      <c r="BM58" s="526">
        <f t="shared" si="28"/>
        <v>7.5462678936605326E-2</v>
      </c>
      <c r="BN58" s="1123"/>
      <c r="BO58" s="1035"/>
      <c r="BP58" s="600"/>
      <c r="BQ58" s="600"/>
    </row>
    <row r="59" spans="2:69" ht="157.19999999999999" customHeight="1">
      <c r="B59" s="1037"/>
      <c r="C59" s="1113"/>
      <c r="D59" s="1120"/>
      <c r="E59" s="1120"/>
      <c r="F59" s="109" t="str">
        <f>+'1.Informe Seguimiento POA 2023'!H63</f>
        <v>Porcentaje de Usuarios internos satisfechos con las solicitudes de los servicios atendidas de la SGTH (Certificaciones laborales, bonos pensionales y autorizaciones de retiro de cesantías)</v>
      </c>
      <c r="G59" s="109" t="str">
        <f>+'08-G. DEL TALENTO HUMANO'!J18</f>
        <v>N° de usuarios satisfechos con las solicitudes de servicios atendidas por la SGTH (Certificaciones laborales, bonos pensionales y autorizaciones de retiro de cesantías. / N° de usuarios encuestados *100</v>
      </c>
      <c r="H59" s="80" t="str">
        <f>+'1.Informe Seguimiento POA 2023'!D63</f>
        <v xml:space="preserve">4.3.3 Lograr el 94,5 % de usuarios internos  satisfechos con las solicitudes de servicios atendidas de la SGTH (Certificaciones laborales, bonos pensionales y autorizaciones de retiro de cesantías). </v>
      </c>
      <c r="I59" s="81">
        <f>+'1.Informe Seguimiento POA 2023'!E63</f>
        <v>0.1</v>
      </c>
      <c r="J59" s="574">
        <f>+'1.Informe Seguimiento POA 2023'!F63</f>
        <v>0.94499999999999995</v>
      </c>
      <c r="K59" s="512" t="str">
        <f>+'1.Informe Seguimiento POA 2023'!I63</f>
        <v>Gestión del Talento Humano</v>
      </c>
      <c r="L59" s="110" t="str">
        <f>+'1.Informe Seguimiento POA 2023'!J63</f>
        <v>Dependencia Líder: 
Dirección de Talento Humano
Dependencia Operativa:
Subdirección de Gestión del Talento Humano</v>
      </c>
      <c r="M59" s="524">
        <f>+'1.Informe Seguimiento POA 2023'!K63</f>
        <v>0.9</v>
      </c>
      <c r="N59" s="524">
        <f>+'1.Informe Seguimiento POA 2023'!L63</f>
        <v>0.96</v>
      </c>
      <c r="O59" s="524">
        <f>+'1.Informe Seguimiento POA 2023'!M63</f>
        <v>0.96</v>
      </c>
      <c r="P59" s="524">
        <f>+'1.Informe Seguimiento POA 2023'!N63</f>
        <v>0.96</v>
      </c>
      <c r="Q59" s="242">
        <v>0</v>
      </c>
      <c r="R59" s="242">
        <v>0</v>
      </c>
      <c r="S59" s="100">
        <v>0.9</v>
      </c>
      <c r="T59" s="100">
        <v>0.94799999999999995</v>
      </c>
      <c r="U59" s="100">
        <v>0.9</v>
      </c>
      <c r="V59" s="100">
        <v>0.97</v>
      </c>
      <c r="W59" s="100">
        <v>0.9</v>
      </c>
      <c r="X59" s="100">
        <v>0.94699999999999995</v>
      </c>
      <c r="Y59" s="519">
        <v>0.90000000000000013</v>
      </c>
      <c r="Z59" s="520">
        <v>0.95499999999999996</v>
      </c>
      <c r="AA59" s="519">
        <v>1.0611111111111109</v>
      </c>
      <c r="AB59" s="242">
        <v>0.96</v>
      </c>
      <c r="AC59" s="242">
        <v>0.92900000000000005</v>
      </c>
      <c r="AD59" s="100">
        <v>0.96</v>
      </c>
      <c r="AE59" s="100">
        <v>0.99199999999999999</v>
      </c>
      <c r="AF59" s="100">
        <v>0.96</v>
      </c>
      <c r="AG59" s="100">
        <v>0.97</v>
      </c>
      <c r="AH59" s="100">
        <v>0.96</v>
      </c>
      <c r="AI59" s="100">
        <v>0.97599999999999998</v>
      </c>
      <c r="AJ59" s="519">
        <v>0.96000000000000008</v>
      </c>
      <c r="AK59" s="520">
        <v>0.96599999999999997</v>
      </c>
      <c r="AL59" s="519">
        <v>1.0062499999999999</v>
      </c>
      <c r="AM59" s="242">
        <f>+'1.Informe Seguimiento POA 2023'!O63</f>
        <v>0.96</v>
      </c>
      <c r="AN59" s="242">
        <f>+'1.Informe Seguimiento POA 2023'!P63</f>
        <v>0.97299999999999998</v>
      </c>
      <c r="AO59" s="100">
        <f>+'1.Informe Seguimiento POA 2023'!Q63</f>
        <v>0.96</v>
      </c>
      <c r="AP59" s="100">
        <f>+'1.Informe Seguimiento POA 2023'!R63</f>
        <v>0.96399999999999997</v>
      </c>
      <c r="AQ59" s="100">
        <f>+'1.Informe Seguimiento POA 2023'!S63</f>
        <v>0.96</v>
      </c>
      <c r="AR59" s="100">
        <f>+'1.Informe Seguimiento POA 2023'!T63</f>
        <v>0</v>
      </c>
      <c r="AS59" s="100">
        <f>+'1.Informe Seguimiento POA 2023'!U63</f>
        <v>0.96</v>
      </c>
      <c r="AT59" s="100">
        <f>+'1.Informe Seguimiento POA 2023'!V63</f>
        <v>0</v>
      </c>
      <c r="AU59" s="519">
        <f>+'1.Informe Seguimiento POA 2023'!W63</f>
        <v>0.96000000000000008</v>
      </c>
      <c r="AV59" s="520">
        <f>+'1.Informe Seguimiento POA 2023'!X63</f>
        <v>0.96799999999999997</v>
      </c>
      <c r="AW59" s="519">
        <f>+'1.Informe Seguimiento POA 2023'!Y63</f>
        <v>0.50416666666666665</v>
      </c>
      <c r="AX59" s="519"/>
      <c r="AY59" s="519"/>
      <c r="AZ59" s="519"/>
      <c r="BA59" s="519"/>
      <c r="BB59" s="519"/>
      <c r="BC59" s="519"/>
      <c r="BD59" s="519"/>
      <c r="BE59" s="519"/>
      <c r="BF59" s="519">
        <f t="shared" si="25"/>
        <v>0.96</v>
      </c>
      <c r="BG59" s="519"/>
      <c r="BH59" s="519"/>
      <c r="BI59" s="945">
        <f t="shared" si="39"/>
        <v>0.84600000000000009</v>
      </c>
      <c r="BJ59" s="945">
        <f t="shared" si="39"/>
        <v>0.86689999999999989</v>
      </c>
      <c r="BK59" s="591">
        <f t="shared" si="18"/>
        <v>1.0247044917257682</v>
      </c>
      <c r="BL59" s="962">
        <f>(IF(AND(BJ59&gt;0,$J59&gt;0),BJ59/$J59,0)/4)*3</f>
        <v>0.68801587301587297</v>
      </c>
      <c r="BM59" s="526">
        <f t="shared" si="28"/>
        <v>6.8801587301587294E-2</v>
      </c>
      <c r="BN59" s="1123"/>
      <c r="BO59" s="1035"/>
      <c r="BP59" s="600"/>
      <c r="BQ59" s="600"/>
    </row>
    <row r="60" spans="2:69" ht="88.2" customHeight="1">
      <c r="B60" s="1037"/>
      <c r="C60" s="1113"/>
      <c r="D60" s="1120"/>
      <c r="E60" s="1120"/>
      <c r="F60" s="1112" t="s">
        <v>978</v>
      </c>
      <c r="G60" s="1112" t="s">
        <v>979</v>
      </c>
      <c r="H60" s="80" t="str">
        <f>+'1.Informe Seguimiento POA 2023'!D64</f>
        <v xml:space="preserve">4.3.4 Formular e implementar el 100% del Plan Institucional de Capacitación de la vigencia.
</v>
      </c>
      <c r="I60" s="81">
        <f>+'1.Informe Seguimiento POA 2023'!E64</f>
        <v>0.15</v>
      </c>
      <c r="J60" s="574">
        <f>+'1.Informe Seguimiento POA 2023'!F64</f>
        <v>1</v>
      </c>
      <c r="K60" s="512" t="str">
        <f>+'1.Informe Seguimiento POA 2023'!I64</f>
        <v>Gestión del Talento Humano</v>
      </c>
      <c r="L60" s="110" t="str">
        <f>+'1.Informe Seguimiento POA 2023'!J64</f>
        <v>Dependencia Líder: 
Dirección de Talento Humano
Dependencia Operativa:
Subdirección de Desarrollo del Talento Humano</v>
      </c>
      <c r="M60" s="524">
        <f>+'1.Informe Seguimiento POA 2023'!K64</f>
        <v>1</v>
      </c>
      <c r="N60" s="524">
        <f>+'1.Informe Seguimiento POA 2023'!L64</f>
        <v>1</v>
      </c>
      <c r="O60" s="524">
        <f>+'1.Informe Seguimiento POA 2023'!M64</f>
        <v>1</v>
      </c>
      <c r="P60" s="524">
        <f>+'1.Informe Seguimiento POA 2023'!N64</f>
        <v>1</v>
      </c>
      <c r="Q60" s="579">
        <v>0.24100000000000002</v>
      </c>
      <c r="R60" s="579">
        <v>0.24100000000000002</v>
      </c>
      <c r="S60" s="579">
        <v>0.27500000000000002</v>
      </c>
      <c r="T60" s="579">
        <v>0.2611</v>
      </c>
      <c r="U60" s="579">
        <v>0.16500000000000001</v>
      </c>
      <c r="V60" s="579">
        <v>0.16469999999999999</v>
      </c>
      <c r="W60" s="579">
        <v>0.31900000000000001</v>
      </c>
      <c r="X60" s="579">
        <v>0.41600000000000004</v>
      </c>
      <c r="Y60" s="519">
        <v>1</v>
      </c>
      <c r="Z60" s="520">
        <v>1.0828</v>
      </c>
      <c r="AA60" s="519">
        <v>1.0828</v>
      </c>
      <c r="AB60" s="579">
        <v>0.3</v>
      </c>
      <c r="AC60" s="579">
        <v>0.3</v>
      </c>
      <c r="AD60" s="579">
        <v>0.15000000000000002</v>
      </c>
      <c r="AE60" s="579">
        <v>0.15000000000000002</v>
      </c>
      <c r="AF60" s="579">
        <v>0.2</v>
      </c>
      <c r="AG60" s="579">
        <v>0.1</v>
      </c>
      <c r="AH60" s="579">
        <v>0.35000000000000003</v>
      </c>
      <c r="AI60" s="579">
        <v>0.44999999999999996</v>
      </c>
      <c r="AJ60" s="519">
        <v>1</v>
      </c>
      <c r="AK60" s="520">
        <v>1</v>
      </c>
      <c r="AL60" s="519">
        <v>1</v>
      </c>
      <c r="AM60" s="579">
        <f>+'1.Informe Seguimiento POA 2023'!O64</f>
        <v>0.35560000000000003</v>
      </c>
      <c r="AN60" s="579">
        <f>+'1.Informe Seguimiento POA 2023'!P64</f>
        <v>0.32970000000000005</v>
      </c>
      <c r="AO60" s="579">
        <f>+'1.Informe Seguimiento POA 2023'!Q64</f>
        <v>0.2334</v>
      </c>
      <c r="AP60" s="579">
        <f>+'1.Informe Seguimiento POA 2023'!R64</f>
        <v>7.7800000000000008E-2</v>
      </c>
      <c r="AQ60" s="579">
        <f>+'1.Informe Seguimiento POA 2023'!S64</f>
        <v>0.2334</v>
      </c>
      <c r="AR60" s="579">
        <f>+'1.Informe Seguimiento POA 2023'!T64</f>
        <v>0</v>
      </c>
      <c r="AS60" s="579">
        <f>+'1.Informe Seguimiento POA 2023'!U64</f>
        <v>0.17780000000000001</v>
      </c>
      <c r="AT60" s="579">
        <f>+'1.Informe Seguimiento POA 2023'!V64</f>
        <v>0</v>
      </c>
      <c r="AU60" s="519">
        <f>+'1.Informe Seguimiento POA 2023'!W64</f>
        <v>1.0002</v>
      </c>
      <c r="AV60" s="520">
        <f>+'1.Informe Seguimiento POA 2023'!X64</f>
        <v>0.40750000000000008</v>
      </c>
      <c r="AW60" s="519">
        <f>+'1.Informe Seguimiento POA 2023'!Y64</f>
        <v>0.40741851629674075</v>
      </c>
      <c r="AX60" s="519"/>
      <c r="AY60" s="519"/>
      <c r="AZ60" s="519"/>
      <c r="BA60" s="519"/>
      <c r="BB60" s="519"/>
      <c r="BC60" s="519"/>
      <c r="BD60" s="519"/>
      <c r="BE60" s="519"/>
      <c r="BF60" s="519">
        <f t="shared" si="25"/>
        <v>1</v>
      </c>
      <c r="BG60" s="519"/>
      <c r="BH60" s="519"/>
      <c r="BI60" s="525">
        <f t="shared" ref="BI60:BJ63" si="40">AVERAGE((Q60+S60+U60+W60),(AB60+AD60+AF60+AH60),(AM60+AO60))</f>
        <v>0.86299999999999999</v>
      </c>
      <c r="BJ60" s="525">
        <f t="shared" si="40"/>
        <v>0.83009999999999995</v>
      </c>
      <c r="BK60" s="591">
        <f t="shared" si="18"/>
        <v>0.96187717265353412</v>
      </c>
      <c r="BL60" s="962">
        <f>(IF(AND(BJ60&gt;0,$J60&gt;0),BJ60/$J60,0))*0.75</f>
        <v>0.62257499999999999</v>
      </c>
      <c r="BM60" s="526">
        <f t="shared" si="28"/>
        <v>9.338624999999999E-2</v>
      </c>
      <c r="BN60" s="1123"/>
      <c r="BO60" s="1035"/>
      <c r="BP60" s="600"/>
      <c r="BQ60" s="600"/>
    </row>
    <row r="61" spans="2:69" ht="88.2" customHeight="1">
      <c r="B61" s="1037"/>
      <c r="C61" s="1113"/>
      <c r="D61" s="1120"/>
      <c r="E61" s="1120"/>
      <c r="F61" s="1113"/>
      <c r="G61" s="1113"/>
      <c r="H61" s="80" t="str">
        <f>+'1.Informe Seguimiento POA 2023'!D65</f>
        <v>4.3.5 Formular e implementar el 100% del Plan Institucional de Bienestar de la vigencia .</v>
      </c>
      <c r="I61" s="81">
        <f>+'1.Informe Seguimiento POA 2023'!E65</f>
        <v>0.15</v>
      </c>
      <c r="J61" s="574">
        <f>+'1.Informe Seguimiento POA 2023'!F65</f>
        <v>1</v>
      </c>
      <c r="K61" s="512" t="str">
        <f>+'1.Informe Seguimiento POA 2023'!I65</f>
        <v>Gestión del Talento Humano</v>
      </c>
      <c r="L61" s="110" t="str">
        <f>+'1.Informe Seguimiento POA 2023'!J65</f>
        <v>Dependencia Líder: 
Dirección de Talento Humano
Dependencia Operativa:
Subdirección de Desarrollo del Talento Humano</v>
      </c>
      <c r="M61" s="524">
        <f>+'1.Informe Seguimiento POA 2023'!K65</f>
        <v>1</v>
      </c>
      <c r="N61" s="524">
        <f>+'1.Informe Seguimiento POA 2023'!L65</f>
        <v>1</v>
      </c>
      <c r="O61" s="524">
        <f>+'1.Informe Seguimiento POA 2023'!M65</f>
        <v>1</v>
      </c>
      <c r="P61" s="524">
        <f>+'1.Informe Seguimiento POA 2023'!N65</f>
        <v>1</v>
      </c>
      <c r="Q61" s="242">
        <v>0.308</v>
      </c>
      <c r="R61" s="242">
        <v>0.308</v>
      </c>
      <c r="S61" s="242">
        <v>0.187</v>
      </c>
      <c r="T61" s="242">
        <v>0.2016</v>
      </c>
      <c r="U61" s="242">
        <v>0.19700000000000001</v>
      </c>
      <c r="V61" s="242">
        <v>0.30000000000000004</v>
      </c>
      <c r="W61" s="242">
        <v>0.308</v>
      </c>
      <c r="X61" s="242">
        <v>0.32900000000000001</v>
      </c>
      <c r="Y61" s="519">
        <v>1</v>
      </c>
      <c r="Z61" s="520">
        <v>1.1386000000000001</v>
      </c>
      <c r="AA61" s="519">
        <v>1.1386000000000001</v>
      </c>
      <c r="AB61" s="242">
        <v>0.25830000000000003</v>
      </c>
      <c r="AC61" s="242">
        <v>0.25830000000000003</v>
      </c>
      <c r="AD61" s="242">
        <v>0.17499999999999999</v>
      </c>
      <c r="AE61" s="242">
        <v>0.1361</v>
      </c>
      <c r="AF61" s="242">
        <v>0.22369999999999995</v>
      </c>
      <c r="AG61" s="242">
        <v>0.24309999999999998</v>
      </c>
      <c r="AH61" s="242">
        <v>0.34299999999999997</v>
      </c>
      <c r="AI61" s="242">
        <v>0.34289999999999998</v>
      </c>
      <c r="AJ61" s="519">
        <v>1</v>
      </c>
      <c r="AK61" s="520">
        <v>0.98039999999999994</v>
      </c>
      <c r="AL61" s="519">
        <v>0.98039999999999994</v>
      </c>
      <c r="AM61" s="242">
        <f>+'1.Informe Seguimiento POA 2023'!O65</f>
        <v>0.29510000000000003</v>
      </c>
      <c r="AN61" s="242">
        <f>+'1.Informe Seguimiento POA 2023'!P65</f>
        <v>0.29510000000000003</v>
      </c>
      <c r="AO61" s="242">
        <f>+'1.Informe Seguimiento POA 2023'!Q65</f>
        <v>0.22649999999999998</v>
      </c>
      <c r="AP61" s="242">
        <f>+'1.Informe Seguimiento POA 2023'!R65</f>
        <v>0.20879999999999999</v>
      </c>
      <c r="AQ61" s="242">
        <f>+'1.Informe Seguimiento POA 2023'!S65</f>
        <v>0.2112</v>
      </c>
      <c r="AR61" s="242">
        <f>+'1.Informe Seguimiento POA 2023'!T65</f>
        <v>0</v>
      </c>
      <c r="AS61" s="242">
        <f>+'1.Informe Seguimiento POA 2023'!U65</f>
        <v>0.26719999999999999</v>
      </c>
      <c r="AT61" s="242">
        <f>+'1.Informe Seguimiento POA 2023'!V65</f>
        <v>0</v>
      </c>
      <c r="AU61" s="519">
        <f>+'1.Informe Seguimiento POA 2023'!W65</f>
        <v>1</v>
      </c>
      <c r="AV61" s="520">
        <f>+'1.Informe Seguimiento POA 2023'!X65</f>
        <v>0.50390000000000001</v>
      </c>
      <c r="AW61" s="519">
        <f>+'1.Informe Seguimiento POA 2023'!Y65</f>
        <v>0.50390000000000001</v>
      </c>
      <c r="AX61" s="519"/>
      <c r="AY61" s="519"/>
      <c r="AZ61" s="519"/>
      <c r="BA61" s="519"/>
      <c r="BB61" s="519"/>
      <c r="BC61" s="519"/>
      <c r="BD61" s="519"/>
      <c r="BE61" s="519"/>
      <c r="BF61" s="519">
        <f t="shared" si="25"/>
        <v>1</v>
      </c>
      <c r="BG61" s="519"/>
      <c r="BH61" s="519"/>
      <c r="BI61" s="945">
        <f t="shared" si="40"/>
        <v>0.84053333333333347</v>
      </c>
      <c r="BJ61" s="945">
        <f t="shared" si="40"/>
        <v>0.87429999999999986</v>
      </c>
      <c r="BK61" s="591">
        <f t="shared" si="18"/>
        <v>1.0401729060913703</v>
      </c>
      <c r="BL61" s="962">
        <f>(IF(AND(BJ61&gt;0,$J61&gt;0),BJ61/$J61,0))*0.75</f>
        <v>0.65572499999999989</v>
      </c>
      <c r="BM61" s="526">
        <f t="shared" si="28"/>
        <v>9.8358749999999981E-2</v>
      </c>
      <c r="BN61" s="1123"/>
      <c r="BO61" s="1035"/>
      <c r="BP61" s="600"/>
      <c r="BQ61" s="600"/>
    </row>
    <row r="62" spans="2:69" ht="88.2" customHeight="1">
      <c r="B62" s="1037"/>
      <c r="C62" s="1113"/>
      <c r="D62" s="1120"/>
      <c r="E62" s="1120"/>
      <c r="F62" s="1113"/>
      <c r="G62" s="1113"/>
      <c r="H62" s="80" t="str">
        <f>+'1.Informe Seguimiento POA 2023'!D66</f>
        <v>4.3.6 Formular e implementar el 100% del Plan Institucional de Incentivos de la vigencia.</v>
      </c>
      <c r="I62" s="81">
        <f>+'1.Informe Seguimiento POA 2023'!E66</f>
        <v>0.15</v>
      </c>
      <c r="J62" s="574">
        <f>+'1.Informe Seguimiento POA 2023'!F66</f>
        <v>1</v>
      </c>
      <c r="K62" s="512" t="str">
        <f>+'1.Informe Seguimiento POA 2023'!I66</f>
        <v>Gestión del Talento Humano</v>
      </c>
      <c r="L62" s="110" t="str">
        <f>+'1.Informe Seguimiento POA 2023'!J66</f>
        <v>Dependencia Líder: 
Dirección de Talento Humano
Dependencia Operativa:
Subdirección de Desarrollo del Talento Humano</v>
      </c>
      <c r="M62" s="524">
        <f>+'1.Informe Seguimiento POA 2023'!K66</f>
        <v>1</v>
      </c>
      <c r="N62" s="524">
        <f>+'1.Informe Seguimiento POA 2023'!L66</f>
        <v>1</v>
      </c>
      <c r="O62" s="524">
        <f>+'1.Informe Seguimiento POA 2023'!M66</f>
        <v>1</v>
      </c>
      <c r="P62" s="524">
        <f>+'1.Informe Seguimiento POA 2023'!N66</f>
        <v>1</v>
      </c>
      <c r="Q62" s="242">
        <v>0.26424999999999998</v>
      </c>
      <c r="R62" s="242">
        <v>0.248</v>
      </c>
      <c r="S62" s="242">
        <v>0.17525000000000002</v>
      </c>
      <c r="T62" s="242">
        <v>4.7800000000000002E-2</v>
      </c>
      <c r="U62" s="242">
        <v>0.1275</v>
      </c>
      <c r="V62" s="242">
        <v>0.22270000000000001</v>
      </c>
      <c r="W62" s="242">
        <v>0.433</v>
      </c>
      <c r="X62" s="242">
        <v>0.51300000000000001</v>
      </c>
      <c r="Y62" s="519">
        <v>1</v>
      </c>
      <c r="Z62" s="520">
        <v>1.0314999999999999</v>
      </c>
      <c r="AA62" s="519">
        <v>1.0314999999999999</v>
      </c>
      <c r="AB62" s="242">
        <v>0.25</v>
      </c>
      <c r="AC62" s="242">
        <v>0.25</v>
      </c>
      <c r="AD62" s="242">
        <v>0.1</v>
      </c>
      <c r="AE62" s="242">
        <v>0.1</v>
      </c>
      <c r="AF62" s="242">
        <v>0.1</v>
      </c>
      <c r="AG62" s="242">
        <v>0.1</v>
      </c>
      <c r="AH62" s="242">
        <v>0.54999999999999993</v>
      </c>
      <c r="AI62" s="242">
        <v>0.5</v>
      </c>
      <c r="AJ62" s="519">
        <v>0.99999999999999989</v>
      </c>
      <c r="AK62" s="520">
        <v>0.95</v>
      </c>
      <c r="AL62" s="519">
        <v>0.95000000000000007</v>
      </c>
      <c r="AM62" s="242">
        <f>+'1.Informe Seguimiento POA 2023'!O66</f>
        <v>0.25</v>
      </c>
      <c r="AN62" s="242">
        <f>+'1.Informe Seguimiento POA 2023'!P66</f>
        <v>0.25</v>
      </c>
      <c r="AO62" s="242">
        <f>+'1.Informe Seguimiento POA 2023'!Q66</f>
        <v>0.1</v>
      </c>
      <c r="AP62" s="242">
        <f>+'1.Informe Seguimiento POA 2023'!R66</f>
        <v>0.1</v>
      </c>
      <c r="AQ62" s="242">
        <f>+'1.Informe Seguimiento POA 2023'!S66</f>
        <v>0.1</v>
      </c>
      <c r="AR62" s="242">
        <f>+'1.Informe Seguimiento POA 2023'!T66</f>
        <v>0</v>
      </c>
      <c r="AS62" s="242">
        <f>+'1.Informe Seguimiento POA 2023'!U66</f>
        <v>0.55000000000000004</v>
      </c>
      <c r="AT62" s="242">
        <f>+'1.Informe Seguimiento POA 2023'!V66</f>
        <v>0</v>
      </c>
      <c r="AU62" s="519">
        <f>+'1.Informe Seguimiento POA 2023'!W66</f>
        <v>1</v>
      </c>
      <c r="AV62" s="520">
        <f>+'1.Informe Seguimiento POA 2023'!X66</f>
        <v>0.35</v>
      </c>
      <c r="AW62" s="519">
        <f>+'1.Informe Seguimiento POA 2023'!Y66</f>
        <v>0.35</v>
      </c>
      <c r="AX62" s="519"/>
      <c r="AY62" s="519"/>
      <c r="AZ62" s="519"/>
      <c r="BA62" s="519"/>
      <c r="BB62" s="519"/>
      <c r="BC62" s="519"/>
      <c r="BD62" s="519"/>
      <c r="BE62" s="519"/>
      <c r="BF62" s="519">
        <f t="shared" si="25"/>
        <v>1</v>
      </c>
      <c r="BG62" s="519"/>
      <c r="BH62" s="519"/>
      <c r="BI62" s="945">
        <f t="shared" si="40"/>
        <v>0.78333333333333333</v>
      </c>
      <c r="BJ62" s="945">
        <f t="shared" si="40"/>
        <v>0.77716666666666656</v>
      </c>
      <c r="BK62" s="591">
        <f t="shared" si="18"/>
        <v>0.99212765957446791</v>
      </c>
      <c r="BL62" s="962">
        <f>(IF(AND(BJ62&gt;0,$J62&gt;0),BJ62/$J62,0))*0.75</f>
        <v>0.58287499999999992</v>
      </c>
      <c r="BM62" s="526">
        <f t="shared" si="28"/>
        <v>8.7431249999999988E-2</v>
      </c>
      <c r="BN62" s="1123"/>
      <c r="BO62" s="1035"/>
      <c r="BP62" s="600"/>
      <c r="BQ62" s="600"/>
    </row>
    <row r="63" spans="2:69" ht="88.2" customHeight="1">
      <c r="B63" s="1037"/>
      <c r="C63" s="1113"/>
      <c r="D63" s="1120"/>
      <c r="E63" s="1120"/>
      <c r="F63" s="1139"/>
      <c r="G63" s="1139"/>
      <c r="H63" s="80" t="str">
        <f>+'1.Informe Seguimiento POA 2023'!D67</f>
        <v>4.3.7 Diseñar e implementar el 100 % del Plan Anual de Seguridad y Salud en el Trabajo de la vigencia.</v>
      </c>
      <c r="I63" s="81">
        <f>+'1.Informe Seguimiento POA 2023'!E67</f>
        <v>0.15</v>
      </c>
      <c r="J63" s="574">
        <f>+'1.Informe Seguimiento POA 2023'!F67</f>
        <v>1</v>
      </c>
      <c r="K63" s="512" t="str">
        <f>+'1.Informe Seguimiento POA 2023'!I67</f>
        <v>Gestión del Talento Humano</v>
      </c>
      <c r="L63" s="110" t="str">
        <f>+'1.Informe Seguimiento POA 2023'!J67</f>
        <v>Dependencia Líder: 
Dirección de Talento Humano
Dependencia Operativa:
Subdirección de Desarrollo del Talento Humano</v>
      </c>
      <c r="M63" s="524">
        <f>+'1.Informe Seguimiento POA 2023'!K67</f>
        <v>1</v>
      </c>
      <c r="N63" s="524">
        <f>+'1.Informe Seguimiento POA 2023'!L67</f>
        <v>1</v>
      </c>
      <c r="O63" s="524">
        <f>+'1.Informe Seguimiento POA 2023'!M67</f>
        <v>1</v>
      </c>
      <c r="P63" s="524">
        <f>+'1.Informe Seguimiento POA 2023'!N67</f>
        <v>1</v>
      </c>
      <c r="Q63" s="242">
        <v>0.38924999999999998</v>
      </c>
      <c r="R63" s="242">
        <v>0.38400000000000001</v>
      </c>
      <c r="S63" s="242">
        <v>0.14124999999999999</v>
      </c>
      <c r="T63" s="242">
        <v>0.14529999999999998</v>
      </c>
      <c r="U63" s="242">
        <v>0.14424999999999999</v>
      </c>
      <c r="V63" s="242">
        <v>0.1368</v>
      </c>
      <c r="W63" s="242">
        <v>0.32525000000000004</v>
      </c>
      <c r="X63" s="242">
        <v>0.33325000000000005</v>
      </c>
      <c r="Y63" s="519">
        <v>1</v>
      </c>
      <c r="Z63" s="520">
        <v>0.99935000000000007</v>
      </c>
      <c r="AA63" s="519">
        <v>0.99935000000000007</v>
      </c>
      <c r="AB63" s="242">
        <v>0.40160000000000001</v>
      </c>
      <c r="AC63" s="242">
        <v>0.40160000000000001</v>
      </c>
      <c r="AD63" s="242">
        <v>0.19600000000000001</v>
      </c>
      <c r="AE63" s="242">
        <v>0.19600000000000001</v>
      </c>
      <c r="AF63" s="242">
        <v>0.1232</v>
      </c>
      <c r="AG63" s="242">
        <v>0.12319999999999999</v>
      </c>
      <c r="AH63" s="242">
        <v>0.2792</v>
      </c>
      <c r="AI63" s="242">
        <v>0.2792</v>
      </c>
      <c r="AJ63" s="519">
        <v>1</v>
      </c>
      <c r="AK63" s="520">
        <v>1</v>
      </c>
      <c r="AL63" s="519">
        <v>1</v>
      </c>
      <c r="AM63" s="242">
        <f>+'1.Informe Seguimiento POA 2023'!O67</f>
        <v>0.31930000000000003</v>
      </c>
      <c r="AN63" s="242">
        <f>+'1.Informe Seguimiento POA 2023'!P67</f>
        <v>0.31930000000000003</v>
      </c>
      <c r="AO63" s="242">
        <f>+'1.Informe Seguimiento POA 2023'!Q67</f>
        <v>0.1114</v>
      </c>
      <c r="AP63" s="242">
        <f>+'1.Informe Seguimiento POA 2023'!R67</f>
        <v>0.1114</v>
      </c>
      <c r="AQ63" s="242">
        <f>+'1.Informe Seguimiento POA 2023'!S67</f>
        <v>0.2228</v>
      </c>
      <c r="AR63" s="242">
        <f>+'1.Informe Seguimiento POA 2023'!T67</f>
        <v>0</v>
      </c>
      <c r="AS63" s="242">
        <f>+'1.Informe Seguimiento POA 2023'!U67</f>
        <v>0.34650000000000003</v>
      </c>
      <c r="AT63" s="242">
        <f>+'1.Informe Seguimiento POA 2023'!V67</f>
        <v>0</v>
      </c>
      <c r="AU63" s="519">
        <f>+'1.Informe Seguimiento POA 2023'!W67</f>
        <v>1</v>
      </c>
      <c r="AV63" s="520">
        <f>+'1.Informe Seguimiento POA 2023'!X67</f>
        <v>0.43070000000000003</v>
      </c>
      <c r="AW63" s="519">
        <f>+'1.Informe Seguimiento POA 2023'!Y67</f>
        <v>0.43070000000000003</v>
      </c>
      <c r="AX63" s="519"/>
      <c r="AY63" s="519"/>
      <c r="AZ63" s="519"/>
      <c r="BA63" s="519"/>
      <c r="BB63" s="519"/>
      <c r="BC63" s="519"/>
      <c r="BD63" s="519"/>
      <c r="BE63" s="519"/>
      <c r="BF63" s="519">
        <f t="shared" si="25"/>
        <v>1</v>
      </c>
      <c r="BG63" s="519"/>
      <c r="BH63" s="519"/>
      <c r="BI63" s="945">
        <f t="shared" si="40"/>
        <v>0.81023333333333325</v>
      </c>
      <c r="BJ63" s="945">
        <f t="shared" si="40"/>
        <v>0.81001666666666672</v>
      </c>
      <c r="BK63" s="591">
        <f t="shared" si="18"/>
        <v>0.99973258732052517</v>
      </c>
      <c r="BL63" s="962">
        <f>(IF(AND(BJ63&gt;0,$J63&gt;0),BJ63/$J63,0))*0.75</f>
        <v>0.60751250000000001</v>
      </c>
      <c r="BM63" s="526">
        <f t="shared" si="28"/>
        <v>9.1126874999999996E-2</v>
      </c>
      <c r="BN63" s="1123"/>
      <c r="BO63" s="1035"/>
      <c r="BP63" s="600"/>
      <c r="BQ63" s="600"/>
    </row>
    <row r="64" spans="2:69" ht="107.4" customHeight="1">
      <c r="B64" s="1037"/>
      <c r="C64" s="1114"/>
      <c r="D64" s="1121"/>
      <c r="E64" s="1121"/>
      <c r="F64" s="651" t="str">
        <f>+'1.Informe Seguimiento POA 2023'!H68</f>
        <v>Capacitaciones realizadas sobre los Sistemas de Gestión y Evaluación del Desempeño Laboral de la Personería de Bogotá, D.C.</v>
      </c>
      <c r="G64" s="651" t="str">
        <f>+'08-G. DEL TALENTO HUMANO'!J23</f>
        <v>Número de capacitacionese realizadas sobre los Sistemas de Gestión y Evaluación del Desempeño Laboral de la Personería de Bogotá, D.C.</v>
      </c>
      <c r="H64" s="80" t="str">
        <f>+'1.Informe Seguimiento POA 2023'!D68</f>
        <v>4.3.8 Realizar 21 capacitaciones sobre los Sistemas de Gestión y Evaluación del Desempeño Laboral de la Entidad.</v>
      </c>
      <c r="I64" s="81">
        <f>+'1.Informe Seguimiento POA 2023'!E68</f>
        <v>0.1</v>
      </c>
      <c r="J64" s="82">
        <f>+'1.Informe Seguimiento POA 2023'!F68</f>
        <v>21</v>
      </c>
      <c r="K64" s="512" t="str">
        <f>+'1.Informe Seguimiento POA 2023'!I68</f>
        <v>Gestión del Talento Humano</v>
      </c>
      <c r="L64" s="110" t="str">
        <f>+'1.Informe Seguimiento POA 2023'!J68</f>
        <v>Dirección de Talento Humano</v>
      </c>
      <c r="M64" s="527">
        <f>+'1.Informe Seguimiento POA 2023'!K68</f>
        <v>9</v>
      </c>
      <c r="N64" s="527">
        <f>+'1.Informe Seguimiento POA 2023'!L68</f>
        <v>4</v>
      </c>
      <c r="O64" s="527">
        <f>+'1.Informe Seguimiento POA 2023'!M68</f>
        <v>4</v>
      </c>
      <c r="P64" s="527">
        <f>+'1.Informe Seguimiento POA 2023'!N68</f>
        <v>4</v>
      </c>
      <c r="Q64" s="768">
        <v>3</v>
      </c>
      <c r="R64" s="768">
        <v>3</v>
      </c>
      <c r="S64" s="768">
        <v>0</v>
      </c>
      <c r="T64" s="768">
        <v>0</v>
      </c>
      <c r="U64" s="768">
        <v>3</v>
      </c>
      <c r="V64" s="768">
        <v>3</v>
      </c>
      <c r="W64" s="768">
        <v>3</v>
      </c>
      <c r="X64" s="768">
        <v>3</v>
      </c>
      <c r="Y64" s="254">
        <v>9</v>
      </c>
      <c r="Z64" s="254">
        <v>9</v>
      </c>
      <c r="AA64" s="514">
        <v>1</v>
      </c>
      <c r="AB64" s="768">
        <v>2</v>
      </c>
      <c r="AC64" s="768">
        <v>2</v>
      </c>
      <c r="AD64" s="768">
        <v>1</v>
      </c>
      <c r="AE64" s="768">
        <v>1</v>
      </c>
      <c r="AF64" s="768">
        <v>1</v>
      </c>
      <c r="AG64" s="768">
        <v>1</v>
      </c>
      <c r="AH64" s="768">
        <v>0</v>
      </c>
      <c r="AI64" s="768">
        <v>0</v>
      </c>
      <c r="AJ64" s="254">
        <v>4</v>
      </c>
      <c r="AK64" s="254">
        <v>4</v>
      </c>
      <c r="AL64" s="514">
        <v>1</v>
      </c>
      <c r="AM64" s="527">
        <f>+'1.Informe Seguimiento POA 2023'!O68</f>
        <v>2</v>
      </c>
      <c r="AN64" s="527">
        <f>+'1.Informe Seguimiento POA 2023'!P68</f>
        <v>2</v>
      </c>
      <c r="AO64" s="527">
        <f>+'1.Informe Seguimiento POA 2023'!Q68</f>
        <v>1</v>
      </c>
      <c r="AP64" s="527">
        <f>+'1.Informe Seguimiento POA 2023'!R68</f>
        <v>1</v>
      </c>
      <c r="AQ64" s="527">
        <f>+'1.Informe Seguimiento POA 2023'!S68</f>
        <v>1</v>
      </c>
      <c r="AR64" s="527">
        <f>+'1.Informe Seguimiento POA 2023'!T68</f>
        <v>0</v>
      </c>
      <c r="AS64" s="527">
        <f>+'1.Informe Seguimiento POA 2023'!U68</f>
        <v>0</v>
      </c>
      <c r="AT64" s="527">
        <f>+'1.Informe Seguimiento POA 2023'!V68</f>
        <v>0</v>
      </c>
      <c r="AU64" s="254">
        <f>+'1.Informe Seguimiento POA 2023'!W68</f>
        <v>4</v>
      </c>
      <c r="AV64" s="254">
        <f>+'1.Informe Seguimiento POA 2023'!X68</f>
        <v>3</v>
      </c>
      <c r="AW64" s="514">
        <f>+'1.Informe Seguimiento POA 2023'!Y68</f>
        <v>0.75</v>
      </c>
      <c r="AX64" s="514"/>
      <c r="AY64" s="514"/>
      <c r="AZ64" s="514"/>
      <c r="BA64" s="514"/>
      <c r="BB64" s="514"/>
      <c r="BC64" s="514"/>
      <c r="BD64" s="514"/>
      <c r="BE64" s="514"/>
      <c r="BF64" s="254">
        <f t="shared" si="25"/>
        <v>4</v>
      </c>
      <c r="BG64" s="254"/>
      <c r="BH64" s="514"/>
      <c r="BI64" s="254">
        <f t="shared" ref="BI64" si="41">+Q64+S64+U64+W64+AM64+AO64+AB64+AD64+AF64+AH64</f>
        <v>16</v>
      </c>
      <c r="BJ64" s="254">
        <f t="shared" ref="BJ64" si="42">+R64+T64+V64+X64+AN64+AP64+AC64+AE64+AG64+AI64</f>
        <v>16</v>
      </c>
      <c r="BK64" s="591">
        <f t="shared" si="18"/>
        <v>1</v>
      </c>
      <c r="BL64" s="525">
        <f>IF(AND(BJ64&gt;0,$J64&gt;0),BJ64/$J64,0)</f>
        <v>0.76190476190476186</v>
      </c>
      <c r="BM64" s="526">
        <f t="shared" si="28"/>
        <v>7.6190476190476197E-2</v>
      </c>
      <c r="BN64" s="1124"/>
      <c r="BO64" s="1035"/>
      <c r="BP64" s="600"/>
      <c r="BQ64" s="600"/>
    </row>
    <row r="65" spans="2:69" ht="76.5" customHeight="1">
      <c r="B65" s="1037"/>
      <c r="C65" s="1071" t="str">
        <f>+'Matriz PEI 2021-2024'!C23</f>
        <v>4.4. Implementar el 100% de las acciones necesarias para la modernización de la gestión institucional a través de los procesos de apoyo, que permita una mejor prestación del servicio.</v>
      </c>
      <c r="D65" s="1080">
        <f>+'Matriz PEI 2021-2024'!E23</f>
        <v>1</v>
      </c>
      <c r="E65" s="1080">
        <f>+'Matriz PEI 2021-2024'!D23</f>
        <v>0.14000000000000001</v>
      </c>
      <c r="F65" s="1079" t="s">
        <v>980</v>
      </c>
      <c r="G65" s="1079" t="s">
        <v>981</v>
      </c>
      <c r="H65" s="28" t="str">
        <f>+'1.Informe Seguimiento POA 2023'!D69</f>
        <v>4.4.1 Atender el 100% de los servicios de mantenimiento, almacén, transporte. Aseo y cafetería</v>
      </c>
      <c r="I65" s="78">
        <f>+'1.Informe Seguimiento POA 2023'!E69</f>
        <v>0.1</v>
      </c>
      <c r="J65" s="569">
        <f>+'1.Informe Seguimiento POA 2023'!F69</f>
        <v>1</v>
      </c>
      <c r="K65" s="573" t="str">
        <f>+'1.Informe Seguimiento POA 2023'!I69</f>
        <v>Gestión Administrativa</v>
      </c>
      <c r="L65" s="573" t="str">
        <f>+'1.Informe Seguimiento POA 2023'!J69</f>
        <v>Subdirección de Gestión Documental y Recursos Físicos
Dirección Administrativa y Financiera</v>
      </c>
      <c r="M65" s="521">
        <f>+'1.Informe Seguimiento POA 2023'!K69</f>
        <v>1</v>
      </c>
      <c r="N65" s="521">
        <f>+'1.Informe Seguimiento POA 2023'!L69</f>
        <v>1</v>
      </c>
      <c r="O65" s="521">
        <f>+'1.Informe Seguimiento POA 2023'!M69</f>
        <v>1</v>
      </c>
      <c r="P65" s="521">
        <f>+'1.Informe Seguimiento POA 2023'!N69</f>
        <v>1</v>
      </c>
      <c r="Q65" s="767">
        <v>1</v>
      </c>
      <c r="R65" s="767">
        <v>0.99633333333333329</v>
      </c>
      <c r="S65" s="767">
        <v>1</v>
      </c>
      <c r="T65" s="767">
        <v>1</v>
      </c>
      <c r="U65" s="767">
        <v>1</v>
      </c>
      <c r="V65" s="767">
        <v>1</v>
      </c>
      <c r="W65" s="767">
        <v>1</v>
      </c>
      <c r="X65" s="767">
        <v>1</v>
      </c>
      <c r="Y65" s="510">
        <v>1</v>
      </c>
      <c r="Z65" s="510">
        <v>0.999</v>
      </c>
      <c r="AA65" s="510">
        <v>0.999</v>
      </c>
      <c r="AB65" s="767">
        <v>1</v>
      </c>
      <c r="AC65" s="767">
        <v>1</v>
      </c>
      <c r="AD65" s="767">
        <v>1</v>
      </c>
      <c r="AE65" s="767">
        <v>1</v>
      </c>
      <c r="AF65" s="767">
        <v>1</v>
      </c>
      <c r="AG65" s="767">
        <v>1</v>
      </c>
      <c r="AH65" s="767">
        <v>1</v>
      </c>
      <c r="AI65" s="767">
        <v>1</v>
      </c>
      <c r="AJ65" s="510">
        <v>1</v>
      </c>
      <c r="AK65" s="510">
        <v>1</v>
      </c>
      <c r="AL65" s="510">
        <v>1</v>
      </c>
      <c r="AM65" s="575">
        <f>+'1.Informe Seguimiento POA 2023'!O69</f>
        <v>1</v>
      </c>
      <c r="AN65" s="575">
        <f>+'1.Informe Seguimiento POA 2023'!P69</f>
        <v>1</v>
      </c>
      <c r="AO65" s="575">
        <f>+'1.Informe Seguimiento POA 2023'!Q69</f>
        <v>1</v>
      </c>
      <c r="AP65" s="575">
        <f>+'1.Informe Seguimiento POA 2023'!R69</f>
        <v>1</v>
      </c>
      <c r="AQ65" s="575">
        <f>+'1.Informe Seguimiento POA 2023'!S69</f>
        <v>1</v>
      </c>
      <c r="AR65" s="575">
        <f>+'1.Informe Seguimiento POA 2023'!T69</f>
        <v>0</v>
      </c>
      <c r="AS65" s="575">
        <f>+'1.Informe Seguimiento POA 2023'!U69</f>
        <v>1</v>
      </c>
      <c r="AT65" s="575">
        <f>+'1.Informe Seguimiento POA 2023'!V69</f>
        <v>0</v>
      </c>
      <c r="AU65" s="510">
        <f>+'1.Informe Seguimiento POA 2023'!W69</f>
        <v>1</v>
      </c>
      <c r="AV65" s="510">
        <f>+'1.Informe Seguimiento POA 2023'!X69</f>
        <v>1</v>
      </c>
      <c r="AW65" s="510">
        <f>+'1.Informe Seguimiento POA 2023'!Y69</f>
        <v>0.5</v>
      </c>
      <c r="AX65" s="582"/>
      <c r="AY65" s="582"/>
      <c r="AZ65" s="582"/>
      <c r="BA65" s="582"/>
      <c r="BB65" s="582"/>
      <c r="BC65" s="582"/>
      <c r="BD65" s="582"/>
      <c r="BE65" s="582"/>
      <c r="BF65" s="569">
        <f t="shared" si="25"/>
        <v>1</v>
      </c>
      <c r="BG65" s="569"/>
      <c r="BH65" s="582"/>
      <c r="BI65" s="509">
        <f>IFERROR(AVERAGE(Q65,S65,U65,W65,AB65,AD65,AF65,AH65,AM65,AO65),0)</f>
        <v>1</v>
      </c>
      <c r="BJ65" s="509">
        <f>IFERROR(AVERAGE(R65,T65,V65,X65,AC65,AE65,AG65,AI65,AN65,AP65),0)</f>
        <v>0.99963333333333326</v>
      </c>
      <c r="BK65" s="508">
        <f t="shared" si="18"/>
        <v>0.99963333333333326</v>
      </c>
      <c r="BL65" s="963">
        <f t="shared" ref="BL65:BL72" si="43">(IF(AND(BJ65&gt;0,$J65&gt;0),BJ65/$J65,0)/4)*3</f>
        <v>0.74972499999999997</v>
      </c>
      <c r="BM65" s="533">
        <f t="shared" si="28"/>
        <v>7.4972499999999997E-2</v>
      </c>
      <c r="BN65" s="1097">
        <f>SUM(BM65:BM82)</f>
        <v>0.70942193891002747</v>
      </c>
      <c r="BO65" s="1035"/>
      <c r="BP65" s="605"/>
      <c r="BQ65" s="605"/>
    </row>
    <row r="66" spans="2:69" ht="62.25" customHeight="1">
      <c r="B66" s="1037"/>
      <c r="C66" s="1077"/>
      <c r="D66" s="1081"/>
      <c r="E66" s="1081"/>
      <c r="F66" s="1079"/>
      <c r="G66" s="1079"/>
      <c r="H66" s="28" t="str">
        <f>+'1.Informe Seguimiento POA 2023'!D70</f>
        <v>4.4.2 Ejecutar el 97% de las actividades del Plan Estratégico de Seguridad Vial (PESV)</v>
      </c>
      <c r="I66" s="78">
        <f>+'1.Informe Seguimiento POA 2023'!E70</f>
        <v>0.1</v>
      </c>
      <c r="J66" s="569">
        <f>+'1.Informe Seguimiento POA 2023'!F70</f>
        <v>0.97</v>
      </c>
      <c r="K66" s="573" t="str">
        <f>+'1.Informe Seguimiento POA 2023'!I70</f>
        <v>Gestión Administrativa</v>
      </c>
      <c r="L66" s="573" t="str">
        <f>+'1.Informe Seguimiento POA 2023'!J70</f>
        <v>Subdirección de Gestión Documental y Recursos Físicos
Dirección Administrativa y Financiera</v>
      </c>
      <c r="M66" s="521">
        <f>+'1.Informe Seguimiento POA 2023'!K70</f>
        <v>0.97</v>
      </c>
      <c r="N66" s="521">
        <f>+'1.Informe Seguimiento POA 2023'!L70</f>
        <v>0.97</v>
      </c>
      <c r="O66" s="521">
        <f>+'1.Informe Seguimiento POA 2023'!M70</f>
        <v>0.97</v>
      </c>
      <c r="P66" s="521">
        <f>+'1.Informe Seguimiento POA 2023'!N70</f>
        <v>0.97</v>
      </c>
      <c r="Q66" s="767">
        <v>0.97000000000000008</v>
      </c>
      <c r="R66" s="767">
        <v>1</v>
      </c>
      <c r="S66" s="767">
        <v>0.97000000000000008</v>
      </c>
      <c r="T66" s="767">
        <v>1.037037037037037</v>
      </c>
      <c r="U66" s="767">
        <v>0.97000000000000008</v>
      </c>
      <c r="V66" s="767">
        <v>1.1609999999999998</v>
      </c>
      <c r="W66" s="767">
        <v>0.97000000000000008</v>
      </c>
      <c r="X66" s="767">
        <v>1</v>
      </c>
      <c r="Y66" s="510">
        <v>0.97000000000000008</v>
      </c>
      <c r="Z66" s="510">
        <v>1.0489999999999999</v>
      </c>
      <c r="AA66" s="510">
        <v>1.0814432989690721</v>
      </c>
      <c r="AB66" s="767">
        <v>0.97000000000000008</v>
      </c>
      <c r="AC66" s="767">
        <v>1.0923333333333334</v>
      </c>
      <c r="AD66" s="767">
        <v>0.97000000000000008</v>
      </c>
      <c r="AE66" s="767">
        <v>1.0946666666666667</v>
      </c>
      <c r="AF66" s="767">
        <v>0.97000000000000008</v>
      </c>
      <c r="AG66" s="767">
        <v>1.272</v>
      </c>
      <c r="AH66" s="767">
        <v>0.97000000000000008</v>
      </c>
      <c r="AI66" s="767">
        <v>1.0666666666666667</v>
      </c>
      <c r="AJ66" s="510">
        <v>0.97000000000000008</v>
      </c>
      <c r="AK66" s="510">
        <v>1.131</v>
      </c>
      <c r="AL66" s="510">
        <v>1.1659793814432988</v>
      </c>
      <c r="AM66" s="575">
        <f>+'1.Informe Seguimiento POA 2023'!O70</f>
        <v>0.97000000000000008</v>
      </c>
      <c r="AN66" s="575">
        <f>+'1.Informe Seguimiento POA 2023'!P70</f>
        <v>1</v>
      </c>
      <c r="AO66" s="575">
        <f>+'1.Informe Seguimiento POA 2023'!Q70</f>
        <v>0.97000000000000008</v>
      </c>
      <c r="AP66" s="575">
        <f>+'1.Informe Seguimiento POA 2023'!R70</f>
        <v>1.0416666666666667</v>
      </c>
      <c r="AQ66" s="575">
        <f>+'1.Informe Seguimiento POA 2023'!S70</f>
        <v>0.97000000000000008</v>
      </c>
      <c r="AR66" s="575">
        <f>+'1.Informe Seguimiento POA 2023'!T70</f>
        <v>0</v>
      </c>
      <c r="AS66" s="575">
        <f>+'1.Informe Seguimiento POA 2023'!U70</f>
        <v>0.97000000000000008</v>
      </c>
      <c r="AT66" s="575">
        <f>+'1.Informe Seguimiento POA 2023'!V70</f>
        <v>0</v>
      </c>
      <c r="AU66" s="510">
        <f>+'1.Informe Seguimiento POA 2023'!W70</f>
        <v>0.97000000000000008</v>
      </c>
      <c r="AV66" s="510">
        <f>+'1.Informe Seguimiento POA 2023'!X70</f>
        <v>1.02</v>
      </c>
      <c r="AW66" s="510">
        <f>+'1.Informe Seguimiento POA 2023'!Y70</f>
        <v>0.52577319587628857</v>
      </c>
      <c r="AX66" s="582"/>
      <c r="AY66" s="582"/>
      <c r="AZ66" s="582"/>
      <c r="BA66" s="582"/>
      <c r="BB66" s="582"/>
      <c r="BC66" s="582"/>
      <c r="BD66" s="582"/>
      <c r="BE66" s="582"/>
      <c r="BF66" s="569">
        <f t="shared" si="25"/>
        <v>0.97</v>
      </c>
      <c r="BG66" s="569"/>
      <c r="BH66" s="582"/>
      <c r="BI66" s="509">
        <f>IFERROR(AVERAGE(Q66,S66,U66,W66,AB66,AD66,AF66,AH66,AM66,AO66),0)</f>
        <v>0.97000000000000008</v>
      </c>
      <c r="BJ66" s="509">
        <f>IFERROR(AVERAGE(R66,T66,V66,X66,AC66,AE66,AG66,AI66,AN66,AP66),0)</f>
        <v>1.0765370370370371</v>
      </c>
      <c r="BK66" s="508">
        <f t="shared" si="18"/>
        <v>1.1098319969453989</v>
      </c>
      <c r="BL66" s="963">
        <f t="shared" si="43"/>
        <v>0.83237399770904941</v>
      </c>
      <c r="BM66" s="533">
        <f t="shared" si="28"/>
        <v>8.3237399770904941E-2</v>
      </c>
      <c r="BN66" s="1098"/>
      <c r="BO66" s="1035"/>
      <c r="BP66" s="605"/>
      <c r="BQ66" s="605"/>
    </row>
    <row r="67" spans="2:69" ht="64.5" customHeight="1">
      <c r="B67" s="1037"/>
      <c r="C67" s="1077"/>
      <c r="D67" s="1081"/>
      <c r="E67" s="1081"/>
      <c r="F67" s="1079" t="s">
        <v>982</v>
      </c>
      <c r="G67" s="1071" t="s">
        <v>983</v>
      </c>
      <c r="H67" s="28" t="str">
        <f>+'1.Informe Seguimiento POA 2023'!D71</f>
        <v>4.4.3 Ejecutar el 95% del presupuesto aprobado para la Entidad</v>
      </c>
      <c r="I67" s="78">
        <f>+'1.Informe Seguimiento POA 2023'!E71</f>
        <v>7.0000000000000007E-2</v>
      </c>
      <c r="J67" s="569">
        <f>+'1.Informe Seguimiento POA 2023'!F71</f>
        <v>0.95</v>
      </c>
      <c r="K67" s="573" t="str">
        <f>+'1.Informe Seguimiento POA 2023'!I71</f>
        <v>Gestión Financiera</v>
      </c>
      <c r="L67" s="573" t="str">
        <f>+'1.Informe Seguimiento POA 2023'!J71</f>
        <v>Subdirección de Gestión Financiera
Dirección Administrativa y Financiera</v>
      </c>
      <c r="M67" s="521">
        <f>+'1.Informe Seguimiento POA 2023'!K71</f>
        <v>0.95</v>
      </c>
      <c r="N67" s="521">
        <f>+'1.Informe Seguimiento POA 2023'!L71</f>
        <v>0.95</v>
      </c>
      <c r="O67" s="521">
        <f>+'1.Informe Seguimiento POA 2023'!M71</f>
        <v>0.95</v>
      </c>
      <c r="P67" s="521">
        <f>+'1.Informe Seguimiento POA 2023'!N71</f>
        <v>0.95</v>
      </c>
      <c r="Q67" s="767">
        <v>0.22000000000000003</v>
      </c>
      <c r="R67" s="767">
        <v>0.20400000000000001</v>
      </c>
      <c r="S67" s="767">
        <v>0.25</v>
      </c>
      <c r="T67" s="767">
        <v>0.25800000000000001</v>
      </c>
      <c r="U67" s="767">
        <v>0.25</v>
      </c>
      <c r="V67" s="767">
        <v>0.19900000000000001</v>
      </c>
      <c r="W67" s="767">
        <v>0.23</v>
      </c>
      <c r="X67" s="767">
        <v>0.32799999999999996</v>
      </c>
      <c r="Y67" s="510">
        <v>0.95</v>
      </c>
      <c r="Z67" s="510">
        <v>0.98899999999999999</v>
      </c>
      <c r="AA67" s="510">
        <v>1.0410526315789475</v>
      </c>
      <c r="AB67" s="767">
        <v>0.22000000000000003</v>
      </c>
      <c r="AC67" s="767">
        <v>0.27100000000000002</v>
      </c>
      <c r="AD67" s="767">
        <v>0.25</v>
      </c>
      <c r="AE67" s="767">
        <v>0.23899999999999999</v>
      </c>
      <c r="AF67" s="767">
        <v>0.25</v>
      </c>
      <c r="AG67" s="767">
        <v>0.21600000000000003</v>
      </c>
      <c r="AH67" s="767">
        <v>0.23</v>
      </c>
      <c r="AI67" s="767">
        <v>0.28700000000000003</v>
      </c>
      <c r="AJ67" s="510">
        <v>0.95</v>
      </c>
      <c r="AK67" s="510">
        <v>1.0129999999999999</v>
      </c>
      <c r="AL67" s="510">
        <v>1.0663157894736841</v>
      </c>
      <c r="AM67" s="575">
        <f>+'1.Informe Seguimiento POA 2023'!O71</f>
        <v>0.27</v>
      </c>
      <c r="AN67" s="575">
        <f>+'1.Informe Seguimiento POA 2023'!P71</f>
        <v>0.27100000000000002</v>
      </c>
      <c r="AO67" s="575">
        <f>+'1.Informe Seguimiento POA 2023'!Q71</f>
        <v>0.24</v>
      </c>
      <c r="AP67" s="575">
        <f>+'1.Informe Seguimiento POA 2023'!R71</f>
        <v>0.25700000000000001</v>
      </c>
      <c r="AQ67" s="575">
        <f>+'1.Informe Seguimiento POA 2023'!S71</f>
        <v>0.18</v>
      </c>
      <c r="AR67" s="575">
        <f>+'1.Informe Seguimiento POA 2023'!T71</f>
        <v>0</v>
      </c>
      <c r="AS67" s="575">
        <f>+'1.Informe Seguimiento POA 2023'!U71</f>
        <v>0.26</v>
      </c>
      <c r="AT67" s="575">
        <f>+'1.Informe Seguimiento POA 2023'!V71</f>
        <v>0</v>
      </c>
      <c r="AU67" s="510">
        <f>+'1.Informe Seguimiento POA 2023'!W71</f>
        <v>0.95</v>
      </c>
      <c r="AV67" s="510">
        <f>+'1.Informe Seguimiento POA 2023'!X71</f>
        <v>0.52800000000000002</v>
      </c>
      <c r="AW67" s="510">
        <f>+'1.Informe Seguimiento POA 2023'!Y71</f>
        <v>0.55578947368421061</v>
      </c>
      <c r="AX67" s="582"/>
      <c r="AY67" s="582"/>
      <c r="AZ67" s="582"/>
      <c r="BA67" s="582"/>
      <c r="BB67" s="582"/>
      <c r="BC67" s="582"/>
      <c r="BD67" s="582"/>
      <c r="BE67" s="582"/>
      <c r="BF67" s="569">
        <f t="shared" si="25"/>
        <v>0.95</v>
      </c>
      <c r="BG67" s="569"/>
      <c r="BH67" s="582"/>
      <c r="BI67" s="778">
        <f>AVERAGE((Q67+S67+U67+W67),(AM67+AO67+AQ67+AS67))</f>
        <v>0.95</v>
      </c>
      <c r="BJ67" s="778">
        <f>AVERAGE((R67+T67+V67+X67),(AN67+AP67+AR67+AT67))</f>
        <v>0.75849999999999995</v>
      </c>
      <c r="BK67" s="508">
        <f t="shared" si="18"/>
        <v>0.79842105263157892</v>
      </c>
      <c r="BL67" s="963">
        <f t="shared" si="43"/>
        <v>0.59881578947368419</v>
      </c>
      <c r="BM67" s="528">
        <f t="shared" si="28"/>
        <v>4.1917105263157894E-2</v>
      </c>
      <c r="BN67" s="1098"/>
      <c r="BO67" s="1035"/>
      <c r="BP67" s="605"/>
      <c r="BQ67" s="605"/>
    </row>
    <row r="68" spans="2:69" ht="64.5" customHeight="1">
      <c r="B68" s="1037"/>
      <c r="C68" s="1077"/>
      <c r="D68" s="1081"/>
      <c r="E68" s="1081"/>
      <c r="F68" s="1079"/>
      <c r="G68" s="1077"/>
      <c r="H68" s="28" t="str">
        <f>+'1.Informe Seguimiento POA 2023'!D72</f>
        <v>4.4.4 Programar y ejecutar el 95% de los compromisos de pago adquiridos por la Entidad</v>
      </c>
      <c r="I68" s="78">
        <f>+'1.Informe Seguimiento POA 2023'!E72</f>
        <v>7.0000000000000007E-2</v>
      </c>
      <c r="J68" s="569">
        <f>+'1.Informe Seguimiento POA 2023'!F72</f>
        <v>0.95</v>
      </c>
      <c r="K68" s="573" t="str">
        <f>+'1.Informe Seguimiento POA 2023'!I72</f>
        <v>Gestión Financiera</v>
      </c>
      <c r="L68" s="573" t="str">
        <f>+'1.Informe Seguimiento POA 2023'!J72</f>
        <v>Subdirección de Gestión Financiera
Dirección Administrativa y Financiera</v>
      </c>
      <c r="M68" s="521">
        <f>+'1.Informe Seguimiento POA 2023'!K72</f>
        <v>0.95</v>
      </c>
      <c r="N68" s="521">
        <f>+'1.Informe Seguimiento POA 2023'!L72</f>
        <v>0.95</v>
      </c>
      <c r="O68" s="521">
        <f>+'1.Informe Seguimiento POA 2023'!M72</f>
        <v>0.95</v>
      </c>
      <c r="P68" s="521">
        <f>+'1.Informe Seguimiento POA 2023'!N72</f>
        <v>0.95</v>
      </c>
      <c r="Q68" s="767">
        <v>0.14000000000000001</v>
      </c>
      <c r="R68" s="767">
        <v>9.7397917127575201E-2</v>
      </c>
      <c r="S68" s="767">
        <v>0.25</v>
      </c>
      <c r="T68" s="767">
        <v>0.23532220306748558</v>
      </c>
      <c r="U68" s="767">
        <v>0.23000000000000004</v>
      </c>
      <c r="V68" s="767">
        <v>0.22679170604630311</v>
      </c>
      <c r="W68" s="767">
        <v>0.32999999999999996</v>
      </c>
      <c r="X68" s="767">
        <v>0.38835271131297322</v>
      </c>
      <c r="Y68" s="510">
        <v>0.95000000000000007</v>
      </c>
      <c r="Z68" s="510">
        <v>0.94786453755433708</v>
      </c>
      <c r="AA68" s="510">
        <v>0.99775214479403895</v>
      </c>
      <c r="AB68" s="767">
        <v>0.14000000000000001</v>
      </c>
      <c r="AC68" s="767">
        <v>0.13159999999999999</v>
      </c>
      <c r="AD68" s="767">
        <v>0.25</v>
      </c>
      <c r="AE68" s="767">
        <v>0.27860000000000001</v>
      </c>
      <c r="AF68" s="767">
        <v>0.23000000000000004</v>
      </c>
      <c r="AG68" s="767">
        <v>0.23043</v>
      </c>
      <c r="AH68" s="767">
        <v>0.32999999999999996</v>
      </c>
      <c r="AI68" s="767">
        <v>0.38486169428374289</v>
      </c>
      <c r="AJ68" s="510">
        <v>0.95000000000000007</v>
      </c>
      <c r="AK68" s="510">
        <v>1.0254916942837429</v>
      </c>
      <c r="AL68" s="510">
        <v>1.0794649413513082</v>
      </c>
      <c r="AM68" s="575">
        <f>+'1.Informe Seguimiento POA 2023'!O72</f>
        <v>0.18</v>
      </c>
      <c r="AN68" s="575">
        <f>+'1.Informe Seguimiento POA 2023'!P72</f>
        <v>0.10693</v>
      </c>
      <c r="AO68" s="575">
        <f>+'1.Informe Seguimiento POA 2023'!Q72</f>
        <v>0.24</v>
      </c>
      <c r="AP68" s="575">
        <f>+'1.Informe Seguimiento POA 2023'!R72</f>
        <v>0.24686000000000002</v>
      </c>
      <c r="AQ68" s="575">
        <f>+'1.Informe Seguimiento POA 2023'!S72</f>
        <v>0.23</v>
      </c>
      <c r="AR68" s="575">
        <f>+'1.Informe Seguimiento POA 2023'!T72</f>
        <v>0</v>
      </c>
      <c r="AS68" s="575">
        <f>+'1.Informe Seguimiento POA 2023'!U72</f>
        <v>0.3</v>
      </c>
      <c r="AT68" s="575">
        <f>+'1.Informe Seguimiento POA 2023'!V72</f>
        <v>0</v>
      </c>
      <c r="AU68" s="510">
        <f>+'1.Informe Seguimiento POA 2023'!W72</f>
        <v>0.95</v>
      </c>
      <c r="AV68" s="510">
        <f>+'1.Informe Seguimiento POA 2023'!X72</f>
        <v>0.35379000000000005</v>
      </c>
      <c r="AW68" s="510">
        <f>+'1.Informe Seguimiento POA 2023'!Y72</f>
        <v>0.37241052631578953</v>
      </c>
      <c r="AX68" s="582"/>
      <c r="AY68" s="582"/>
      <c r="AZ68" s="582"/>
      <c r="BA68" s="582"/>
      <c r="BB68" s="582"/>
      <c r="BC68" s="582"/>
      <c r="BD68" s="582"/>
      <c r="BE68" s="582"/>
      <c r="BF68" s="569">
        <f t="shared" si="25"/>
        <v>0.95</v>
      </c>
      <c r="BG68" s="569"/>
      <c r="BH68" s="582"/>
      <c r="BI68" s="509">
        <f t="shared" ref="BI68:BJ70" si="44">AVERAGE((Q68+S68+U68+W68),(AB68+AD68+AF68+AH68),(AM68+AO68))</f>
        <v>0.77333333333333343</v>
      </c>
      <c r="BJ68" s="509">
        <f t="shared" si="44"/>
        <v>0.77571541061269345</v>
      </c>
      <c r="BK68" s="508">
        <f t="shared" si="18"/>
        <v>1.003080272344</v>
      </c>
      <c r="BL68" s="963">
        <f t="shared" si="43"/>
        <v>0.61240690311528434</v>
      </c>
      <c r="BM68" s="528">
        <f t="shared" si="28"/>
        <v>4.2868483218069908E-2</v>
      </c>
      <c r="BN68" s="1098"/>
      <c r="BO68" s="1035"/>
      <c r="BP68" s="605"/>
      <c r="BQ68" s="605"/>
    </row>
    <row r="69" spans="2:69" ht="64.5" customHeight="1">
      <c r="B69" s="1037"/>
      <c r="C69" s="1077"/>
      <c r="D69" s="1081"/>
      <c r="E69" s="1081"/>
      <c r="F69" s="1079"/>
      <c r="G69" s="1078"/>
      <c r="H69" s="28" t="str">
        <f>+'1.Informe Seguimiento POA 2023'!D73</f>
        <v>4.4.5 Elaborar y presentar el 100% de los estados financieros de la Entidad</v>
      </c>
      <c r="I69" s="78">
        <f>+'1.Informe Seguimiento POA 2023'!E73</f>
        <v>0.06</v>
      </c>
      <c r="J69" s="569">
        <f>+'1.Informe Seguimiento POA 2023'!F73</f>
        <v>1</v>
      </c>
      <c r="K69" s="573" t="str">
        <f>+'1.Informe Seguimiento POA 2023'!I73</f>
        <v>Gestión Financiera</v>
      </c>
      <c r="L69" s="573" t="str">
        <f>+'1.Informe Seguimiento POA 2023'!J73</f>
        <v>Subdirección de Gestión Financiera
Dirección Administrativa y Financiera</v>
      </c>
      <c r="M69" s="521">
        <f>+'1.Informe Seguimiento POA 2023'!K73</f>
        <v>1</v>
      </c>
      <c r="N69" s="521">
        <f>+'1.Informe Seguimiento POA 2023'!L73</f>
        <v>1</v>
      </c>
      <c r="O69" s="521">
        <f>+'1.Informe Seguimiento POA 2023'!M73</f>
        <v>1</v>
      </c>
      <c r="P69" s="521">
        <f>+'1.Informe Seguimiento POA 2023'!N73</f>
        <v>1</v>
      </c>
      <c r="Q69" s="767">
        <v>0.25</v>
      </c>
      <c r="R69" s="767">
        <v>0.25</v>
      </c>
      <c r="S69" s="767">
        <v>0.25</v>
      </c>
      <c r="T69" s="767">
        <v>0.25</v>
      </c>
      <c r="U69" s="767">
        <v>0.25</v>
      </c>
      <c r="V69" s="767">
        <v>0.25</v>
      </c>
      <c r="W69" s="767">
        <v>0.25</v>
      </c>
      <c r="X69" s="767">
        <v>0.25</v>
      </c>
      <c r="Y69" s="510">
        <v>1</v>
      </c>
      <c r="Z69" s="510">
        <v>1</v>
      </c>
      <c r="AA69" s="510">
        <v>1</v>
      </c>
      <c r="AB69" s="767">
        <v>0.25</v>
      </c>
      <c r="AC69" s="767">
        <v>0.25</v>
      </c>
      <c r="AD69" s="767">
        <v>0.25</v>
      </c>
      <c r="AE69" s="767">
        <v>0.25</v>
      </c>
      <c r="AF69" s="767">
        <v>0.25</v>
      </c>
      <c r="AG69" s="767">
        <v>0.25</v>
      </c>
      <c r="AH69" s="767">
        <v>0.25</v>
      </c>
      <c r="AI69" s="767">
        <v>0.25</v>
      </c>
      <c r="AJ69" s="510">
        <v>1</v>
      </c>
      <c r="AK69" s="510">
        <v>1</v>
      </c>
      <c r="AL69" s="510">
        <v>1</v>
      </c>
      <c r="AM69" s="575">
        <f>+'1.Informe Seguimiento POA 2023'!O73</f>
        <v>0.25</v>
      </c>
      <c r="AN69" s="575">
        <f>+'1.Informe Seguimiento POA 2023'!P73</f>
        <v>0.25</v>
      </c>
      <c r="AO69" s="575">
        <f>+'1.Informe Seguimiento POA 2023'!Q73</f>
        <v>0.25</v>
      </c>
      <c r="AP69" s="575">
        <f>+'1.Informe Seguimiento POA 2023'!R73</f>
        <v>0.25</v>
      </c>
      <c r="AQ69" s="575">
        <f>+'1.Informe Seguimiento POA 2023'!S73</f>
        <v>0.25</v>
      </c>
      <c r="AR69" s="575">
        <f>+'1.Informe Seguimiento POA 2023'!T73</f>
        <v>0</v>
      </c>
      <c r="AS69" s="575">
        <f>+'1.Informe Seguimiento POA 2023'!U73</f>
        <v>0.25</v>
      </c>
      <c r="AT69" s="575">
        <f>+'1.Informe Seguimiento POA 2023'!V73</f>
        <v>0</v>
      </c>
      <c r="AU69" s="510">
        <f>+'1.Informe Seguimiento POA 2023'!W73</f>
        <v>1</v>
      </c>
      <c r="AV69" s="510">
        <f>+'1.Informe Seguimiento POA 2023'!X73</f>
        <v>0.5</v>
      </c>
      <c r="AW69" s="510">
        <f>+'1.Informe Seguimiento POA 2023'!Y73</f>
        <v>0.5</v>
      </c>
      <c r="AX69" s="582"/>
      <c r="AY69" s="582"/>
      <c r="AZ69" s="582"/>
      <c r="BA69" s="582"/>
      <c r="BB69" s="582"/>
      <c r="BC69" s="582"/>
      <c r="BD69" s="582"/>
      <c r="BE69" s="582"/>
      <c r="BF69" s="569">
        <f t="shared" si="25"/>
        <v>1</v>
      </c>
      <c r="BG69" s="569"/>
      <c r="BH69" s="582"/>
      <c r="BI69" s="509">
        <f t="shared" si="44"/>
        <v>0.83333333333333337</v>
      </c>
      <c r="BJ69" s="509">
        <f t="shared" si="44"/>
        <v>0.83333333333333337</v>
      </c>
      <c r="BK69" s="508">
        <f t="shared" si="18"/>
        <v>1</v>
      </c>
      <c r="BL69" s="963">
        <f t="shared" si="43"/>
        <v>0.625</v>
      </c>
      <c r="BM69" s="528">
        <f t="shared" si="28"/>
        <v>3.7499999999999999E-2</v>
      </c>
      <c r="BN69" s="1098"/>
      <c r="BO69" s="1035"/>
      <c r="BP69" s="605"/>
      <c r="BQ69" s="605"/>
    </row>
    <row r="70" spans="2:69" ht="78" customHeight="1">
      <c r="B70" s="1037"/>
      <c r="C70" s="1077"/>
      <c r="D70" s="1081"/>
      <c r="E70" s="1081"/>
      <c r="F70" s="89" t="str">
        <f>+'1.Informe Seguimiento POA 2023'!H74</f>
        <v xml:space="preserve">Porcentaje del Plan Anual de Adquisiciones ejecutado </v>
      </c>
      <c r="G70" s="89" t="str">
        <f>+'11-GESTIÓN CONTRACTUAL'!J16</f>
        <v>No. de adquisiciones realizadas /Total de adquisiciones planeadas *100</v>
      </c>
      <c r="H70" s="28" t="str">
        <f>+'1.Informe Seguimiento POA 2023'!D74</f>
        <v>4.4.6 Ejecutar el 95% del Plan Anual de Adquisiciones respecto de gastos generales</v>
      </c>
      <c r="I70" s="78">
        <f>+'1.Informe Seguimiento POA 2023'!E74</f>
        <v>0.1</v>
      </c>
      <c r="J70" s="569">
        <f>+'1.Informe Seguimiento POA 2023'!F74</f>
        <v>0.95</v>
      </c>
      <c r="K70" s="573" t="str">
        <f>+'1.Informe Seguimiento POA 2023'!I74</f>
        <v>Gestión Contractual</v>
      </c>
      <c r="L70" s="573" t="str">
        <f>+'1.Informe Seguimiento POA 2023'!J74</f>
        <v>Subdirección de Gestión Contractual
Dirección Administrativa y Financiera</v>
      </c>
      <c r="M70" s="521">
        <f>+'1.Informe Seguimiento POA 2023'!K74</f>
        <v>0.95</v>
      </c>
      <c r="N70" s="521">
        <f>+'1.Informe Seguimiento POA 2023'!L74</f>
        <v>0.95</v>
      </c>
      <c r="O70" s="521">
        <f>+'1.Informe Seguimiento POA 2023'!M74</f>
        <v>0.95</v>
      </c>
      <c r="P70" s="521">
        <f>+'1.Informe Seguimiento POA 2023'!N74</f>
        <v>0.95</v>
      </c>
      <c r="Q70" s="767">
        <v>0.56999999999999995</v>
      </c>
      <c r="R70" s="767">
        <v>0.33</v>
      </c>
      <c r="S70" s="767">
        <v>0.24</v>
      </c>
      <c r="T70" s="767">
        <v>0.16999999999999998</v>
      </c>
      <c r="U70" s="767">
        <v>0.08</v>
      </c>
      <c r="V70" s="767">
        <v>0.21000000000000002</v>
      </c>
      <c r="W70" s="767">
        <v>0.06</v>
      </c>
      <c r="X70" s="767">
        <v>0.15</v>
      </c>
      <c r="Y70" s="510">
        <v>0.95</v>
      </c>
      <c r="Z70" s="510">
        <v>0.86</v>
      </c>
      <c r="AA70" s="510">
        <v>0.90526315789473688</v>
      </c>
      <c r="AB70" s="767">
        <v>0.36000000000000004</v>
      </c>
      <c r="AC70" s="767">
        <v>0.38</v>
      </c>
      <c r="AD70" s="767">
        <v>0.22000000000000003</v>
      </c>
      <c r="AE70" s="767">
        <v>0.16</v>
      </c>
      <c r="AF70" s="767">
        <v>0.21999999999999997</v>
      </c>
      <c r="AG70" s="767">
        <v>0.19</v>
      </c>
      <c r="AH70" s="767">
        <v>0.15000000000000002</v>
      </c>
      <c r="AI70" s="767">
        <v>0.25</v>
      </c>
      <c r="AJ70" s="510">
        <v>0.95000000000000007</v>
      </c>
      <c r="AK70" s="510">
        <v>0.98</v>
      </c>
      <c r="AL70" s="510">
        <v>1.0315789473684209</v>
      </c>
      <c r="AM70" s="575">
        <f>+'1.Informe Seguimiento POA 2023'!O74</f>
        <v>0.31</v>
      </c>
      <c r="AN70" s="575">
        <f>+'1.Informe Seguimiento POA 2023'!P74</f>
        <v>0.31</v>
      </c>
      <c r="AO70" s="575">
        <f>+'1.Informe Seguimiento POA 2023'!Q74</f>
        <v>0.22000000000000003</v>
      </c>
      <c r="AP70" s="575">
        <f>+'1.Informe Seguimiento POA 2023'!R74</f>
        <v>0.28000000000000003</v>
      </c>
      <c r="AQ70" s="575">
        <f>+'1.Informe Seguimiento POA 2023'!S74</f>
        <v>0.21999999999999997</v>
      </c>
      <c r="AR70" s="575">
        <f>+'1.Informe Seguimiento POA 2023'!T74</f>
        <v>0</v>
      </c>
      <c r="AS70" s="575">
        <f>+'1.Informe Seguimiento POA 2023'!U74</f>
        <v>0.2</v>
      </c>
      <c r="AT70" s="575">
        <f>+'1.Informe Seguimiento POA 2023'!V74</f>
        <v>0</v>
      </c>
      <c r="AU70" s="510">
        <f>+'1.Informe Seguimiento POA 2023'!W74</f>
        <v>0.95</v>
      </c>
      <c r="AV70" s="510">
        <f>+'1.Informe Seguimiento POA 2023'!X74</f>
        <v>0.59000000000000008</v>
      </c>
      <c r="AW70" s="510">
        <f>+'1.Informe Seguimiento POA 2023'!Y74</f>
        <v>0.62105263157894752</v>
      </c>
      <c r="AX70" s="582"/>
      <c r="AY70" s="582"/>
      <c r="AZ70" s="582"/>
      <c r="BA70" s="582"/>
      <c r="BB70" s="582"/>
      <c r="BC70" s="582"/>
      <c r="BD70" s="582"/>
      <c r="BE70" s="582"/>
      <c r="BF70" s="569">
        <f t="shared" si="25"/>
        <v>0.95</v>
      </c>
      <c r="BG70" s="569"/>
      <c r="BH70" s="582"/>
      <c r="BI70" s="509">
        <f t="shared" si="44"/>
        <v>0.80999999999999994</v>
      </c>
      <c r="BJ70" s="509">
        <f t="shared" si="44"/>
        <v>0.80999999999999994</v>
      </c>
      <c r="BK70" s="508">
        <f t="shared" si="18"/>
        <v>1</v>
      </c>
      <c r="BL70" s="963">
        <f t="shared" si="43"/>
        <v>0.63947368421052631</v>
      </c>
      <c r="BM70" s="528">
        <f t="shared" si="28"/>
        <v>6.3947368421052628E-2</v>
      </c>
      <c r="BN70" s="1098"/>
      <c r="BO70" s="1035"/>
      <c r="BP70" s="605"/>
      <c r="BQ70" s="605"/>
    </row>
    <row r="71" spans="2:69" ht="96.75" customHeight="1">
      <c r="B71" s="1037"/>
      <c r="C71" s="1077"/>
      <c r="D71" s="1081"/>
      <c r="E71" s="1081"/>
      <c r="F71" s="89" t="str">
        <f>+'1.Informe Seguimiento POA 2023'!H75</f>
        <v>Porcentaje de Comunicaciones oficiales con reparto realizado dentro de los 3 días hábiles desde su radicación</v>
      </c>
      <c r="G71" s="89" t="str">
        <f>+'09-G.  ADMINISTRATIVA'!J16</f>
        <v>No. Servicios realizados /Total de servicios solicitados *100</v>
      </c>
      <c r="H71" s="28" t="str">
        <f>+'1.Informe Seguimiento POA 2023'!D75</f>
        <v>4.4.7 Realizar el 95% del reparto, dentro de un término no superior a tres (3) días hábiles, de las comunicaciones oficiales institucionales recibidas por el Grupo de Correspondencia.</v>
      </c>
      <c r="I71" s="78">
        <f>+'1.Informe Seguimiento POA 2023'!E75</f>
        <v>0.05</v>
      </c>
      <c r="J71" s="569">
        <f>+'1.Informe Seguimiento POA 2023'!F75</f>
        <v>0.95</v>
      </c>
      <c r="K71" s="573" t="str">
        <f>+'1.Informe Seguimiento POA 2023'!I75</f>
        <v>Gestión Documental</v>
      </c>
      <c r="L71" s="573" t="str">
        <f>+'1.Informe Seguimiento POA 2023'!J75</f>
        <v>Subdirección de Gestión Documental y Recursos Físicos - Grupo de Correspondencia</v>
      </c>
      <c r="M71" s="521">
        <f>+'1.Informe Seguimiento POA 2023'!K75</f>
        <v>0.95</v>
      </c>
      <c r="N71" s="521">
        <f>+'1.Informe Seguimiento POA 2023'!L75</f>
        <v>0.95</v>
      </c>
      <c r="O71" s="521">
        <f>+'1.Informe Seguimiento POA 2023'!M75</f>
        <v>0.95</v>
      </c>
      <c r="P71" s="521">
        <f>+'1.Informe Seguimiento POA 2023'!N75</f>
        <v>0.95</v>
      </c>
      <c r="Q71" s="767">
        <v>0.94999999999999984</v>
      </c>
      <c r="R71" s="767">
        <v>0.96200000000000008</v>
      </c>
      <c r="S71" s="767">
        <v>0.94999999999999984</v>
      </c>
      <c r="T71" s="767">
        <v>0.97633333333333328</v>
      </c>
      <c r="U71" s="767">
        <v>0.94999999999999984</v>
      </c>
      <c r="V71" s="767">
        <v>0.98399999999999999</v>
      </c>
      <c r="W71" s="767">
        <v>0.94999999999999984</v>
      </c>
      <c r="X71" s="767">
        <v>0.97166666666666668</v>
      </c>
      <c r="Y71" s="510">
        <v>0.94999999999999984</v>
      </c>
      <c r="Z71" s="510">
        <v>0.97299999999999998</v>
      </c>
      <c r="AA71" s="510">
        <v>1.0242105263157897</v>
      </c>
      <c r="AB71" s="767">
        <v>0.94999999999999984</v>
      </c>
      <c r="AC71" s="767">
        <v>0.98523333333333341</v>
      </c>
      <c r="AD71" s="767">
        <v>0.94999999999999984</v>
      </c>
      <c r="AE71" s="767">
        <v>0.99406666666666654</v>
      </c>
      <c r="AF71" s="767">
        <v>0.94999999999999984</v>
      </c>
      <c r="AG71" s="767">
        <v>0.97889999999999999</v>
      </c>
      <c r="AH71" s="767">
        <v>0.94999999999999984</v>
      </c>
      <c r="AI71" s="767">
        <v>0.98053333333333337</v>
      </c>
      <c r="AJ71" s="510">
        <v>0.94999999999999984</v>
      </c>
      <c r="AK71" s="510">
        <v>0.98399999999999999</v>
      </c>
      <c r="AL71" s="510">
        <v>1.0357894736842106</v>
      </c>
      <c r="AM71" s="575">
        <f>+'1.Informe Seguimiento POA 2023'!O75</f>
        <v>0.94999999999999984</v>
      </c>
      <c r="AN71" s="575">
        <f>+'1.Informe Seguimiento POA 2023'!P75</f>
        <v>0.99073999999999984</v>
      </c>
      <c r="AO71" s="575">
        <f>+'1.Informe Seguimiento POA 2023'!Q75</f>
        <v>0.94999999999999984</v>
      </c>
      <c r="AP71" s="575">
        <f>+'1.Informe Seguimiento POA 2023'!R75</f>
        <v>0.94887333333333324</v>
      </c>
      <c r="AQ71" s="575">
        <f>+'1.Informe Seguimiento POA 2023'!S75</f>
        <v>0.94999999999999984</v>
      </c>
      <c r="AR71" s="575">
        <f>+'1.Informe Seguimiento POA 2023'!T75</f>
        <v>0</v>
      </c>
      <c r="AS71" s="575">
        <f>+'1.Informe Seguimiento POA 2023'!U75</f>
        <v>0.94999999999999984</v>
      </c>
      <c r="AT71" s="575">
        <f>+'1.Informe Seguimiento POA 2023'!V75</f>
        <v>0</v>
      </c>
      <c r="AU71" s="510">
        <f>+'1.Informe Seguimiento POA 2023'!W75</f>
        <v>0.94999999999999984</v>
      </c>
      <c r="AV71" s="510">
        <f>+'1.Informe Seguimiento POA 2023'!X75</f>
        <v>0.96970000000000001</v>
      </c>
      <c r="AW71" s="510">
        <f>+'1.Informe Seguimiento POA 2023'!Y75</f>
        <v>0.51036842105263169</v>
      </c>
      <c r="AX71" s="582"/>
      <c r="AY71" s="582"/>
      <c r="AZ71" s="582"/>
      <c r="BA71" s="582"/>
      <c r="BB71" s="582"/>
      <c r="BC71" s="582"/>
      <c r="BD71" s="582"/>
      <c r="BE71" s="582"/>
      <c r="BF71" s="569">
        <f t="shared" si="25"/>
        <v>0.95</v>
      </c>
      <c r="BG71" s="569"/>
      <c r="BH71" s="582"/>
      <c r="BI71" s="509">
        <f>IFERROR(AVERAGE(Q71,S71,U71,W71,AB71,AD71,AF71,AH71,AM71,AO71),0)</f>
        <v>0.94999999999999984</v>
      </c>
      <c r="BJ71" s="509">
        <f>IFERROR(AVERAGE(R71,T71,V71,X71,AC71,AE71,AG71,AI71,AN71,AP71),0)</f>
        <v>0.9772346666666667</v>
      </c>
      <c r="BK71" s="508">
        <f t="shared" si="18"/>
        <v>1.0286680701754387</v>
      </c>
      <c r="BL71" s="963">
        <f t="shared" si="43"/>
        <v>0.77150105263157909</v>
      </c>
      <c r="BM71" s="533">
        <f t="shared" si="28"/>
        <v>3.8575052631578954E-2</v>
      </c>
      <c r="BN71" s="1098"/>
      <c r="BO71" s="1035"/>
      <c r="BP71" s="605"/>
      <c r="BQ71" s="605"/>
    </row>
    <row r="72" spans="2:69" ht="76.5" customHeight="1">
      <c r="B72" s="1037"/>
      <c r="C72" s="1077"/>
      <c r="D72" s="1081"/>
      <c r="E72" s="1081"/>
      <c r="F72" s="89" t="str">
        <f>+'1.Informe Seguimiento POA 2023'!H76</f>
        <v>Porcentaje de documentación incorporada en el archivo central durante la vigencia.</v>
      </c>
      <c r="G72" s="89" t="str">
        <f>+'09-G.  ADMINISTRATIVA'!J17</f>
        <v>N° de actividades ejecutadas en el periodo/N° de actividades programadas en el PESV para la vigencia*100</v>
      </c>
      <c r="H72" s="28" t="str">
        <f>+'1.Informe Seguimiento POA 2023'!D76</f>
        <v>4.4.8 Incorporar el 80% al archivo central de las transferencias documentales provenientes de las dependencias, en razón a que cumplen los requisitos exigidos para ello.</v>
      </c>
      <c r="I72" s="78">
        <f>+'1.Informe Seguimiento POA 2023'!E76</f>
        <v>0.05</v>
      </c>
      <c r="J72" s="569">
        <f>+'1.Informe Seguimiento POA 2023'!F76</f>
        <v>0.8</v>
      </c>
      <c r="K72" s="573" t="str">
        <f>+'1.Informe Seguimiento POA 2023'!I76</f>
        <v>Gestión Documental</v>
      </c>
      <c r="L72" s="573" t="str">
        <f>+'1.Informe Seguimiento POA 2023'!J76</f>
        <v>Subdirección de Gestión Documental y Recursos Físicos - Archivo central</v>
      </c>
      <c r="M72" s="521">
        <f>+'1.Informe Seguimiento POA 2023'!K76</f>
        <v>0.8</v>
      </c>
      <c r="N72" s="521">
        <f>+'1.Informe Seguimiento POA 2023'!L76</f>
        <v>0.8</v>
      </c>
      <c r="O72" s="521">
        <f>+'1.Informe Seguimiento POA 2023'!M76</f>
        <v>0.8</v>
      </c>
      <c r="P72" s="521">
        <f>+'1.Informe Seguimiento POA 2023'!N76</f>
        <v>0.8</v>
      </c>
      <c r="Q72" s="767">
        <v>0.80000000000000016</v>
      </c>
      <c r="R72" s="767">
        <v>0.80000000000000016</v>
      </c>
      <c r="S72" s="767">
        <v>0.80000000000000016</v>
      </c>
      <c r="T72" s="767">
        <v>0.80000000000000016</v>
      </c>
      <c r="U72" s="767">
        <v>0.80000000000000016</v>
      </c>
      <c r="V72" s="767">
        <v>0.81733333333333336</v>
      </c>
      <c r="W72" s="767">
        <v>0.80000000000000016</v>
      </c>
      <c r="X72" s="767">
        <v>0.79499999999999993</v>
      </c>
      <c r="Y72" s="510">
        <v>0.79999999999999993</v>
      </c>
      <c r="Z72" s="510">
        <v>0.80300000000000005</v>
      </c>
      <c r="AA72" s="510">
        <v>1.0037500000000001</v>
      </c>
      <c r="AB72" s="767">
        <v>0.80000000000000016</v>
      </c>
      <c r="AC72" s="767">
        <v>0.8753333333333333</v>
      </c>
      <c r="AD72" s="767">
        <v>0.80000000000000016</v>
      </c>
      <c r="AE72" s="767">
        <v>0.88233333333333341</v>
      </c>
      <c r="AF72" s="767">
        <v>0.80000000000000016</v>
      </c>
      <c r="AG72" s="767">
        <v>0.80166666666666675</v>
      </c>
      <c r="AH72" s="767">
        <v>0.80000000000000016</v>
      </c>
      <c r="AI72" s="767">
        <v>0.84633333333333338</v>
      </c>
      <c r="AJ72" s="510">
        <v>0.79999999999999993</v>
      </c>
      <c r="AK72" s="510">
        <v>0.85099999999999998</v>
      </c>
      <c r="AL72" s="510">
        <v>1.06375</v>
      </c>
      <c r="AM72" s="575">
        <f>+'1.Informe Seguimiento POA 2023'!O76</f>
        <v>0.80000000000000016</v>
      </c>
      <c r="AN72" s="575">
        <f>+'1.Informe Seguimiento POA 2023'!P76</f>
        <v>0.80000000000000016</v>
      </c>
      <c r="AO72" s="575">
        <f>+'1.Informe Seguimiento POA 2023'!Q76</f>
        <v>0.80000000000000016</v>
      </c>
      <c r="AP72" s="575">
        <f>+'1.Informe Seguimiento POA 2023'!R76</f>
        <v>0.79900000000000004</v>
      </c>
      <c r="AQ72" s="575">
        <f>+'1.Informe Seguimiento POA 2023'!S76</f>
        <v>0.80000000000000016</v>
      </c>
      <c r="AR72" s="575">
        <f>+'1.Informe Seguimiento POA 2023'!T76</f>
        <v>0</v>
      </c>
      <c r="AS72" s="575">
        <f>+'1.Informe Seguimiento POA 2023'!U76</f>
        <v>0.80000000000000016</v>
      </c>
      <c r="AT72" s="575">
        <f>+'1.Informe Seguimiento POA 2023'!V76</f>
        <v>0</v>
      </c>
      <c r="AU72" s="510">
        <f>+'1.Informe Seguimiento POA 2023'!W76</f>
        <v>0.79999999999999993</v>
      </c>
      <c r="AV72" s="510">
        <f>+'1.Informe Seguimiento POA 2023'!X76</f>
        <v>0.79900000000000004</v>
      </c>
      <c r="AW72" s="510">
        <f>+'1.Informe Seguimiento POA 2023'!Y76</f>
        <v>0.49937500000000007</v>
      </c>
      <c r="AX72" s="582"/>
      <c r="AY72" s="582"/>
      <c r="AZ72" s="582"/>
      <c r="BA72" s="582"/>
      <c r="BB72" s="582"/>
      <c r="BC72" s="582"/>
      <c r="BD72" s="582"/>
      <c r="BE72" s="582"/>
      <c r="BF72" s="569">
        <f t="shared" si="25"/>
        <v>0.8</v>
      </c>
      <c r="BG72" s="569"/>
      <c r="BH72" s="582"/>
      <c r="BI72" s="509">
        <f>IFERROR(AVERAGE(Q72,S72,U72,W72,AB72,AD72,AF72,AH72,AM72,AO72),0)</f>
        <v>0.8</v>
      </c>
      <c r="BJ72" s="509">
        <f>IFERROR(AVERAGE(R72,T72,V72,X72,AC72,AE72,AG72,AI72,AN72,AP72),0)</f>
        <v>0.8217000000000001</v>
      </c>
      <c r="BK72" s="508">
        <f t="shared" si="18"/>
        <v>1.0271250000000001</v>
      </c>
      <c r="BL72" s="963">
        <f t="shared" si="43"/>
        <v>0.7703437500000001</v>
      </c>
      <c r="BM72" s="533">
        <f t="shared" si="28"/>
        <v>3.8517187500000008E-2</v>
      </c>
      <c r="BN72" s="1098"/>
      <c r="BO72" s="1035"/>
      <c r="BP72" s="605"/>
      <c r="BQ72" s="605"/>
    </row>
    <row r="73" spans="2:69" ht="120" customHeight="1">
      <c r="B73" s="1037"/>
      <c r="C73" s="1077"/>
      <c r="D73" s="1081"/>
      <c r="E73" s="1081"/>
      <c r="F73" s="1079" t="s">
        <v>996</v>
      </c>
      <c r="G73" s="1071" t="s">
        <v>984</v>
      </c>
      <c r="H73" s="28" t="str">
        <f>+'1.Informe Seguimiento POA 2023'!D77</f>
        <v>4.4.9 Realizar 100 actividades de diseño, actualización o ajuste de los instrumentos archivísticos establecidos por norma.</v>
      </c>
      <c r="I73" s="78">
        <f>+'1.Informe Seguimiento POA 2023'!E77</f>
        <v>0.05</v>
      </c>
      <c r="J73" s="72">
        <f>+'1.Informe Seguimiento POA 2023'!F77</f>
        <v>100</v>
      </c>
      <c r="K73" s="573" t="str">
        <f>+'1.Informe Seguimiento POA 2023'!I77</f>
        <v>Gestión Documental</v>
      </c>
      <c r="L73" s="573" t="str">
        <f>+'1.Informe Seguimiento POA 2023'!J77</f>
        <v xml:space="preserve">Subdirección de Gestión Documental y Recursos Físicos </v>
      </c>
      <c r="M73" s="522">
        <f>+'1.Informe Seguimiento POA 2023'!K77</f>
        <v>25</v>
      </c>
      <c r="N73" s="522">
        <f>+'1.Informe Seguimiento POA 2023'!L77</f>
        <v>25</v>
      </c>
      <c r="O73" s="522">
        <f>+'1.Informe Seguimiento POA 2023'!M77</f>
        <v>25</v>
      </c>
      <c r="P73" s="522">
        <f>+'1.Informe Seguimiento POA 2023'!N77</f>
        <v>25</v>
      </c>
      <c r="Q73" s="657">
        <v>5</v>
      </c>
      <c r="R73" s="657">
        <v>7</v>
      </c>
      <c r="S73" s="657">
        <v>7</v>
      </c>
      <c r="T73" s="657">
        <v>6</v>
      </c>
      <c r="U73" s="657">
        <v>7</v>
      </c>
      <c r="V73" s="657">
        <v>10</v>
      </c>
      <c r="W73" s="657">
        <v>6</v>
      </c>
      <c r="X73" s="657">
        <v>5</v>
      </c>
      <c r="Y73" s="769">
        <v>25</v>
      </c>
      <c r="Z73" s="769">
        <v>28</v>
      </c>
      <c r="AA73" s="529">
        <v>1.1200000000000001</v>
      </c>
      <c r="AB73" s="657">
        <v>5</v>
      </c>
      <c r="AC73" s="657">
        <v>6</v>
      </c>
      <c r="AD73" s="657">
        <v>7</v>
      </c>
      <c r="AE73" s="657">
        <v>7.75</v>
      </c>
      <c r="AF73" s="657">
        <v>7</v>
      </c>
      <c r="AG73" s="657">
        <v>5.6</v>
      </c>
      <c r="AH73" s="657">
        <v>6</v>
      </c>
      <c r="AI73" s="657">
        <v>5.5</v>
      </c>
      <c r="AJ73" s="769">
        <v>25</v>
      </c>
      <c r="AK73" s="769">
        <v>24.85</v>
      </c>
      <c r="AL73" s="947">
        <v>0.99400000000000011</v>
      </c>
      <c r="AM73" s="507">
        <f>+'1.Informe Seguimiento POA 2023'!O77</f>
        <v>5.25</v>
      </c>
      <c r="AN73" s="507">
        <f>+'1.Informe Seguimiento POA 2023'!P77</f>
        <v>4.95</v>
      </c>
      <c r="AO73" s="507">
        <f>+'1.Informe Seguimiento POA 2023'!Q77</f>
        <v>6.5</v>
      </c>
      <c r="AP73" s="507">
        <f>+'1.Informe Seguimiento POA 2023'!R77</f>
        <v>7.8000000000000007</v>
      </c>
      <c r="AQ73" s="507">
        <f>+'1.Informe Seguimiento POA 2023'!S77</f>
        <v>6.75</v>
      </c>
      <c r="AR73" s="507">
        <f>+'1.Informe Seguimiento POA 2023'!T77</f>
        <v>0</v>
      </c>
      <c r="AS73" s="507">
        <f>+'1.Informe Seguimiento POA 2023'!U77</f>
        <v>6.5</v>
      </c>
      <c r="AT73" s="507">
        <f>+'1.Informe Seguimiento POA 2023'!V77</f>
        <v>0</v>
      </c>
      <c r="AU73" s="522">
        <f>+'1.Informe Seguimiento POA 2023'!W77</f>
        <v>25</v>
      </c>
      <c r="AV73" s="522">
        <f>+'1.Informe Seguimiento POA 2023'!X77</f>
        <v>12.75</v>
      </c>
      <c r="AW73" s="529">
        <f>+'1.Informe Seguimiento POA 2023'!Y77</f>
        <v>0.51</v>
      </c>
      <c r="AX73" s="582"/>
      <c r="AY73" s="582"/>
      <c r="AZ73" s="582"/>
      <c r="BA73" s="582"/>
      <c r="BB73" s="582"/>
      <c r="BC73" s="582"/>
      <c r="BD73" s="582"/>
      <c r="BE73" s="582"/>
      <c r="BF73" s="522">
        <f t="shared" ref="BF73:BF95" si="45">+P73</f>
        <v>25</v>
      </c>
      <c r="BG73" s="522"/>
      <c r="BH73" s="582"/>
      <c r="BI73" s="256">
        <f t="shared" ref="BI73:BI74" si="46">+Q73+S73+U73+W73+AM73+AO73+AB73+AD73+AF73+AH73</f>
        <v>61.75</v>
      </c>
      <c r="BJ73" s="256">
        <f t="shared" ref="BJ73:BJ74" si="47">+R73+T73+V73+X73+AN73+AP73+AC73+AE73+AG73+AI73</f>
        <v>65.599999999999994</v>
      </c>
      <c r="BK73" s="508">
        <f t="shared" si="18"/>
        <v>1.0623481781376518</v>
      </c>
      <c r="BL73" s="508">
        <f>(IF(AND(BJ73&gt;0,$J73&gt;0),BJ73/$J73,0))</f>
        <v>0.65599999999999992</v>
      </c>
      <c r="BM73" s="785">
        <f t="shared" ref="BM73:BM77" si="48">IF(AND(BL73&gt;0,I73&gt;0),BL73*I73,0)</f>
        <v>3.2799999999999996E-2</v>
      </c>
      <c r="BN73" s="1098"/>
      <c r="BO73" s="1035"/>
      <c r="BP73" s="605"/>
      <c r="BQ73" s="605"/>
    </row>
    <row r="74" spans="2:69" ht="87" customHeight="1">
      <c r="B74" s="1037"/>
      <c r="C74" s="1077"/>
      <c r="D74" s="1081"/>
      <c r="E74" s="1081"/>
      <c r="F74" s="1079"/>
      <c r="G74" s="1078"/>
      <c r="H74" s="28" t="str">
        <f>+'1.Informe Seguimiento POA 2023'!D78</f>
        <v>4.4.10 Realizar 100 actividades de implementación de los instrumentos archivísticos establecidos por norma, y de las herramientas de apoyo a la gestión documental.</v>
      </c>
      <c r="I74" s="78">
        <f>+'1.Informe Seguimiento POA 2023'!E78</f>
        <v>0.05</v>
      </c>
      <c r="J74" s="72">
        <f>+'1.Informe Seguimiento POA 2023'!F78</f>
        <v>100</v>
      </c>
      <c r="K74" s="573" t="str">
        <f>+'1.Informe Seguimiento POA 2023'!I78</f>
        <v>Gestión Documental
Direccionamiento TIC</v>
      </c>
      <c r="L74" s="573" t="str">
        <f>+'1.Informe Seguimiento POA 2023'!J78</f>
        <v>Subdirección de Gestión Documental y Recursos Físicos
Dirección de Tecnologías de la Información y Comunicaciones</v>
      </c>
      <c r="M74" s="522">
        <f>+'1.Informe Seguimiento POA 2023'!K78</f>
        <v>25</v>
      </c>
      <c r="N74" s="522">
        <f>+'1.Informe Seguimiento POA 2023'!L78</f>
        <v>25</v>
      </c>
      <c r="O74" s="522">
        <f>+'1.Informe Seguimiento POA 2023'!M78</f>
        <v>25</v>
      </c>
      <c r="P74" s="522">
        <f>+'1.Informe Seguimiento POA 2023'!N78</f>
        <v>25</v>
      </c>
      <c r="Q74" s="657">
        <v>5</v>
      </c>
      <c r="R74" s="657">
        <v>6</v>
      </c>
      <c r="S74" s="657">
        <v>7</v>
      </c>
      <c r="T74" s="657">
        <v>5</v>
      </c>
      <c r="U74" s="657">
        <v>7</v>
      </c>
      <c r="V74" s="657">
        <v>6</v>
      </c>
      <c r="W74" s="657">
        <v>6</v>
      </c>
      <c r="X74" s="657">
        <v>5</v>
      </c>
      <c r="Y74" s="769">
        <v>25</v>
      </c>
      <c r="Z74" s="769">
        <v>22</v>
      </c>
      <c r="AA74" s="529">
        <v>0.88</v>
      </c>
      <c r="AB74" s="657">
        <v>5</v>
      </c>
      <c r="AC74" s="657">
        <v>5</v>
      </c>
      <c r="AD74" s="657">
        <v>7</v>
      </c>
      <c r="AE74" s="657">
        <v>7</v>
      </c>
      <c r="AF74" s="657">
        <v>7</v>
      </c>
      <c r="AG74" s="657">
        <v>7.35</v>
      </c>
      <c r="AH74" s="657">
        <v>6</v>
      </c>
      <c r="AI74" s="657">
        <v>6.25</v>
      </c>
      <c r="AJ74" s="769">
        <v>25</v>
      </c>
      <c r="AK74" s="769">
        <v>25.6</v>
      </c>
      <c r="AL74" s="947">
        <v>1.024</v>
      </c>
      <c r="AM74" s="507">
        <f>+'1.Informe Seguimiento POA 2023'!O78</f>
        <v>5.25</v>
      </c>
      <c r="AN74" s="507">
        <f>+'1.Informe Seguimiento POA 2023'!P78</f>
        <v>5.65</v>
      </c>
      <c r="AO74" s="507">
        <f>+'1.Informe Seguimiento POA 2023'!Q78</f>
        <v>6.5</v>
      </c>
      <c r="AP74" s="507">
        <f>+'1.Informe Seguimiento POA 2023'!R78</f>
        <v>7.45</v>
      </c>
      <c r="AQ74" s="507">
        <f>+'1.Informe Seguimiento POA 2023'!S78</f>
        <v>6.75</v>
      </c>
      <c r="AR74" s="507">
        <f>+'1.Informe Seguimiento POA 2023'!T78</f>
        <v>0</v>
      </c>
      <c r="AS74" s="507">
        <f>+'1.Informe Seguimiento POA 2023'!U78</f>
        <v>6.5</v>
      </c>
      <c r="AT74" s="507">
        <f>+'1.Informe Seguimiento POA 2023'!V78</f>
        <v>0</v>
      </c>
      <c r="AU74" s="522">
        <f>+'1.Informe Seguimiento POA 2023'!W78</f>
        <v>25</v>
      </c>
      <c r="AV74" s="522">
        <f>+'1.Informe Seguimiento POA 2023'!X78</f>
        <v>13.100000000000001</v>
      </c>
      <c r="AW74" s="529">
        <f>+'1.Informe Seguimiento POA 2023'!Y78</f>
        <v>0.52400000000000002</v>
      </c>
      <c r="AX74" s="582"/>
      <c r="AY74" s="582"/>
      <c r="AZ74" s="582"/>
      <c r="BA74" s="582"/>
      <c r="BB74" s="582"/>
      <c r="BC74" s="582"/>
      <c r="BD74" s="582"/>
      <c r="BE74" s="582"/>
      <c r="BF74" s="522">
        <f t="shared" si="45"/>
        <v>25</v>
      </c>
      <c r="BG74" s="522"/>
      <c r="BH74" s="582"/>
      <c r="BI74" s="256">
        <f t="shared" si="46"/>
        <v>61.75</v>
      </c>
      <c r="BJ74" s="256">
        <f t="shared" si="47"/>
        <v>60.7</v>
      </c>
      <c r="BK74" s="508">
        <f t="shared" si="18"/>
        <v>0.98299595141700413</v>
      </c>
      <c r="BL74" s="508">
        <f>(IF(AND(BJ74&gt;0,$J74&gt;0),BJ74/$J74,0))</f>
        <v>0.60699999999999998</v>
      </c>
      <c r="BM74" s="785">
        <f t="shared" si="48"/>
        <v>3.0350000000000002E-2</v>
      </c>
      <c r="BN74" s="1098"/>
      <c r="BO74" s="1035"/>
      <c r="BP74" s="605"/>
      <c r="BQ74" s="605"/>
    </row>
    <row r="75" spans="2:69" ht="63" customHeight="1">
      <c r="B75" s="1037"/>
      <c r="C75" s="1077"/>
      <c r="D75" s="1081"/>
      <c r="E75" s="1081"/>
      <c r="F75" s="1071" t="s">
        <v>985</v>
      </c>
      <c r="G75" s="1071" t="s">
        <v>981</v>
      </c>
      <c r="H75" s="28" t="str">
        <f>+'1.Informe Seguimiento POA 2023'!D79</f>
        <v>4.4.11  Representar a la Entidad en el 100% de los procesos judiciales en los cuales la sea vinculada o demandada.</v>
      </c>
      <c r="I75" s="78">
        <f>+'1.Informe Seguimiento POA 2023'!E79</f>
        <v>0.05</v>
      </c>
      <c r="J75" s="569">
        <f>+'1.Informe Seguimiento POA 2023'!F79</f>
        <v>1</v>
      </c>
      <c r="K75" s="573" t="str">
        <f>+'1.Informe Seguimiento POA 2023'!I79</f>
        <v xml:space="preserve"> Gestión Jurídica</v>
      </c>
      <c r="L75" s="573" t="str">
        <f>+'1.Informe Seguimiento POA 2023'!J79</f>
        <v>Oficina Asesora Jurídica</v>
      </c>
      <c r="M75" s="521">
        <f>+'1.Informe Seguimiento POA 2023'!K79</f>
        <v>1</v>
      </c>
      <c r="N75" s="521">
        <f>+'1.Informe Seguimiento POA 2023'!L79</f>
        <v>1</v>
      </c>
      <c r="O75" s="521">
        <f>+'1.Informe Seguimiento POA 2023'!M79</f>
        <v>1</v>
      </c>
      <c r="P75" s="521">
        <f>+'1.Informe Seguimiento POA 2023'!N79</f>
        <v>1</v>
      </c>
      <c r="Q75" s="767">
        <v>1</v>
      </c>
      <c r="R75" s="767">
        <v>1</v>
      </c>
      <c r="S75" s="767">
        <v>1</v>
      </c>
      <c r="T75" s="767">
        <v>1</v>
      </c>
      <c r="U75" s="767">
        <v>1</v>
      </c>
      <c r="V75" s="767">
        <v>1</v>
      </c>
      <c r="W75" s="767">
        <v>1</v>
      </c>
      <c r="X75" s="767">
        <v>1</v>
      </c>
      <c r="Y75" s="510">
        <v>1</v>
      </c>
      <c r="Z75" s="510">
        <v>1</v>
      </c>
      <c r="AA75" s="510">
        <v>1</v>
      </c>
      <c r="AB75" s="767">
        <v>1</v>
      </c>
      <c r="AC75" s="767">
        <v>1</v>
      </c>
      <c r="AD75" s="767">
        <v>1</v>
      </c>
      <c r="AE75" s="767">
        <v>1</v>
      </c>
      <c r="AF75" s="767">
        <v>1</v>
      </c>
      <c r="AG75" s="767">
        <v>1</v>
      </c>
      <c r="AH75" s="767">
        <v>1</v>
      </c>
      <c r="AI75" s="767">
        <v>1</v>
      </c>
      <c r="AJ75" s="510">
        <v>1</v>
      </c>
      <c r="AK75" s="510">
        <v>1</v>
      </c>
      <c r="AL75" s="510">
        <v>1</v>
      </c>
      <c r="AM75" s="575">
        <f>+'1.Informe Seguimiento POA 2023'!O79</f>
        <v>1</v>
      </c>
      <c r="AN75" s="575">
        <f>+'1.Informe Seguimiento POA 2023'!P79</f>
        <v>1</v>
      </c>
      <c r="AO75" s="575">
        <f>+'1.Informe Seguimiento POA 2023'!Q79</f>
        <v>1</v>
      </c>
      <c r="AP75" s="575">
        <f>+'1.Informe Seguimiento POA 2023'!R79</f>
        <v>1</v>
      </c>
      <c r="AQ75" s="575">
        <f>+'1.Informe Seguimiento POA 2023'!S79</f>
        <v>1</v>
      </c>
      <c r="AR75" s="575">
        <f>+'1.Informe Seguimiento POA 2023'!T79</f>
        <v>0</v>
      </c>
      <c r="AS75" s="575">
        <f>+'1.Informe Seguimiento POA 2023'!U79</f>
        <v>1</v>
      </c>
      <c r="AT75" s="575">
        <f>+'1.Informe Seguimiento POA 2023'!V79</f>
        <v>0</v>
      </c>
      <c r="AU75" s="510">
        <f>+'1.Informe Seguimiento POA 2023'!W79</f>
        <v>1</v>
      </c>
      <c r="AV75" s="510">
        <f>+'1.Informe Seguimiento POA 2023'!X79</f>
        <v>1</v>
      </c>
      <c r="AW75" s="510">
        <f>+'1.Informe Seguimiento POA 2023'!Y79</f>
        <v>0.5</v>
      </c>
      <c r="AX75" s="582"/>
      <c r="AY75" s="582"/>
      <c r="AZ75" s="582"/>
      <c r="BA75" s="582"/>
      <c r="BB75" s="582"/>
      <c r="BC75" s="582"/>
      <c r="BD75" s="582"/>
      <c r="BE75" s="582"/>
      <c r="BF75" s="569">
        <f t="shared" si="45"/>
        <v>1</v>
      </c>
      <c r="BG75" s="569"/>
      <c r="BH75" s="582"/>
      <c r="BI75" s="509">
        <f>IFERROR(AVERAGE(Q75,S75,U75,W75,AB75,AD75,AF75,AH75,AM75,AO75),0)</f>
        <v>1</v>
      </c>
      <c r="BJ75" s="509">
        <f>IFERROR(AVERAGE(R75,T75,V75,X75,AC75,AE75,AG75,AI75,AN75,AP75),0)</f>
        <v>1</v>
      </c>
      <c r="BK75" s="508">
        <f t="shared" si="18"/>
        <v>1</v>
      </c>
      <c r="BL75" s="963">
        <f t="shared" ref="BL75:BL82" si="49">(IF(AND(BJ75&gt;0,$J75&gt;0),BJ75/$J75,0)/4)*3</f>
        <v>0.75</v>
      </c>
      <c r="BM75" s="785">
        <f t="shared" si="48"/>
        <v>3.7500000000000006E-2</v>
      </c>
      <c r="BN75" s="1098"/>
      <c r="BO75" s="1035"/>
      <c r="BP75" s="605"/>
      <c r="BQ75" s="605"/>
    </row>
    <row r="76" spans="2:69" ht="54.75" customHeight="1">
      <c r="B76" s="1037"/>
      <c r="C76" s="1077"/>
      <c r="D76" s="1081"/>
      <c r="E76" s="1081"/>
      <c r="F76" s="1077"/>
      <c r="G76" s="1077"/>
      <c r="H76" s="28" t="str">
        <f>+'1.Informe Seguimiento POA 2023'!D80</f>
        <v xml:space="preserve">4.4.12 Defender judicialmente a la Entidad en el 100% de las acciones de tutela en las cuales sea vinculada o accionada </v>
      </c>
      <c r="I76" s="78">
        <f>+'1.Informe Seguimiento POA 2023'!E80</f>
        <v>0.05</v>
      </c>
      <c r="J76" s="569">
        <f>+'1.Informe Seguimiento POA 2023'!F80</f>
        <v>1</v>
      </c>
      <c r="K76" s="573" t="str">
        <f>+'1.Informe Seguimiento POA 2023'!I80</f>
        <v xml:space="preserve"> Gestión Jurídica</v>
      </c>
      <c r="L76" s="573" t="str">
        <f>+'1.Informe Seguimiento POA 2023'!J80</f>
        <v>Oficina Asesora Jurídica</v>
      </c>
      <c r="M76" s="521">
        <f>+'1.Informe Seguimiento POA 2023'!K80</f>
        <v>1</v>
      </c>
      <c r="N76" s="521">
        <f>+'1.Informe Seguimiento POA 2023'!L80</f>
        <v>1</v>
      </c>
      <c r="O76" s="521">
        <f>+'1.Informe Seguimiento POA 2023'!M80</f>
        <v>1</v>
      </c>
      <c r="P76" s="521">
        <f>+'1.Informe Seguimiento POA 2023'!N80</f>
        <v>1</v>
      </c>
      <c r="Q76" s="767">
        <v>1</v>
      </c>
      <c r="R76" s="767">
        <v>1</v>
      </c>
      <c r="S76" s="767">
        <v>1</v>
      </c>
      <c r="T76" s="767">
        <v>1</v>
      </c>
      <c r="U76" s="767">
        <v>1</v>
      </c>
      <c r="V76" s="767">
        <v>1</v>
      </c>
      <c r="W76" s="767">
        <v>1</v>
      </c>
      <c r="X76" s="767">
        <v>1</v>
      </c>
      <c r="Y76" s="510">
        <v>1</v>
      </c>
      <c r="Z76" s="510">
        <v>1</v>
      </c>
      <c r="AA76" s="510">
        <v>1</v>
      </c>
      <c r="AB76" s="767">
        <v>1</v>
      </c>
      <c r="AC76" s="767">
        <v>1</v>
      </c>
      <c r="AD76" s="767">
        <v>1</v>
      </c>
      <c r="AE76" s="767">
        <v>1</v>
      </c>
      <c r="AF76" s="767">
        <v>1</v>
      </c>
      <c r="AG76" s="767">
        <v>1</v>
      </c>
      <c r="AH76" s="767">
        <v>1</v>
      </c>
      <c r="AI76" s="767">
        <v>1</v>
      </c>
      <c r="AJ76" s="510">
        <v>1</v>
      </c>
      <c r="AK76" s="510">
        <v>1</v>
      </c>
      <c r="AL76" s="510">
        <v>1</v>
      </c>
      <c r="AM76" s="575">
        <f>+'1.Informe Seguimiento POA 2023'!O80</f>
        <v>1</v>
      </c>
      <c r="AN76" s="575">
        <f>+'1.Informe Seguimiento POA 2023'!P80</f>
        <v>1</v>
      </c>
      <c r="AO76" s="575">
        <f>+'1.Informe Seguimiento POA 2023'!Q80</f>
        <v>1</v>
      </c>
      <c r="AP76" s="575">
        <f>+'1.Informe Seguimiento POA 2023'!R80</f>
        <v>1</v>
      </c>
      <c r="AQ76" s="575">
        <f>+'1.Informe Seguimiento POA 2023'!S80</f>
        <v>1</v>
      </c>
      <c r="AR76" s="575">
        <f>+'1.Informe Seguimiento POA 2023'!T80</f>
        <v>0</v>
      </c>
      <c r="AS76" s="575">
        <f>+'1.Informe Seguimiento POA 2023'!U80</f>
        <v>1</v>
      </c>
      <c r="AT76" s="575">
        <f>+'1.Informe Seguimiento POA 2023'!V80</f>
        <v>0</v>
      </c>
      <c r="AU76" s="510">
        <f>+'1.Informe Seguimiento POA 2023'!W80</f>
        <v>1</v>
      </c>
      <c r="AV76" s="510">
        <f>+'1.Informe Seguimiento POA 2023'!X80</f>
        <v>1</v>
      </c>
      <c r="AW76" s="510">
        <f>+'1.Informe Seguimiento POA 2023'!Y80</f>
        <v>0.5</v>
      </c>
      <c r="AX76" s="582"/>
      <c r="AY76" s="582"/>
      <c r="AZ76" s="582"/>
      <c r="BA76" s="582"/>
      <c r="BB76" s="582"/>
      <c r="BC76" s="582"/>
      <c r="BD76" s="582"/>
      <c r="BE76" s="582"/>
      <c r="BF76" s="569">
        <f t="shared" si="45"/>
        <v>1</v>
      </c>
      <c r="BG76" s="569"/>
      <c r="BH76" s="582"/>
      <c r="BI76" s="509">
        <f t="shared" ref="BI76:BI79" si="50">IFERROR(AVERAGE(Q76,S76,U76,W76,AB76,AD76,AF76,AH76,AM76,AO76),0)</f>
        <v>1</v>
      </c>
      <c r="BJ76" s="509">
        <f t="shared" ref="BJ76:BJ79" si="51">IFERROR(AVERAGE(R76,T76,V76,X76,AC76,AE76,AG76,AI76,AN76,AP76),0)</f>
        <v>1</v>
      </c>
      <c r="BK76" s="508">
        <f t="shared" si="18"/>
        <v>1</v>
      </c>
      <c r="BL76" s="963">
        <f t="shared" si="49"/>
        <v>0.75</v>
      </c>
      <c r="BM76" s="785">
        <f t="shared" si="48"/>
        <v>3.7500000000000006E-2</v>
      </c>
      <c r="BN76" s="1098"/>
      <c r="BO76" s="1035"/>
      <c r="BP76" s="605"/>
      <c r="BQ76" s="605"/>
    </row>
    <row r="77" spans="2:69" ht="78.75" customHeight="1">
      <c r="B77" s="1037"/>
      <c r="C77" s="1077"/>
      <c r="D77" s="1081"/>
      <c r="E77" s="1081"/>
      <c r="F77" s="1077"/>
      <c r="G77" s="1077"/>
      <c r="H77" s="28" t="str">
        <f>+'1.Informe Seguimiento POA 2023'!D81</f>
        <v>4.4.13 Emitir oportunamente el 100% de los conceptos jurídicos solicitados por el Despacho del Personero de Bogotá o sus delegados.</v>
      </c>
      <c r="I77" s="78">
        <f>+'1.Informe Seguimiento POA 2023'!E81</f>
        <v>0.05</v>
      </c>
      <c r="J77" s="569">
        <f>+'1.Informe Seguimiento POA 2023'!F81</f>
        <v>1</v>
      </c>
      <c r="K77" s="573" t="str">
        <f>+'1.Informe Seguimiento POA 2023'!I81</f>
        <v xml:space="preserve"> Gestión Jurídica</v>
      </c>
      <c r="L77" s="573" t="str">
        <f>+'1.Informe Seguimiento POA 2023'!J81</f>
        <v>Oficina Asesora Jurídica</v>
      </c>
      <c r="M77" s="521">
        <f>+'1.Informe Seguimiento POA 2023'!K81</f>
        <v>1</v>
      </c>
      <c r="N77" s="521">
        <f>+'1.Informe Seguimiento POA 2023'!L81</f>
        <v>1</v>
      </c>
      <c r="O77" s="521">
        <f>+'1.Informe Seguimiento POA 2023'!M81</f>
        <v>1</v>
      </c>
      <c r="P77" s="521">
        <f>+'1.Informe Seguimiento POA 2023'!N81</f>
        <v>1</v>
      </c>
      <c r="Q77" s="767">
        <v>1</v>
      </c>
      <c r="R77" s="767">
        <v>1</v>
      </c>
      <c r="S77" s="767">
        <v>1</v>
      </c>
      <c r="T77" s="767">
        <v>1</v>
      </c>
      <c r="U77" s="767">
        <v>1</v>
      </c>
      <c r="V77" s="767">
        <v>1</v>
      </c>
      <c r="W77" s="767">
        <v>1</v>
      </c>
      <c r="X77" s="767">
        <v>1</v>
      </c>
      <c r="Y77" s="510">
        <v>1</v>
      </c>
      <c r="Z77" s="510">
        <v>1</v>
      </c>
      <c r="AA77" s="510">
        <v>1</v>
      </c>
      <c r="AB77" s="767">
        <v>1</v>
      </c>
      <c r="AC77" s="767">
        <v>1</v>
      </c>
      <c r="AD77" s="767">
        <v>1</v>
      </c>
      <c r="AE77" s="767">
        <v>1</v>
      </c>
      <c r="AF77" s="767">
        <v>1</v>
      </c>
      <c r="AG77" s="767">
        <v>1</v>
      </c>
      <c r="AH77" s="767">
        <v>1</v>
      </c>
      <c r="AI77" s="767">
        <v>1</v>
      </c>
      <c r="AJ77" s="510">
        <v>1</v>
      </c>
      <c r="AK77" s="510">
        <v>1</v>
      </c>
      <c r="AL77" s="510">
        <v>1</v>
      </c>
      <c r="AM77" s="575">
        <f>+'1.Informe Seguimiento POA 2023'!O81</f>
        <v>1</v>
      </c>
      <c r="AN77" s="575">
        <f>+'1.Informe Seguimiento POA 2023'!P81</f>
        <v>1</v>
      </c>
      <c r="AO77" s="575">
        <f>+'1.Informe Seguimiento POA 2023'!Q81</f>
        <v>1</v>
      </c>
      <c r="AP77" s="575">
        <f>+'1.Informe Seguimiento POA 2023'!R81</f>
        <v>1</v>
      </c>
      <c r="AQ77" s="575">
        <f>+'1.Informe Seguimiento POA 2023'!S81</f>
        <v>1</v>
      </c>
      <c r="AR77" s="575">
        <f>+'1.Informe Seguimiento POA 2023'!T81</f>
        <v>0</v>
      </c>
      <c r="AS77" s="575">
        <f>+'1.Informe Seguimiento POA 2023'!U81</f>
        <v>1</v>
      </c>
      <c r="AT77" s="575">
        <f>+'1.Informe Seguimiento POA 2023'!V81</f>
        <v>0</v>
      </c>
      <c r="AU77" s="510">
        <f>+'1.Informe Seguimiento POA 2023'!W81</f>
        <v>1</v>
      </c>
      <c r="AV77" s="510">
        <f>+'1.Informe Seguimiento POA 2023'!X81</f>
        <v>1</v>
      </c>
      <c r="AW77" s="510">
        <f>+'1.Informe Seguimiento POA 2023'!Y81</f>
        <v>0.5</v>
      </c>
      <c r="AX77" s="582"/>
      <c r="AY77" s="582"/>
      <c r="AZ77" s="582"/>
      <c r="BA77" s="582"/>
      <c r="BB77" s="582"/>
      <c r="BC77" s="582"/>
      <c r="BD77" s="582"/>
      <c r="BE77" s="582"/>
      <c r="BF77" s="569">
        <f t="shared" si="45"/>
        <v>1</v>
      </c>
      <c r="BG77" s="569"/>
      <c r="BH77" s="582"/>
      <c r="BI77" s="509">
        <f t="shared" si="50"/>
        <v>1</v>
      </c>
      <c r="BJ77" s="509">
        <f t="shared" si="51"/>
        <v>1</v>
      </c>
      <c r="BK77" s="508">
        <f t="shared" si="18"/>
        <v>1</v>
      </c>
      <c r="BL77" s="963">
        <f t="shared" si="49"/>
        <v>0.75</v>
      </c>
      <c r="BM77" s="785">
        <f t="shared" si="48"/>
        <v>3.7500000000000006E-2</v>
      </c>
      <c r="BN77" s="1098"/>
      <c r="BO77" s="1035"/>
      <c r="BP77" s="605"/>
      <c r="BQ77" s="605"/>
    </row>
    <row r="78" spans="2:69" ht="76.5" customHeight="1">
      <c r="B78" s="1037"/>
      <c r="C78" s="1077"/>
      <c r="D78" s="1081"/>
      <c r="E78" s="1081"/>
      <c r="F78" s="1077"/>
      <c r="G78" s="1077"/>
      <c r="H78" s="1125" t="str">
        <f>+'1.Informe Seguimiento POA 2023'!D82</f>
        <v>4.4.14 Registrar el 100% de los reportes de las sanciones disciplinarias de los servidores públicos distritales.</v>
      </c>
      <c r="I78" s="1127">
        <f>+'1.Informe Seguimiento POA 2023'!E82</f>
        <v>0.05</v>
      </c>
      <c r="J78" s="569">
        <f>+'1.Informe Seguimiento POA 2023'!F82</f>
        <v>1</v>
      </c>
      <c r="K78" s="573" t="str">
        <f>+'1.Informe Seguimiento POA 2023'!I82</f>
        <v xml:space="preserve"> Gestión Jurídica</v>
      </c>
      <c r="L78" s="573" t="str">
        <f>+'1.Informe Seguimiento POA 2023'!J82</f>
        <v>Oficina Asesora Jurídica</v>
      </c>
      <c r="M78" s="521">
        <f>+'1.Informe Seguimiento POA 2023'!K82</f>
        <v>1</v>
      </c>
      <c r="N78" s="521">
        <f>+'1.Informe Seguimiento POA 2023'!L82</f>
        <v>1</v>
      </c>
      <c r="O78" s="521">
        <f>+'1.Informe Seguimiento POA 2023'!M82</f>
        <v>1</v>
      </c>
      <c r="P78" s="521">
        <f>+'1.Informe Seguimiento POA 2023'!N82</f>
        <v>1</v>
      </c>
      <c r="Q78" s="767">
        <v>1</v>
      </c>
      <c r="R78" s="767">
        <v>1</v>
      </c>
      <c r="S78" s="767">
        <v>1</v>
      </c>
      <c r="T78" s="767">
        <v>1</v>
      </c>
      <c r="U78" s="767">
        <v>1</v>
      </c>
      <c r="V78" s="767">
        <v>1</v>
      </c>
      <c r="W78" s="767">
        <v>1</v>
      </c>
      <c r="X78" s="767">
        <v>1</v>
      </c>
      <c r="Y78" s="510">
        <v>1</v>
      </c>
      <c r="Z78" s="510">
        <v>1</v>
      </c>
      <c r="AA78" s="510">
        <v>1</v>
      </c>
      <c r="AB78" s="767">
        <v>1</v>
      </c>
      <c r="AC78" s="767">
        <v>1</v>
      </c>
      <c r="AD78" s="767">
        <v>1</v>
      </c>
      <c r="AE78" s="767">
        <v>1</v>
      </c>
      <c r="AF78" s="767">
        <v>1</v>
      </c>
      <c r="AG78" s="767">
        <v>1</v>
      </c>
      <c r="AH78" s="767">
        <v>1</v>
      </c>
      <c r="AI78" s="767">
        <v>1</v>
      </c>
      <c r="AJ78" s="510">
        <v>1</v>
      </c>
      <c r="AK78" s="510">
        <v>1</v>
      </c>
      <c r="AL78" s="510">
        <v>1</v>
      </c>
      <c r="AM78" s="575">
        <f>+'1.Informe Seguimiento POA 2023'!O82</f>
        <v>1</v>
      </c>
      <c r="AN78" s="575">
        <f>+'1.Informe Seguimiento POA 2023'!P82</f>
        <v>1</v>
      </c>
      <c r="AO78" s="575">
        <f>+'1.Informe Seguimiento POA 2023'!Q82</f>
        <v>1</v>
      </c>
      <c r="AP78" s="575">
        <f>+'1.Informe Seguimiento POA 2023'!R82</f>
        <v>1</v>
      </c>
      <c r="AQ78" s="575">
        <f>+'1.Informe Seguimiento POA 2023'!S82</f>
        <v>1</v>
      </c>
      <c r="AR78" s="575">
        <f>+'1.Informe Seguimiento POA 2023'!T82</f>
        <v>0</v>
      </c>
      <c r="AS78" s="575">
        <f>+'1.Informe Seguimiento POA 2023'!U82</f>
        <v>1</v>
      </c>
      <c r="AT78" s="575">
        <f>+'1.Informe Seguimiento POA 2023'!V82</f>
        <v>0</v>
      </c>
      <c r="AU78" s="510">
        <f>+'1.Informe Seguimiento POA 2023'!W82</f>
        <v>1</v>
      </c>
      <c r="AV78" s="510">
        <f>+'1.Informe Seguimiento POA 2023'!X82</f>
        <v>1</v>
      </c>
      <c r="AW78" s="510">
        <f>+'1.Informe Seguimiento POA 2023'!Y82</f>
        <v>0.5</v>
      </c>
      <c r="AX78" s="582"/>
      <c r="AY78" s="582"/>
      <c r="AZ78" s="582"/>
      <c r="BA78" s="582"/>
      <c r="BB78" s="582"/>
      <c r="BC78" s="582"/>
      <c r="BD78" s="582"/>
      <c r="BE78" s="582"/>
      <c r="BF78" s="569">
        <f t="shared" si="45"/>
        <v>1</v>
      </c>
      <c r="BG78" s="569"/>
      <c r="BH78" s="582"/>
      <c r="BI78" s="509">
        <f t="shared" si="50"/>
        <v>1</v>
      </c>
      <c r="BJ78" s="509">
        <f t="shared" si="51"/>
        <v>1</v>
      </c>
      <c r="BK78" s="508">
        <f t="shared" si="18"/>
        <v>1</v>
      </c>
      <c r="BL78" s="963">
        <f t="shared" si="49"/>
        <v>0.75</v>
      </c>
      <c r="BM78" s="1129">
        <f>AVERAGE((IF(AND(BL78&gt;0,I78&gt;0),BL78*I78,0)),(IF(AND(BL79&gt;0,I78&gt;0),BL79*I78,0)))</f>
        <v>3.7500000000000006E-2</v>
      </c>
      <c r="BN78" s="1098"/>
      <c r="BO78" s="1035"/>
      <c r="BP78" s="605"/>
      <c r="BQ78" s="605"/>
    </row>
    <row r="79" spans="2:69" ht="76.5" customHeight="1">
      <c r="B79" s="1037"/>
      <c r="C79" s="1077"/>
      <c r="D79" s="1081"/>
      <c r="E79" s="1081"/>
      <c r="F79" s="1078"/>
      <c r="G79" s="1077"/>
      <c r="H79" s="1126"/>
      <c r="I79" s="1128"/>
      <c r="J79" s="569">
        <f>+'1.Informe Seguimiento POA 2023'!F83</f>
        <v>1</v>
      </c>
      <c r="K79" s="573" t="str">
        <f>+'1.Informe Seguimiento POA 2023'!I83</f>
        <v xml:space="preserve"> Gestión Jurídica</v>
      </c>
      <c r="L79" s="573" t="str">
        <f>+'1.Informe Seguimiento POA 2023'!J83</f>
        <v>Oficina Asesora Jurídica</v>
      </c>
      <c r="M79" s="521">
        <f>+'1.Informe Seguimiento POA 2023'!K83</f>
        <v>1</v>
      </c>
      <c r="N79" s="521">
        <f>+'1.Informe Seguimiento POA 2023'!L83</f>
        <v>1</v>
      </c>
      <c r="O79" s="521">
        <f>+'1.Informe Seguimiento POA 2023'!M83</f>
        <v>1</v>
      </c>
      <c r="P79" s="521">
        <f>+'1.Informe Seguimiento POA 2023'!N83</f>
        <v>1</v>
      </c>
      <c r="Q79" s="767">
        <v>1</v>
      </c>
      <c r="R79" s="767">
        <v>1</v>
      </c>
      <c r="S79" s="767">
        <v>1</v>
      </c>
      <c r="T79" s="767">
        <v>1</v>
      </c>
      <c r="U79" s="767">
        <v>1</v>
      </c>
      <c r="V79" s="767">
        <v>1</v>
      </c>
      <c r="W79" s="767">
        <v>1</v>
      </c>
      <c r="X79" s="767">
        <v>1</v>
      </c>
      <c r="Y79" s="510">
        <v>1</v>
      </c>
      <c r="Z79" s="510">
        <v>1</v>
      </c>
      <c r="AA79" s="510">
        <v>1</v>
      </c>
      <c r="AB79" s="767">
        <v>1</v>
      </c>
      <c r="AC79" s="767">
        <v>1</v>
      </c>
      <c r="AD79" s="767">
        <v>1</v>
      </c>
      <c r="AE79" s="767">
        <v>1</v>
      </c>
      <c r="AF79" s="767">
        <v>1</v>
      </c>
      <c r="AG79" s="767">
        <v>1</v>
      </c>
      <c r="AH79" s="767">
        <v>1</v>
      </c>
      <c r="AI79" s="767">
        <v>1</v>
      </c>
      <c r="AJ79" s="510">
        <v>1</v>
      </c>
      <c r="AK79" s="510">
        <v>1</v>
      </c>
      <c r="AL79" s="510">
        <v>1</v>
      </c>
      <c r="AM79" s="575">
        <f>+'1.Informe Seguimiento POA 2023'!O83</f>
        <v>1</v>
      </c>
      <c r="AN79" s="575">
        <f>+'1.Informe Seguimiento POA 2023'!P83</f>
        <v>1</v>
      </c>
      <c r="AO79" s="575">
        <f>+'1.Informe Seguimiento POA 2023'!Q83</f>
        <v>1</v>
      </c>
      <c r="AP79" s="575">
        <f>+'1.Informe Seguimiento POA 2023'!R83</f>
        <v>1</v>
      </c>
      <c r="AQ79" s="575">
        <f>+'1.Informe Seguimiento POA 2023'!S83</f>
        <v>1</v>
      </c>
      <c r="AR79" s="575">
        <f>+'1.Informe Seguimiento POA 2023'!T83</f>
        <v>0</v>
      </c>
      <c r="AS79" s="575">
        <f>+'1.Informe Seguimiento POA 2023'!U83</f>
        <v>1</v>
      </c>
      <c r="AT79" s="575">
        <f>+'1.Informe Seguimiento POA 2023'!V83</f>
        <v>0</v>
      </c>
      <c r="AU79" s="510">
        <f>+'1.Informe Seguimiento POA 2023'!W83</f>
        <v>1</v>
      </c>
      <c r="AV79" s="510">
        <f>+'1.Informe Seguimiento POA 2023'!X83</f>
        <v>1</v>
      </c>
      <c r="AW79" s="510">
        <f>+'1.Informe Seguimiento POA 2023'!Y83</f>
        <v>0.5</v>
      </c>
      <c r="AX79" s="582"/>
      <c r="AY79" s="582"/>
      <c r="AZ79" s="582"/>
      <c r="BA79" s="582"/>
      <c r="BB79" s="582"/>
      <c r="BC79" s="582"/>
      <c r="BD79" s="582"/>
      <c r="BE79" s="582"/>
      <c r="BF79" s="569">
        <f t="shared" si="45"/>
        <v>1</v>
      </c>
      <c r="BG79" s="569"/>
      <c r="BH79" s="582"/>
      <c r="BI79" s="509">
        <f t="shared" si="50"/>
        <v>1</v>
      </c>
      <c r="BJ79" s="509">
        <f t="shared" si="51"/>
        <v>1</v>
      </c>
      <c r="BK79" s="508">
        <f t="shared" si="18"/>
        <v>1</v>
      </c>
      <c r="BL79" s="963">
        <f t="shared" si="49"/>
        <v>0.75</v>
      </c>
      <c r="BM79" s="1130"/>
      <c r="BN79" s="1098"/>
      <c r="BO79" s="1035"/>
      <c r="BP79" s="605"/>
      <c r="BQ79" s="605"/>
    </row>
    <row r="80" spans="2:69" ht="76.5" customHeight="1">
      <c r="B80" s="1037"/>
      <c r="C80" s="1077"/>
      <c r="D80" s="1081"/>
      <c r="E80" s="1081"/>
      <c r="F80" s="1071" t="s">
        <v>997</v>
      </c>
      <c r="G80" s="1079" t="s">
        <v>988</v>
      </c>
      <c r="H80" s="1125" t="str">
        <f>+'1.Informe Seguimiento POA 2023'!D84</f>
        <v>4.4.15 Elaborar el 95% de los contratos en cada una de las modalidades de selección en los tiempos óptimos</v>
      </c>
      <c r="I80" s="1127">
        <f>+'1.Informe Seguimiento POA 2023'!E84</f>
        <v>0.1</v>
      </c>
      <c r="J80" s="569">
        <f>+'1.Informe Seguimiento POA 2023'!F84</f>
        <v>0.95</v>
      </c>
      <c r="K80" s="573" t="str">
        <f>+'1.Informe Seguimiento POA 2023'!I84</f>
        <v>Gestión Contractual</v>
      </c>
      <c r="L80" s="573" t="str">
        <f>+'1.Informe Seguimiento POA 2023'!J84</f>
        <v>Subdirección de Gestión Contractual
Dirección Administrativa y Financiera</v>
      </c>
      <c r="M80" s="521">
        <f>+'1.Informe Seguimiento POA 2023'!K84</f>
        <v>0.6</v>
      </c>
      <c r="N80" s="521">
        <f>+'1.Informe Seguimiento POA 2023'!L84</f>
        <v>0.8</v>
      </c>
      <c r="O80" s="521">
        <f>+'1.Informe Seguimiento POA 2023'!M84</f>
        <v>0.9</v>
      </c>
      <c r="P80" s="521">
        <f>+'1.Informe Seguimiento POA 2023'!N84</f>
        <v>0.95</v>
      </c>
      <c r="Q80" s="767">
        <v>0</v>
      </c>
      <c r="R80" s="767">
        <v>0</v>
      </c>
      <c r="S80" s="767">
        <v>0</v>
      </c>
      <c r="T80" s="767">
        <v>0</v>
      </c>
      <c r="U80" s="767">
        <v>0.6</v>
      </c>
      <c r="V80" s="767">
        <v>0.505</v>
      </c>
      <c r="W80" s="767">
        <v>0.6</v>
      </c>
      <c r="X80" s="767">
        <v>0.84199999999999997</v>
      </c>
      <c r="Y80" s="510">
        <v>0.6</v>
      </c>
      <c r="Z80" s="510">
        <v>0.67300000000000004</v>
      </c>
      <c r="AA80" s="510">
        <v>1.1216666666666668</v>
      </c>
      <c r="AB80" s="767">
        <v>0.8</v>
      </c>
      <c r="AC80" s="767">
        <v>1</v>
      </c>
      <c r="AD80" s="767">
        <v>0</v>
      </c>
      <c r="AE80" s="767">
        <v>1</v>
      </c>
      <c r="AF80" s="767">
        <v>0.80000000000000016</v>
      </c>
      <c r="AG80" s="767">
        <v>0.94899999999999995</v>
      </c>
      <c r="AH80" s="767">
        <v>0.80000000000000016</v>
      </c>
      <c r="AI80" s="767">
        <v>0.98799999999999999</v>
      </c>
      <c r="AJ80" s="510">
        <v>0.8</v>
      </c>
      <c r="AK80" s="510">
        <v>0.97599999999999998</v>
      </c>
      <c r="AL80" s="510">
        <v>1.22</v>
      </c>
      <c r="AM80" s="575">
        <f>+'1.Informe Seguimiento POA 2023'!O84</f>
        <v>0.9</v>
      </c>
      <c r="AN80" s="575">
        <f>+'1.Informe Seguimiento POA 2023'!P84</f>
        <v>0.88900000000000001</v>
      </c>
      <c r="AO80" s="575">
        <f>+'1.Informe Seguimiento POA 2023'!Q84</f>
        <v>0.9</v>
      </c>
      <c r="AP80" s="575">
        <f>+'1.Informe Seguimiento POA 2023'!R84</f>
        <v>0.97699999999999998</v>
      </c>
      <c r="AQ80" s="575">
        <f>+'1.Informe Seguimiento POA 2023'!S84</f>
        <v>0.9</v>
      </c>
      <c r="AR80" s="575">
        <f>+'1.Informe Seguimiento POA 2023'!T84</f>
        <v>0</v>
      </c>
      <c r="AS80" s="575">
        <f>+'1.Informe Seguimiento POA 2023'!U84</f>
        <v>0.9</v>
      </c>
      <c r="AT80" s="575">
        <f>+'1.Informe Seguimiento POA 2023'!V84</f>
        <v>0</v>
      </c>
      <c r="AU80" s="510">
        <f>+'1.Informe Seguimiento POA 2023'!W84</f>
        <v>0.90000000000000013</v>
      </c>
      <c r="AV80" s="510">
        <f>+'1.Informe Seguimiento POA 2023'!X84</f>
        <v>0.94</v>
      </c>
      <c r="AW80" s="510">
        <f>+'1.Informe Seguimiento POA 2023'!Y84</f>
        <v>0.52222222222222214</v>
      </c>
      <c r="AX80" s="582"/>
      <c r="AY80" s="582"/>
      <c r="AZ80" s="582"/>
      <c r="BA80" s="582"/>
      <c r="BB80" s="582"/>
      <c r="BC80" s="582"/>
      <c r="BD80" s="582"/>
      <c r="BE80" s="582"/>
      <c r="BF80" s="569">
        <f t="shared" si="45"/>
        <v>0.95</v>
      </c>
      <c r="BG80" s="569"/>
      <c r="BH80" s="582"/>
      <c r="BI80" s="509">
        <f t="shared" ref="BI80:BJ82" si="52">+AU80</f>
        <v>0.90000000000000013</v>
      </c>
      <c r="BJ80" s="509">
        <f t="shared" si="52"/>
        <v>0.94</v>
      </c>
      <c r="BK80" s="508">
        <f t="shared" si="18"/>
        <v>1.0444444444444443</v>
      </c>
      <c r="BL80" s="963">
        <f t="shared" si="49"/>
        <v>0.74210526315789471</v>
      </c>
      <c r="BM80" s="1129">
        <f>AVERAGE((IF(AND(BL80&gt;0,I80&gt;0),BL80*I80,0)),(IF(AND(BL81&gt;0,I80&gt;0),BL81*I80,0)),(IF(AND(BL82&gt;0,I80&gt;0),BL82*I80,0)))</f>
        <v>7.4736842105263171E-2</v>
      </c>
      <c r="BN80" s="1098"/>
      <c r="BO80" s="1035"/>
      <c r="BP80" s="605"/>
      <c r="BQ80" s="605"/>
    </row>
    <row r="81" spans="2:69" ht="76.5" customHeight="1">
      <c r="B81" s="1037"/>
      <c r="C81" s="1077"/>
      <c r="D81" s="1081"/>
      <c r="E81" s="1081"/>
      <c r="F81" s="1077"/>
      <c r="G81" s="1079"/>
      <c r="H81" s="1134"/>
      <c r="I81" s="1135"/>
      <c r="J81" s="569">
        <f>+'1.Informe Seguimiento POA 2023'!F85</f>
        <v>0.95</v>
      </c>
      <c r="K81" s="573" t="str">
        <f>+'1.Informe Seguimiento POA 2023'!I85</f>
        <v>Gestión Contractual</v>
      </c>
      <c r="L81" s="573" t="str">
        <f>+'1.Informe Seguimiento POA 2023'!J85</f>
        <v>Subdirección de Gestión Contractual
Dirección Administrativa y Financiera</v>
      </c>
      <c r="M81" s="521">
        <f>+'1.Informe Seguimiento POA 2023'!K85</f>
        <v>0.6</v>
      </c>
      <c r="N81" s="521">
        <f>+'1.Informe Seguimiento POA 2023'!L85</f>
        <v>0.8</v>
      </c>
      <c r="O81" s="521">
        <f>+'1.Informe Seguimiento POA 2023'!M85</f>
        <v>0.9</v>
      </c>
      <c r="P81" s="521">
        <f>+'1.Informe Seguimiento POA 2023'!N85</f>
        <v>0.95</v>
      </c>
      <c r="Q81" s="767">
        <v>0</v>
      </c>
      <c r="R81" s="767">
        <v>0</v>
      </c>
      <c r="S81" s="767">
        <v>0</v>
      </c>
      <c r="T81" s="767">
        <v>0</v>
      </c>
      <c r="U81" s="767">
        <v>0.6</v>
      </c>
      <c r="V81" s="767">
        <v>0.58299999999999996</v>
      </c>
      <c r="W81" s="767">
        <v>0.6</v>
      </c>
      <c r="X81" s="767">
        <v>0.86599999999999999</v>
      </c>
      <c r="Y81" s="510">
        <v>0.6</v>
      </c>
      <c r="Z81" s="510">
        <v>0.72499999999999998</v>
      </c>
      <c r="AA81" s="510">
        <v>1.2083333333333333</v>
      </c>
      <c r="AB81" s="767">
        <v>0</v>
      </c>
      <c r="AC81" s="767">
        <v>1</v>
      </c>
      <c r="AD81" s="767">
        <v>0.8</v>
      </c>
      <c r="AE81" s="767">
        <v>0.8</v>
      </c>
      <c r="AF81" s="767">
        <v>0.80000000000000016</v>
      </c>
      <c r="AG81" s="767">
        <v>0.86599999999999999</v>
      </c>
      <c r="AH81" s="767">
        <v>0.8</v>
      </c>
      <c r="AI81" s="767">
        <v>0.9</v>
      </c>
      <c r="AJ81" s="510">
        <v>0.8</v>
      </c>
      <c r="AK81" s="510">
        <v>0.875</v>
      </c>
      <c r="AL81" s="510">
        <v>1.09375</v>
      </c>
      <c r="AM81" s="575">
        <f>+'1.Informe Seguimiento POA 2023'!O85</f>
        <v>0.9</v>
      </c>
      <c r="AN81" s="575">
        <f>+'1.Informe Seguimiento POA 2023'!P85</f>
        <v>0.9</v>
      </c>
      <c r="AO81" s="575">
        <f>+'1.Informe Seguimiento POA 2023'!Q85</f>
        <v>0.9</v>
      </c>
      <c r="AP81" s="575">
        <f>+'1.Informe Seguimiento POA 2023'!R85</f>
        <v>1</v>
      </c>
      <c r="AQ81" s="575">
        <f>+'1.Informe Seguimiento POA 2023'!S85</f>
        <v>0.9</v>
      </c>
      <c r="AR81" s="575">
        <f>+'1.Informe Seguimiento POA 2023'!T85</f>
        <v>0</v>
      </c>
      <c r="AS81" s="575">
        <f>+'1.Informe Seguimiento POA 2023'!U85</f>
        <v>0</v>
      </c>
      <c r="AT81" s="575">
        <f>+'1.Informe Seguimiento POA 2023'!V85</f>
        <v>0</v>
      </c>
      <c r="AU81" s="510">
        <f>+'1.Informe Seguimiento POA 2023'!W85</f>
        <v>0.9</v>
      </c>
      <c r="AV81" s="510">
        <f>+'1.Informe Seguimiento POA 2023'!X85</f>
        <v>0.95</v>
      </c>
      <c r="AW81" s="510">
        <f>+'1.Informe Seguimiento POA 2023'!Y85</f>
        <v>0.52777777777777779</v>
      </c>
      <c r="AX81" s="582"/>
      <c r="AY81" s="582"/>
      <c r="AZ81" s="582"/>
      <c r="BA81" s="582"/>
      <c r="BB81" s="582"/>
      <c r="BC81" s="582"/>
      <c r="BD81" s="582"/>
      <c r="BE81" s="582"/>
      <c r="BF81" s="569">
        <f t="shared" si="45"/>
        <v>0.95</v>
      </c>
      <c r="BG81" s="569"/>
      <c r="BH81" s="582"/>
      <c r="BI81" s="509">
        <f t="shared" si="52"/>
        <v>0.9</v>
      </c>
      <c r="BJ81" s="509">
        <f t="shared" si="52"/>
        <v>0.95</v>
      </c>
      <c r="BK81" s="508">
        <f t="shared" si="18"/>
        <v>1.0555555555555556</v>
      </c>
      <c r="BL81" s="963">
        <f t="shared" si="49"/>
        <v>0.75</v>
      </c>
      <c r="BM81" s="1183"/>
      <c r="BN81" s="1098"/>
      <c r="BO81" s="1035"/>
      <c r="BP81" s="605"/>
      <c r="BQ81" s="605"/>
    </row>
    <row r="82" spans="2:69" ht="76.5" customHeight="1">
      <c r="B82" s="1037"/>
      <c r="C82" s="1078"/>
      <c r="D82" s="1133"/>
      <c r="E82" s="1133"/>
      <c r="F82" s="1078"/>
      <c r="G82" s="1079"/>
      <c r="H82" s="1126"/>
      <c r="I82" s="1136"/>
      <c r="J82" s="569">
        <f>+'1.Informe Seguimiento POA 2023'!F86</f>
        <v>0.95</v>
      </c>
      <c r="K82" s="573" t="str">
        <f>+'1.Informe Seguimiento POA 2023'!I86</f>
        <v>Gestión Contractual</v>
      </c>
      <c r="L82" s="573" t="str">
        <f>+'1.Informe Seguimiento POA 2023'!J86</f>
        <v>Subdirección de Gestión Contractual
Dirección Administrativa y Financiera</v>
      </c>
      <c r="M82" s="521">
        <f>+'1.Informe Seguimiento POA 2023'!K86</f>
        <v>0.6</v>
      </c>
      <c r="N82" s="521">
        <f>+'1.Informe Seguimiento POA 2023'!L86</f>
        <v>0.8</v>
      </c>
      <c r="O82" s="521">
        <f>+'1.Informe Seguimiento POA 2023'!M86</f>
        <v>0.9</v>
      </c>
      <c r="P82" s="521">
        <f>+'1.Informe Seguimiento POA 2023'!N86</f>
        <v>0.95</v>
      </c>
      <c r="Q82" s="767">
        <v>0</v>
      </c>
      <c r="R82" s="767">
        <v>0</v>
      </c>
      <c r="S82" s="767">
        <v>0</v>
      </c>
      <c r="T82" s="767">
        <v>0</v>
      </c>
      <c r="U82" s="767">
        <v>0.6</v>
      </c>
      <c r="V82" s="767">
        <v>0.6</v>
      </c>
      <c r="W82" s="767">
        <v>0.6</v>
      </c>
      <c r="X82" s="767">
        <v>0.6</v>
      </c>
      <c r="Y82" s="510">
        <v>0.6</v>
      </c>
      <c r="Z82" s="510">
        <v>0.6</v>
      </c>
      <c r="AA82" s="510">
        <v>1</v>
      </c>
      <c r="AB82" s="767">
        <v>0.8</v>
      </c>
      <c r="AC82" s="767">
        <v>0.8</v>
      </c>
      <c r="AD82" s="767">
        <v>0.8</v>
      </c>
      <c r="AE82" s="767">
        <v>0.76600000000000001</v>
      </c>
      <c r="AF82" s="767">
        <v>0.80000000000000016</v>
      </c>
      <c r="AG82" s="767">
        <v>0.8</v>
      </c>
      <c r="AH82" s="767">
        <v>0.80000000000000016</v>
      </c>
      <c r="AI82" s="767">
        <v>0.8</v>
      </c>
      <c r="AJ82" s="510">
        <v>0.79999999999999993</v>
      </c>
      <c r="AK82" s="510">
        <v>0.79</v>
      </c>
      <c r="AL82" s="510">
        <v>0.98750000000000016</v>
      </c>
      <c r="AM82" s="575">
        <f>+'1.Informe Seguimiento POA 2023'!O86</f>
        <v>0</v>
      </c>
      <c r="AN82" s="575">
        <f>+'1.Informe Seguimiento POA 2023'!P86</f>
        <v>0</v>
      </c>
      <c r="AO82" s="575">
        <f>+'1.Informe Seguimiento POA 2023'!Q86</f>
        <v>0.9</v>
      </c>
      <c r="AP82" s="575">
        <f>+'1.Informe Seguimiento POA 2023'!R86</f>
        <v>0.95</v>
      </c>
      <c r="AQ82" s="575">
        <f>+'1.Informe Seguimiento POA 2023'!S86</f>
        <v>0</v>
      </c>
      <c r="AR82" s="575">
        <f>+'1.Informe Seguimiento POA 2023'!T86</f>
        <v>0</v>
      </c>
      <c r="AS82" s="575">
        <f>+'1.Informe Seguimiento POA 2023'!U86</f>
        <v>0.9</v>
      </c>
      <c r="AT82" s="575">
        <f>+'1.Informe Seguimiento POA 2023'!V86</f>
        <v>0</v>
      </c>
      <c r="AU82" s="510">
        <f>+'1.Informe Seguimiento POA 2023'!W86</f>
        <v>0.9</v>
      </c>
      <c r="AV82" s="510">
        <f>+'1.Informe Seguimiento POA 2023'!X86</f>
        <v>0.95</v>
      </c>
      <c r="AW82" s="510">
        <f>+'1.Informe Seguimiento POA 2023'!Y86</f>
        <v>0.52777777777777779</v>
      </c>
      <c r="AX82" s="582"/>
      <c r="AY82" s="582"/>
      <c r="AZ82" s="582"/>
      <c r="BA82" s="582"/>
      <c r="BB82" s="582"/>
      <c r="BC82" s="582"/>
      <c r="BD82" s="582"/>
      <c r="BE82" s="582"/>
      <c r="BF82" s="569">
        <f t="shared" si="45"/>
        <v>0.95</v>
      </c>
      <c r="BG82" s="569"/>
      <c r="BH82" s="582"/>
      <c r="BI82" s="509">
        <f t="shared" si="52"/>
        <v>0.9</v>
      </c>
      <c r="BJ82" s="509">
        <f t="shared" si="52"/>
        <v>0.95</v>
      </c>
      <c r="BK82" s="508">
        <f t="shared" si="18"/>
        <v>1.0555555555555556</v>
      </c>
      <c r="BL82" s="963">
        <f t="shared" si="49"/>
        <v>0.75</v>
      </c>
      <c r="BM82" s="1184"/>
      <c r="BN82" s="1099"/>
      <c r="BO82" s="1035"/>
      <c r="BP82" s="605"/>
      <c r="BQ82" s="605"/>
    </row>
    <row r="83" spans="2:69" ht="73.5" customHeight="1">
      <c r="B83" s="1037"/>
      <c r="C83" s="1112" t="str">
        <f>+'Matriz PEI 2021-2024'!C24</f>
        <v>4.5. Desarrollar el 100% de las acciones relacionadas con el fomento de la Cultura del Autocontrol, la Autorregulación y la Autogestión institucional.</v>
      </c>
      <c r="D83" s="1119">
        <f>+'Matriz PEI 2021-2024'!E24</f>
        <v>1</v>
      </c>
      <c r="E83" s="1119">
        <f>+'Matriz PEI 2021-2024'!D24</f>
        <v>0.14000000000000001</v>
      </c>
      <c r="F83" s="1112" t="s">
        <v>998</v>
      </c>
      <c r="G83" s="1112" t="s">
        <v>999</v>
      </c>
      <c r="H83" s="80" t="str">
        <f>+'1.Informe Seguimiento POA 2023'!D87</f>
        <v xml:space="preserve">4.5.1 Emitir 152 solicitudes de aplicación de medidas de preservación del orden interno, con el fin de prevenir la materialización de conductas con alcance disciplinario. </v>
      </c>
      <c r="I83" s="81">
        <f>+'1.Informe Seguimiento POA 2023'!E87</f>
        <v>0.05</v>
      </c>
      <c r="J83" s="82">
        <f>+'1.Informe Seguimiento POA 2023'!F87</f>
        <v>152</v>
      </c>
      <c r="K83" s="512" t="str">
        <f>+'1.Informe Seguimiento POA 2023'!I87</f>
        <v>Control Disciplinario Interno</v>
      </c>
      <c r="L83" s="110" t="str">
        <f>+'1.Informe Seguimiento POA 2023'!J87</f>
        <v>Oficina Control Interno Disciplinario</v>
      </c>
      <c r="M83" s="527">
        <f>+'1.Informe Seguimiento POA 2023'!K87</f>
        <v>24</v>
      </c>
      <c r="N83" s="527">
        <f>+'1.Informe Seguimiento POA 2023'!L87</f>
        <v>52</v>
      </c>
      <c r="O83" s="527">
        <f>+'1.Informe Seguimiento POA 2023'!M87</f>
        <v>40</v>
      </c>
      <c r="P83" s="527">
        <f>+'1.Informe Seguimiento POA 2023'!N87</f>
        <v>36</v>
      </c>
      <c r="Q83" s="768">
        <v>6</v>
      </c>
      <c r="R83" s="768">
        <v>10</v>
      </c>
      <c r="S83" s="768">
        <v>6</v>
      </c>
      <c r="T83" s="768">
        <v>9</v>
      </c>
      <c r="U83" s="768">
        <v>6</v>
      </c>
      <c r="V83" s="768">
        <v>9</v>
      </c>
      <c r="W83" s="768">
        <v>6</v>
      </c>
      <c r="X83" s="768">
        <v>7</v>
      </c>
      <c r="Y83" s="254">
        <v>24</v>
      </c>
      <c r="Z83" s="254">
        <v>35</v>
      </c>
      <c r="AA83" s="514">
        <v>1.4583333333333333</v>
      </c>
      <c r="AB83" s="768">
        <v>6</v>
      </c>
      <c r="AC83" s="768">
        <v>26</v>
      </c>
      <c r="AD83" s="768">
        <v>6</v>
      </c>
      <c r="AE83" s="768">
        <v>14</v>
      </c>
      <c r="AF83" s="768">
        <v>21</v>
      </c>
      <c r="AG83" s="768">
        <v>16</v>
      </c>
      <c r="AH83" s="768">
        <v>19</v>
      </c>
      <c r="AI83" s="768">
        <v>13</v>
      </c>
      <c r="AJ83" s="254">
        <v>52</v>
      </c>
      <c r="AK83" s="254">
        <v>69</v>
      </c>
      <c r="AL83" s="514">
        <v>1.3269230769230769</v>
      </c>
      <c r="AM83" s="527">
        <f>+'1.Informe Seguimiento POA 2023'!O87</f>
        <v>10</v>
      </c>
      <c r="AN83" s="527">
        <f>+'1.Informe Seguimiento POA 2023'!P87</f>
        <v>6</v>
      </c>
      <c r="AO83" s="527">
        <f>+'1.Informe Seguimiento POA 2023'!Q87</f>
        <v>10</v>
      </c>
      <c r="AP83" s="527">
        <f>+'1.Informe Seguimiento POA 2023'!R87</f>
        <v>9</v>
      </c>
      <c r="AQ83" s="527">
        <f>+'1.Informe Seguimiento POA 2023'!S87</f>
        <v>10</v>
      </c>
      <c r="AR83" s="527">
        <f>+'1.Informe Seguimiento POA 2023'!T87</f>
        <v>0</v>
      </c>
      <c r="AS83" s="527">
        <f>+'1.Informe Seguimiento POA 2023'!U87</f>
        <v>10</v>
      </c>
      <c r="AT83" s="527">
        <f>+'1.Informe Seguimiento POA 2023'!V87</f>
        <v>0</v>
      </c>
      <c r="AU83" s="254">
        <f>+'1.Informe Seguimiento POA 2023'!W87</f>
        <v>40</v>
      </c>
      <c r="AV83" s="254">
        <f>+'1.Informe Seguimiento POA 2023'!X87</f>
        <v>15</v>
      </c>
      <c r="AW83" s="514">
        <f>+'1.Informe Seguimiento POA 2023'!Y87</f>
        <v>0.375</v>
      </c>
      <c r="AX83" s="514"/>
      <c r="AY83" s="514"/>
      <c r="AZ83" s="514"/>
      <c r="BA83" s="514"/>
      <c r="BB83" s="514"/>
      <c r="BC83" s="514"/>
      <c r="BD83" s="514"/>
      <c r="BE83" s="514"/>
      <c r="BF83" s="254">
        <f t="shared" si="45"/>
        <v>36</v>
      </c>
      <c r="BG83" s="254"/>
      <c r="BH83" s="514"/>
      <c r="BI83" s="254">
        <f t="shared" ref="BI83:BI88" si="53">+Q83+S83+U83+W83+AM83+AO83+AB83+AD83+AF83+AH83</f>
        <v>96</v>
      </c>
      <c r="BJ83" s="254">
        <f t="shared" ref="BJ83:BJ88" si="54">+R83+T83+V83+X83+AN83+AP83+AC83+AE83+AG83+AI83</f>
        <v>119</v>
      </c>
      <c r="BK83" s="591">
        <f t="shared" si="18"/>
        <v>1.2395833333333333</v>
      </c>
      <c r="BL83" s="591">
        <f t="shared" ref="BL83:BL88" si="55">IF(AND(BJ83&gt;0,$J83&gt;0),BJ83/$J83,0)</f>
        <v>0.78289473684210531</v>
      </c>
      <c r="BM83" s="789">
        <f t="shared" ref="BM83:BM95" si="56">IF(AND(BL83&gt;0,I83&gt;0),BL83*I83,0)</f>
        <v>3.9144736842105267E-2</v>
      </c>
      <c r="BN83" s="1083">
        <f>SUM(BM83:BM88)</f>
        <v>0.64623490077653156</v>
      </c>
      <c r="BO83" s="1035"/>
      <c r="BP83" s="597"/>
      <c r="BQ83" s="597"/>
    </row>
    <row r="84" spans="2:69" ht="86.25" customHeight="1">
      <c r="B84" s="1037"/>
      <c r="C84" s="1113"/>
      <c r="D84" s="1120"/>
      <c r="E84" s="1120"/>
      <c r="F84" s="1113"/>
      <c r="G84" s="1113"/>
      <c r="H84" s="80" t="str">
        <f>+'1.Informe Seguimiento POA 2023'!D88</f>
        <v>4.5.2 Realizar 20 jornadas de sensibilización a funcionarios de la Personería de Bogotá D.C. sobre la prevención de las faltas disciplinarias más recurrentes en la Entidad.</v>
      </c>
      <c r="I84" s="81">
        <f>+'1.Informe Seguimiento POA 2023'!E88</f>
        <v>0.05</v>
      </c>
      <c r="J84" s="82">
        <f>+'1.Informe Seguimiento POA 2023'!F88</f>
        <v>20</v>
      </c>
      <c r="K84" s="512" t="str">
        <f>+'1.Informe Seguimiento POA 2023'!I88</f>
        <v>Control Disciplinario Interno</v>
      </c>
      <c r="L84" s="110" t="str">
        <f>+'1.Informe Seguimiento POA 2023'!J88</f>
        <v>Oficina Control Interno Disciplinario</v>
      </c>
      <c r="M84" s="527">
        <f>+'1.Informe Seguimiento POA 2023'!K88</f>
        <v>2</v>
      </c>
      <c r="N84" s="527">
        <f>+'1.Informe Seguimiento POA 2023'!L88</f>
        <v>6</v>
      </c>
      <c r="O84" s="527">
        <f>+'1.Informe Seguimiento POA 2023'!M88</f>
        <v>6</v>
      </c>
      <c r="P84" s="527">
        <f>+'1.Informe Seguimiento POA 2023'!N88</f>
        <v>6</v>
      </c>
      <c r="Q84" s="768">
        <v>0</v>
      </c>
      <c r="R84" s="768">
        <v>0</v>
      </c>
      <c r="S84" s="768">
        <v>1</v>
      </c>
      <c r="T84" s="768">
        <v>1</v>
      </c>
      <c r="U84" s="768">
        <v>1</v>
      </c>
      <c r="V84" s="768">
        <v>1</v>
      </c>
      <c r="W84" s="768">
        <v>0</v>
      </c>
      <c r="X84" s="768">
        <v>0</v>
      </c>
      <c r="Y84" s="254">
        <v>2</v>
      </c>
      <c r="Z84" s="254">
        <v>2</v>
      </c>
      <c r="AA84" s="514">
        <v>1</v>
      </c>
      <c r="AB84" s="768">
        <v>0</v>
      </c>
      <c r="AC84" s="768">
        <v>1</v>
      </c>
      <c r="AD84" s="768">
        <v>2</v>
      </c>
      <c r="AE84" s="768">
        <v>1</v>
      </c>
      <c r="AF84" s="768">
        <v>3</v>
      </c>
      <c r="AG84" s="768">
        <v>2</v>
      </c>
      <c r="AH84" s="768">
        <v>1</v>
      </c>
      <c r="AI84" s="768">
        <v>2</v>
      </c>
      <c r="AJ84" s="254">
        <v>6</v>
      </c>
      <c r="AK84" s="254">
        <v>6</v>
      </c>
      <c r="AL84" s="514">
        <v>1</v>
      </c>
      <c r="AM84" s="527">
        <f>+'1.Informe Seguimiento POA 2023'!O88</f>
        <v>1</v>
      </c>
      <c r="AN84" s="527">
        <f>+'1.Informe Seguimiento POA 2023'!P88</f>
        <v>0</v>
      </c>
      <c r="AO84" s="527">
        <f>+'1.Informe Seguimiento POA 2023'!Q88</f>
        <v>2</v>
      </c>
      <c r="AP84" s="527">
        <f>+'1.Informe Seguimiento POA 2023'!R88</f>
        <v>3</v>
      </c>
      <c r="AQ84" s="527">
        <f>+'1.Informe Seguimiento POA 2023'!S88</f>
        <v>2</v>
      </c>
      <c r="AR84" s="527">
        <f>+'1.Informe Seguimiento POA 2023'!T88</f>
        <v>0</v>
      </c>
      <c r="AS84" s="527">
        <f>+'1.Informe Seguimiento POA 2023'!U88</f>
        <v>1</v>
      </c>
      <c r="AT84" s="527">
        <f>+'1.Informe Seguimiento POA 2023'!V88</f>
        <v>0</v>
      </c>
      <c r="AU84" s="254">
        <f>+'1.Informe Seguimiento POA 2023'!W88</f>
        <v>6</v>
      </c>
      <c r="AV84" s="254">
        <f>+'1.Informe Seguimiento POA 2023'!X88</f>
        <v>3</v>
      </c>
      <c r="AW84" s="514">
        <f>+'1.Informe Seguimiento POA 2023'!Y88</f>
        <v>0.5</v>
      </c>
      <c r="AX84" s="514"/>
      <c r="AY84" s="514"/>
      <c r="AZ84" s="514"/>
      <c r="BA84" s="514"/>
      <c r="BB84" s="514"/>
      <c r="BC84" s="514"/>
      <c r="BD84" s="514"/>
      <c r="BE84" s="514"/>
      <c r="BF84" s="254">
        <f t="shared" si="45"/>
        <v>6</v>
      </c>
      <c r="BG84" s="254"/>
      <c r="BH84" s="514"/>
      <c r="BI84" s="254">
        <f t="shared" si="53"/>
        <v>11</v>
      </c>
      <c r="BJ84" s="254">
        <f t="shared" si="54"/>
        <v>11</v>
      </c>
      <c r="BK84" s="591">
        <f t="shared" si="18"/>
        <v>1</v>
      </c>
      <c r="BL84" s="525">
        <f t="shared" si="55"/>
        <v>0.55000000000000004</v>
      </c>
      <c r="BM84" s="789">
        <f t="shared" si="56"/>
        <v>2.7500000000000004E-2</v>
      </c>
      <c r="BN84" s="1084"/>
      <c r="BO84" s="1035"/>
      <c r="BP84" s="598"/>
      <c r="BQ84" s="598"/>
    </row>
    <row r="85" spans="2:69" ht="96.75" customHeight="1">
      <c r="B85" s="1037"/>
      <c r="C85" s="1113"/>
      <c r="D85" s="1120"/>
      <c r="E85" s="1120"/>
      <c r="F85" s="1113"/>
      <c r="G85" s="1113"/>
      <c r="H85" s="80" t="str">
        <f>+'1.Informe Seguimiento POA 2023'!D89</f>
        <v>4.5.3 Decidir de fondo 488 procesos disciplinarios que se encuentren en términos o con periodos vencidos, dando prelación a aquellos con mayor antigüedad o aquellos próximos a prescribir o caducar.</v>
      </c>
      <c r="I85" s="81">
        <f>+'1.Informe Seguimiento POA 2023'!E89</f>
        <v>0.2</v>
      </c>
      <c r="J85" s="82">
        <f>+'1.Informe Seguimiento POA 2023'!F89</f>
        <v>488</v>
      </c>
      <c r="K85" s="512" t="str">
        <f>+'1.Informe Seguimiento POA 2023'!I89</f>
        <v>Control Disciplinario Interno</v>
      </c>
      <c r="L85" s="110" t="str">
        <f>+'1.Informe Seguimiento POA 2023'!J89</f>
        <v>Oficina Control Interno Disciplinario</v>
      </c>
      <c r="M85" s="527">
        <f>+'1.Informe Seguimiento POA 2023'!K89</f>
        <v>100</v>
      </c>
      <c r="N85" s="527">
        <f>+'1.Informe Seguimiento POA 2023'!L89</f>
        <v>100</v>
      </c>
      <c r="O85" s="527">
        <f>+'1.Informe Seguimiento POA 2023'!M89</f>
        <v>144</v>
      </c>
      <c r="P85" s="527">
        <f>+'1.Informe Seguimiento POA 2023'!N89</f>
        <v>144</v>
      </c>
      <c r="Q85" s="768">
        <v>23</v>
      </c>
      <c r="R85" s="768">
        <v>38</v>
      </c>
      <c r="S85" s="768">
        <v>30</v>
      </c>
      <c r="T85" s="768">
        <v>30</v>
      </c>
      <c r="U85" s="768">
        <v>30</v>
      </c>
      <c r="V85" s="768">
        <v>48</v>
      </c>
      <c r="W85" s="768">
        <v>17</v>
      </c>
      <c r="X85" s="768">
        <v>56</v>
      </c>
      <c r="Y85" s="254">
        <v>100</v>
      </c>
      <c r="Z85" s="254">
        <v>172</v>
      </c>
      <c r="AA85" s="514">
        <v>1.72</v>
      </c>
      <c r="AB85" s="768">
        <v>23</v>
      </c>
      <c r="AC85" s="768">
        <v>30</v>
      </c>
      <c r="AD85" s="768">
        <v>30</v>
      </c>
      <c r="AE85" s="768">
        <v>46</v>
      </c>
      <c r="AF85" s="768">
        <v>30</v>
      </c>
      <c r="AG85" s="768">
        <v>51</v>
      </c>
      <c r="AH85" s="768">
        <v>17</v>
      </c>
      <c r="AI85" s="768">
        <v>43</v>
      </c>
      <c r="AJ85" s="254">
        <v>100</v>
      </c>
      <c r="AK85" s="254">
        <v>170</v>
      </c>
      <c r="AL85" s="514">
        <v>1.7</v>
      </c>
      <c r="AM85" s="527">
        <f>+'1.Informe Seguimiento POA 2023'!O89</f>
        <v>34</v>
      </c>
      <c r="AN85" s="527">
        <f>+'1.Informe Seguimiento POA 2023'!P89</f>
        <v>38</v>
      </c>
      <c r="AO85" s="527">
        <f>+'1.Informe Seguimiento POA 2023'!Q89</f>
        <v>37</v>
      </c>
      <c r="AP85" s="527">
        <f>+'1.Informe Seguimiento POA 2023'!R89</f>
        <v>46</v>
      </c>
      <c r="AQ85" s="527">
        <f>+'1.Informe Seguimiento POA 2023'!S89</f>
        <v>39</v>
      </c>
      <c r="AR85" s="527">
        <f>+'1.Informe Seguimiento POA 2023'!T89</f>
        <v>0</v>
      </c>
      <c r="AS85" s="527">
        <f>+'1.Informe Seguimiento POA 2023'!U89</f>
        <v>34</v>
      </c>
      <c r="AT85" s="527">
        <f>+'1.Informe Seguimiento POA 2023'!V89</f>
        <v>0</v>
      </c>
      <c r="AU85" s="254">
        <f>+'1.Informe Seguimiento POA 2023'!W89</f>
        <v>144</v>
      </c>
      <c r="AV85" s="254">
        <f>+'1.Informe Seguimiento POA 2023'!X89</f>
        <v>84</v>
      </c>
      <c r="AW85" s="514">
        <f>+'1.Informe Seguimiento POA 2023'!Y89</f>
        <v>0.58333333333333337</v>
      </c>
      <c r="AX85" s="514"/>
      <c r="AY85" s="514"/>
      <c r="AZ85" s="514"/>
      <c r="BA85" s="514"/>
      <c r="BB85" s="514"/>
      <c r="BC85" s="514"/>
      <c r="BD85" s="514"/>
      <c r="BE85" s="514"/>
      <c r="BF85" s="254">
        <f t="shared" si="45"/>
        <v>144</v>
      </c>
      <c r="BG85" s="254"/>
      <c r="BH85" s="514"/>
      <c r="BI85" s="254">
        <f t="shared" si="53"/>
        <v>271</v>
      </c>
      <c r="BJ85" s="254">
        <f t="shared" si="54"/>
        <v>426</v>
      </c>
      <c r="BK85" s="591">
        <f t="shared" si="18"/>
        <v>1.5719557195571956</v>
      </c>
      <c r="BL85" s="525">
        <f t="shared" si="55"/>
        <v>0.87295081967213117</v>
      </c>
      <c r="BM85" s="789">
        <f t="shared" si="56"/>
        <v>0.17459016393442625</v>
      </c>
      <c r="BN85" s="1084"/>
      <c r="BO85" s="1035"/>
      <c r="BP85" s="598"/>
      <c r="BQ85" s="598"/>
    </row>
    <row r="86" spans="2:69" ht="69.75" customHeight="1">
      <c r="B86" s="1037"/>
      <c r="C86" s="1113"/>
      <c r="D86" s="1120"/>
      <c r="E86" s="1120"/>
      <c r="F86" s="1113"/>
      <c r="G86" s="1113"/>
      <c r="H86" s="80" t="str">
        <f>+'1.Informe Seguimiento POA 2023'!D90</f>
        <v>4.5.4 Ejecutar  4 programas anuales de auditorias, aprobados por el Comité Institucional de Coordinación del Sistema de Control Interno.</v>
      </c>
      <c r="I86" s="81">
        <f>+'1.Informe Seguimiento POA 2023'!E90</f>
        <v>0.5</v>
      </c>
      <c r="J86" s="82">
        <f>+'1.Informe Seguimiento POA 2023'!F90</f>
        <v>4</v>
      </c>
      <c r="K86" s="512" t="str">
        <f>+'1.Informe Seguimiento POA 2023'!I90</f>
        <v>Evaluación y Seguimiento</v>
      </c>
      <c r="L86" s="110" t="str">
        <f>+'1.Informe Seguimiento POA 2023'!J90</f>
        <v>Oficina de Control Interno</v>
      </c>
      <c r="M86" s="527">
        <f>+'1.Informe Seguimiento POA 2023'!K90</f>
        <v>1</v>
      </c>
      <c r="N86" s="527">
        <f>+'1.Informe Seguimiento POA 2023'!L90</f>
        <v>1</v>
      </c>
      <c r="O86" s="527">
        <f>+'1.Informe Seguimiento POA 2023'!M90</f>
        <v>1</v>
      </c>
      <c r="P86" s="527">
        <f>+'1.Informe Seguimiento POA 2023'!N90</f>
        <v>1</v>
      </c>
      <c r="Q86" s="770">
        <v>0.51</v>
      </c>
      <c r="R86" s="770">
        <v>0.51</v>
      </c>
      <c r="S86" s="770">
        <v>0.12</v>
      </c>
      <c r="T86" s="770">
        <v>0.12</v>
      </c>
      <c r="U86" s="770">
        <v>0.26</v>
      </c>
      <c r="V86" s="770">
        <v>0.26</v>
      </c>
      <c r="W86" s="770">
        <v>0.11</v>
      </c>
      <c r="X86" s="770">
        <v>0.11</v>
      </c>
      <c r="Y86" s="254">
        <v>1</v>
      </c>
      <c r="Z86" s="581">
        <v>1</v>
      </c>
      <c r="AA86" s="514">
        <v>1</v>
      </c>
      <c r="AB86" s="770">
        <v>0.35</v>
      </c>
      <c r="AC86" s="770">
        <v>0.35</v>
      </c>
      <c r="AD86" s="770">
        <v>0.15</v>
      </c>
      <c r="AE86" s="770">
        <v>0.15</v>
      </c>
      <c r="AF86" s="770">
        <v>0.44000000000000006</v>
      </c>
      <c r="AG86" s="770">
        <v>0.44000000000000006</v>
      </c>
      <c r="AH86" s="770">
        <v>0.06</v>
      </c>
      <c r="AI86" s="770">
        <v>0.06</v>
      </c>
      <c r="AJ86" s="254">
        <v>1</v>
      </c>
      <c r="AK86" s="581">
        <v>1</v>
      </c>
      <c r="AL86" s="514">
        <v>1</v>
      </c>
      <c r="AM86" s="580">
        <f>+'1.Informe Seguimiento POA 2023'!O90</f>
        <v>0.14000000000000001</v>
      </c>
      <c r="AN86" s="580">
        <f>+'1.Informe Seguimiento POA 2023'!P90</f>
        <v>0.14000000000000001</v>
      </c>
      <c r="AO86" s="580">
        <f>+'1.Informe Seguimiento POA 2023'!Q90</f>
        <v>0.1</v>
      </c>
      <c r="AP86" s="580">
        <f>+'1.Informe Seguimiento POA 2023'!R90</f>
        <v>0.1</v>
      </c>
      <c r="AQ86" s="580">
        <f>+'1.Informe Seguimiento POA 2023'!S90</f>
        <v>0.58000000000000007</v>
      </c>
      <c r="AR86" s="580">
        <f>+'1.Informe Seguimiento POA 2023'!T90</f>
        <v>0</v>
      </c>
      <c r="AS86" s="580">
        <f>+'1.Informe Seguimiento POA 2023'!U90</f>
        <v>0.18000000000000002</v>
      </c>
      <c r="AT86" s="580">
        <f>+'1.Informe Seguimiento POA 2023'!V90</f>
        <v>0</v>
      </c>
      <c r="AU86" s="254">
        <f>+'1.Informe Seguimiento POA 2023'!W90</f>
        <v>1</v>
      </c>
      <c r="AV86" s="581">
        <f>+'1.Informe Seguimiento POA 2023'!X90</f>
        <v>0.24000000000000002</v>
      </c>
      <c r="AW86" s="514">
        <f>+'1.Informe Seguimiento POA 2023'!Y90</f>
        <v>0.24000000000000002</v>
      </c>
      <c r="AX86" s="584"/>
      <c r="AY86" s="584"/>
      <c r="AZ86" s="584"/>
      <c r="BA86" s="584"/>
      <c r="BB86" s="584"/>
      <c r="BC86" s="584"/>
      <c r="BD86" s="584"/>
      <c r="BE86" s="584"/>
      <c r="BF86" s="581">
        <f t="shared" si="45"/>
        <v>1</v>
      </c>
      <c r="BG86" s="581"/>
      <c r="BH86" s="584"/>
      <c r="BI86" s="581">
        <f t="shared" si="53"/>
        <v>2.2400000000000002</v>
      </c>
      <c r="BJ86" s="581">
        <f t="shared" si="54"/>
        <v>2.2400000000000002</v>
      </c>
      <c r="BK86" s="591">
        <f t="shared" si="18"/>
        <v>1</v>
      </c>
      <c r="BL86" s="525">
        <f t="shared" si="55"/>
        <v>0.56000000000000005</v>
      </c>
      <c r="BM86" s="789">
        <f t="shared" si="56"/>
        <v>0.28000000000000003</v>
      </c>
      <c r="BN86" s="1084"/>
      <c r="BO86" s="1035"/>
      <c r="BP86" s="598"/>
      <c r="BQ86" s="598"/>
    </row>
    <row r="87" spans="2:69" ht="56.25" customHeight="1">
      <c r="B87" s="1037"/>
      <c r="C87" s="1113"/>
      <c r="D87" s="1120"/>
      <c r="E87" s="1120"/>
      <c r="F87" s="1113"/>
      <c r="G87" s="1113"/>
      <c r="H87" s="80" t="str">
        <f>+'1.Informe Seguimiento POA 2023'!D91</f>
        <v>4.5.5 Desarrollar 4 estrategias de sensibilización acerca de la cultura del control.</v>
      </c>
      <c r="I87" s="81">
        <f>+'1.Informe Seguimiento POA 2023'!E91</f>
        <v>0.1</v>
      </c>
      <c r="J87" s="82">
        <f>+'1.Informe Seguimiento POA 2023'!F91</f>
        <v>4</v>
      </c>
      <c r="K87" s="512" t="str">
        <f>+'1.Informe Seguimiento POA 2023'!I91</f>
        <v>Evaluación y Seguimiento</v>
      </c>
      <c r="L87" s="110" t="str">
        <f>+'1.Informe Seguimiento POA 2023'!J91</f>
        <v>Oficina de Control Interno</v>
      </c>
      <c r="M87" s="527">
        <f>+'1.Informe Seguimiento POA 2023'!K91</f>
        <v>1</v>
      </c>
      <c r="N87" s="527">
        <f>+'1.Informe Seguimiento POA 2023'!L91</f>
        <v>1</v>
      </c>
      <c r="O87" s="527">
        <f>+'1.Informe Seguimiento POA 2023'!M91</f>
        <v>1</v>
      </c>
      <c r="P87" s="527">
        <f>+'1.Informe Seguimiento POA 2023'!N91</f>
        <v>1</v>
      </c>
      <c r="Q87" s="768">
        <v>0</v>
      </c>
      <c r="R87" s="768">
        <v>0</v>
      </c>
      <c r="S87" s="768">
        <v>0</v>
      </c>
      <c r="T87" s="768">
        <v>0</v>
      </c>
      <c r="U87" s="768">
        <v>0</v>
      </c>
      <c r="V87" s="768">
        <v>0</v>
      </c>
      <c r="W87" s="768">
        <v>1</v>
      </c>
      <c r="X87" s="768">
        <v>1</v>
      </c>
      <c r="Y87" s="254">
        <v>1</v>
      </c>
      <c r="Z87" s="254">
        <v>1</v>
      </c>
      <c r="AA87" s="514">
        <v>1</v>
      </c>
      <c r="AB87" s="768">
        <v>0</v>
      </c>
      <c r="AC87" s="768">
        <v>0</v>
      </c>
      <c r="AD87" s="768">
        <v>0</v>
      </c>
      <c r="AE87" s="768">
        <v>0</v>
      </c>
      <c r="AF87" s="768">
        <v>0</v>
      </c>
      <c r="AG87" s="768">
        <v>0</v>
      </c>
      <c r="AH87" s="768">
        <v>1</v>
      </c>
      <c r="AI87" s="768">
        <v>1</v>
      </c>
      <c r="AJ87" s="254">
        <v>1</v>
      </c>
      <c r="AK87" s="254">
        <v>1</v>
      </c>
      <c r="AL87" s="514">
        <v>1</v>
      </c>
      <c r="AM87" s="527">
        <f>+'1.Informe Seguimiento POA 2023'!O91</f>
        <v>0</v>
      </c>
      <c r="AN87" s="527">
        <f>+'1.Informe Seguimiento POA 2023'!P91</f>
        <v>0</v>
      </c>
      <c r="AO87" s="527">
        <f>+'1.Informe Seguimiento POA 2023'!Q91</f>
        <v>0</v>
      </c>
      <c r="AP87" s="527">
        <f>+'1.Informe Seguimiento POA 2023'!R91</f>
        <v>0</v>
      </c>
      <c r="AQ87" s="527">
        <f>+'1.Informe Seguimiento POA 2023'!S91</f>
        <v>1</v>
      </c>
      <c r="AR87" s="527">
        <f>+'1.Informe Seguimiento POA 2023'!T91</f>
        <v>0</v>
      </c>
      <c r="AS87" s="527">
        <f>+'1.Informe Seguimiento POA 2023'!U91</f>
        <v>0</v>
      </c>
      <c r="AT87" s="527">
        <f>+'1.Informe Seguimiento POA 2023'!V91</f>
        <v>0</v>
      </c>
      <c r="AU87" s="254">
        <f>+'1.Informe Seguimiento POA 2023'!W91</f>
        <v>1</v>
      </c>
      <c r="AV87" s="254">
        <f>+'1.Informe Seguimiento POA 2023'!X91</f>
        <v>0</v>
      </c>
      <c r="AW87" s="514">
        <f>+'1.Informe Seguimiento POA 2023'!Y91</f>
        <v>0</v>
      </c>
      <c r="AX87" s="514"/>
      <c r="AY87" s="514"/>
      <c r="AZ87" s="514"/>
      <c r="BA87" s="514"/>
      <c r="BB87" s="514"/>
      <c r="BC87" s="514"/>
      <c r="BD87" s="514"/>
      <c r="BE87" s="514"/>
      <c r="BF87" s="254">
        <f t="shared" si="45"/>
        <v>1</v>
      </c>
      <c r="BG87" s="254"/>
      <c r="BH87" s="514"/>
      <c r="BI87" s="254">
        <f t="shared" si="53"/>
        <v>2</v>
      </c>
      <c r="BJ87" s="254">
        <f t="shared" si="54"/>
        <v>2</v>
      </c>
      <c r="BK87" s="591">
        <f t="shared" si="18"/>
        <v>1</v>
      </c>
      <c r="BL87" s="525">
        <f t="shared" si="55"/>
        <v>0.5</v>
      </c>
      <c r="BM87" s="789">
        <f t="shared" si="56"/>
        <v>0.05</v>
      </c>
      <c r="BN87" s="1084"/>
      <c r="BO87" s="1035"/>
      <c r="BP87" s="598"/>
      <c r="BQ87" s="598"/>
    </row>
    <row r="88" spans="2:69" ht="61.5" customHeight="1">
      <c r="B88" s="1037"/>
      <c r="C88" s="1114"/>
      <c r="D88" s="1121"/>
      <c r="E88" s="1121"/>
      <c r="F88" s="1139"/>
      <c r="G88" s="1139"/>
      <c r="H88" s="80" t="str">
        <f>+'1.Informe Seguimiento POA 2023'!D92</f>
        <v>4.5.6 Realizar 4 jornadas de sensibilización a Directivos y Referentes de proceso sobre la Séptima Dimensión.</v>
      </c>
      <c r="I88" s="81">
        <f>+'1.Informe Seguimiento POA 2023'!E92</f>
        <v>0.1</v>
      </c>
      <c r="J88" s="82">
        <f>+'1.Informe Seguimiento POA 2023'!F92</f>
        <v>4</v>
      </c>
      <c r="K88" s="512" t="str">
        <f>+'1.Informe Seguimiento POA 2023'!I92</f>
        <v>Evaluación y Seguimiento</v>
      </c>
      <c r="L88" s="110" t="str">
        <f>+'1.Informe Seguimiento POA 2023'!J92</f>
        <v>Oficina de Control Interno</v>
      </c>
      <c r="M88" s="527">
        <f>+'1.Informe Seguimiento POA 2023'!K92</f>
        <v>1</v>
      </c>
      <c r="N88" s="527">
        <f>+'1.Informe Seguimiento POA 2023'!L92</f>
        <v>1</v>
      </c>
      <c r="O88" s="527">
        <f>+'1.Informe Seguimiento POA 2023'!M92</f>
        <v>1</v>
      </c>
      <c r="P88" s="527">
        <f>+'1.Informe Seguimiento POA 2023'!N92</f>
        <v>1</v>
      </c>
      <c r="Q88" s="768">
        <v>0</v>
      </c>
      <c r="R88" s="768">
        <v>0</v>
      </c>
      <c r="S88" s="768">
        <v>0</v>
      </c>
      <c r="T88" s="768">
        <v>0</v>
      </c>
      <c r="U88" s="768">
        <v>0</v>
      </c>
      <c r="V88" s="768">
        <v>0</v>
      </c>
      <c r="W88" s="768">
        <v>1</v>
      </c>
      <c r="X88" s="768">
        <v>1</v>
      </c>
      <c r="Y88" s="254">
        <v>1</v>
      </c>
      <c r="Z88" s="254">
        <v>1</v>
      </c>
      <c r="AA88" s="514">
        <v>1</v>
      </c>
      <c r="AB88" s="768">
        <v>0</v>
      </c>
      <c r="AC88" s="768">
        <v>0</v>
      </c>
      <c r="AD88" s="768">
        <v>1</v>
      </c>
      <c r="AE88" s="768">
        <v>1</v>
      </c>
      <c r="AF88" s="768">
        <v>0</v>
      </c>
      <c r="AG88" s="768">
        <v>0</v>
      </c>
      <c r="AH88" s="768">
        <v>0</v>
      </c>
      <c r="AI88" s="768">
        <v>0</v>
      </c>
      <c r="AJ88" s="254">
        <v>1</v>
      </c>
      <c r="AK88" s="254">
        <v>1</v>
      </c>
      <c r="AL88" s="514">
        <v>1</v>
      </c>
      <c r="AM88" s="527">
        <f>+'1.Informe Seguimiento POA 2023'!O92</f>
        <v>0</v>
      </c>
      <c r="AN88" s="527">
        <f>+'1.Informe Seguimiento POA 2023'!P92</f>
        <v>0</v>
      </c>
      <c r="AO88" s="527">
        <f>+'1.Informe Seguimiento POA 2023'!Q92</f>
        <v>1</v>
      </c>
      <c r="AP88" s="527">
        <f>+'1.Informe Seguimiento POA 2023'!R92</f>
        <v>1</v>
      </c>
      <c r="AQ88" s="527">
        <f>+'1.Informe Seguimiento POA 2023'!S92</f>
        <v>0</v>
      </c>
      <c r="AR88" s="527">
        <f>+'1.Informe Seguimiento POA 2023'!T92</f>
        <v>0</v>
      </c>
      <c r="AS88" s="527">
        <f>+'1.Informe Seguimiento POA 2023'!U92</f>
        <v>0</v>
      </c>
      <c r="AT88" s="527">
        <f>+'1.Informe Seguimiento POA 2023'!V92</f>
        <v>0</v>
      </c>
      <c r="AU88" s="254">
        <f>+'1.Informe Seguimiento POA 2023'!W92</f>
        <v>1</v>
      </c>
      <c r="AV88" s="254">
        <f>+'1.Informe Seguimiento POA 2023'!X92</f>
        <v>1</v>
      </c>
      <c r="AW88" s="514">
        <f>+'1.Informe Seguimiento POA 2023'!Y92</f>
        <v>1</v>
      </c>
      <c r="AX88" s="514"/>
      <c r="AY88" s="514"/>
      <c r="AZ88" s="514"/>
      <c r="BA88" s="514"/>
      <c r="BB88" s="514"/>
      <c r="BC88" s="514"/>
      <c r="BD88" s="514"/>
      <c r="BE88" s="514"/>
      <c r="BF88" s="254">
        <f t="shared" si="45"/>
        <v>1</v>
      </c>
      <c r="BG88" s="254"/>
      <c r="BH88" s="514"/>
      <c r="BI88" s="254">
        <f t="shared" si="53"/>
        <v>3</v>
      </c>
      <c r="BJ88" s="254">
        <f t="shared" si="54"/>
        <v>3</v>
      </c>
      <c r="BK88" s="591">
        <f t="shared" si="18"/>
        <v>1</v>
      </c>
      <c r="BL88" s="525">
        <f t="shared" si="55"/>
        <v>0.75</v>
      </c>
      <c r="BM88" s="789">
        <f t="shared" si="56"/>
        <v>7.5000000000000011E-2</v>
      </c>
      <c r="BN88" s="1085"/>
      <c r="BO88" s="1035"/>
      <c r="BP88" s="598"/>
      <c r="BQ88" s="598"/>
    </row>
    <row r="89" spans="2:69" ht="60" customHeight="1">
      <c r="B89" s="1037"/>
      <c r="C89" s="1071" t="str">
        <f>+'Matriz PEI 2021-2024'!C25</f>
        <v>4.6. Desarrollar el 100% de las estrategias de comunicación organizacional y de medios que contribuyan al logro de los objetivos institucionales y al posicionamiento de la Entidad.</v>
      </c>
      <c r="D89" s="1073">
        <f>+'Matriz PEI 2021-2024'!E25</f>
        <v>1</v>
      </c>
      <c r="E89" s="1073">
        <f>+'Matriz PEI 2021-2024'!D25</f>
        <v>0.14000000000000001</v>
      </c>
      <c r="F89" s="1071" t="s">
        <v>913</v>
      </c>
      <c r="G89" s="1071" t="s">
        <v>914</v>
      </c>
      <c r="H89" s="530" t="str">
        <f>+'1.Informe Seguimiento POA 2023'!D93</f>
        <v>4.6.1  Desarrollar el 100% de los productos para comunicación y divulgación externa que promuevan y difundan la gestión institucional</v>
      </c>
      <c r="I89" s="511">
        <f>+'1.Informe Seguimiento POA 2023'!E93</f>
        <v>0.5</v>
      </c>
      <c r="J89" s="569">
        <f>+'1.Informe Seguimiento POA 2023'!F93</f>
        <v>1</v>
      </c>
      <c r="K89" s="573" t="str">
        <f>+'1.Informe Seguimiento POA 2023'!I93</f>
        <v>Comunicación Estratégica</v>
      </c>
      <c r="L89" s="573" t="str">
        <f>+'1.Informe Seguimiento POA 2023'!J93</f>
        <v>Oficina Asesora de Comunicaciones</v>
      </c>
      <c r="M89" s="521">
        <f>+'1.Informe Seguimiento POA 2023'!K93</f>
        <v>1</v>
      </c>
      <c r="N89" s="521">
        <f>+'1.Informe Seguimiento POA 2023'!L93</f>
        <v>1</v>
      </c>
      <c r="O89" s="521">
        <f>+'1.Informe Seguimiento POA 2023'!M93</f>
        <v>1</v>
      </c>
      <c r="P89" s="521">
        <f>+'1.Informe Seguimiento POA 2023'!N93</f>
        <v>1</v>
      </c>
      <c r="Q89" s="767">
        <v>1</v>
      </c>
      <c r="R89" s="767">
        <v>1</v>
      </c>
      <c r="S89" s="767">
        <v>1</v>
      </c>
      <c r="T89" s="767">
        <v>1</v>
      </c>
      <c r="U89" s="767">
        <v>1</v>
      </c>
      <c r="V89" s="767">
        <v>1</v>
      </c>
      <c r="W89" s="767">
        <v>1</v>
      </c>
      <c r="X89" s="767">
        <v>1</v>
      </c>
      <c r="Y89" s="510">
        <v>1</v>
      </c>
      <c r="Z89" s="510">
        <v>1</v>
      </c>
      <c r="AA89" s="510">
        <v>1</v>
      </c>
      <c r="AB89" s="767">
        <v>1</v>
      </c>
      <c r="AC89" s="767">
        <v>1</v>
      </c>
      <c r="AD89" s="767">
        <v>1</v>
      </c>
      <c r="AE89" s="767">
        <v>1</v>
      </c>
      <c r="AF89" s="767">
        <v>1</v>
      </c>
      <c r="AG89" s="767">
        <v>1</v>
      </c>
      <c r="AH89" s="767">
        <v>1</v>
      </c>
      <c r="AI89" s="767">
        <v>1</v>
      </c>
      <c r="AJ89" s="510">
        <v>1</v>
      </c>
      <c r="AK89" s="510">
        <v>1</v>
      </c>
      <c r="AL89" s="510">
        <v>1</v>
      </c>
      <c r="AM89" s="575">
        <f>+'1.Informe Seguimiento POA 2023'!O93</f>
        <v>1</v>
      </c>
      <c r="AN89" s="575">
        <f>+'1.Informe Seguimiento POA 2023'!P93</f>
        <v>1</v>
      </c>
      <c r="AO89" s="575">
        <f>+'1.Informe Seguimiento POA 2023'!Q93</f>
        <v>1</v>
      </c>
      <c r="AP89" s="575">
        <f>+'1.Informe Seguimiento POA 2023'!R93</f>
        <v>1</v>
      </c>
      <c r="AQ89" s="575">
        <f>+'1.Informe Seguimiento POA 2023'!S93</f>
        <v>1</v>
      </c>
      <c r="AR89" s="575">
        <f>+'1.Informe Seguimiento POA 2023'!T93</f>
        <v>0</v>
      </c>
      <c r="AS89" s="575">
        <f>+'1.Informe Seguimiento POA 2023'!U93</f>
        <v>1</v>
      </c>
      <c r="AT89" s="575">
        <f>+'1.Informe Seguimiento POA 2023'!V93</f>
        <v>0</v>
      </c>
      <c r="AU89" s="510">
        <f>+'1.Informe Seguimiento POA 2023'!W93</f>
        <v>1</v>
      </c>
      <c r="AV89" s="510">
        <f>+'1.Informe Seguimiento POA 2023'!X93</f>
        <v>1</v>
      </c>
      <c r="AW89" s="510">
        <f>+'1.Informe Seguimiento POA 2023'!Y93</f>
        <v>0.5</v>
      </c>
      <c r="AX89" s="582"/>
      <c r="AY89" s="582"/>
      <c r="AZ89" s="582"/>
      <c r="BA89" s="582"/>
      <c r="BB89" s="582"/>
      <c r="BC89" s="582"/>
      <c r="BD89" s="582"/>
      <c r="BE89" s="582"/>
      <c r="BF89" s="569">
        <f t="shared" si="45"/>
        <v>1</v>
      </c>
      <c r="BG89" s="569"/>
      <c r="BH89" s="582"/>
      <c r="BI89" s="509">
        <f t="shared" ref="BI89:BI90" si="57">IFERROR(AVERAGE(Q89,S89,U89,W89,AB89,AD89,AF89,AH89,AM89,AO89),0)</f>
        <v>1</v>
      </c>
      <c r="BJ89" s="509">
        <f t="shared" ref="BJ89:BJ90" si="58">IFERROR(AVERAGE(R89,T89,V89,X89,AC89,AE89,AG89,AI89,AN89,AP89),0)</f>
        <v>1</v>
      </c>
      <c r="BK89" s="508">
        <f t="shared" si="18"/>
        <v>1</v>
      </c>
      <c r="BL89" s="963">
        <f>(IF(AND(BJ89&gt;0,$J89&gt;0),BJ89/$J89,0)/4)*3</f>
        <v>0.75</v>
      </c>
      <c r="BM89" s="785">
        <f t="shared" si="56"/>
        <v>0.375</v>
      </c>
      <c r="BN89" s="1075">
        <f>SUM(BM89:BM90)</f>
        <v>0.75</v>
      </c>
      <c r="BO89" s="1035"/>
      <c r="BP89" s="599"/>
      <c r="BQ89" s="599"/>
    </row>
    <row r="90" spans="2:69" ht="69.75" customHeight="1">
      <c r="B90" s="1037"/>
      <c r="C90" s="1072"/>
      <c r="D90" s="1074"/>
      <c r="E90" s="1074"/>
      <c r="F90" s="1078"/>
      <c r="G90" s="1078"/>
      <c r="H90" s="530" t="str">
        <f>+'1.Informe Seguimiento POA 2023'!D94</f>
        <v>4.6.2 Desarrollar el 100% de los productos para comunicación y divulgación interna que contribuyan a la consecución de objetivos institucionales</v>
      </c>
      <c r="I90" s="511">
        <f>+'1.Informe Seguimiento POA 2023'!E94</f>
        <v>0.5</v>
      </c>
      <c r="J90" s="569">
        <f>+'1.Informe Seguimiento POA 2023'!F94</f>
        <v>1</v>
      </c>
      <c r="K90" s="573" t="str">
        <f>+'1.Informe Seguimiento POA 2023'!I94</f>
        <v>Comunicación Estratégica</v>
      </c>
      <c r="L90" s="573" t="str">
        <f>+'1.Informe Seguimiento POA 2023'!J94</f>
        <v>Oficina Asesora de Comunicaciones</v>
      </c>
      <c r="M90" s="521">
        <f>+'1.Informe Seguimiento POA 2023'!K94</f>
        <v>1</v>
      </c>
      <c r="N90" s="521">
        <f>+'1.Informe Seguimiento POA 2023'!L94</f>
        <v>1</v>
      </c>
      <c r="O90" s="521">
        <f>+'1.Informe Seguimiento POA 2023'!M94</f>
        <v>1</v>
      </c>
      <c r="P90" s="521">
        <f>+'1.Informe Seguimiento POA 2023'!N94</f>
        <v>1</v>
      </c>
      <c r="Q90" s="767">
        <v>1</v>
      </c>
      <c r="R90" s="767">
        <v>1</v>
      </c>
      <c r="S90" s="767">
        <v>1</v>
      </c>
      <c r="T90" s="767">
        <v>1</v>
      </c>
      <c r="U90" s="767">
        <v>1</v>
      </c>
      <c r="V90" s="767">
        <v>1</v>
      </c>
      <c r="W90" s="767">
        <v>1</v>
      </c>
      <c r="X90" s="767">
        <v>1</v>
      </c>
      <c r="Y90" s="510">
        <v>1</v>
      </c>
      <c r="Z90" s="510">
        <v>1</v>
      </c>
      <c r="AA90" s="510">
        <v>1</v>
      </c>
      <c r="AB90" s="767">
        <v>1</v>
      </c>
      <c r="AC90" s="767">
        <v>1</v>
      </c>
      <c r="AD90" s="767">
        <v>1</v>
      </c>
      <c r="AE90" s="767">
        <v>1</v>
      </c>
      <c r="AF90" s="767">
        <v>1</v>
      </c>
      <c r="AG90" s="767">
        <v>1</v>
      </c>
      <c r="AH90" s="767">
        <v>1</v>
      </c>
      <c r="AI90" s="767">
        <v>1</v>
      </c>
      <c r="AJ90" s="510">
        <v>1</v>
      </c>
      <c r="AK90" s="510">
        <v>1</v>
      </c>
      <c r="AL90" s="510">
        <v>1</v>
      </c>
      <c r="AM90" s="575">
        <f>+'1.Informe Seguimiento POA 2023'!O94</f>
        <v>1</v>
      </c>
      <c r="AN90" s="575">
        <f>+'1.Informe Seguimiento POA 2023'!P94</f>
        <v>1</v>
      </c>
      <c r="AO90" s="575">
        <f>+'1.Informe Seguimiento POA 2023'!Q94</f>
        <v>1</v>
      </c>
      <c r="AP90" s="575">
        <f>+'1.Informe Seguimiento POA 2023'!R94</f>
        <v>1</v>
      </c>
      <c r="AQ90" s="575">
        <f>+'1.Informe Seguimiento POA 2023'!S94</f>
        <v>1</v>
      </c>
      <c r="AR90" s="575">
        <f>+'1.Informe Seguimiento POA 2023'!T94</f>
        <v>0</v>
      </c>
      <c r="AS90" s="575">
        <f>+'1.Informe Seguimiento POA 2023'!U94</f>
        <v>1</v>
      </c>
      <c r="AT90" s="575">
        <f>+'1.Informe Seguimiento POA 2023'!V94</f>
        <v>0</v>
      </c>
      <c r="AU90" s="510">
        <f>+'1.Informe Seguimiento POA 2023'!W94</f>
        <v>1</v>
      </c>
      <c r="AV90" s="510">
        <f>+'1.Informe Seguimiento POA 2023'!X94</f>
        <v>1</v>
      </c>
      <c r="AW90" s="510">
        <f>+'1.Informe Seguimiento POA 2023'!Y94</f>
        <v>0.5</v>
      </c>
      <c r="AX90" s="582"/>
      <c r="AY90" s="582"/>
      <c r="AZ90" s="582"/>
      <c r="BA90" s="582"/>
      <c r="BB90" s="582"/>
      <c r="BC90" s="582"/>
      <c r="BD90" s="582"/>
      <c r="BE90" s="582"/>
      <c r="BF90" s="569">
        <f t="shared" si="45"/>
        <v>1</v>
      </c>
      <c r="BG90" s="569"/>
      <c r="BH90" s="582"/>
      <c r="BI90" s="509">
        <f t="shared" si="57"/>
        <v>1</v>
      </c>
      <c r="BJ90" s="509">
        <f t="shared" si="58"/>
        <v>1</v>
      </c>
      <c r="BK90" s="508">
        <f t="shared" si="18"/>
        <v>1</v>
      </c>
      <c r="BL90" s="963">
        <f>(IF(AND(BJ90&gt;0,$J90&gt;0),BJ90/$J90,0)/4)*3</f>
        <v>0.75</v>
      </c>
      <c r="BM90" s="785">
        <f t="shared" si="56"/>
        <v>0.375</v>
      </c>
      <c r="BN90" s="1076"/>
      <c r="BO90" s="1035"/>
      <c r="BP90" s="600"/>
      <c r="BQ90" s="600"/>
    </row>
    <row r="91" spans="2:69" ht="114" customHeight="1">
      <c r="B91" s="1038"/>
      <c r="C91" s="109" t="str">
        <f>+'Matriz PEI 2021-2024'!C26</f>
        <v>4.7. Articular el 100% de las acciones de trabajo interinstitucional y cooperación nacional e internacional que permita aunar esfuerzos para el cumplimiento de la misión institucional.</v>
      </c>
      <c r="D91" s="531">
        <f>+'Matriz PEI 2021-2024'!E26</f>
        <v>1</v>
      </c>
      <c r="E91" s="531">
        <f>+'Matriz PEI 2021-2024'!D26</f>
        <v>0.14000000000000001</v>
      </c>
      <c r="F91" s="109" t="s">
        <v>915</v>
      </c>
      <c r="G91" s="109" t="s">
        <v>916</v>
      </c>
      <c r="H91" s="80" t="str">
        <f>+'1.Informe Seguimiento POA 2023'!D95</f>
        <v>4.7.1 Gestionar 3 acuerdos interinstitucionales o de cooperación nacional y/o internacional para garantizar el enfoque social, en el marco de un estado pluralista, para el fortalecimiento de la prestación del servicio al usuario</v>
      </c>
      <c r="I91" s="81">
        <f>+'1.Informe Seguimiento POA 2023'!E95</f>
        <v>1</v>
      </c>
      <c r="J91" s="82">
        <f>+'1.Informe Seguimiento POA 2023'!F95</f>
        <v>3</v>
      </c>
      <c r="K91" s="512" t="str">
        <f>+'1.Informe Seguimiento POA 2023'!I95</f>
        <v>Servicio al Usuario</v>
      </c>
      <c r="L91" s="110" t="str">
        <f>+'1.Informe Seguimiento POA 2023'!J95</f>
        <v>Secretaría General</v>
      </c>
      <c r="M91" s="527">
        <f>+'1.Informe Seguimiento POA 2023'!K95</f>
        <v>1</v>
      </c>
      <c r="N91" s="527">
        <f>+'1.Informe Seguimiento POA 2023'!L95</f>
        <v>1</v>
      </c>
      <c r="O91" s="527">
        <f>+'1.Informe Seguimiento POA 2023'!M95</f>
        <v>1</v>
      </c>
      <c r="P91" s="527">
        <f>+'1.Informe Seguimiento POA 2023'!N95</f>
        <v>0</v>
      </c>
      <c r="Q91" s="768">
        <v>0</v>
      </c>
      <c r="R91" s="768">
        <v>0</v>
      </c>
      <c r="S91" s="768">
        <v>0</v>
      </c>
      <c r="T91" s="768">
        <v>0</v>
      </c>
      <c r="U91" s="768">
        <v>0</v>
      </c>
      <c r="V91" s="768">
        <v>0</v>
      </c>
      <c r="W91" s="768">
        <v>1</v>
      </c>
      <c r="X91" s="768">
        <v>2</v>
      </c>
      <c r="Y91" s="254">
        <v>1</v>
      </c>
      <c r="Z91" s="254">
        <v>2</v>
      </c>
      <c r="AA91" s="514">
        <v>2</v>
      </c>
      <c r="AB91" s="768">
        <v>0</v>
      </c>
      <c r="AC91" s="768">
        <v>0</v>
      </c>
      <c r="AD91" s="768">
        <v>0</v>
      </c>
      <c r="AE91" s="768">
        <v>0</v>
      </c>
      <c r="AF91" s="768">
        <v>0</v>
      </c>
      <c r="AG91" s="768">
        <v>0</v>
      </c>
      <c r="AH91" s="768">
        <v>1</v>
      </c>
      <c r="AI91" s="768">
        <v>2</v>
      </c>
      <c r="AJ91" s="254">
        <v>1</v>
      </c>
      <c r="AK91" s="254">
        <v>2</v>
      </c>
      <c r="AL91" s="514">
        <v>2</v>
      </c>
      <c r="AM91" s="527">
        <f>+'1.Informe Seguimiento POA 2023'!O95</f>
        <v>0</v>
      </c>
      <c r="AN91" s="527">
        <f>+'1.Informe Seguimiento POA 2023'!P95</f>
        <v>0</v>
      </c>
      <c r="AO91" s="527">
        <f>+'1.Informe Seguimiento POA 2023'!Q95</f>
        <v>0</v>
      </c>
      <c r="AP91" s="527">
        <f>+'1.Informe Seguimiento POA 2023'!R95</f>
        <v>0</v>
      </c>
      <c r="AQ91" s="527">
        <f>+'1.Informe Seguimiento POA 2023'!S95</f>
        <v>0</v>
      </c>
      <c r="AR91" s="527">
        <f>+'1.Informe Seguimiento POA 2023'!T95</f>
        <v>0</v>
      </c>
      <c r="AS91" s="527">
        <f>+'1.Informe Seguimiento POA 2023'!U95</f>
        <v>1</v>
      </c>
      <c r="AT91" s="527">
        <f>+'1.Informe Seguimiento POA 2023'!V95</f>
        <v>0</v>
      </c>
      <c r="AU91" s="254">
        <f>+'1.Informe Seguimiento POA 2023'!W95</f>
        <v>1</v>
      </c>
      <c r="AV91" s="254">
        <f>+'1.Informe Seguimiento POA 2023'!X95</f>
        <v>0</v>
      </c>
      <c r="AW91" s="514">
        <f>+'1.Informe Seguimiento POA 2023'!Y95</f>
        <v>0</v>
      </c>
      <c r="AX91" s="514"/>
      <c r="AY91" s="514"/>
      <c r="AZ91" s="514"/>
      <c r="BA91" s="514"/>
      <c r="BB91" s="514"/>
      <c r="BC91" s="514"/>
      <c r="BD91" s="514"/>
      <c r="BE91" s="514"/>
      <c r="BF91" s="254">
        <f t="shared" si="45"/>
        <v>0</v>
      </c>
      <c r="BG91" s="254"/>
      <c r="BH91" s="514"/>
      <c r="BI91" s="581">
        <f t="shared" ref="BI91:BJ92" si="59">+Q91+S91+U91+W91+AM91+AO91+AB91+AD91+AF91+AH91</f>
        <v>2</v>
      </c>
      <c r="BJ91" s="581">
        <f t="shared" ref="BJ91" si="60">+R91+T91+V91+X91+AN91+AP91+AC91+AE91+AG91+AI91</f>
        <v>4</v>
      </c>
      <c r="BK91" s="591">
        <f t="shared" si="18"/>
        <v>2</v>
      </c>
      <c r="BL91" s="514">
        <f>IF(AND(BJ91&gt;0,$J91&gt;0),BJ91/$J91,0)</f>
        <v>1.3333333333333333</v>
      </c>
      <c r="BM91" s="789">
        <f t="shared" si="56"/>
        <v>1.3333333333333333</v>
      </c>
      <c r="BN91" s="594">
        <f>+BM91</f>
        <v>1.3333333333333333</v>
      </c>
      <c r="BO91" s="1036"/>
      <c r="BP91" s="599"/>
      <c r="BQ91" s="599"/>
    </row>
    <row r="92" spans="2:69" ht="93.75" customHeight="1">
      <c r="B92" s="1011" t="str">
        <f>+'Matriz PEI 2021-2024'!B27</f>
        <v xml:space="preserve">5. Incorporar una cultura del conocimiento y la innovación a través de actividades que permitan el desarrollo de ideas, lecciones aprendidas e investigaciones para mejorar los resultados de la gestión institucional. </v>
      </c>
      <c r="C92" s="1093" t="str">
        <f>+'Matriz PEI 2021-2024'!C27</f>
        <v>5.1 Generar el 100% de productos de nuevo conocimiento o transformar los existentes, alineados con proyectos resultados de la investigación, desarrollo e innovación (I+D+I) en la Entidad.</v>
      </c>
      <c r="D92" s="1089">
        <f>+'Matriz PEI 2021-2024'!E27</f>
        <v>1</v>
      </c>
      <c r="E92" s="1089">
        <f>+'Matriz PEI 2021-2024'!D27</f>
        <v>0.4</v>
      </c>
      <c r="F92" s="1091" t="s">
        <v>943</v>
      </c>
      <c r="G92" s="1093" t="s">
        <v>917</v>
      </c>
      <c r="H92" s="530" t="str">
        <f>+'1.Informe Seguimiento POA 2023'!D96</f>
        <v xml:space="preserve">5.1.1 Elaborar cuatro (4) proyectos de investigación, desarrollo e innovación I+D+I para la Entidad </v>
      </c>
      <c r="I92" s="511">
        <f>+'1.Informe Seguimiento POA 2023'!E96</f>
        <v>0.5</v>
      </c>
      <c r="J92" s="72">
        <f>+'1.Informe Seguimiento POA 2023'!F96</f>
        <v>4</v>
      </c>
      <c r="K92" s="573" t="str">
        <f>+'1.Informe Seguimiento POA 2023'!I96</f>
        <v xml:space="preserve">Gestión del Conocimiento e Innovación </v>
      </c>
      <c r="L92" s="573" t="str">
        <f>+'1.Informe Seguimiento POA 2023'!J96</f>
        <v xml:space="preserve">Dirección de Gestión del Conocimiento e Innovación </v>
      </c>
      <c r="M92" s="522">
        <f>+'1.Informe Seguimiento POA 2023'!K96</f>
        <v>1</v>
      </c>
      <c r="N92" s="522">
        <f>+'1.Informe Seguimiento POA 2023'!L96</f>
        <v>1</v>
      </c>
      <c r="O92" s="522">
        <f>+'1.Informe Seguimiento POA 2023'!M96</f>
        <v>1</v>
      </c>
      <c r="P92" s="522">
        <f>+'1.Informe Seguimiento POA 2023'!N96</f>
        <v>1</v>
      </c>
      <c r="Q92" s="657">
        <v>0</v>
      </c>
      <c r="R92" s="657">
        <v>0</v>
      </c>
      <c r="S92" s="657">
        <v>0</v>
      </c>
      <c r="T92" s="657">
        <v>0</v>
      </c>
      <c r="U92" s="657">
        <v>0</v>
      </c>
      <c r="V92" s="657">
        <v>0</v>
      </c>
      <c r="W92" s="657">
        <v>1</v>
      </c>
      <c r="X92" s="657">
        <v>1</v>
      </c>
      <c r="Y92" s="769">
        <v>1</v>
      </c>
      <c r="Z92" s="769">
        <v>1</v>
      </c>
      <c r="AA92" s="529">
        <v>1</v>
      </c>
      <c r="AB92" s="657">
        <v>0</v>
      </c>
      <c r="AC92" s="657">
        <v>0</v>
      </c>
      <c r="AD92" s="657">
        <v>0</v>
      </c>
      <c r="AE92" s="657">
        <v>0</v>
      </c>
      <c r="AF92" s="657">
        <v>0</v>
      </c>
      <c r="AG92" s="657">
        <v>0</v>
      </c>
      <c r="AH92" s="657">
        <v>1</v>
      </c>
      <c r="AI92" s="657">
        <v>1</v>
      </c>
      <c r="AJ92" s="769">
        <v>1</v>
      </c>
      <c r="AK92" s="769">
        <v>1</v>
      </c>
      <c r="AL92" s="947">
        <v>1</v>
      </c>
      <c r="AM92" s="507">
        <f>+'1.Informe Seguimiento POA 2023'!O96</f>
        <v>0</v>
      </c>
      <c r="AN92" s="507">
        <f>+'1.Informe Seguimiento POA 2023'!P96</f>
        <v>0</v>
      </c>
      <c r="AO92" s="507">
        <f>+'1.Informe Seguimiento POA 2023'!Q96</f>
        <v>0</v>
      </c>
      <c r="AP92" s="507">
        <f>+'1.Informe Seguimiento POA 2023'!R96</f>
        <v>0</v>
      </c>
      <c r="AQ92" s="507">
        <f>+'1.Informe Seguimiento POA 2023'!S96</f>
        <v>0</v>
      </c>
      <c r="AR92" s="507">
        <f>+'1.Informe Seguimiento POA 2023'!T96</f>
        <v>0</v>
      </c>
      <c r="AS92" s="507">
        <f>+'1.Informe Seguimiento POA 2023'!U96</f>
        <v>1</v>
      </c>
      <c r="AT92" s="507">
        <f>+'1.Informe Seguimiento POA 2023'!V96</f>
        <v>0</v>
      </c>
      <c r="AU92" s="522">
        <f>+'1.Informe Seguimiento POA 2023'!W96</f>
        <v>1</v>
      </c>
      <c r="AV92" s="522">
        <f>+'1.Informe Seguimiento POA 2023'!X96</f>
        <v>0</v>
      </c>
      <c r="AW92" s="529">
        <f>+'1.Informe Seguimiento POA 2023'!Y96</f>
        <v>0</v>
      </c>
      <c r="AX92" s="582"/>
      <c r="AY92" s="582"/>
      <c r="AZ92" s="582"/>
      <c r="BA92" s="582"/>
      <c r="BB92" s="582"/>
      <c r="BC92" s="582"/>
      <c r="BD92" s="582"/>
      <c r="BE92" s="582"/>
      <c r="BF92" s="522">
        <f t="shared" si="45"/>
        <v>1</v>
      </c>
      <c r="BG92" s="522"/>
      <c r="BH92" s="582"/>
      <c r="BI92" s="256">
        <f t="shared" si="59"/>
        <v>2</v>
      </c>
      <c r="BJ92" s="256">
        <f t="shared" si="59"/>
        <v>2</v>
      </c>
      <c r="BK92" s="508">
        <f t="shared" si="18"/>
        <v>1</v>
      </c>
      <c r="BL92" s="508">
        <f>(IF(AND(BJ92&gt;0,$J92&gt;0),BJ92/$J92,0))</f>
        <v>0.5</v>
      </c>
      <c r="BM92" s="533">
        <f t="shared" si="56"/>
        <v>0.25</v>
      </c>
      <c r="BN92" s="1020">
        <f>+BM92+BM93</f>
        <v>0.5</v>
      </c>
      <c r="BO92" s="1020">
        <f>(IF(AND(BN92&gt;0,E92&gt;0),BN92*E92))+(IF(AND(BN94&gt;0,E94&gt;0),BN94*E94))+(IF(AND(BN95&gt;0,E95&gt;0),BN95*E95))</f>
        <v>0.61250000000000004</v>
      </c>
      <c r="BP92" s="601"/>
      <c r="BQ92" s="601"/>
    </row>
    <row r="93" spans="2:69" ht="93.75" customHeight="1">
      <c r="B93" s="1012"/>
      <c r="C93" s="1094"/>
      <c r="D93" s="1090"/>
      <c r="E93" s="1090"/>
      <c r="F93" s="1092"/>
      <c r="G93" s="1094"/>
      <c r="H93" s="530" t="str">
        <f>+'1.Informe Seguimiento POA 2023'!D97</f>
        <v>5.1.2. Entregar dos (2) productos resultado de los proyectos de investigación, desarrollo e innovación (I+D+I) realizados en la Entidad para la comunidad</v>
      </c>
      <c r="I93" s="511">
        <f>+'1.Informe Seguimiento POA 2023'!E97</f>
        <v>0.5</v>
      </c>
      <c r="J93" s="72">
        <f>+'1.Informe Seguimiento POA 2023'!F97</f>
        <v>2</v>
      </c>
      <c r="K93" s="573" t="str">
        <f>+'1.Informe Seguimiento POA 2023'!I97</f>
        <v xml:space="preserve">Gestión del Conocimiento e Innovación </v>
      </c>
      <c r="L93" s="573" t="str">
        <f>+'1.Informe Seguimiento POA 2023'!J97</f>
        <v xml:space="preserve">Dirección de Gestión del Conocimiento e Innovación </v>
      </c>
      <c r="M93" s="522">
        <f>+'1.Informe Seguimiento POA 2023'!K97</f>
        <v>0</v>
      </c>
      <c r="N93" s="522">
        <f>+'1.Informe Seguimiento POA 2023'!L97</f>
        <v>1</v>
      </c>
      <c r="O93" s="522">
        <f>+'1.Informe Seguimiento POA 2023'!M97</f>
        <v>1</v>
      </c>
      <c r="P93" s="522">
        <f>+'1.Informe Seguimiento POA 2023'!N97</f>
        <v>0</v>
      </c>
      <c r="Q93" s="657">
        <v>0</v>
      </c>
      <c r="R93" s="657">
        <v>0</v>
      </c>
      <c r="S93" s="657">
        <v>0</v>
      </c>
      <c r="T93" s="657">
        <v>0</v>
      </c>
      <c r="U93" s="657">
        <v>0</v>
      </c>
      <c r="V93" s="657">
        <v>0</v>
      </c>
      <c r="W93" s="657">
        <v>0</v>
      </c>
      <c r="X93" s="657">
        <v>0</v>
      </c>
      <c r="Y93" s="769">
        <v>0</v>
      </c>
      <c r="Z93" s="769">
        <v>0</v>
      </c>
      <c r="AA93" s="529">
        <v>0</v>
      </c>
      <c r="AB93" s="657">
        <v>0</v>
      </c>
      <c r="AC93" s="657">
        <v>0</v>
      </c>
      <c r="AD93" s="657">
        <v>0</v>
      </c>
      <c r="AE93" s="657">
        <v>0</v>
      </c>
      <c r="AF93" s="657">
        <v>0</v>
      </c>
      <c r="AG93" s="657">
        <v>0</v>
      </c>
      <c r="AH93" s="657">
        <v>1</v>
      </c>
      <c r="AI93" s="657">
        <v>1</v>
      </c>
      <c r="AJ93" s="769">
        <v>1</v>
      </c>
      <c r="AK93" s="769">
        <v>1</v>
      </c>
      <c r="AL93" s="947">
        <v>1</v>
      </c>
      <c r="AM93" s="507">
        <f>+'1.Informe Seguimiento POA 2023'!O97</f>
        <v>0</v>
      </c>
      <c r="AN93" s="507">
        <f>+'1.Informe Seguimiento POA 2023'!P97</f>
        <v>0</v>
      </c>
      <c r="AO93" s="507">
        <f>+'1.Informe Seguimiento POA 2023'!Q97</f>
        <v>0</v>
      </c>
      <c r="AP93" s="507">
        <f>+'1.Informe Seguimiento POA 2023'!R97</f>
        <v>0</v>
      </c>
      <c r="AQ93" s="507">
        <f>+'1.Informe Seguimiento POA 2023'!S97</f>
        <v>0</v>
      </c>
      <c r="AR93" s="507">
        <f>+'1.Informe Seguimiento POA 2023'!T97</f>
        <v>0</v>
      </c>
      <c r="AS93" s="507">
        <f>+'1.Informe Seguimiento POA 2023'!U97</f>
        <v>1</v>
      </c>
      <c r="AT93" s="507">
        <f>+'1.Informe Seguimiento POA 2023'!V97</f>
        <v>0</v>
      </c>
      <c r="AU93" s="522">
        <f>+'1.Informe Seguimiento POA 2023'!W97</f>
        <v>1</v>
      </c>
      <c r="AV93" s="522">
        <f>+'1.Informe Seguimiento POA 2023'!X97</f>
        <v>0</v>
      </c>
      <c r="AW93" s="529">
        <f>+'1.Informe Seguimiento POA 2023'!Y97</f>
        <v>0</v>
      </c>
      <c r="AX93" s="582"/>
      <c r="AY93" s="582"/>
      <c r="AZ93" s="582"/>
      <c r="BA93" s="582"/>
      <c r="BB93" s="582"/>
      <c r="BC93" s="582"/>
      <c r="BD93" s="582"/>
      <c r="BE93" s="582"/>
      <c r="BF93" s="522">
        <f t="shared" si="45"/>
        <v>0</v>
      </c>
      <c r="BG93" s="522"/>
      <c r="BH93" s="582"/>
      <c r="BI93" s="256">
        <f t="shared" ref="BI93" si="61">+Q93+S93+U93+W93+AM93+AO93+AB93+AD93+AF93+AH93</f>
        <v>1</v>
      </c>
      <c r="BJ93" s="256">
        <f t="shared" ref="BJ93" si="62">+R93+T93+V93+X93+AN93+AP93+AC93+AE93+AG93+AI93</f>
        <v>1</v>
      </c>
      <c r="BK93" s="508">
        <f t="shared" si="18"/>
        <v>1</v>
      </c>
      <c r="BL93" s="508">
        <f>(IF(AND(BJ93&gt;0,$J93&gt;0),BJ93/$J93,0))</f>
        <v>0.5</v>
      </c>
      <c r="BM93" s="533">
        <f t="shared" si="56"/>
        <v>0.25</v>
      </c>
      <c r="BN93" s="1061"/>
      <c r="BO93" s="1021"/>
      <c r="BP93" s="601"/>
      <c r="BQ93" s="601"/>
    </row>
    <row r="94" spans="2:69" ht="102" customHeight="1">
      <c r="B94" s="1012"/>
      <c r="C94" s="111" t="str">
        <f>+'Matriz PEI 2021-2024'!C28</f>
        <v>5.2 Formular el 100% de herramientas y acciones que permitan categorizar, preservar y utilizar el conocimiento para la toma de decisiones y compartir fácilmente los datos y la información de la Entidad.</v>
      </c>
      <c r="D94" s="532">
        <f>+'Matriz PEI 2021-2024'!E28</f>
        <v>1</v>
      </c>
      <c r="E94" s="532">
        <f>+'Matriz PEI 2021-2024'!D28</f>
        <v>0.3</v>
      </c>
      <c r="F94" s="570" t="s">
        <v>918</v>
      </c>
      <c r="G94" s="111" t="s">
        <v>919</v>
      </c>
      <c r="H94" s="530" t="str">
        <f>+'1.Informe Seguimiento POA 2023'!D98</f>
        <v xml:space="preserve">5.2.1 Construir ocho (8) informes de investigación e innovación que reflejen la analítica institucional </v>
      </c>
      <c r="I94" s="511">
        <f>+'1.Informe Seguimiento POA 2023'!E98</f>
        <v>1</v>
      </c>
      <c r="J94" s="72">
        <f>+'1.Informe Seguimiento POA 2023'!F98</f>
        <v>8</v>
      </c>
      <c r="K94" s="573" t="str">
        <f>+'1.Informe Seguimiento POA 2023'!I98</f>
        <v xml:space="preserve">Gestión del Conocimiento e Innovación </v>
      </c>
      <c r="L94" s="573" t="str">
        <f>+'1.Informe Seguimiento POA 2023'!J98</f>
        <v xml:space="preserve">Dirección de Gestión del Conocimiento e Innovación </v>
      </c>
      <c r="M94" s="522">
        <f>+'1.Informe Seguimiento POA 2023'!K98</f>
        <v>2</v>
      </c>
      <c r="N94" s="522">
        <f>+'1.Informe Seguimiento POA 2023'!L98</f>
        <v>2</v>
      </c>
      <c r="O94" s="522">
        <f>+'1.Informe Seguimiento POA 2023'!M98</f>
        <v>3</v>
      </c>
      <c r="P94" s="522">
        <f>+'1.Informe Seguimiento POA 2023'!N98</f>
        <v>1</v>
      </c>
      <c r="Q94" s="657">
        <v>0</v>
      </c>
      <c r="R94" s="657">
        <v>0</v>
      </c>
      <c r="S94" s="657">
        <v>1</v>
      </c>
      <c r="T94" s="657">
        <v>1</v>
      </c>
      <c r="U94" s="657">
        <v>0</v>
      </c>
      <c r="V94" s="657">
        <v>0</v>
      </c>
      <c r="W94" s="657">
        <v>1</v>
      </c>
      <c r="X94" s="657">
        <v>1</v>
      </c>
      <c r="Y94" s="769">
        <v>2</v>
      </c>
      <c r="Z94" s="769">
        <v>2</v>
      </c>
      <c r="AA94" s="529">
        <v>1</v>
      </c>
      <c r="AB94" s="657">
        <v>0</v>
      </c>
      <c r="AC94" s="657">
        <v>0</v>
      </c>
      <c r="AD94" s="657">
        <v>1</v>
      </c>
      <c r="AE94" s="657">
        <v>1</v>
      </c>
      <c r="AF94" s="657">
        <v>0</v>
      </c>
      <c r="AG94" s="657">
        <v>0</v>
      </c>
      <c r="AH94" s="657">
        <v>1</v>
      </c>
      <c r="AI94" s="657">
        <v>1</v>
      </c>
      <c r="AJ94" s="769">
        <v>2</v>
      </c>
      <c r="AK94" s="769">
        <v>2</v>
      </c>
      <c r="AL94" s="947">
        <v>1</v>
      </c>
      <c r="AM94" s="507">
        <f>+'1.Informe Seguimiento POA 2023'!O98</f>
        <v>0</v>
      </c>
      <c r="AN94" s="507">
        <f>+'1.Informe Seguimiento POA 2023'!P98</f>
        <v>0</v>
      </c>
      <c r="AO94" s="507">
        <f>+'1.Informe Seguimiento POA 2023'!Q98</f>
        <v>1</v>
      </c>
      <c r="AP94" s="507">
        <f>+'1.Informe Seguimiento POA 2023'!R98</f>
        <v>1</v>
      </c>
      <c r="AQ94" s="507">
        <f>+'1.Informe Seguimiento POA 2023'!S98</f>
        <v>1</v>
      </c>
      <c r="AR94" s="507">
        <f>+'1.Informe Seguimiento POA 2023'!T98</f>
        <v>0</v>
      </c>
      <c r="AS94" s="507">
        <f>+'1.Informe Seguimiento POA 2023'!U98</f>
        <v>1</v>
      </c>
      <c r="AT94" s="507">
        <f>+'1.Informe Seguimiento POA 2023'!V98</f>
        <v>0</v>
      </c>
      <c r="AU94" s="522">
        <f>+'1.Informe Seguimiento POA 2023'!W98</f>
        <v>3</v>
      </c>
      <c r="AV94" s="522">
        <f>+'1.Informe Seguimiento POA 2023'!X98</f>
        <v>1</v>
      </c>
      <c r="AW94" s="529">
        <f>+'1.Informe Seguimiento POA 2023'!Y98</f>
        <v>0.33333333333333331</v>
      </c>
      <c r="AX94" s="582"/>
      <c r="AY94" s="582"/>
      <c r="AZ94" s="582"/>
      <c r="BA94" s="582"/>
      <c r="BB94" s="582"/>
      <c r="BC94" s="582"/>
      <c r="BD94" s="582"/>
      <c r="BE94" s="582"/>
      <c r="BF94" s="522">
        <f t="shared" si="45"/>
        <v>1</v>
      </c>
      <c r="BG94" s="522"/>
      <c r="BH94" s="582"/>
      <c r="BI94" s="256">
        <f t="shared" ref="BI94:BI95" si="63">+Q94+S94+U94+W94+AM94+AO94+AB94+AD94+AF94+AH94</f>
        <v>5</v>
      </c>
      <c r="BJ94" s="256">
        <f t="shared" ref="BJ94:BJ95" si="64">+R94+T94+V94+X94+AN94+AP94+AC94+AE94+AG94+AI94</f>
        <v>5</v>
      </c>
      <c r="BK94" s="508">
        <f t="shared" ref="BK94:BK95" si="65">IF(AND(BI94&gt;0),BJ94/BI94,"No programado")</f>
        <v>1</v>
      </c>
      <c r="BL94" s="508">
        <f>(IF(AND(BJ94&gt;0,$J94&gt;0),BJ94/$J94,0))</f>
        <v>0.625</v>
      </c>
      <c r="BM94" s="533">
        <f t="shared" si="56"/>
        <v>0.625</v>
      </c>
      <c r="BN94" s="595">
        <f>+BM94</f>
        <v>0.625</v>
      </c>
      <c r="BO94" s="1021"/>
      <c r="BP94" s="601"/>
      <c r="BQ94" s="601"/>
    </row>
    <row r="95" spans="2:69" ht="124.5" customHeight="1" thickBot="1">
      <c r="B95" s="1019"/>
      <c r="C95" s="112"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532">
        <f>+'Matriz PEI 2021-2024'!E29</f>
        <v>1</v>
      </c>
      <c r="E95" s="532">
        <f>+'Matriz PEI 2021-2024'!D29</f>
        <v>0.3</v>
      </c>
      <c r="F95" s="570" t="s">
        <v>920</v>
      </c>
      <c r="G95" s="112" t="s">
        <v>921</v>
      </c>
      <c r="H95" s="530" t="str">
        <f>+'1.Informe Seguimiento POA 2023'!D99</f>
        <v>5.3.1 Desarrollar ochenta (80) actividades de apropiación social del conocimiento para la creación de la cultura de la investigación e innovación.</v>
      </c>
      <c r="I95" s="511">
        <f>+'1.Informe Seguimiento POA 2023'!E99</f>
        <v>1</v>
      </c>
      <c r="J95" s="72">
        <f>+'1.Informe Seguimiento POA 2023'!F99</f>
        <v>80</v>
      </c>
      <c r="K95" s="573" t="str">
        <f>+'1.Informe Seguimiento POA 2023'!I99</f>
        <v xml:space="preserve">Gestión del Conocimiento e Innovación </v>
      </c>
      <c r="L95" s="573" t="str">
        <f>+'1.Informe Seguimiento POA 2023'!J99</f>
        <v xml:space="preserve">Dirección de Gestión del Conocimiento e Innovación </v>
      </c>
      <c r="M95" s="522">
        <f>+'1.Informe Seguimiento POA 2023'!K99</f>
        <v>3</v>
      </c>
      <c r="N95" s="522">
        <f>+'1.Informe Seguimiento POA 2023'!L99</f>
        <v>38</v>
      </c>
      <c r="O95" s="522">
        <f>+'1.Informe Seguimiento POA 2023'!M99</f>
        <v>39</v>
      </c>
      <c r="P95" s="522">
        <f>+'1.Informe Seguimiento POA 2023'!N99</f>
        <v>0</v>
      </c>
      <c r="Q95" s="657">
        <v>0</v>
      </c>
      <c r="R95" s="657">
        <v>1</v>
      </c>
      <c r="S95" s="657">
        <v>1</v>
      </c>
      <c r="T95" s="657">
        <v>2</v>
      </c>
      <c r="U95" s="657">
        <v>1</v>
      </c>
      <c r="V95" s="657">
        <v>0</v>
      </c>
      <c r="W95" s="657">
        <v>1</v>
      </c>
      <c r="X95" s="657">
        <v>0</v>
      </c>
      <c r="Y95" s="769">
        <v>3</v>
      </c>
      <c r="Z95" s="769">
        <v>3</v>
      </c>
      <c r="AA95" s="529">
        <v>1</v>
      </c>
      <c r="AB95" s="657">
        <v>6</v>
      </c>
      <c r="AC95" s="657">
        <v>9</v>
      </c>
      <c r="AD95" s="657">
        <v>12</v>
      </c>
      <c r="AE95" s="657">
        <v>12</v>
      </c>
      <c r="AF95" s="657">
        <v>12</v>
      </c>
      <c r="AG95" s="657">
        <v>10</v>
      </c>
      <c r="AH95" s="657">
        <v>8</v>
      </c>
      <c r="AI95" s="657">
        <v>7</v>
      </c>
      <c r="AJ95" s="769">
        <v>38</v>
      </c>
      <c r="AK95" s="769">
        <v>38</v>
      </c>
      <c r="AL95" s="947">
        <v>1</v>
      </c>
      <c r="AM95" s="507">
        <f>+'1.Informe Seguimiento POA 2023'!O99</f>
        <v>7</v>
      </c>
      <c r="AN95" s="507">
        <f>+'1.Informe Seguimiento POA 2023'!P99</f>
        <v>7</v>
      </c>
      <c r="AO95" s="507">
        <f>+'1.Informe Seguimiento POA 2023'!Q99</f>
        <v>12</v>
      </c>
      <c r="AP95" s="507">
        <f>+'1.Informe Seguimiento POA 2023'!R99</f>
        <v>12</v>
      </c>
      <c r="AQ95" s="507">
        <f>+'1.Informe Seguimiento POA 2023'!S99</f>
        <v>12</v>
      </c>
      <c r="AR95" s="507">
        <f>+'1.Informe Seguimiento POA 2023'!T99</f>
        <v>0</v>
      </c>
      <c r="AS95" s="507">
        <f>+'1.Informe Seguimiento POA 2023'!U99</f>
        <v>8</v>
      </c>
      <c r="AT95" s="507">
        <f>+'1.Informe Seguimiento POA 2023'!V99</f>
        <v>0</v>
      </c>
      <c r="AU95" s="522">
        <f>+'1.Informe Seguimiento POA 2023'!W99</f>
        <v>39</v>
      </c>
      <c r="AV95" s="522">
        <f>+'1.Informe Seguimiento POA 2023'!X99</f>
        <v>19</v>
      </c>
      <c r="AW95" s="529">
        <f>+'1.Informe Seguimiento POA 2023'!Y99</f>
        <v>0.48717948717948717</v>
      </c>
      <c r="AX95" s="582"/>
      <c r="AY95" s="582"/>
      <c r="AZ95" s="582"/>
      <c r="BA95" s="582"/>
      <c r="BB95" s="582"/>
      <c r="BC95" s="582"/>
      <c r="BD95" s="582"/>
      <c r="BE95" s="582"/>
      <c r="BF95" s="522">
        <f t="shared" si="45"/>
        <v>0</v>
      </c>
      <c r="BG95" s="522"/>
      <c r="BH95" s="582"/>
      <c r="BI95" s="256">
        <f t="shared" si="63"/>
        <v>60</v>
      </c>
      <c r="BJ95" s="256">
        <f t="shared" si="64"/>
        <v>60</v>
      </c>
      <c r="BK95" s="508">
        <f t="shared" si="65"/>
        <v>1</v>
      </c>
      <c r="BL95" s="964">
        <f>(IF(AND(BJ95&gt;0,$J95&gt;0),BJ95/$J95,0))</f>
        <v>0.75</v>
      </c>
      <c r="BM95" s="533">
        <f t="shared" si="56"/>
        <v>0.75</v>
      </c>
      <c r="BN95" s="595">
        <f>+BM95</f>
        <v>0.75</v>
      </c>
      <c r="BO95" s="1061"/>
      <c r="BP95" s="601"/>
      <c r="BQ95" s="601"/>
    </row>
    <row r="96" spans="2:69" ht="18" thickBot="1">
      <c r="B96" s="203"/>
      <c r="C96" s="204"/>
      <c r="D96" s="204"/>
      <c r="E96" s="534"/>
      <c r="F96" s="534"/>
      <c r="G96" s="534"/>
      <c r="H96" s="204"/>
      <c r="I96" s="204"/>
      <c r="J96" s="204"/>
      <c r="K96" s="204"/>
      <c r="L96" s="204"/>
      <c r="M96" s="204"/>
      <c r="N96" s="204"/>
      <c r="O96" s="204"/>
      <c r="P96" s="204"/>
      <c r="Q96" s="204"/>
      <c r="R96" s="204"/>
      <c r="S96" s="204"/>
      <c r="T96" s="204"/>
      <c r="U96" s="204"/>
      <c r="V96" s="204"/>
      <c r="W96" s="204"/>
      <c r="X96" s="204"/>
      <c r="Y96" s="204"/>
      <c r="Z96" s="204"/>
      <c r="AA96" s="204"/>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965">
        <f>AVERAGE(BL9:BL95)</f>
        <v>0.7600703994359308</v>
      </c>
      <c r="BM96" s="204"/>
      <c r="BN96" s="966">
        <f>AVERAGE(BN9:BN95)</f>
        <v>0.7639290208770918</v>
      </c>
      <c r="BO96" s="965">
        <f>AVERAGE(BO9:BO95)</f>
        <v>0.74960498581537061</v>
      </c>
      <c r="BP96" s="602"/>
      <c r="BQ96" s="602"/>
    </row>
    <row r="97" spans="2:25" ht="13.5" customHeight="1">
      <c r="B97" s="38"/>
      <c r="C97" s="38"/>
      <c r="D97" s="38"/>
      <c r="E97" s="39"/>
      <c r="F97" s="39"/>
      <c r="G97" s="39"/>
      <c r="H97" s="38"/>
      <c r="I97" s="39"/>
      <c r="J97" s="39"/>
      <c r="K97" s="38"/>
      <c r="L97" s="38"/>
      <c r="M97" s="38"/>
      <c r="N97" s="38"/>
      <c r="O97" s="38"/>
      <c r="P97" s="38"/>
      <c r="Q97" s="38"/>
      <c r="R97" s="38"/>
      <c r="S97" s="38"/>
      <c r="T97" s="38"/>
      <c r="U97" s="38"/>
      <c r="V97" s="38"/>
      <c r="W97" s="38"/>
      <c r="X97" s="38"/>
      <c r="Y97" s="38"/>
    </row>
    <row r="98" spans="2:25" ht="15" customHeight="1">
      <c r="B98" s="38"/>
      <c r="C98" s="38"/>
      <c r="D98" s="38"/>
      <c r="E98" s="39"/>
      <c r="F98" s="39"/>
      <c r="G98" s="39"/>
      <c r="H98" s="38"/>
      <c r="I98" s="39"/>
      <c r="J98" s="39"/>
      <c r="K98" s="38"/>
      <c r="L98" s="38"/>
      <c r="M98" s="38"/>
      <c r="N98" s="38"/>
      <c r="O98" s="38"/>
      <c r="P98" s="38"/>
      <c r="Q98" s="38"/>
      <c r="R98" s="38"/>
      <c r="S98" s="38"/>
      <c r="T98" s="38"/>
      <c r="U98" s="38"/>
      <c r="V98" s="38"/>
      <c r="W98" s="38"/>
      <c r="X98" s="38"/>
      <c r="Y98" s="38"/>
    </row>
    <row r="99" spans="2:25" ht="15" customHeight="1">
      <c r="B99" s="38"/>
      <c r="C99" s="38"/>
      <c r="D99" s="38"/>
      <c r="E99" s="39"/>
      <c r="F99" s="39"/>
      <c r="G99" s="39"/>
      <c r="H99" s="38"/>
      <c r="I99" s="39"/>
      <c r="J99" s="39"/>
      <c r="K99" s="44"/>
      <c r="L99" s="44"/>
      <c r="M99" s="44"/>
      <c r="N99" s="44"/>
      <c r="O99" s="44"/>
      <c r="P99" s="44"/>
      <c r="Q99" s="44"/>
      <c r="R99" s="44"/>
      <c r="S99" s="44"/>
      <c r="T99" s="44"/>
      <c r="U99" s="44"/>
      <c r="V99" s="44"/>
      <c r="W99" s="44"/>
      <c r="X99" s="44"/>
      <c r="Y99" s="44"/>
    </row>
    <row r="100" spans="2:25" ht="15" customHeight="1">
      <c r="B100" s="38"/>
      <c r="C100" s="38" t="s">
        <v>986</v>
      </c>
      <c r="D100" s="38"/>
      <c r="E100" s="39"/>
      <c r="F100" s="39"/>
      <c r="G100" s="39"/>
      <c r="H100" s="38"/>
      <c r="I100" s="39"/>
      <c r="J100" s="39"/>
      <c r="K100" s="38"/>
      <c r="L100" s="38"/>
      <c r="M100" s="38"/>
      <c r="N100" s="38"/>
      <c r="O100" s="38"/>
      <c r="P100" s="38"/>
      <c r="Q100" s="38"/>
      <c r="R100" s="38"/>
      <c r="S100" s="38"/>
      <c r="T100" s="38"/>
      <c r="U100" s="38"/>
      <c r="V100" s="38"/>
      <c r="W100" s="38"/>
      <c r="X100" s="38"/>
      <c r="Y100" s="38"/>
    </row>
    <row r="101" spans="2:25" ht="15" customHeight="1">
      <c r="B101" s="38"/>
      <c r="C101" s="38"/>
      <c r="D101" s="38"/>
      <c r="E101" s="39"/>
      <c r="F101" s="39"/>
      <c r="G101" s="39"/>
      <c r="H101" s="38"/>
      <c r="I101" s="39"/>
      <c r="J101" s="39"/>
      <c r="K101" s="44"/>
      <c r="L101" s="44"/>
      <c r="M101" s="44"/>
      <c r="N101" s="44"/>
      <c r="O101" s="44"/>
      <c r="P101" s="44"/>
      <c r="Q101" s="44"/>
      <c r="R101" s="44"/>
      <c r="S101" s="44"/>
      <c r="T101" s="44"/>
      <c r="U101" s="44"/>
      <c r="V101" s="44"/>
      <c r="W101" s="44"/>
      <c r="X101" s="44"/>
      <c r="Y101" s="44"/>
    </row>
  </sheetData>
  <mergeCells count="164">
    <mergeCell ref="M6:P6"/>
    <mergeCell ref="BO92:BO95"/>
    <mergeCell ref="BO7:BO8"/>
    <mergeCell ref="BI6:BO6"/>
    <mergeCell ref="BO9:BO28"/>
    <mergeCell ref="BN29:BN30"/>
    <mergeCell ref="BN31:BN32"/>
    <mergeCell ref="BN33:BN35"/>
    <mergeCell ref="BO29:BO35"/>
    <mergeCell ref="BO36:BO43"/>
    <mergeCell ref="BO44:BO91"/>
    <mergeCell ref="BM7:BM8"/>
    <mergeCell ref="BN7:BN8"/>
    <mergeCell ref="BI7:BJ7"/>
    <mergeCell ref="BN20:BN25"/>
    <mergeCell ref="BM80:BM82"/>
    <mergeCell ref="BN65:BN82"/>
    <mergeCell ref="BL7:BL8"/>
    <mergeCell ref="Q6:AA6"/>
    <mergeCell ref="AM7:AN7"/>
    <mergeCell ref="AQ7:AR7"/>
    <mergeCell ref="AS7:AT7"/>
    <mergeCell ref="AW7:AW8"/>
    <mergeCell ref="S7:T7"/>
    <mergeCell ref="U7:V7"/>
    <mergeCell ref="W7:X7"/>
    <mergeCell ref="Y7:Y8"/>
    <mergeCell ref="Z7:Z8"/>
    <mergeCell ref="AA7:AA8"/>
    <mergeCell ref="AO7:AP7"/>
    <mergeCell ref="Q7:R7"/>
    <mergeCell ref="AF7:AG7"/>
    <mergeCell ref="AH7:AI7"/>
    <mergeCell ref="AJ7:AJ8"/>
    <mergeCell ref="AK7:AK8"/>
    <mergeCell ref="AL7:AL8"/>
    <mergeCell ref="AB6:AL6"/>
    <mergeCell ref="AB7:AC7"/>
    <mergeCell ref="AD7:AE7"/>
    <mergeCell ref="AX7:AY7"/>
    <mergeCell ref="AZ7:BA7"/>
    <mergeCell ref="AU7:AU8"/>
    <mergeCell ref="AV7:AV8"/>
    <mergeCell ref="AX6:BH6"/>
    <mergeCell ref="BB7:BC7"/>
    <mergeCell ref="BD7:BE7"/>
    <mergeCell ref="BF7:BF8"/>
    <mergeCell ref="BG7:BG8"/>
    <mergeCell ref="BH7:BH8"/>
    <mergeCell ref="AM6:AW6"/>
    <mergeCell ref="B29:B35"/>
    <mergeCell ref="C29:C30"/>
    <mergeCell ref="E29:E30"/>
    <mergeCell ref="D29:D30"/>
    <mergeCell ref="D31:D32"/>
    <mergeCell ref="D33:D35"/>
    <mergeCell ref="C33:C35"/>
    <mergeCell ref="E33:E35"/>
    <mergeCell ref="C31:C32"/>
    <mergeCell ref="E31:E32"/>
    <mergeCell ref="B9:B28"/>
    <mergeCell ref="G9:G18"/>
    <mergeCell ref="C20:C25"/>
    <mergeCell ref="K6:K8"/>
    <mergeCell ref="L6:L8"/>
    <mergeCell ref="B6:B8"/>
    <mergeCell ref="C6:C8"/>
    <mergeCell ref="D6:D8"/>
    <mergeCell ref="E6:E8"/>
    <mergeCell ref="F6:F8"/>
    <mergeCell ref="G6:G8"/>
    <mergeCell ref="H6:H8"/>
    <mergeCell ref="I6:I8"/>
    <mergeCell ref="J6:J8"/>
    <mergeCell ref="B36:B43"/>
    <mergeCell ref="C36:C37"/>
    <mergeCell ref="D36:D37"/>
    <mergeCell ref="E36:E37"/>
    <mergeCell ref="C38:C39"/>
    <mergeCell ref="D38:D39"/>
    <mergeCell ref="E65:E82"/>
    <mergeCell ref="F83:F88"/>
    <mergeCell ref="G83:G88"/>
    <mergeCell ref="G44:G50"/>
    <mergeCell ref="F60:F63"/>
    <mergeCell ref="G60:G63"/>
    <mergeCell ref="F65:F66"/>
    <mergeCell ref="G65:G66"/>
    <mergeCell ref="F67:F69"/>
    <mergeCell ref="G67:G69"/>
    <mergeCell ref="G73:G74"/>
    <mergeCell ref="B92:B95"/>
    <mergeCell ref="D83:D88"/>
    <mergeCell ref="E83:E88"/>
    <mergeCell ref="E89:E90"/>
    <mergeCell ref="C57:C64"/>
    <mergeCell ref="BN57:BN64"/>
    <mergeCell ref="H78:H79"/>
    <mergeCell ref="I78:I79"/>
    <mergeCell ref="BM78:BM79"/>
    <mergeCell ref="E57:E64"/>
    <mergeCell ref="B44:B91"/>
    <mergeCell ref="C44:C50"/>
    <mergeCell ref="D44:D50"/>
    <mergeCell ref="E44:E50"/>
    <mergeCell ref="F44:F50"/>
    <mergeCell ref="C65:C82"/>
    <mergeCell ref="D65:D82"/>
    <mergeCell ref="H80:H82"/>
    <mergeCell ref="D51:D56"/>
    <mergeCell ref="D57:D64"/>
    <mergeCell ref="C83:C88"/>
    <mergeCell ref="I80:I82"/>
    <mergeCell ref="F73:F74"/>
    <mergeCell ref="C92:C93"/>
    <mergeCell ref="C2:L2"/>
    <mergeCell ref="C51:C56"/>
    <mergeCell ref="BN51:BN56"/>
    <mergeCell ref="E51:E56"/>
    <mergeCell ref="E38:E39"/>
    <mergeCell ref="C41:C43"/>
    <mergeCell ref="D41:D43"/>
    <mergeCell ref="E41:E43"/>
    <mergeCell ref="F41:F43"/>
    <mergeCell ref="C26:C28"/>
    <mergeCell ref="E26:E28"/>
    <mergeCell ref="F26:F28"/>
    <mergeCell ref="G26:G28"/>
    <mergeCell ref="BN26:BN28"/>
    <mergeCell ref="D20:D25"/>
    <mergeCell ref="G33:G35"/>
    <mergeCell ref="F29:F30"/>
    <mergeCell ref="G29:G30"/>
    <mergeCell ref="D26:D28"/>
    <mergeCell ref="F33:F35"/>
    <mergeCell ref="F31:F32"/>
    <mergeCell ref="G31:G32"/>
    <mergeCell ref="C9:C19"/>
    <mergeCell ref="D9:D19"/>
    <mergeCell ref="D92:D93"/>
    <mergeCell ref="E92:E93"/>
    <mergeCell ref="F92:F93"/>
    <mergeCell ref="G92:G93"/>
    <mergeCell ref="BN92:BN93"/>
    <mergeCell ref="BN9:BN19"/>
    <mergeCell ref="E20:E25"/>
    <mergeCell ref="F20:F25"/>
    <mergeCell ref="G20:G25"/>
    <mergeCell ref="BN36:BN37"/>
    <mergeCell ref="BN38:BN39"/>
    <mergeCell ref="BN41:BN43"/>
    <mergeCell ref="F89:F90"/>
    <mergeCell ref="G89:G90"/>
    <mergeCell ref="C89:C90"/>
    <mergeCell ref="D89:D90"/>
    <mergeCell ref="BN89:BN90"/>
    <mergeCell ref="F75:F79"/>
    <mergeCell ref="G75:G79"/>
    <mergeCell ref="F80:F82"/>
    <mergeCell ref="G80:G82"/>
    <mergeCell ref="E9:E19"/>
    <mergeCell ref="F9:F18"/>
    <mergeCell ref="BN83:BN88"/>
    <mergeCell ref="BN44:BN50"/>
  </mergeCells>
  <conditionalFormatting sqref="BK9:BK28">
    <cfRule type="expression" dxfId="436" priority="31">
      <formula>#REF!="Pesos ($)"</formula>
    </cfRule>
    <cfRule type="expression" dxfId="435" priority="32">
      <formula>OR(LEFT(#REF!,9)="Número de",#REF!="Otra")</formula>
    </cfRule>
    <cfRule type="expression" dxfId="434" priority="33">
      <formula>#REF!="Porcentaje"</formula>
    </cfRule>
  </conditionalFormatting>
  <conditionalFormatting sqref="BK92:BK95">
    <cfRule type="expression" dxfId="433" priority="1">
      <formula>#REF!="Pesos ($)"</formula>
    </cfRule>
    <cfRule type="expression" dxfId="432" priority="2">
      <formula>OR(LEFT(#REF!,9)="Número de",#REF!="Otra")</formula>
    </cfRule>
    <cfRule type="expression" dxfId="431" priority="3">
      <formula>#REF!="Porcentaje"</formula>
    </cfRule>
  </conditionalFormatting>
  <conditionalFormatting sqref="BK36">
    <cfRule type="expression" dxfId="430" priority="28">
      <formula>#REF!="Pesos ($)"</formula>
    </cfRule>
    <cfRule type="expression" dxfId="429" priority="29">
      <formula>OR(LEFT(#REF!,9)="Número de",#REF!="Otra")</formula>
    </cfRule>
    <cfRule type="expression" dxfId="428" priority="30">
      <formula>#REF!="Porcentaje"</formula>
    </cfRule>
  </conditionalFormatting>
  <conditionalFormatting sqref="BK37">
    <cfRule type="expression" dxfId="427" priority="25">
      <formula>#REF!="Pesos ($)"</formula>
    </cfRule>
    <cfRule type="expression" dxfId="426" priority="26">
      <formula>OR(LEFT(#REF!,9)="Número de",#REF!="Otra")</formula>
    </cfRule>
    <cfRule type="expression" dxfId="425" priority="27">
      <formula>#REF!="Porcentaje"</formula>
    </cfRule>
  </conditionalFormatting>
  <conditionalFormatting sqref="BK38:BK43">
    <cfRule type="expression" dxfId="424" priority="22">
      <formula>#REF!="Pesos ($)"</formula>
    </cfRule>
    <cfRule type="expression" dxfId="423" priority="23">
      <formula>OR(LEFT(#REF!,9)="Número de",#REF!="Otra")</formula>
    </cfRule>
    <cfRule type="expression" dxfId="422" priority="24">
      <formula>#REF!="Porcentaje"</formula>
    </cfRule>
  </conditionalFormatting>
  <conditionalFormatting sqref="BK51:BK56">
    <cfRule type="expression" dxfId="421" priority="19">
      <formula>#REF!="Pesos ($)"</formula>
    </cfRule>
    <cfRule type="expression" dxfId="420" priority="20">
      <formula>OR(LEFT(#REF!,9)="Número de",#REF!="Otra")</formula>
    </cfRule>
    <cfRule type="expression" dxfId="419" priority="21">
      <formula>#REF!="Porcentaje"</formula>
    </cfRule>
  </conditionalFormatting>
  <conditionalFormatting sqref="BK65:BK72">
    <cfRule type="expression" dxfId="418" priority="16">
      <formula>#REF!="Pesos ($)"</formula>
    </cfRule>
    <cfRule type="expression" dxfId="417" priority="17">
      <formula>OR(LEFT(#REF!,9)="Número de",#REF!="Otra")</formula>
    </cfRule>
    <cfRule type="expression" dxfId="416" priority="18">
      <formula>#REF!="Porcentaje"</formula>
    </cfRule>
  </conditionalFormatting>
  <conditionalFormatting sqref="BK73:BK74">
    <cfRule type="expression" dxfId="415" priority="13">
      <formula>#REF!="Pesos ($)"</formula>
    </cfRule>
    <cfRule type="expression" dxfId="414" priority="14">
      <formula>OR(LEFT(#REF!,9)="Número de",#REF!="Otra")</formula>
    </cfRule>
    <cfRule type="expression" dxfId="413" priority="15">
      <formula>#REF!="Porcentaje"</formula>
    </cfRule>
  </conditionalFormatting>
  <conditionalFormatting sqref="BK75:BK78">
    <cfRule type="expression" dxfId="412" priority="10">
      <formula>#REF!="Pesos ($)"</formula>
    </cfRule>
    <cfRule type="expression" dxfId="411" priority="11">
      <formula>OR(LEFT(#REF!,9)="Número de",#REF!="Otra")</formula>
    </cfRule>
    <cfRule type="expression" dxfId="410" priority="12">
      <formula>#REF!="Porcentaje"</formula>
    </cfRule>
  </conditionalFormatting>
  <conditionalFormatting sqref="BK79:BK82">
    <cfRule type="expression" dxfId="409" priority="7">
      <formula>#REF!="Pesos ($)"</formula>
    </cfRule>
    <cfRule type="expression" dxfId="408" priority="8">
      <formula>OR(LEFT(#REF!,9)="Número de",#REF!="Otra")</formula>
    </cfRule>
    <cfRule type="expression" dxfId="407" priority="9">
      <formula>#REF!="Porcentaje"</formula>
    </cfRule>
  </conditionalFormatting>
  <conditionalFormatting sqref="BK89:BK90">
    <cfRule type="expression" dxfId="406" priority="4">
      <formula>#REF!="Pesos ($)"</formula>
    </cfRule>
    <cfRule type="expression" dxfId="405" priority="5">
      <formula>OR(LEFT(#REF!,9)="Número de",#REF!="Otra")</formula>
    </cfRule>
    <cfRule type="expression" dxfId="404" priority="6">
      <formula>#REF!="Porcentaje"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99FF"/>
  </sheetPr>
  <dimension ref="B2:N44"/>
  <sheetViews>
    <sheetView topLeftCell="E7" zoomScale="85" zoomScaleNormal="85" workbookViewId="0">
      <selection activeCell="C7" sqref="C7:G19"/>
    </sheetView>
  </sheetViews>
  <sheetFormatPr baseColWidth="10" defaultColWidth="11.44140625" defaultRowHeight="15"/>
  <cols>
    <col min="1" max="1" width="4.6640625" style="538" customWidth="1"/>
    <col min="2" max="2" width="38.5546875" style="538" customWidth="1"/>
    <col min="3" max="3" width="47.88671875" style="538" customWidth="1"/>
    <col min="4" max="4" width="21.5546875" style="538" customWidth="1"/>
    <col min="5" max="5" width="19.44140625" style="538" customWidth="1"/>
    <col min="6" max="6" width="12.44140625" style="538" customWidth="1"/>
    <col min="7" max="7" width="36.88671875" style="538" customWidth="1"/>
    <col min="8" max="8" width="19" style="538" customWidth="1"/>
    <col min="9" max="9" width="18.6640625" style="538" customWidth="1"/>
    <col min="10" max="10" width="18" style="538" customWidth="1"/>
    <col min="11" max="11" width="18.88671875" style="538" customWidth="1"/>
    <col min="12" max="12" width="16.6640625" style="538" hidden="1" customWidth="1"/>
    <col min="13" max="13" width="31.88671875" style="538" customWidth="1"/>
    <col min="14" max="14" width="30.109375" style="538" customWidth="1"/>
    <col min="15" max="85" width="15.6640625" style="538" customWidth="1"/>
    <col min="86" max="16384" width="11.44140625" style="538"/>
  </cols>
  <sheetData>
    <row r="2" spans="2:14" ht="15.6" customHeight="1">
      <c r="B2" s="1203" t="s">
        <v>642</v>
      </c>
      <c r="C2" s="1209" t="s">
        <v>923</v>
      </c>
      <c r="D2" s="1210"/>
      <c r="E2" s="1210"/>
      <c r="F2" s="1210"/>
      <c r="G2" s="1210"/>
      <c r="H2" s="1210"/>
      <c r="I2" s="1210"/>
      <c r="J2" s="1210"/>
      <c r="K2" s="1210"/>
      <c r="L2" s="694"/>
      <c r="M2" s="561" t="s">
        <v>938</v>
      </c>
      <c r="N2" s="699" t="s">
        <v>939</v>
      </c>
    </row>
    <row r="3" spans="2:14" ht="31.2">
      <c r="B3" s="1204"/>
      <c r="C3" s="1211"/>
      <c r="D3" s="1212"/>
      <c r="E3" s="1212"/>
      <c r="F3" s="1212"/>
      <c r="G3" s="1212"/>
      <c r="H3" s="1212"/>
      <c r="I3" s="1212"/>
      <c r="J3" s="1212"/>
      <c r="K3" s="1212"/>
      <c r="L3" s="695"/>
      <c r="M3" s="562" t="s">
        <v>1004</v>
      </c>
      <c r="N3" s="562" t="s">
        <v>940</v>
      </c>
    </row>
    <row r="4" spans="2:14" ht="15.6" customHeight="1">
      <c r="B4" s="1204"/>
      <c r="C4" s="1211"/>
      <c r="D4" s="1212"/>
      <c r="E4" s="1212"/>
      <c r="F4" s="1212"/>
      <c r="G4" s="1212"/>
      <c r="H4" s="1212"/>
      <c r="I4" s="1212"/>
      <c r="J4" s="1212"/>
      <c r="K4" s="1212"/>
      <c r="L4" s="695"/>
      <c r="M4" s="1207" t="s">
        <v>30</v>
      </c>
      <c r="N4" s="1208"/>
    </row>
    <row r="5" spans="2:14" ht="22.8">
      <c r="B5" s="1205"/>
      <c r="C5" s="1213" t="s">
        <v>924</v>
      </c>
      <c r="D5" s="1214"/>
      <c r="E5" s="1214"/>
      <c r="F5" s="1214"/>
      <c r="G5" s="1214"/>
      <c r="H5" s="1214"/>
      <c r="I5" s="1214"/>
      <c r="J5" s="1214"/>
      <c r="K5" s="1214"/>
      <c r="L5" s="696"/>
      <c r="M5" s="697">
        <v>44561</v>
      </c>
      <c r="N5" s="698"/>
    </row>
    <row r="6" spans="2:14">
      <c r="H6" s="1206"/>
      <c r="I6" s="1206"/>
      <c r="J6" s="1206"/>
      <c r="K6" s="1206"/>
      <c r="L6" s="1206"/>
    </row>
    <row r="7" spans="2:14" ht="27.6" customHeight="1">
      <c r="B7" s="1141" t="s">
        <v>0</v>
      </c>
      <c r="C7" s="1141" t="s">
        <v>925</v>
      </c>
      <c r="D7" s="1142" t="s">
        <v>926</v>
      </c>
      <c r="E7" s="1141" t="s">
        <v>888</v>
      </c>
      <c r="F7" s="1142" t="s">
        <v>941</v>
      </c>
      <c r="G7" s="1142" t="s">
        <v>928</v>
      </c>
      <c r="H7" s="1201" t="s">
        <v>929</v>
      </c>
      <c r="I7" s="1201"/>
      <c r="J7" s="1201"/>
      <c r="K7" s="1201"/>
      <c r="L7" s="1201"/>
      <c r="M7" s="1142" t="s">
        <v>930</v>
      </c>
      <c r="N7" s="701" t="s">
        <v>931</v>
      </c>
    </row>
    <row r="8" spans="2:14" ht="27.6" customHeight="1">
      <c r="B8" s="1141"/>
      <c r="C8" s="1141"/>
      <c r="D8" s="1143"/>
      <c r="E8" s="1141"/>
      <c r="F8" s="1143"/>
      <c r="G8" s="1143"/>
      <c r="H8" s="680" t="s">
        <v>59</v>
      </c>
      <c r="I8" s="680" t="s">
        <v>59</v>
      </c>
      <c r="J8" s="680" t="s">
        <v>59</v>
      </c>
      <c r="K8" s="680" t="s">
        <v>59</v>
      </c>
      <c r="L8" s="680" t="s">
        <v>59</v>
      </c>
      <c r="M8" s="1202"/>
      <c r="N8" s="1194" t="s">
        <v>932</v>
      </c>
    </row>
    <row r="9" spans="2:14" ht="61.95" customHeight="1">
      <c r="B9" s="1141"/>
      <c r="C9" s="1142"/>
      <c r="D9" s="1144"/>
      <c r="E9" s="1141"/>
      <c r="F9" s="1144"/>
      <c r="G9" s="1144"/>
      <c r="H9" s="539">
        <v>2021</v>
      </c>
      <c r="I9" s="539">
        <v>2022</v>
      </c>
      <c r="J9" s="539">
        <v>2023</v>
      </c>
      <c r="K9" s="539">
        <v>2024</v>
      </c>
      <c r="L9" s="539" t="s">
        <v>17</v>
      </c>
      <c r="M9" s="420" t="s">
        <v>817</v>
      </c>
      <c r="N9" s="1195"/>
    </row>
    <row r="10" spans="2:14" ht="83.25" customHeight="1">
      <c r="B10" s="1196" t="s">
        <v>130</v>
      </c>
      <c r="C10" s="543" t="str">
        <f>+'01-FR-03 POA INSTITUCIONAL'!C13</f>
        <v>1.1. Realizar 914.879 acciones que promuevan la defensa, garantía y restablecimiento de los derechos de las personas en el Distrito Capital.</v>
      </c>
      <c r="D10" s="544">
        <v>0.7</v>
      </c>
      <c r="E10" s="540">
        <f>SUM(H10:K10)</f>
        <v>914879</v>
      </c>
      <c r="F10" s="551" t="s">
        <v>151</v>
      </c>
      <c r="G10" s="541" t="s">
        <v>88</v>
      </c>
      <c r="H10" s="678">
        <f>+'01-FR-03 POA INSTITUCIONAL'!K13+'01-FR-03 POA INSTITUCIONAL'!K14+'01-FR-03 POA INSTITUCIONAL'!K15+'01-FR-03 POA INSTITUCIONAL'!K16+'01-FR-03 POA INSTITUCIONAL'!K17+'01-FR-03 POA INSTITUCIONAL'!K18+'01-FR-03 POA INSTITUCIONAL'!K20+'01-FR-03 POA INSTITUCIONAL'!K21+'01-FR-03 POA INSTITUCIONAL'!K22+'01-FR-03 POA INSTITUCIONAL'!K23</f>
        <v>239732</v>
      </c>
      <c r="I10" s="678">
        <f>+'01-FR-03 POA INSTITUCIONAL'!L13+'01-FR-03 POA INSTITUCIONAL'!L14+'01-FR-03 POA INSTITUCIONAL'!L15+'01-FR-03 POA INSTITUCIONAL'!L16+'01-FR-03 POA INSTITUCIONAL'!L17+'01-FR-03 POA INSTITUCIONAL'!L18+'01-FR-03 POA INSTITUCIONAL'!L20+'01-FR-03 POA INSTITUCIONAL'!L21+'01-FR-03 POA INSTITUCIONAL'!L22+'01-FR-03 POA INSTITUCIONAL'!L23</f>
        <v>262415</v>
      </c>
      <c r="J10" s="678">
        <f>+'01-FR-03 POA INSTITUCIONAL'!M13+'01-FR-03 POA INSTITUCIONAL'!M14+'01-FR-03 POA INSTITUCIONAL'!M15+'01-FR-03 POA INSTITUCIONAL'!M16+'01-FR-03 POA INSTITUCIONAL'!M17+'01-FR-03 POA INSTITUCIONAL'!M18+'01-FR-03 POA INSTITUCIONAL'!M20+'01-FR-03 POA INSTITUCIONAL'!M21+'01-FR-03 POA INSTITUCIONAL'!M22+'01-FR-03 POA INSTITUCIONAL'!M23</f>
        <v>287766</v>
      </c>
      <c r="K10" s="678">
        <f>+'01-FR-03 POA INSTITUCIONAL'!N13+'01-FR-03 POA INSTITUCIONAL'!N14+'01-FR-03 POA INSTITUCIONAL'!N15+'01-FR-03 POA INSTITUCIONAL'!N16+'01-FR-03 POA INSTITUCIONAL'!N17+'01-FR-03 POA INSTITUCIONAL'!N18+'01-FR-03 POA INSTITUCIONAL'!N20+'01-FR-03 POA INSTITUCIONAL'!N21+'01-FR-03 POA INSTITUCIONAL'!N22+'01-FR-03 POA INSTITUCIONAL'!N23</f>
        <v>124966</v>
      </c>
      <c r="L10" s="542"/>
      <c r="M10" s="772">
        <f>+'3-Grado Cump Metas Estratégicas'!D11</f>
        <v>0.86438161553529169</v>
      </c>
      <c r="N10" s="1197">
        <f>+'4-Grado Cum Objetivos Est &amp; Cal'!C11</f>
        <v>0.85650394894571669</v>
      </c>
    </row>
    <row r="11" spans="2:14" ht="102" customHeight="1">
      <c r="B11" s="1196"/>
      <c r="C11" s="543" t="str">
        <f>+'01-FR-03 POA INSTITUCIONAL'!C24</f>
        <v>1.2. Realizar 284.891 acciones que propendan por la efectiva defensa y garantía de los derechos de los sujetos de especial protección constitucional, con énfasis en las personas mayores, mujeres y la población migrante en el Distrito Capital</v>
      </c>
      <c r="D11" s="544">
        <v>0.2</v>
      </c>
      <c r="E11" s="540">
        <f t="shared" ref="E11:E18" si="0">SUM(H11:K11)</f>
        <v>284891</v>
      </c>
      <c r="F11" s="551" t="s">
        <v>151</v>
      </c>
      <c r="G11" s="541" t="s">
        <v>88</v>
      </c>
      <c r="H11" s="678">
        <f>'01-FR-03 POA INSTITUCIONAL'!K24+'01-FR-03 POA INSTITUCIONAL'!K25+'01-FR-03 POA INSTITUCIONAL'!K26+'01-FR-03 POA INSTITUCIONAL'!K27+'01-FR-03 POA INSTITUCIONAL'!K28+'01-FR-03 POA INSTITUCIONAL'!K29</f>
        <v>76600</v>
      </c>
      <c r="I11" s="678">
        <f>'01-FR-03 POA INSTITUCIONAL'!L24+'01-FR-03 POA INSTITUCIONAL'!L25+'01-FR-03 POA INSTITUCIONAL'!L26+'01-FR-03 POA INSTITUCIONAL'!L27+'01-FR-03 POA INSTITUCIONAL'!L28+'01-FR-03 POA INSTITUCIONAL'!L29</f>
        <v>85619</v>
      </c>
      <c r="J11" s="678">
        <f>'01-FR-03 POA INSTITUCIONAL'!M24+'01-FR-03 POA INSTITUCIONAL'!M25+'01-FR-03 POA INSTITUCIONAL'!M26+'01-FR-03 POA INSTITUCIONAL'!M27+'01-FR-03 POA INSTITUCIONAL'!M28+'01-FR-03 POA INSTITUCIONAL'!M29</f>
        <v>94606</v>
      </c>
      <c r="K11" s="678">
        <f>'01-FR-03 POA INSTITUCIONAL'!N24+'01-FR-03 POA INSTITUCIONAL'!N25+'01-FR-03 POA INSTITUCIONAL'!N26+'01-FR-03 POA INSTITUCIONAL'!N27+'01-FR-03 POA INSTITUCIONAL'!N28+'01-FR-03 POA INSTITUCIONAL'!N29</f>
        <v>28066</v>
      </c>
      <c r="L11" s="542"/>
      <c r="M11" s="772">
        <f>+'3-Grado Cump Metas Estratégicas'!D12</f>
        <v>0.89084772671869927</v>
      </c>
      <c r="N11" s="1198"/>
    </row>
    <row r="12" spans="2:14" ht="75" customHeight="1">
      <c r="B12" s="1196"/>
      <c r="C12" s="543" t="str">
        <f>+'01-FR-03 POA INSTITUCIONAL'!C30</f>
        <v>1.3. Construir e Implementar 35 estrategias que permitan incrementar la oferta y cobertura de los servicios prestados por la Entidad.</v>
      </c>
      <c r="D12" s="544">
        <v>0.1</v>
      </c>
      <c r="E12" s="540">
        <f t="shared" si="0"/>
        <v>35</v>
      </c>
      <c r="F12" s="551" t="s">
        <v>151</v>
      </c>
      <c r="G12" s="541" t="s">
        <v>88</v>
      </c>
      <c r="H12" s="678">
        <f>'01-FR-03 POA INSTITUCIONAL'!K30+'01-FR-03 POA INSTITUCIONAL'!K31+'01-FR-03 POA INSTITUCIONAL'!K32</f>
        <v>6</v>
      </c>
      <c r="I12" s="678">
        <f>'01-FR-03 POA INSTITUCIONAL'!L30+'01-FR-03 POA INSTITUCIONAL'!L31+'01-FR-03 POA INSTITUCIONAL'!L32</f>
        <v>12</v>
      </c>
      <c r="J12" s="678">
        <f>'01-FR-03 POA INSTITUCIONAL'!M30+'01-FR-03 POA INSTITUCIONAL'!M31+'01-FR-03 POA INSTITUCIONAL'!M32</f>
        <v>12</v>
      </c>
      <c r="K12" s="678">
        <f>'01-FR-03 POA INSTITUCIONAL'!N30+'01-FR-03 POA INSTITUCIONAL'!N31+'01-FR-03 POA INSTITUCIONAL'!N32</f>
        <v>5</v>
      </c>
      <c r="L12" s="542"/>
      <c r="M12" s="772">
        <f>+'3-Grado Cump Metas Estratégicas'!D13</f>
        <v>0.73267272727272736</v>
      </c>
      <c r="N12" s="1199"/>
    </row>
    <row r="13" spans="2:14" ht="78" customHeight="1">
      <c r="B13" s="1200" t="s">
        <v>131</v>
      </c>
      <c r="C13" s="546" t="str">
        <f>+'01-FR-03 POA INSTITUCIONAL'!C33</f>
        <v>2.1. Realizar 22 acciones de prevención y control a la función pública en medio ambiente, agua, protección y bienestar animal y desarrollo urbano.</v>
      </c>
      <c r="D13" s="548">
        <v>0.3</v>
      </c>
      <c r="E13" s="547">
        <f t="shared" si="0"/>
        <v>22</v>
      </c>
      <c r="F13" s="554" t="s">
        <v>151</v>
      </c>
      <c r="G13" s="549" t="s">
        <v>89</v>
      </c>
      <c r="H13" s="679">
        <f>'01-FR-03 POA INSTITUCIONAL'!K33+'01-FR-03 POA INSTITUCIONAL'!K34</f>
        <v>3</v>
      </c>
      <c r="I13" s="679">
        <f>'01-FR-03 POA INSTITUCIONAL'!L33+'01-FR-03 POA INSTITUCIONAL'!L34</f>
        <v>8</v>
      </c>
      <c r="J13" s="679">
        <f>'01-FR-03 POA INSTITUCIONAL'!M33+'01-FR-03 POA INSTITUCIONAL'!M34</f>
        <v>9</v>
      </c>
      <c r="K13" s="679">
        <f>'01-FR-03 POA INSTITUCIONAL'!N33+'01-FR-03 POA INSTITUCIONAL'!N34</f>
        <v>2</v>
      </c>
      <c r="L13" s="542"/>
      <c r="M13" s="772">
        <f>+'3-Grado Cump Metas Estratégicas'!D14</f>
        <v>0.59090909090909083</v>
      </c>
      <c r="N13" s="1188">
        <f>+'4-Grado Cum Objetivos Est &amp; Cal'!C12</f>
        <v>0.78604629201605547</v>
      </c>
    </row>
    <row r="14" spans="2:14" ht="65.25" customHeight="1">
      <c r="B14" s="1200"/>
      <c r="C14" s="546" t="str">
        <f>+'01-FR-03 POA INSTITUCIONAL'!C35</f>
        <v>2.2. Fortalecer la moralidad publica realizando  952 acciones de prevención y control a la función pública.</v>
      </c>
      <c r="D14" s="548">
        <v>0.6</v>
      </c>
      <c r="E14" s="547">
        <f t="shared" si="0"/>
        <v>952</v>
      </c>
      <c r="F14" s="554" t="s">
        <v>151</v>
      </c>
      <c r="G14" s="549" t="s">
        <v>89</v>
      </c>
      <c r="H14" s="679">
        <f>'01-FR-03 POA INSTITUCIONAL'!K35+'01-FR-03 POA INSTITUCIONAL'!K36</f>
        <v>228</v>
      </c>
      <c r="I14" s="679">
        <f>'01-FR-03 POA INSTITUCIONAL'!L35+'01-FR-03 POA INSTITUCIONAL'!L36</f>
        <v>353</v>
      </c>
      <c r="J14" s="679">
        <f>'01-FR-03 POA INSTITUCIONAL'!M35+'01-FR-03 POA INSTITUCIONAL'!M36</f>
        <v>289</v>
      </c>
      <c r="K14" s="679">
        <f>'01-FR-03 POA INSTITUCIONAL'!N35+'01-FR-03 POA INSTITUCIONAL'!N36</f>
        <v>82</v>
      </c>
      <c r="L14" s="542"/>
      <c r="M14" s="772">
        <f>+'3-Grado Cump Metas Estratégicas'!D15</f>
        <v>0.82760796046964957</v>
      </c>
      <c r="N14" s="1189"/>
    </row>
    <row r="15" spans="2:14" ht="63.75" customHeight="1">
      <c r="B15" s="1200"/>
      <c r="C15" s="546" t="str">
        <f>+'01-FR-03 POA INSTITUCIONAL'!C37</f>
        <v>2.3. Fortalecer 312 espacios de participación ciudadana en la Personería de Bogotá</v>
      </c>
      <c r="D15" s="548">
        <v>0.1</v>
      </c>
      <c r="E15" s="547">
        <f t="shared" si="0"/>
        <v>312</v>
      </c>
      <c r="F15" s="554" t="s">
        <v>151</v>
      </c>
      <c r="G15" s="549" t="s">
        <v>89</v>
      </c>
      <c r="H15" s="679">
        <f>'01-FR-03 POA INSTITUCIONAL'!K37+'01-FR-03 POA INSTITUCIONAL'!K38+'01-FR-03 POA INSTITUCIONAL'!K39</f>
        <v>72</v>
      </c>
      <c r="I15" s="679">
        <f>'01-FR-03 POA INSTITUCIONAL'!L37+'01-FR-03 POA INSTITUCIONAL'!L38+'01-FR-03 POA INSTITUCIONAL'!L39</f>
        <v>111</v>
      </c>
      <c r="J15" s="679">
        <f>'01-FR-03 POA INSTITUCIONAL'!M37+'01-FR-03 POA INSTITUCIONAL'!M38+'01-FR-03 POA INSTITUCIONAL'!M39</f>
        <v>85</v>
      </c>
      <c r="K15" s="679">
        <f>'01-FR-03 POA INSTITUCIONAL'!N37+'01-FR-03 POA INSTITUCIONAL'!N38+'01-FR-03 POA INSTITUCIONAL'!N39</f>
        <v>44</v>
      </c>
      <c r="L15" s="542"/>
      <c r="M15" s="772">
        <f>+'3-Grado Cump Metas Estratégicas'!D16</f>
        <v>1.1220878846153846</v>
      </c>
      <c r="N15" s="1190"/>
    </row>
    <row r="16" spans="2:14" ht="69.75" customHeight="1">
      <c r="B16" s="1185" t="s">
        <v>133</v>
      </c>
      <c r="C16" s="543" t="str">
        <f>+'01-FR-03 POA INSTITUCIONAL'!C40</f>
        <v>3.1. Descongestionar 6.700 procesos disciplinarios con criterios de calidad, efectividad y garantía del debido proceso.</v>
      </c>
      <c r="D16" s="544">
        <v>0.4</v>
      </c>
      <c r="E16" s="540">
        <f t="shared" si="0"/>
        <v>6700</v>
      </c>
      <c r="F16" s="545">
        <v>6287</v>
      </c>
      <c r="G16" s="541" t="s">
        <v>90</v>
      </c>
      <c r="H16" s="678">
        <f>'01-FR-03 POA INSTITUCIONAL'!K40</f>
        <v>1600</v>
      </c>
      <c r="I16" s="678">
        <f>'01-FR-03 POA INSTITUCIONAL'!L40</f>
        <v>1800</v>
      </c>
      <c r="J16" s="678">
        <f>'01-FR-03 POA INSTITUCIONAL'!M40</f>
        <v>1800</v>
      </c>
      <c r="K16" s="678">
        <f>'01-FR-03 POA INSTITUCIONAL'!N40</f>
        <v>1500</v>
      </c>
      <c r="L16" s="542"/>
      <c r="M16" s="772">
        <f>+'3-Grado Cump Metas Estratégicas'!D17</f>
        <v>0.61764462686567168</v>
      </c>
      <c r="N16" s="1188">
        <f>+'4-Grado Cum Objetivos Est &amp; Cal'!C13</f>
        <v>0.67729432133450396</v>
      </c>
    </row>
    <row r="17" spans="2:14" ht="91.5" customHeight="1">
      <c r="B17" s="1186"/>
      <c r="C17" s="543" t="str">
        <f>+'01-FR-03 POA INSTITUCIONAL'!C42</f>
        <v xml:space="preserve">3.2. Identificar el 100% de los hechos constitutivos de faltas disciplinarias para ejercer el poder preferente en las Oficinas de Control Interno Disciplinario, en temas de interés e impacto para el Distrito Capital. </v>
      </c>
      <c r="D17" s="544">
        <v>0.15</v>
      </c>
      <c r="E17" s="551">
        <f>AVERAGE('01-FR-03 POA INSTITUCIONAL'!K43,'01-FR-03 POA INSTITUCIONAL'!L43,'01-FR-03 POA INSTITUCIONAL'!M43,'01-FR-03 POA INSTITUCIONAL'!N43)</f>
        <v>1</v>
      </c>
      <c r="F17" s="551">
        <v>1</v>
      </c>
      <c r="G17" s="541" t="s">
        <v>90</v>
      </c>
      <c r="H17" s="542">
        <f>'01-FR-03 POA INSTITUCIONAL'!K43</f>
        <v>1</v>
      </c>
      <c r="I17" s="542">
        <f>'01-FR-03 POA INSTITUCIONAL'!L43</f>
        <v>1</v>
      </c>
      <c r="J17" s="542">
        <f>'01-FR-03 POA INSTITUCIONAL'!M43</f>
        <v>1</v>
      </c>
      <c r="K17" s="542">
        <f>'01-FR-03 POA INSTITUCIONAL'!N43</f>
        <v>1</v>
      </c>
      <c r="L17" s="542"/>
      <c r="M17" s="772">
        <f>+'3-Grado Cump Metas Estratégicas'!D18</f>
        <v>0.64790980392156861</v>
      </c>
      <c r="N17" s="1189"/>
    </row>
    <row r="18" spans="2:14" ht="105" customHeight="1">
      <c r="B18" s="1186"/>
      <c r="C18" s="543" t="str">
        <f>+'01-FR-03 POA INSTITUCIONAL'!C44</f>
        <v>3.3. Generar 8 escenarios que fortalezcan el conocimiento y las competencias del operador disciplinario, que apoya el cumplimiento de la labor misional, extendiendo el alcance a los jueces naturales en el Distrito Capital.</v>
      </c>
      <c r="D18" s="544">
        <v>0.1</v>
      </c>
      <c r="E18" s="540">
        <f t="shared" si="0"/>
        <v>8</v>
      </c>
      <c r="F18" s="545">
        <v>8</v>
      </c>
      <c r="G18" s="541" t="s">
        <v>90</v>
      </c>
      <c r="H18" s="550">
        <f>'01-FR-03 POA INSTITUCIONAL'!K44</f>
        <v>2</v>
      </c>
      <c r="I18" s="550">
        <f>'01-FR-03 POA INSTITUCIONAL'!L44</f>
        <v>2</v>
      </c>
      <c r="J18" s="550">
        <f>'01-FR-03 POA INSTITUCIONAL'!M44</f>
        <v>2</v>
      </c>
      <c r="K18" s="550">
        <f>'01-FR-03 POA INSTITUCIONAL'!N44</f>
        <v>2</v>
      </c>
      <c r="L18" s="542"/>
      <c r="M18" s="772">
        <f>+'3-Grado Cump Metas Estratégicas'!D19</f>
        <v>0.625</v>
      </c>
      <c r="N18" s="1189"/>
    </row>
    <row r="19" spans="2:14" ht="63" customHeight="1">
      <c r="B19" s="1187"/>
      <c r="C19" s="543" t="str">
        <f>+'01-FR-03 POA INSTITUCIONAL'!C45</f>
        <v>3.4. Implementar al 100% tres soluciones informáticas propias para la ejecución y gestión de la Potestad Disciplinaria.</v>
      </c>
      <c r="D19" s="544">
        <v>0.35</v>
      </c>
      <c r="E19" s="551">
        <v>1</v>
      </c>
      <c r="F19" s="545">
        <v>3</v>
      </c>
      <c r="G19" s="541" t="s">
        <v>90</v>
      </c>
      <c r="H19" s="773">
        <v>0.3</v>
      </c>
      <c r="I19" s="773">
        <v>0.4</v>
      </c>
      <c r="J19" s="773">
        <v>0.25</v>
      </c>
      <c r="K19" s="773">
        <v>0.05</v>
      </c>
      <c r="L19" s="542"/>
      <c r="M19" s="772">
        <f>+'3-Grado Cump Metas Estratégicas'!D20</f>
        <v>0.77299999999999991</v>
      </c>
      <c r="N19" s="1190"/>
    </row>
    <row r="20" spans="2:14" ht="91.5" customHeight="1">
      <c r="B20" s="1191" t="s">
        <v>136</v>
      </c>
      <c r="C20" s="546" t="str">
        <f>+'01-FR-03 POA INSTITUCIONAL'!C48</f>
        <v>4.1. Implementar el 100% de las acciones que impulsen el crecimiento del Modelo de Madurez de Transformación Digital de la Entidad, aplicando los principios , lineamientos y normas que lo enmarcan.</v>
      </c>
      <c r="D20" s="552">
        <v>0.15</v>
      </c>
      <c r="E20" s="548">
        <v>1</v>
      </c>
      <c r="F20" s="554" t="s">
        <v>151</v>
      </c>
      <c r="G20" s="549" t="s">
        <v>81</v>
      </c>
      <c r="H20" s="554">
        <v>0.3</v>
      </c>
      <c r="I20" s="554">
        <v>0.4</v>
      </c>
      <c r="J20" s="554">
        <v>0.25</v>
      </c>
      <c r="K20" s="554">
        <v>0.05</v>
      </c>
      <c r="L20" s="554"/>
      <c r="M20" s="772">
        <f>+'3-Grado Cump Metas Estratégicas'!D21</f>
        <v>0.81720000000000004</v>
      </c>
      <c r="N20" s="1193">
        <f>+'4-Grado Cum Objetivos Est &amp; Cal'!C14</f>
        <v>0.81568036678057698</v>
      </c>
    </row>
    <row r="21" spans="2:14" ht="108" customHeight="1">
      <c r="B21" s="1191"/>
      <c r="C21" s="546" t="str">
        <f>+'01-FR-03 POA INSTITUCIONAL'!C55</f>
        <v>4.2. Consolidar el 90% del Modelo Integrado de Planeación y Gestión –MIPG- y sus sistemas de gestión articulados, como compromiso con la Calidad, la Excelencia, la Responsabilidad Ambiental y la Mejora en la prestación del Servicio.</v>
      </c>
      <c r="D21" s="548">
        <v>0.15</v>
      </c>
      <c r="E21" s="554">
        <v>0.9</v>
      </c>
      <c r="F21" s="554">
        <v>0.62</v>
      </c>
      <c r="G21" s="549" t="s">
        <v>935</v>
      </c>
      <c r="H21" s="554">
        <v>0.3</v>
      </c>
      <c r="I21" s="554">
        <v>0.3</v>
      </c>
      <c r="J21" s="554">
        <v>0.2</v>
      </c>
      <c r="K21" s="554">
        <v>0.1</v>
      </c>
      <c r="L21" s="554"/>
      <c r="M21" s="772">
        <f>+'3-Grado Cump Metas Estratégicas'!D22</f>
        <v>0.78957094078518941</v>
      </c>
      <c r="N21" s="1193"/>
    </row>
    <row r="22" spans="2:14" ht="91.5" customHeight="1">
      <c r="B22" s="1191"/>
      <c r="C22" s="546" t="str">
        <f>+'01-FR-03 POA INSTITUCIONAL'!C61</f>
        <v xml:space="preserve">4.3. Realizar el 100% de las actividades relacionadas con la Gestión del Talento Humano, que permita su fortalecimiento y el desarrollo de sus conocimientos, su competencia y bienestar. </v>
      </c>
      <c r="D22" s="548">
        <v>0.14000000000000001</v>
      </c>
      <c r="E22" s="554">
        <v>1</v>
      </c>
      <c r="F22" s="554" t="s">
        <v>151</v>
      </c>
      <c r="G22" s="549" t="s">
        <v>91</v>
      </c>
      <c r="H22" s="554">
        <v>1</v>
      </c>
      <c r="I22" s="554">
        <v>1</v>
      </c>
      <c r="J22" s="554">
        <v>1</v>
      </c>
      <c r="K22" s="554">
        <v>1</v>
      </c>
      <c r="L22" s="554"/>
      <c r="M22" s="772">
        <f>+'3-Grado Cump Metas Estratégicas'!D23</f>
        <v>0.66575786742866883</v>
      </c>
      <c r="N22" s="1193"/>
    </row>
    <row r="23" spans="2:14" ht="90" customHeight="1">
      <c r="B23" s="1191"/>
      <c r="C23" s="546" t="str">
        <f>+'01-FR-03 POA INSTITUCIONAL'!C69</f>
        <v>4.4. Implementar el 100% de las acciones necesarias para la modernización de la gestión institucional a través de los procesos de apoyo, que permita una mejor prestación del servicio.</v>
      </c>
      <c r="D23" s="548">
        <v>0.14000000000000001</v>
      </c>
      <c r="E23" s="554">
        <v>1</v>
      </c>
      <c r="F23" s="554" t="s">
        <v>151</v>
      </c>
      <c r="G23" s="549" t="s">
        <v>936</v>
      </c>
      <c r="H23" s="554">
        <v>1</v>
      </c>
      <c r="I23" s="554">
        <v>1</v>
      </c>
      <c r="J23" s="554">
        <v>1</v>
      </c>
      <c r="K23" s="554">
        <v>1</v>
      </c>
      <c r="L23" s="554"/>
      <c r="M23" s="772">
        <f>+'3-Grado Cump Metas Estratégicas'!D24</f>
        <v>0.70942193891002747</v>
      </c>
      <c r="N23" s="1193"/>
    </row>
    <row r="24" spans="2:14" ht="73.5" customHeight="1">
      <c r="B24" s="1191"/>
      <c r="C24" s="546" t="str">
        <f>+'01-FR-03 POA INSTITUCIONAL'!C87</f>
        <v>4.5. Desarrollar el 100% de las acciones relacionadas con el fomento de la Cultura del Autocontrol, la Autorregulación y la Autogestión institucional.</v>
      </c>
      <c r="D24" s="548">
        <v>0.14000000000000001</v>
      </c>
      <c r="E24" s="554">
        <v>1</v>
      </c>
      <c r="F24" s="554" t="s">
        <v>151</v>
      </c>
      <c r="G24" s="549" t="s">
        <v>937</v>
      </c>
      <c r="H24" s="554">
        <v>1</v>
      </c>
      <c r="I24" s="554">
        <v>1</v>
      </c>
      <c r="J24" s="554">
        <v>1</v>
      </c>
      <c r="K24" s="554">
        <v>1</v>
      </c>
      <c r="L24" s="554"/>
      <c r="M24" s="772">
        <f>+'3-Grado Cump Metas Estratégicas'!D25</f>
        <v>0.64623490077653156</v>
      </c>
      <c r="N24" s="1193"/>
    </row>
    <row r="25" spans="2:14" ht="94.5" customHeight="1">
      <c r="B25" s="1191"/>
      <c r="C25" s="546" t="str">
        <f>+'01-FR-03 POA INSTITUCIONAL'!C93</f>
        <v>4.6. Desarrollar el 100% de las estrategias de comunicación organizacional y de medios que contribuyan al logro de los objetivos institucionales y al posicionamiento de la Entidad.</v>
      </c>
      <c r="D25" s="548">
        <v>0.14000000000000001</v>
      </c>
      <c r="E25" s="554">
        <v>1</v>
      </c>
      <c r="F25" s="554">
        <v>1</v>
      </c>
      <c r="G25" s="549" t="s">
        <v>86</v>
      </c>
      <c r="H25" s="554">
        <v>1</v>
      </c>
      <c r="I25" s="554">
        <v>1</v>
      </c>
      <c r="J25" s="554">
        <v>1</v>
      </c>
      <c r="K25" s="554">
        <v>1</v>
      </c>
      <c r="L25" s="554"/>
      <c r="M25" s="772">
        <f>+'3-Grado Cump Metas Estratégicas'!D26</f>
        <v>0.75</v>
      </c>
      <c r="N25" s="1193"/>
    </row>
    <row r="26" spans="2:14" ht="92.25" customHeight="1">
      <c r="B26" s="1192"/>
      <c r="C26" s="546" t="str">
        <f>+'01-FR-03 POA INSTITUCIONAL'!C95</f>
        <v>4.7. Articular el 100% de las acciones de trabajo interinstitucional y cooperación nacional e internacional que permita aunar esfuerzos para el cumplimiento de la misión institucional.</v>
      </c>
      <c r="D26" s="548">
        <v>0.14000000000000001</v>
      </c>
      <c r="E26" s="554">
        <v>1</v>
      </c>
      <c r="F26" s="554" t="s">
        <v>151</v>
      </c>
      <c r="G26" s="549" t="s">
        <v>87</v>
      </c>
      <c r="H26" s="553">
        <v>0.33333333333333337</v>
      </c>
      <c r="I26" s="553">
        <v>0.33333333333333337</v>
      </c>
      <c r="J26" s="553">
        <v>0.33333333333333337</v>
      </c>
      <c r="K26" s="554">
        <v>0</v>
      </c>
      <c r="L26" s="563"/>
      <c r="M26" s="772">
        <f>+'3-Grado Cump Metas Estratégicas'!D27</f>
        <v>1.3333333333333333</v>
      </c>
      <c r="N26" s="1193"/>
    </row>
    <row r="27" spans="2:14" ht="88.5" customHeight="1">
      <c r="B27" s="1185" t="s">
        <v>144</v>
      </c>
      <c r="C27" s="555" t="str">
        <f>+'01-FR-03 POA INSTITUCIONAL'!C96</f>
        <v>5.1 Generar el 100% de productos de nuevo conocimiento o transformar los existentes, alineados con proyectos resultados de la investigación, desarrollo e innovación (I+D+I) en la Entidad.</v>
      </c>
      <c r="D27" s="544">
        <v>0.4</v>
      </c>
      <c r="E27" s="551">
        <v>1</v>
      </c>
      <c r="F27" s="551" t="s">
        <v>151</v>
      </c>
      <c r="G27" s="541" t="s">
        <v>80</v>
      </c>
      <c r="H27" s="542">
        <v>0.25</v>
      </c>
      <c r="I27" s="542">
        <v>0.25</v>
      </c>
      <c r="J27" s="542">
        <v>0.25</v>
      </c>
      <c r="K27" s="542">
        <v>0.25</v>
      </c>
      <c r="L27" s="550"/>
      <c r="M27" s="772">
        <f>+'3-Grado Cump Metas Estratégicas'!D28</f>
        <v>0.5</v>
      </c>
      <c r="N27" s="1193">
        <f>+'4-Grado Cum Objetivos Est &amp; Cal'!C15</f>
        <v>0.61250000000000004</v>
      </c>
    </row>
    <row r="28" spans="2:14" ht="98.25" customHeight="1">
      <c r="B28" s="1186"/>
      <c r="C28" s="541" t="str">
        <f>+'01-FR-03 POA INSTITUCIONAL'!C98</f>
        <v>5.2 Formular el 100% de herramientas y acciones que permitan categorizar, preservar y utilizar el conocimiento para la toma de decisiones y compartir fácilmente los datos y la información de la Entidad.</v>
      </c>
      <c r="D28" s="544">
        <v>0.3</v>
      </c>
      <c r="E28" s="542">
        <v>1</v>
      </c>
      <c r="F28" s="551" t="s">
        <v>151</v>
      </c>
      <c r="G28" s="541" t="s">
        <v>80</v>
      </c>
      <c r="H28" s="542">
        <v>0.25</v>
      </c>
      <c r="I28" s="542">
        <v>0.25</v>
      </c>
      <c r="J28" s="542">
        <v>0.25</v>
      </c>
      <c r="K28" s="542">
        <v>0.25</v>
      </c>
      <c r="L28" s="550"/>
      <c r="M28" s="772">
        <f>+'3-Grado Cump Metas Estratégicas'!D29</f>
        <v>0.625</v>
      </c>
      <c r="N28" s="1193"/>
    </row>
    <row r="29" spans="2:14" ht="120" customHeight="1">
      <c r="B29" s="1187"/>
      <c r="C29" s="556"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544">
        <v>0.3</v>
      </c>
      <c r="E29" s="557">
        <v>1</v>
      </c>
      <c r="F29" s="551" t="s">
        <v>151</v>
      </c>
      <c r="G29" s="556" t="s">
        <v>80</v>
      </c>
      <c r="H29" s="542">
        <v>0.25</v>
      </c>
      <c r="I29" s="542">
        <v>0.25</v>
      </c>
      <c r="J29" s="542">
        <v>0.25</v>
      </c>
      <c r="K29" s="542">
        <v>0.25</v>
      </c>
      <c r="L29" s="550"/>
      <c r="M29" s="772">
        <f>+'3-Grado Cump Metas Estratégicas'!D30</f>
        <v>0.75</v>
      </c>
      <c r="N29" s="1193"/>
    </row>
    <row r="30" spans="2:14" ht="17.399999999999999">
      <c r="B30" s="558"/>
      <c r="C30" s="559"/>
      <c r="D30" s="559"/>
      <c r="E30" s="559"/>
      <c r="F30" s="559"/>
      <c r="G30" s="559"/>
      <c r="H30" s="558"/>
      <c r="I30" s="558"/>
      <c r="J30" s="558"/>
      <c r="K30" s="558"/>
      <c r="L30" s="558"/>
      <c r="M30" s="821">
        <f>AVERAGE(M10:M29)</f>
        <v>0.7639290208770918</v>
      </c>
      <c r="N30" s="700">
        <f>AVERAGE(N10:N29)</f>
        <v>0.74960498581537061</v>
      </c>
    </row>
    <row r="31" spans="2:14">
      <c r="M31" s="560"/>
    </row>
    <row r="33" spans="2:7">
      <c r="B33" s="564" t="s">
        <v>37</v>
      </c>
      <c r="C33" s="565">
        <v>44224</v>
      </c>
      <c r="D33" s="566"/>
      <c r="E33" s="566"/>
      <c r="F33" s="566"/>
      <c r="G33" s="566"/>
    </row>
    <row r="35" spans="2:7">
      <c r="B35" s="564" t="s">
        <v>82</v>
      </c>
      <c r="C35" s="565">
        <v>44433</v>
      </c>
    </row>
    <row r="37" spans="2:7">
      <c r="B37" s="564" t="s">
        <v>82</v>
      </c>
      <c r="C37" s="565">
        <v>44470</v>
      </c>
    </row>
    <row r="39" spans="2:7">
      <c r="B39" s="564" t="s">
        <v>82</v>
      </c>
      <c r="C39" s="565">
        <v>44581</v>
      </c>
    </row>
    <row r="40" spans="2:7" s="955" customFormat="1"/>
    <row r="41" spans="2:7" s="955" customFormat="1">
      <c r="B41" s="956" t="s">
        <v>82</v>
      </c>
      <c r="C41" s="957">
        <v>44953</v>
      </c>
    </row>
    <row r="42" spans="2:7" ht="13.95" customHeight="1"/>
    <row r="44" spans="2:7">
      <c r="B44" s="445" t="s">
        <v>876</v>
      </c>
    </row>
  </sheetData>
  <mergeCells count="24">
    <mergeCell ref="B2:B5"/>
    <mergeCell ref="H6:L6"/>
    <mergeCell ref="M4:N4"/>
    <mergeCell ref="C2:K4"/>
    <mergeCell ref="C5:K5"/>
    <mergeCell ref="N8:N9"/>
    <mergeCell ref="B10:B12"/>
    <mergeCell ref="N10:N12"/>
    <mergeCell ref="B13:B15"/>
    <mergeCell ref="N13:N15"/>
    <mergeCell ref="G7:G9"/>
    <mergeCell ref="H7:L7"/>
    <mergeCell ref="M7:M8"/>
    <mergeCell ref="B7:B9"/>
    <mergeCell ref="C7:C9"/>
    <mergeCell ref="D7:D9"/>
    <mergeCell ref="E7:E9"/>
    <mergeCell ref="F7:F9"/>
    <mergeCell ref="B16:B19"/>
    <mergeCell ref="N16:N19"/>
    <mergeCell ref="B20:B26"/>
    <mergeCell ref="N20:N26"/>
    <mergeCell ref="B27:B29"/>
    <mergeCell ref="N27:N29"/>
  </mergeCells>
  <conditionalFormatting sqref="H21:L22 H26:L29">
    <cfRule type="expression" dxfId="403" priority="166">
      <formula>#REF!="Pesos ($)"</formula>
    </cfRule>
    <cfRule type="expression" dxfId="402" priority="167">
      <formula>OR(LEFT(#REF!,9)="Número de",#REF!="Otra")</formula>
    </cfRule>
    <cfRule type="expression" dxfId="401" priority="168">
      <formula>#REF!="Porcentaje"</formula>
    </cfRule>
  </conditionalFormatting>
  <conditionalFormatting sqref="H23:L23">
    <cfRule type="expression" dxfId="400" priority="149">
      <formula>#REF!="Pesos ($)"</formula>
    </cfRule>
    <cfRule type="expression" dxfId="399" priority="150">
      <formula>OR(LEFT(#REF!,9)="Número de",#REF!="Otra")</formula>
    </cfRule>
    <cfRule type="expression" dxfId="398" priority="151">
      <formula>#REF!="Porcentaje"</formula>
    </cfRule>
  </conditionalFormatting>
  <conditionalFormatting sqref="H25:L25">
    <cfRule type="expression" dxfId="397" priority="146">
      <formula>#REF!="Pesos ($)"</formula>
    </cfRule>
    <cfRule type="expression" dxfId="396" priority="147">
      <formula>OR(LEFT(#REF!,9)="Número de",#REF!="Otra")</formula>
    </cfRule>
    <cfRule type="expression" dxfId="395" priority="148">
      <formula>#REF!="Porcentaje"</formula>
    </cfRule>
  </conditionalFormatting>
  <conditionalFormatting sqref="H24:L24 H12:K12 H17:K18">
    <cfRule type="expression" dxfId="394" priority="143">
      <formula>#REF!="Pesos ($)"</formula>
    </cfRule>
    <cfRule type="expression" dxfId="393" priority="144">
      <formula>OR(LEFT(#REF!,9)="Número de",#REF!="Otra")</formula>
    </cfRule>
    <cfRule type="expression" dxfId="392" priority="145">
      <formula>#REF!="Porcentaje"</formula>
    </cfRule>
  </conditionalFormatting>
  <conditionalFormatting sqref="L10:L19">
    <cfRule type="expression" dxfId="391" priority="140">
      <formula>#REF!="Pesos ($)"</formula>
    </cfRule>
    <cfRule type="expression" dxfId="390" priority="141">
      <formula>OR(LEFT(#REF!,9)="Número de",#REF!="Otra")</formula>
    </cfRule>
    <cfRule type="expression" dxfId="389" priority="142">
      <formula>#REF!="Porcentaje"</formula>
    </cfRule>
  </conditionalFormatting>
  <conditionalFormatting sqref="I20:L20">
    <cfRule type="expression" dxfId="388" priority="130">
      <formula>#REF!="Pesos ($)"</formula>
    </cfRule>
    <cfRule type="expression" dxfId="387" priority="131">
      <formula>OR(LEFT(#REF!,9)="Número de",#REF!="Otra")</formula>
    </cfRule>
    <cfRule type="expression" dxfId="386" priority="132">
      <formula>#REF!="Porcentaje"</formula>
    </cfRule>
  </conditionalFormatting>
  <conditionalFormatting sqref="H20">
    <cfRule type="expression" dxfId="385" priority="127">
      <formula>#REF!="Pesos ($)"</formula>
    </cfRule>
    <cfRule type="expression" dxfId="384" priority="128">
      <formula>OR(LEFT(#REF!,9)="Número de",#REF!="Otra")</formula>
    </cfRule>
    <cfRule type="expression" dxfId="383" priority="129">
      <formula>#REF!="Porcentaje"</formula>
    </cfRule>
  </conditionalFormatting>
  <conditionalFormatting sqref="H13:K15">
    <cfRule type="expression" dxfId="382" priority="25">
      <formula>#REF!="Pesos ($)"</formula>
    </cfRule>
    <cfRule type="expression" dxfId="381" priority="26">
      <formula>OR(LEFT(#REF!,9)="Número de",#REF!="Otra")</formula>
    </cfRule>
    <cfRule type="expression" dxfId="380" priority="27">
      <formula>#REF!="Porcentaje"</formula>
    </cfRule>
  </conditionalFormatting>
  <conditionalFormatting sqref="H10:K11">
    <cfRule type="expression" dxfId="379" priority="16">
      <formula>#REF!="Pesos ($)"</formula>
    </cfRule>
    <cfRule type="expression" dxfId="378" priority="17">
      <formula>OR(LEFT(#REF!,9)="Número de",#REF!="Otra")</formula>
    </cfRule>
    <cfRule type="expression" dxfId="377" priority="18">
      <formula>#REF!="Porcentaje"</formula>
    </cfRule>
  </conditionalFormatting>
  <conditionalFormatting sqref="H16:K16">
    <cfRule type="expression" dxfId="376" priority="13">
      <formula>#REF!="Pesos ($)"</formula>
    </cfRule>
    <cfRule type="expression" dxfId="375" priority="14">
      <formula>OR(LEFT(#REF!,9)="Número de",#REF!="Otra")</formula>
    </cfRule>
    <cfRule type="expression" dxfId="374" priority="15">
      <formula>#REF!="Porcentaje"</formula>
    </cfRule>
  </conditionalFormatting>
  <conditionalFormatting sqref="H19:K19">
    <cfRule type="expression" dxfId="373" priority="1">
      <formula>#REF!="Pesos ($)"</formula>
    </cfRule>
    <cfRule type="expression" dxfId="372" priority="2">
      <formula>OR(LEFT(#REF!,9)="Número de",#REF!="Otra")</formula>
    </cfRule>
    <cfRule type="expression" dxfId="371" priority="3">
      <formula>#REF!="Porcentaje"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4140625" defaultRowHeight="13.2"/>
  <cols>
    <col min="1" max="1" width="4.33203125" style="209" customWidth="1"/>
    <col min="2" max="2" width="28.5546875" style="209" customWidth="1"/>
    <col min="3" max="13" width="7.109375" style="209" customWidth="1"/>
    <col min="14" max="14" width="14.33203125" style="209" customWidth="1"/>
    <col min="15" max="15" width="14.44140625" style="209" customWidth="1"/>
    <col min="16" max="16" width="6.6640625" style="209" customWidth="1"/>
    <col min="17" max="17" width="9.5546875" style="209" customWidth="1"/>
    <col min="18" max="18" width="17.109375" style="209" customWidth="1"/>
    <col min="19" max="16384" width="11.44140625" style="209"/>
  </cols>
  <sheetData>
    <row r="1" spans="2:16" s="7" customFormat="1" ht="7.5" customHeight="1" thickBot="1">
      <c r="B1" s="207"/>
      <c r="C1" s="207"/>
      <c r="D1" s="207"/>
      <c r="E1" s="207"/>
      <c r="F1" s="207"/>
      <c r="G1" s="207"/>
      <c r="H1" s="207"/>
      <c r="I1" s="207"/>
      <c r="J1" s="207"/>
      <c r="K1" s="207"/>
      <c r="L1" s="207"/>
      <c r="M1" s="207"/>
      <c r="N1" s="207"/>
      <c r="O1" s="207"/>
      <c r="P1" s="207"/>
    </row>
    <row r="2" spans="2:16" s="7" customFormat="1" ht="15.6">
      <c r="B2" s="1216" t="s">
        <v>642</v>
      </c>
      <c r="C2" s="1219" t="s">
        <v>923</v>
      </c>
      <c r="D2" s="1220"/>
      <c r="E2" s="1220"/>
      <c r="F2" s="1220"/>
      <c r="G2" s="1220"/>
      <c r="H2" s="1220"/>
      <c r="I2" s="1220"/>
      <c r="J2" s="1220"/>
      <c r="K2" s="1220"/>
      <c r="L2" s="1220"/>
      <c r="M2" s="1220"/>
      <c r="N2" s="1225" t="s">
        <v>1005</v>
      </c>
      <c r="O2" s="1226"/>
      <c r="P2" s="207"/>
    </row>
    <row r="3" spans="2:16" s="7" customFormat="1" ht="15.6">
      <c r="B3" s="1217"/>
      <c r="C3" s="1221"/>
      <c r="D3" s="1222"/>
      <c r="E3" s="1222"/>
      <c r="F3" s="1222"/>
      <c r="G3" s="1222"/>
      <c r="H3" s="1222"/>
      <c r="I3" s="1222"/>
      <c r="J3" s="1222"/>
      <c r="K3" s="1222"/>
      <c r="L3" s="1222"/>
      <c r="M3" s="1222"/>
      <c r="N3" s="702" t="s">
        <v>28</v>
      </c>
      <c r="O3" s="703" t="s">
        <v>29</v>
      </c>
      <c r="P3" s="207"/>
    </row>
    <row r="4" spans="2:16" s="7" customFormat="1" ht="15.75" customHeight="1">
      <c r="B4" s="1217"/>
      <c r="C4" s="1221"/>
      <c r="D4" s="1222"/>
      <c r="E4" s="1222"/>
      <c r="F4" s="1222"/>
      <c r="G4" s="1222"/>
      <c r="H4" s="1222"/>
      <c r="I4" s="1222"/>
      <c r="J4" s="1222"/>
      <c r="K4" s="1222"/>
      <c r="L4" s="1222"/>
      <c r="M4" s="1222"/>
      <c r="N4" s="704">
        <v>7</v>
      </c>
      <c r="O4" s="705" t="s">
        <v>1006</v>
      </c>
      <c r="P4" s="207"/>
    </row>
    <row r="5" spans="2:16" s="7" customFormat="1" ht="15.6">
      <c r="B5" s="1217"/>
      <c r="C5" s="1221"/>
      <c r="D5" s="1222"/>
      <c r="E5" s="1222"/>
      <c r="F5" s="1222"/>
      <c r="G5" s="1222"/>
      <c r="H5" s="1222"/>
      <c r="I5" s="1222"/>
      <c r="J5" s="1222"/>
      <c r="K5" s="1222"/>
      <c r="L5" s="1222"/>
      <c r="M5" s="1222"/>
      <c r="N5" s="1227" t="s">
        <v>30</v>
      </c>
      <c r="O5" s="1228"/>
      <c r="P5" s="207"/>
    </row>
    <row r="6" spans="2:16" s="7" customFormat="1" ht="15.6" customHeight="1" thickBot="1">
      <c r="B6" s="1218"/>
      <c r="C6" s="1223"/>
      <c r="D6" s="1224"/>
      <c r="E6" s="1224"/>
      <c r="F6" s="1224"/>
      <c r="G6" s="1224"/>
      <c r="H6" s="1224"/>
      <c r="I6" s="1224"/>
      <c r="J6" s="1224"/>
      <c r="K6" s="1224"/>
      <c r="L6" s="1224"/>
      <c r="M6" s="1224"/>
      <c r="N6" s="1229">
        <v>44561</v>
      </c>
      <c r="O6" s="1230"/>
      <c r="P6" s="207"/>
    </row>
    <row r="7" spans="2:16" s="7" customFormat="1" ht="13.8" thickBot="1">
      <c r="B7" s="207"/>
      <c r="C7" s="207"/>
      <c r="D7" s="207"/>
      <c r="E7" s="207"/>
      <c r="F7" s="208">
        <f>D11</f>
        <v>0</v>
      </c>
      <c r="G7" s="207"/>
      <c r="H7" s="207"/>
      <c r="I7" s="207"/>
      <c r="J7" s="207"/>
      <c r="K7" s="207"/>
      <c r="L7" s="207"/>
      <c r="M7" s="207"/>
      <c r="N7" s="207"/>
      <c r="O7" s="207"/>
      <c r="P7" s="207"/>
    </row>
    <row r="8" spans="2:16" s="7" customFormat="1" ht="15.6">
      <c r="B8" s="1231" t="s">
        <v>1007</v>
      </c>
      <c r="C8" s="1232"/>
      <c r="D8" s="1232"/>
      <c r="E8" s="1232"/>
      <c r="F8" s="1232"/>
      <c r="G8" s="1232"/>
      <c r="H8" s="1232"/>
      <c r="I8" s="1232"/>
      <c r="J8" s="1232"/>
      <c r="K8" s="1232"/>
      <c r="L8" s="1232"/>
      <c r="M8" s="1232"/>
      <c r="N8" s="1232"/>
      <c r="O8" s="1233"/>
      <c r="P8" s="207"/>
    </row>
    <row r="9" spans="2:16" s="7" customFormat="1">
      <c r="B9" s="207"/>
      <c r="C9" s="207"/>
      <c r="D9" s="207"/>
      <c r="E9" s="207"/>
      <c r="F9" s="208"/>
      <c r="G9" s="207"/>
      <c r="H9" s="207"/>
      <c r="I9" s="207"/>
      <c r="J9" s="207"/>
      <c r="K9" s="207"/>
      <c r="L9" s="207"/>
      <c r="M9" s="207"/>
      <c r="N9" s="207"/>
      <c r="O9" s="207"/>
      <c r="P9" s="207"/>
    </row>
    <row r="10" spans="2:16" s="7" customFormat="1" ht="15.6">
      <c r="B10" s="706" t="s">
        <v>32</v>
      </c>
      <c r="C10" s="1234" t="s">
        <v>33</v>
      </c>
      <c r="D10" s="1234"/>
      <c r="E10" s="1234"/>
      <c r="F10" s="1234"/>
      <c r="G10" s="1234"/>
      <c r="H10" s="1234"/>
      <c r="I10" s="1234"/>
      <c r="J10" s="1234"/>
      <c r="K10" s="1234"/>
      <c r="L10" s="1234"/>
      <c r="M10" s="1234"/>
      <c r="N10" s="1234"/>
      <c r="O10" s="1234"/>
      <c r="P10" s="207"/>
    </row>
    <row r="11" spans="2:16" s="7" customFormat="1" ht="55.2" customHeight="1">
      <c r="B11" s="22" t="s">
        <v>1008</v>
      </c>
      <c r="C11" s="1215" t="s">
        <v>1009</v>
      </c>
      <c r="D11" s="1215"/>
      <c r="E11" s="1215"/>
      <c r="F11" s="1215"/>
      <c r="G11" s="1215"/>
      <c r="H11" s="1215"/>
      <c r="I11" s="1215"/>
      <c r="J11" s="1215"/>
      <c r="K11" s="1215"/>
      <c r="L11" s="1215"/>
      <c r="M11" s="1215"/>
      <c r="N11" s="1215"/>
      <c r="O11" s="1215"/>
    </row>
    <row r="12" spans="2:16" s="7" customFormat="1" ht="55.2" customHeight="1">
      <c r="B12" s="23" t="s">
        <v>1010</v>
      </c>
      <c r="C12" s="1215" t="s">
        <v>1011</v>
      </c>
      <c r="D12" s="1215"/>
      <c r="E12" s="1215"/>
      <c r="F12" s="1215"/>
      <c r="G12" s="1215"/>
      <c r="H12" s="1215"/>
      <c r="I12" s="1215"/>
      <c r="J12" s="1215"/>
      <c r="K12" s="1215"/>
      <c r="L12" s="1215"/>
      <c r="M12" s="1215"/>
      <c r="N12" s="1215"/>
      <c r="O12" s="1215"/>
    </row>
    <row r="13" spans="2:16" s="7" customFormat="1" ht="55.2" customHeight="1">
      <c r="B13" s="22" t="s">
        <v>926</v>
      </c>
      <c r="C13" s="1215" t="s">
        <v>1012</v>
      </c>
      <c r="D13" s="1215"/>
      <c r="E13" s="1215"/>
      <c r="F13" s="1215"/>
      <c r="G13" s="1215"/>
      <c r="H13" s="1215"/>
      <c r="I13" s="1215"/>
      <c r="J13" s="1215"/>
      <c r="K13" s="1215"/>
      <c r="L13" s="1215"/>
      <c r="M13" s="1215"/>
      <c r="N13" s="1215"/>
      <c r="O13" s="1215"/>
    </row>
    <row r="14" spans="2:16" s="7" customFormat="1" ht="55.2" customHeight="1">
      <c r="B14" s="22" t="s">
        <v>1013</v>
      </c>
      <c r="C14" s="1215" t="s">
        <v>1014</v>
      </c>
      <c r="D14" s="1215"/>
      <c r="E14" s="1215"/>
      <c r="F14" s="1215"/>
      <c r="G14" s="1215"/>
      <c r="H14" s="1215"/>
      <c r="I14" s="1215"/>
      <c r="J14" s="1215"/>
      <c r="K14" s="1215"/>
      <c r="L14" s="1215"/>
      <c r="M14" s="1215"/>
      <c r="N14" s="1215"/>
      <c r="O14" s="1215"/>
    </row>
    <row r="15" spans="2:16" s="7" customFormat="1" ht="55.2" customHeight="1">
      <c r="B15" s="22" t="s">
        <v>69</v>
      </c>
      <c r="C15" s="1215" t="s">
        <v>1015</v>
      </c>
      <c r="D15" s="1215"/>
      <c r="E15" s="1215"/>
      <c r="F15" s="1215"/>
      <c r="G15" s="1215"/>
      <c r="H15" s="1215"/>
      <c r="I15" s="1215"/>
      <c r="J15" s="1215"/>
      <c r="K15" s="1215"/>
      <c r="L15" s="1215"/>
      <c r="M15" s="1215"/>
      <c r="N15" s="1215"/>
      <c r="O15" s="1215"/>
    </row>
    <row r="16" spans="2:16" s="7" customFormat="1" ht="55.2" customHeight="1">
      <c r="B16" s="16" t="s">
        <v>1016</v>
      </c>
      <c r="C16" s="1215" t="s">
        <v>1017</v>
      </c>
      <c r="D16" s="1215"/>
      <c r="E16" s="1215"/>
      <c r="F16" s="1215"/>
      <c r="G16" s="1215"/>
      <c r="H16" s="1215"/>
      <c r="I16" s="1215"/>
      <c r="J16" s="1215"/>
      <c r="K16" s="1215"/>
      <c r="L16" s="1215"/>
      <c r="M16" s="1215"/>
      <c r="N16" s="1215"/>
      <c r="O16" s="1215"/>
    </row>
    <row r="17" spans="2:15" s="7" customFormat="1" ht="76.2" customHeight="1">
      <c r="B17" s="16" t="s">
        <v>929</v>
      </c>
      <c r="C17" s="1215" t="s">
        <v>1018</v>
      </c>
      <c r="D17" s="1215"/>
      <c r="E17" s="1215"/>
      <c r="F17" s="1215"/>
      <c r="G17" s="1215"/>
      <c r="H17" s="1215"/>
      <c r="I17" s="1215"/>
      <c r="J17" s="1215"/>
      <c r="K17" s="1215"/>
      <c r="L17" s="1215"/>
      <c r="M17" s="1215"/>
      <c r="N17" s="1215"/>
      <c r="O17" s="1215"/>
    </row>
    <row r="18" spans="2:15" s="7" customFormat="1" ht="55.2" customHeight="1">
      <c r="B18" s="16" t="s">
        <v>930</v>
      </c>
      <c r="C18" s="1236" t="s">
        <v>1019</v>
      </c>
      <c r="D18" s="1236"/>
      <c r="E18" s="1236"/>
      <c r="F18" s="1236"/>
      <c r="G18" s="1236"/>
      <c r="H18" s="1236"/>
      <c r="I18" s="1236"/>
      <c r="J18" s="1236"/>
      <c r="K18" s="1236"/>
      <c r="L18" s="1236"/>
      <c r="M18" s="1236"/>
      <c r="N18" s="1236"/>
      <c r="O18" s="1236"/>
    </row>
    <row r="19" spans="2:15" s="7" customFormat="1" ht="55.2" customHeight="1">
      <c r="B19" s="16" t="s">
        <v>1020</v>
      </c>
      <c r="C19" s="1236" t="s">
        <v>1021</v>
      </c>
      <c r="D19" s="1236"/>
      <c r="E19" s="1236"/>
      <c r="F19" s="1236"/>
      <c r="G19" s="1236"/>
      <c r="H19" s="1236"/>
      <c r="I19" s="1236"/>
      <c r="J19" s="1236"/>
      <c r="K19" s="1236"/>
      <c r="L19" s="1236"/>
      <c r="M19" s="1236"/>
      <c r="N19" s="1236"/>
      <c r="O19" s="1236"/>
    </row>
    <row r="20" spans="2:15" s="7" customFormat="1" ht="55.2" customHeight="1">
      <c r="B20" s="16" t="s">
        <v>37</v>
      </c>
      <c r="C20" s="1215" t="s">
        <v>83</v>
      </c>
      <c r="D20" s="1215"/>
      <c r="E20" s="1215"/>
      <c r="F20" s="1215"/>
      <c r="G20" s="1215"/>
      <c r="H20" s="1215"/>
      <c r="I20" s="1215"/>
      <c r="J20" s="1215"/>
      <c r="K20" s="1215"/>
      <c r="L20" s="1215"/>
      <c r="M20" s="1215"/>
      <c r="N20" s="1215"/>
      <c r="O20" s="1215"/>
    </row>
    <row r="21" spans="2:15" s="7" customFormat="1" ht="55.2" customHeight="1">
      <c r="B21" s="16" t="s">
        <v>82</v>
      </c>
      <c r="C21" s="1215" t="s">
        <v>84</v>
      </c>
      <c r="D21" s="1215"/>
      <c r="E21" s="1215"/>
      <c r="F21" s="1215"/>
      <c r="G21" s="1215"/>
      <c r="H21" s="1215"/>
      <c r="I21" s="1215"/>
      <c r="J21" s="1215"/>
      <c r="K21" s="1215"/>
      <c r="L21" s="1215"/>
      <c r="M21" s="1215"/>
      <c r="N21" s="1215"/>
      <c r="O21" s="1215"/>
    </row>
    <row r="22" spans="2:15" ht="12.75" customHeight="1"/>
    <row r="23" spans="2:15" ht="12.75" customHeight="1">
      <c r="B23" s="1235" t="s">
        <v>876</v>
      </c>
      <c r="C23" s="1235"/>
      <c r="D23" s="1235"/>
      <c r="E23" s="1235"/>
      <c r="F23" s="1235"/>
      <c r="G23" s="1235"/>
      <c r="H23" s="1235"/>
      <c r="I23" s="1235"/>
      <c r="J23" s="1235"/>
      <c r="K23" s="1235"/>
      <c r="L23" s="1235"/>
      <c r="M23" s="1235"/>
      <c r="N23" s="1235"/>
      <c r="O23" s="1235"/>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B23:O23"/>
    <mergeCell ref="C16:O16"/>
    <mergeCell ref="C17:O17"/>
    <mergeCell ref="C18:O18"/>
    <mergeCell ref="C19:O19"/>
    <mergeCell ref="C20:O20"/>
    <mergeCell ref="C21:O21"/>
    <mergeCell ref="C15:O15"/>
    <mergeCell ref="B2:B6"/>
    <mergeCell ref="C2:M6"/>
    <mergeCell ref="N2:O2"/>
    <mergeCell ref="N5:O5"/>
    <mergeCell ref="N6:O6"/>
    <mergeCell ref="B8:O8"/>
    <mergeCell ref="C10:O10"/>
    <mergeCell ref="C11:O11"/>
    <mergeCell ref="C12:O12"/>
    <mergeCell ref="C13:O13"/>
    <mergeCell ref="C14:O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sheetPr>
    <tabColor rgb="FF0070C0"/>
  </sheetPr>
  <dimension ref="B1:R84"/>
  <sheetViews>
    <sheetView showGridLines="0" workbookViewId="0">
      <selection activeCell="C10" sqref="C10"/>
    </sheetView>
  </sheetViews>
  <sheetFormatPr baseColWidth="10" defaultColWidth="11.44140625" defaultRowHeight="15"/>
  <cols>
    <col min="1" max="1" width="3.6640625" style="370" customWidth="1"/>
    <col min="2" max="2" width="52.44140625" style="370" customWidth="1"/>
    <col min="3" max="5" width="18.44140625" style="372" customWidth="1"/>
    <col min="6" max="6" width="18.44140625" style="370" customWidth="1"/>
    <col min="7" max="7" width="18.33203125" style="370" customWidth="1"/>
    <col min="8" max="8" width="6.109375" style="372" hidden="1" customWidth="1"/>
    <col min="9" max="9" width="11.44140625"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18">
      <c r="C1" s="371"/>
      <c r="D1" s="371"/>
      <c r="E1" s="371"/>
    </row>
    <row r="2" spans="2:18" ht="15.6">
      <c r="B2" s="1237" t="s">
        <v>843</v>
      </c>
      <c r="C2" s="1238" t="s">
        <v>848</v>
      </c>
      <c r="D2" s="1239"/>
      <c r="E2" s="1239"/>
      <c r="F2" s="1239"/>
      <c r="G2" s="1240"/>
      <c r="H2" s="416"/>
    </row>
    <row r="3" spans="2:18" ht="17.399999999999999">
      <c r="B3" s="1237"/>
      <c r="C3" s="1241" t="str">
        <f>+'3.Resum Desemp Procesos POA T1'!C3</f>
        <v>PLAN OPERATIVO ANUAL 2023</v>
      </c>
      <c r="D3" s="1242"/>
      <c r="E3" s="1242"/>
      <c r="F3" s="1242"/>
      <c r="G3" s="1243"/>
      <c r="H3" s="416"/>
    </row>
    <row r="4" spans="2:18" ht="9.75" customHeight="1">
      <c r="B4" s="1244"/>
      <c r="C4" s="1244"/>
      <c r="D4" s="1244"/>
      <c r="E4" s="1244"/>
      <c r="F4" s="1244"/>
      <c r="G4" s="448"/>
      <c r="H4" s="391"/>
    </row>
    <row r="5" spans="2:18" ht="19.5" customHeight="1">
      <c r="B5" s="370" t="str">
        <f>+'3.Resum Desemp Procesos POA T1'!B5</f>
        <v xml:space="preserve">Fecha de corte: </v>
      </c>
      <c r="C5" s="758">
        <f>+'3.Resum Desemp Procesos POA T2'!C5</f>
        <v>45107</v>
      </c>
    </row>
    <row r="6" spans="2:18" ht="19.5" customHeight="1">
      <c r="B6" s="373"/>
    </row>
    <row r="7" spans="2:18" s="382" customFormat="1" ht="31.5" customHeight="1">
      <c r="B7" s="1201" t="s">
        <v>671</v>
      </c>
      <c r="C7" s="1245" t="s">
        <v>1163</v>
      </c>
      <c r="D7" s="1246"/>
      <c r="E7" s="1246"/>
      <c r="F7" s="1246"/>
      <c r="G7" s="1247"/>
      <c r="H7" s="140"/>
      <c r="Q7" s="370"/>
      <c r="R7" s="370"/>
    </row>
    <row r="8" spans="2:18" s="382" customFormat="1" ht="74.400000000000006" customHeight="1">
      <c r="B8" s="1201"/>
      <c r="C8" s="449" t="s">
        <v>849</v>
      </c>
      <c r="D8" s="449" t="s">
        <v>850</v>
      </c>
      <c r="E8" s="449" t="s">
        <v>851</v>
      </c>
      <c r="F8" s="449" t="s">
        <v>858</v>
      </c>
      <c r="G8" s="418" t="s">
        <v>877</v>
      </c>
      <c r="H8" s="140"/>
      <c r="Q8" s="370"/>
      <c r="R8" s="370"/>
    </row>
    <row r="9" spans="2:18">
      <c r="B9" s="375" t="s">
        <v>678</v>
      </c>
      <c r="C9" s="454">
        <f>+'4.Segto Medición POA 2022 T4'!C65</f>
        <v>4</v>
      </c>
      <c r="D9" s="394">
        <f>COUNTIF('2.Infor Detallado Desempeño POA'!T13:T16,"=100%")</f>
        <v>2</v>
      </c>
      <c r="E9" s="395">
        <f>COUNTIF('2.Infor Detallado Desempeño POA'!T13:T16,"&gt;100%")</f>
        <v>0</v>
      </c>
      <c r="F9" s="452">
        <f>COUNTIF('2.Infor Detallado Desempeño POA'!T13:T16,"&lt;100%")</f>
        <v>2</v>
      </c>
      <c r="G9" s="450">
        <f>COUNTIF('2.Infor Detallado Desempeño POA'!T13:T16,"=No programado")</f>
        <v>0</v>
      </c>
      <c r="H9" s="392">
        <f>SUM(D9:G9)</f>
        <v>4</v>
      </c>
      <c r="I9" s="393">
        <f t="shared" ref="I9:I25" si="0">C9-H9</f>
        <v>0</v>
      </c>
    </row>
    <row r="10" spans="2:18">
      <c r="B10" s="375" t="s">
        <v>680</v>
      </c>
      <c r="C10" s="454">
        <f>+'4.Segto Medición POA 2022 T4'!C66</f>
        <v>4</v>
      </c>
      <c r="D10" s="394">
        <f>COUNTIF('2.Infor Detallado Desempeño POA'!T22:T25,"=100%")</f>
        <v>2</v>
      </c>
      <c r="E10" s="395">
        <f>COUNTIF('2.Infor Detallado Desempeño POA'!T22:T25,"&gt;100%")</f>
        <v>0</v>
      </c>
      <c r="F10" s="452">
        <f>COUNTIF('2.Infor Detallado Desempeño POA'!T22:T25,"&lt;100%")</f>
        <v>0</v>
      </c>
      <c r="G10" s="450">
        <f>COUNTIF('2.Infor Detallado Desempeño POA'!T22:T25,"=No programado")</f>
        <v>2</v>
      </c>
      <c r="H10" s="392">
        <f t="shared" ref="H10:H24" si="1">SUM(D10:G10)</f>
        <v>4</v>
      </c>
      <c r="I10" s="393">
        <f t="shared" si="0"/>
        <v>0</v>
      </c>
    </row>
    <row r="11" spans="2:18">
      <c r="B11" s="375" t="s">
        <v>681</v>
      </c>
      <c r="C11" s="454">
        <f>+'4.Segto Medición POA 2022 T4'!C67</f>
        <v>7</v>
      </c>
      <c r="D11" s="394">
        <f>COUNTIF('2.Infor Detallado Desempeño POA'!T31:T37,"=100%")</f>
        <v>7</v>
      </c>
      <c r="E11" s="395">
        <f>COUNTIF('2.Infor Detallado Desempeño POA'!T31:T37,"&gt;100%")</f>
        <v>0</v>
      </c>
      <c r="F11" s="452">
        <f>COUNTIF('2.Infor Detallado Desempeño POA'!T31:T37,"&lt;100%")</f>
        <v>0</v>
      </c>
      <c r="G11" s="450">
        <f>COUNTIF('2.Infor Detallado Desempeño POA'!T31:T37,"=No programado")</f>
        <v>0</v>
      </c>
      <c r="H11" s="392">
        <f t="shared" si="1"/>
        <v>7</v>
      </c>
      <c r="I11" s="393">
        <f t="shared" si="0"/>
        <v>0</v>
      </c>
    </row>
    <row r="12" spans="2:18">
      <c r="B12" s="375" t="s">
        <v>682</v>
      </c>
      <c r="C12" s="454">
        <f>+'4.Segto Medición POA 2022 T4'!C68</f>
        <v>2</v>
      </c>
      <c r="D12" s="394">
        <f>COUNTIF('2.Infor Detallado Desempeño POA'!T43:T44,"=100%")</f>
        <v>2</v>
      </c>
      <c r="E12" s="395">
        <f>COUNTIF('2.Infor Detallado Desempeño POA'!T43:T44,"&gt;100%")</f>
        <v>0</v>
      </c>
      <c r="F12" s="452">
        <f>COUNTIF('2.Infor Detallado Desempeño POA'!T43:T44,"&lt;100%")</f>
        <v>0</v>
      </c>
      <c r="G12" s="450">
        <f>COUNTIF('2.Infor Detallado Desempeño POA'!T43:T44,"=No programado")</f>
        <v>0</v>
      </c>
      <c r="H12" s="392">
        <f>SUM(D12:G12)</f>
        <v>2</v>
      </c>
      <c r="I12" s="393">
        <f t="shared" si="0"/>
        <v>0</v>
      </c>
    </row>
    <row r="13" spans="2:18">
      <c r="B13" s="375" t="s">
        <v>693</v>
      </c>
      <c r="C13" s="454">
        <f>+'4.Segto Medición POA 2022 T4'!C69</f>
        <v>3</v>
      </c>
      <c r="D13" s="394">
        <f>COUNTIF('2.Infor Detallado Desempeño POA'!T50:T52,"=100%")</f>
        <v>1</v>
      </c>
      <c r="E13" s="395">
        <f>COUNTIF('2.Infor Detallado Desempeño POA'!T50:T52,"&gt;100%")</f>
        <v>0</v>
      </c>
      <c r="F13" s="452">
        <f>COUNTIF('2.Infor Detallado Desempeño POA'!T50:T52,"&lt;100%")</f>
        <v>0</v>
      </c>
      <c r="G13" s="450">
        <f>COUNTIF('2.Infor Detallado Desempeño POA'!T50:T52,"=No programado")</f>
        <v>2</v>
      </c>
      <c r="H13" s="392">
        <f t="shared" si="1"/>
        <v>3</v>
      </c>
      <c r="I13" s="393">
        <f t="shared" si="0"/>
        <v>0</v>
      </c>
    </row>
    <row r="14" spans="2:18">
      <c r="B14" s="375" t="s">
        <v>683</v>
      </c>
      <c r="C14" s="454">
        <f>+'4.Segto Medición POA 2022 T4'!C70</f>
        <v>20</v>
      </c>
      <c r="D14" s="394">
        <f>COUNTIF('2.Infor Detallado Desempeño POA'!T58:T77,"=100%")</f>
        <v>1</v>
      </c>
      <c r="E14" s="395">
        <f>COUNTIF('2.Infor Detallado Desempeño POA'!T58:T77,"&gt;100%")</f>
        <v>14</v>
      </c>
      <c r="F14" s="452">
        <f>COUNTIF('2.Infor Detallado Desempeño POA'!T58:T77,"&lt;100%")</f>
        <v>3</v>
      </c>
      <c r="G14" s="450">
        <f>COUNTIF('2.Infor Detallado Desempeño POA'!T58:T77,"=No programado")</f>
        <v>2</v>
      </c>
      <c r="H14" s="392">
        <f t="shared" si="1"/>
        <v>20</v>
      </c>
      <c r="I14" s="393">
        <f t="shared" si="0"/>
        <v>0</v>
      </c>
    </row>
    <row r="15" spans="2:18">
      <c r="B15" s="375" t="s">
        <v>818</v>
      </c>
      <c r="C15" s="454">
        <f>+'4.Segto Medición POA 2022 T4'!C71</f>
        <v>7</v>
      </c>
      <c r="D15" s="394">
        <f>COUNTIF('2.Infor Detallado Desempeño POA'!T83:T89,"=100%")</f>
        <v>0</v>
      </c>
      <c r="E15" s="395">
        <f>COUNTIF('2.Infor Detallado Desempeño POA'!T83:T89,"&gt;100%")</f>
        <v>1</v>
      </c>
      <c r="F15" s="452">
        <f>COUNTIF('2.Infor Detallado Desempeño POA'!T83:T89,"&lt;100%")</f>
        <v>6</v>
      </c>
      <c r="G15" s="450">
        <f>COUNTIF('2.Infor Detallado Desempeño POA'!T83:T89,"=No programado")</f>
        <v>0</v>
      </c>
      <c r="H15" s="392">
        <f t="shared" si="1"/>
        <v>7</v>
      </c>
      <c r="I15" s="393">
        <f t="shared" si="0"/>
        <v>0</v>
      </c>
    </row>
    <row r="16" spans="2:18">
      <c r="B16" s="375" t="s">
        <v>686</v>
      </c>
      <c r="C16" s="454">
        <f>+'4.Segto Medición POA 2022 T4'!C72</f>
        <v>8</v>
      </c>
      <c r="D16" s="394">
        <f>COUNTIF('2.Infor Detallado Desempeño POA'!T95:T102,"=100%")</f>
        <v>1</v>
      </c>
      <c r="E16" s="395">
        <f>COUNTIF('2.Infor Detallado Desempeño POA'!T95:T102,"&gt;100%")</f>
        <v>1</v>
      </c>
      <c r="F16" s="452">
        <f>COUNTIF('2.Infor Detallado Desempeño POA'!T95:T102,"&lt;100%")</f>
        <v>4</v>
      </c>
      <c r="G16" s="450">
        <f>COUNTIF('2.Infor Detallado Desempeño POA'!T95:T102,"=No programado")</f>
        <v>1</v>
      </c>
      <c r="H16" s="392">
        <f t="shared" si="1"/>
        <v>7</v>
      </c>
      <c r="I16" s="393">
        <f t="shared" si="0"/>
        <v>1</v>
      </c>
    </row>
    <row r="17" spans="2:9">
      <c r="B17" s="375" t="s">
        <v>687</v>
      </c>
      <c r="C17" s="454">
        <f>+'4.Segto Medición POA 2022 T4'!C73</f>
        <v>8</v>
      </c>
      <c r="D17" s="394">
        <f>COUNTIF('2.Infor Detallado Desempeño POA'!T108:T115,"=100%")</f>
        <v>4</v>
      </c>
      <c r="E17" s="395">
        <f>COUNTIF('2.Infor Detallado Desempeño POA'!T108:T115,"&gt;100%")</f>
        <v>2</v>
      </c>
      <c r="F17" s="452">
        <f>COUNTIF('2.Infor Detallado Desempeño POA'!T108:T115,"&lt;100%")</f>
        <v>2</v>
      </c>
      <c r="G17" s="450">
        <f>COUNTIF('2.Infor Detallado Desempeño POA'!T108:T115,"=No programado")</f>
        <v>0</v>
      </c>
      <c r="H17" s="392">
        <f t="shared" si="1"/>
        <v>8</v>
      </c>
      <c r="I17" s="393">
        <f t="shared" si="0"/>
        <v>0</v>
      </c>
    </row>
    <row r="18" spans="2:9" ht="16.5" customHeight="1">
      <c r="B18" s="375" t="s">
        <v>688</v>
      </c>
      <c r="C18" s="454">
        <f>+'4.Segto Medición POA 2022 T4'!C74</f>
        <v>2</v>
      </c>
      <c r="D18" s="394">
        <f>COUNTIF('2.Infor Detallado Desempeño POA'!T121:T122,"=100%")</f>
        <v>1</v>
      </c>
      <c r="E18" s="395">
        <f>COUNTIF('2.Infor Detallado Desempeño POA'!T121:T122,"&gt;100%")</f>
        <v>1</v>
      </c>
      <c r="F18" s="452">
        <f>COUNTIF('2.Infor Detallado Desempeño POA'!T121:T122,"&lt;100%")</f>
        <v>0</v>
      </c>
      <c r="G18" s="450">
        <f>COUNTIF('2.Infor Detallado Desempeño POA'!T121:T122,"=No programado")</f>
        <v>0</v>
      </c>
      <c r="H18" s="392">
        <f t="shared" si="1"/>
        <v>2</v>
      </c>
      <c r="I18" s="393">
        <f t="shared" si="0"/>
        <v>0</v>
      </c>
    </row>
    <row r="19" spans="2:9">
      <c r="B19" s="375" t="s">
        <v>689</v>
      </c>
      <c r="C19" s="454">
        <f>+'4.Segto Medición POA 2022 T4'!C75</f>
        <v>3</v>
      </c>
      <c r="D19" s="394">
        <f>COUNTIF('2.Infor Detallado Desempeño POA'!T128:T130,"=100%")</f>
        <v>1</v>
      </c>
      <c r="E19" s="395">
        <f>COUNTIF('2.Infor Detallado Desempeño POA'!T128:T130,"&gt;100%")</f>
        <v>2</v>
      </c>
      <c r="F19" s="452">
        <f>COUNTIF('2.Infor Detallado Desempeño POA'!T128:T130,"&lt;100%")</f>
        <v>0</v>
      </c>
      <c r="G19" s="450">
        <f>COUNTIF('2.Infor Detallado Desempeño POA'!T128:T130,"=No programado")</f>
        <v>0</v>
      </c>
      <c r="H19" s="392">
        <f t="shared" si="1"/>
        <v>3</v>
      </c>
      <c r="I19" s="393">
        <f t="shared" si="0"/>
        <v>0</v>
      </c>
    </row>
    <row r="20" spans="2:9">
      <c r="B20" s="375" t="s">
        <v>690</v>
      </c>
      <c r="C20" s="454">
        <f>+'4.Segto Medición POA 2022 T4'!C76</f>
        <v>4</v>
      </c>
      <c r="D20" s="394">
        <f>COUNTIF('2.Infor Detallado Desempeño POA'!T136:T139,"=100%")</f>
        <v>0</v>
      </c>
      <c r="E20" s="395">
        <f>COUNTIF('2.Infor Detallado Desempeño POA'!T136:T139,"&gt;100%")</f>
        <v>4</v>
      </c>
      <c r="F20" s="452">
        <f>COUNTIF('2.Infor Detallado Desempeño POA'!T136:T139,"&lt;100%")</f>
        <v>0</v>
      </c>
      <c r="G20" s="450">
        <f>COUNTIF('2.Infor Detallado Desempeño POA'!T136:T139,"=No programado")</f>
        <v>0</v>
      </c>
      <c r="H20" s="392">
        <f t="shared" si="1"/>
        <v>4</v>
      </c>
      <c r="I20" s="393">
        <f t="shared" si="0"/>
        <v>0</v>
      </c>
    </row>
    <row r="21" spans="2:9">
      <c r="B21" s="375" t="s">
        <v>691</v>
      </c>
      <c r="C21" s="454">
        <f>+'4.Segto Medición POA 2022 T4'!C77</f>
        <v>4</v>
      </c>
      <c r="D21" s="394">
        <f>COUNTIF('2.Infor Detallado Desempeño POA'!T145:T148,"=100%")</f>
        <v>0</v>
      </c>
      <c r="E21" s="395">
        <f>COUNTIF('2.Infor Detallado Desempeño POA'!T145:T148,"&gt;100%")</f>
        <v>2</v>
      </c>
      <c r="F21" s="452">
        <f>COUNTIF('2.Infor Detallado Desempeño POA'!T145:T148,"&lt;100%")</f>
        <v>2</v>
      </c>
      <c r="G21" s="450">
        <f>COUNTIF('2.Infor Detallado Desempeño POA'!T145:T148,"=No programado")</f>
        <v>0</v>
      </c>
      <c r="H21" s="392">
        <f t="shared" si="1"/>
        <v>4</v>
      </c>
      <c r="I21" s="393">
        <f t="shared" si="0"/>
        <v>0</v>
      </c>
    </row>
    <row r="22" spans="2:9">
      <c r="B22" s="375" t="s">
        <v>692</v>
      </c>
      <c r="C22" s="454">
        <f>+'4.Segto Medición POA 2022 T4'!C78</f>
        <v>5</v>
      </c>
      <c r="D22" s="394">
        <f>COUNTIF('2.Infor Detallado Desempeño POA'!T154:T158,"=100%")</f>
        <v>5</v>
      </c>
      <c r="E22" s="395">
        <f>COUNTIF('2.Infor Detallado Desempeño POA'!T154:T158,"&gt;100%")</f>
        <v>0</v>
      </c>
      <c r="F22" s="452">
        <f>COUNTIF('2.Infor Detallado Desempeño POA'!T154:T158,"&lt;100%")</f>
        <v>0</v>
      </c>
      <c r="G22" s="450">
        <f>COUNTIF('2.Infor Detallado Desempeño POA'!T154:T158,"=No programado")</f>
        <v>0</v>
      </c>
      <c r="H22" s="392">
        <f t="shared" si="1"/>
        <v>5</v>
      </c>
      <c r="I22" s="393">
        <f t="shared" si="0"/>
        <v>0</v>
      </c>
    </row>
    <row r="23" spans="2:9">
      <c r="B23" s="375" t="s">
        <v>694</v>
      </c>
      <c r="C23" s="454">
        <f>+'4.Segto Medición POA 2022 T4'!C79</f>
        <v>3</v>
      </c>
      <c r="D23" s="394">
        <f>COUNTIF('2.Infor Detallado Desempeño POA'!T164:T166,"=100%")</f>
        <v>0</v>
      </c>
      <c r="E23" s="395">
        <f>COUNTIF('2.Infor Detallado Desempeño POA'!T164:T166,"&gt;100%")</f>
        <v>2</v>
      </c>
      <c r="F23" s="452">
        <f>COUNTIF('2.Infor Detallado Desempeño POA'!T164:T166,"&lt;100%")</f>
        <v>1</v>
      </c>
      <c r="G23" s="450">
        <f>COUNTIF('2.Infor Detallado Desempeño POA'!T164:T166,"=No programado")</f>
        <v>0</v>
      </c>
      <c r="H23" s="392">
        <f t="shared" si="1"/>
        <v>3</v>
      </c>
      <c r="I23" s="393">
        <f t="shared" si="0"/>
        <v>0</v>
      </c>
    </row>
    <row r="24" spans="2:9">
      <c r="B24" s="375" t="s">
        <v>695</v>
      </c>
      <c r="C24" s="454">
        <f>+'4.Segto Medición POA 2022 T4'!C80</f>
        <v>3</v>
      </c>
      <c r="D24" s="394">
        <f>COUNTIF('2.Infor Detallado Desempeño POA'!T172:T174,"=100%")</f>
        <v>2</v>
      </c>
      <c r="E24" s="395">
        <f>COUNTIF('2.Infor Detallado Desempeño POA'!T172:T174,"&gt;100%")</f>
        <v>0</v>
      </c>
      <c r="F24" s="452">
        <f>COUNTIF('2.Infor Detallado Desempeño POA'!T172:T174,"&lt;100%")</f>
        <v>0</v>
      </c>
      <c r="G24" s="450">
        <f>COUNTIF('2.Infor Detallado Desempeño POA'!T172:T174,"=No programado")</f>
        <v>1</v>
      </c>
      <c r="H24" s="392">
        <f t="shared" si="1"/>
        <v>3</v>
      </c>
      <c r="I24" s="393">
        <f t="shared" si="0"/>
        <v>0</v>
      </c>
    </row>
    <row r="25" spans="2:9" ht="19.5" customHeight="1">
      <c r="B25" s="406" t="s">
        <v>847</v>
      </c>
      <c r="C25" s="407">
        <f>SUM(C9:C24)</f>
        <v>87</v>
      </c>
      <c r="D25" s="408">
        <f t="shared" ref="D25:E25" si="2">SUM(D9:D24)</f>
        <v>29</v>
      </c>
      <c r="E25" s="409">
        <f t="shared" si="2"/>
        <v>29</v>
      </c>
      <c r="F25" s="453">
        <f>SUM(F9:F24)</f>
        <v>20</v>
      </c>
      <c r="G25" s="451">
        <f>SUM(G9:G24)</f>
        <v>8</v>
      </c>
      <c r="H25" s="392">
        <f>SUM(D25:G25)</f>
        <v>86</v>
      </c>
      <c r="I25" s="393">
        <f t="shared" si="0"/>
        <v>1</v>
      </c>
    </row>
    <row r="27" spans="2:9" s="459" customFormat="1" ht="2.4" customHeight="1">
      <c r="C27" s="463"/>
      <c r="D27" s="667" t="str">
        <f>+D8</f>
        <v>No de Indicadores con Meta Cumplida según programación</v>
      </c>
      <c r="E27" s="668">
        <f>+D25</f>
        <v>29</v>
      </c>
      <c r="H27" s="460"/>
    </row>
    <row r="28" spans="2:9" s="459" customFormat="1" ht="2.4" customHeight="1">
      <c r="C28" s="463"/>
      <c r="D28" s="667" t="str">
        <f>+E8</f>
        <v xml:space="preserve">No de Indicadores con ejecución superior a la programada </v>
      </c>
      <c r="E28" s="668">
        <f>+E25</f>
        <v>29</v>
      </c>
      <c r="H28" s="460"/>
    </row>
    <row r="29" spans="2:9" s="459" customFormat="1" ht="2.4" customHeight="1">
      <c r="C29" s="463"/>
      <c r="D29" s="667" t="str">
        <f>+F8</f>
        <v xml:space="preserve">No de Indicadores con ejecución menor a la programada </v>
      </c>
      <c r="E29" s="668">
        <f>+F25</f>
        <v>20</v>
      </c>
      <c r="H29" s="460"/>
    </row>
    <row r="30" spans="2:9" s="459" customFormat="1" ht="2.4" customHeight="1">
      <c r="C30" s="463"/>
      <c r="D30" s="667" t="str">
        <f>+G8</f>
        <v>No de indicadores sin programar en el periodo</v>
      </c>
      <c r="E30" s="668">
        <f>+G25</f>
        <v>8</v>
      </c>
      <c r="H30" s="460"/>
    </row>
    <row r="31" spans="2:9" s="459" customFormat="1">
      <c r="C31" s="460"/>
      <c r="D31" s="460"/>
      <c r="E31" s="460"/>
      <c r="H31" s="460"/>
    </row>
    <row r="32" spans="2:9" s="459" customFormat="1">
      <c r="C32" s="460"/>
      <c r="D32" s="460"/>
      <c r="E32" s="460"/>
      <c r="H32" s="460"/>
    </row>
    <row r="33" spans="2:9" s="459" customFormat="1" hidden="1">
      <c r="C33" s="460"/>
      <c r="D33" s="460"/>
      <c r="E33" s="460"/>
      <c r="H33" s="460"/>
    </row>
    <row r="34" spans="2:9" s="462" customFormat="1" ht="10.199999999999999" hidden="1" customHeight="1">
      <c r="C34" s="463"/>
      <c r="D34" s="1248" t="str">
        <f>+C7</f>
        <v>CUMPLIMIENTO PROGRAMACIÓN EN EL PERIODO 
Segundo Trimestre de 2023</v>
      </c>
      <c r="E34" s="1248"/>
      <c r="H34" s="463"/>
    </row>
    <row r="35" spans="2:9" s="462" customFormat="1" ht="28.2" customHeight="1">
      <c r="B35" s="1201" t="s">
        <v>671</v>
      </c>
      <c r="C35" s="1249" t="s">
        <v>1068</v>
      </c>
      <c r="D35" s="1250"/>
      <c r="E35" s="1250"/>
      <c r="F35" s="1250"/>
      <c r="G35" s="1251"/>
      <c r="H35" s="463"/>
    </row>
    <row r="36" spans="2:9" s="462" customFormat="1" ht="29.4" customHeight="1">
      <c r="B36" s="1201"/>
      <c r="C36" s="1260" t="s">
        <v>1074</v>
      </c>
      <c r="D36" s="1261"/>
      <c r="E36" s="1252">
        <f>C5</f>
        <v>45107</v>
      </c>
      <c r="F36" s="1252"/>
      <c r="G36" s="760"/>
      <c r="H36" s="463"/>
    </row>
    <row r="37" spans="2:9" s="462" customFormat="1" ht="72.599999999999994" customHeight="1">
      <c r="B37" s="1201"/>
      <c r="C37" s="449" t="s">
        <v>849</v>
      </c>
      <c r="D37" s="449" t="s">
        <v>1070</v>
      </c>
      <c r="E37" s="449" t="s">
        <v>851</v>
      </c>
      <c r="F37" s="449" t="s">
        <v>858</v>
      </c>
      <c r="G37" s="418" t="s">
        <v>877</v>
      </c>
      <c r="H37" s="463"/>
    </row>
    <row r="38" spans="2:9" s="462" customFormat="1" ht="19.95" customHeight="1">
      <c r="B38" s="375" t="s">
        <v>678</v>
      </c>
      <c r="C38" s="454">
        <f>+C64</f>
        <v>4</v>
      </c>
      <c r="D38" s="394">
        <f>COUNTIF('2.Infor Detallado Desempeño POA'!U13:U16,"&gt;=99%")-COUNTIF('2.Infor Detallado Desempeño POA'!U13:U16,"&gt;100%")</f>
        <v>4</v>
      </c>
      <c r="E38" s="395">
        <f>COUNTIF('2.Infor Detallado Desempeño POA'!U13:U16,"&gt;100%")</f>
        <v>0</v>
      </c>
      <c r="F38" s="452">
        <f>COUNTIF('2.Infor Detallado Desempeño POA'!U13:U16,"&lt;99%")</f>
        <v>0</v>
      </c>
      <c r="G38" s="450">
        <f>COUNTIF('2.Infor Detallado Desempeño POA'!U13:U16,"=No programado")</f>
        <v>0</v>
      </c>
      <c r="H38" s="392">
        <f>SUM(D38:G38)</f>
        <v>4</v>
      </c>
      <c r="I38" s="393">
        <f t="shared" ref="I38:I54" si="3">C38-H38</f>
        <v>0</v>
      </c>
    </row>
    <row r="39" spans="2:9" s="462" customFormat="1" ht="19.95" customHeight="1">
      <c r="B39" s="375" t="s">
        <v>680</v>
      </c>
      <c r="C39" s="454">
        <f t="shared" ref="C39:C53" si="4">+C65</f>
        <v>4</v>
      </c>
      <c r="D39" s="394">
        <f>COUNTIF('2.Infor Detallado Desempeño POA'!U22:U25,"&gt;=99%")-COUNTIF('2.Infor Detallado Desempeño POA'!U22:U25,"&gt;100%")</f>
        <v>2</v>
      </c>
      <c r="E39" s="395">
        <f>COUNTIF('2.Infor Detallado Desempeño POA'!U22:U25,"&gt;100%")</f>
        <v>0</v>
      </c>
      <c r="F39" s="452">
        <f>COUNTIF('2.Infor Detallado Desempeño POA'!U22:U25,"&lt;99%")</f>
        <v>0</v>
      </c>
      <c r="G39" s="450">
        <f>COUNTIF('2.Infor Detallado Desempeño POA'!U22:U25,"=No programado")</f>
        <v>2</v>
      </c>
      <c r="H39" s="392">
        <f t="shared" ref="H39:H40" si="5">SUM(D39:G39)</f>
        <v>4</v>
      </c>
      <c r="I39" s="393">
        <f t="shared" si="3"/>
        <v>0</v>
      </c>
    </row>
    <row r="40" spans="2:9" s="462" customFormat="1" ht="19.95" customHeight="1">
      <c r="B40" s="375" t="s">
        <v>681</v>
      </c>
      <c r="C40" s="454">
        <f t="shared" si="4"/>
        <v>7</v>
      </c>
      <c r="D40" s="394">
        <f>COUNTIF('2.Infor Detallado Desempeño POA'!U31:U37,"&gt;=99%")-COUNTIF('2.Infor Detallado Desempeño POA'!U31:U37,"&gt;100%")</f>
        <v>6</v>
      </c>
      <c r="E40" s="395">
        <f>COUNTIF('2.Infor Detallado Desempeño POA'!U31:U37,"&gt;100%")</f>
        <v>0</v>
      </c>
      <c r="F40" s="452">
        <f>COUNTIF('2.Infor Detallado Desempeño POA'!U31:U37,"&lt;99%")</f>
        <v>1</v>
      </c>
      <c r="G40" s="450">
        <f>COUNTIF('2.Infor Detallado Desempeño POA'!U31:U37,"=No programado")</f>
        <v>0</v>
      </c>
      <c r="H40" s="392">
        <f t="shared" si="5"/>
        <v>7</v>
      </c>
      <c r="I40" s="393">
        <f t="shared" si="3"/>
        <v>0</v>
      </c>
    </row>
    <row r="41" spans="2:9" s="462" customFormat="1" ht="19.95" customHeight="1">
      <c r="B41" s="375" t="s">
        <v>682</v>
      </c>
      <c r="C41" s="454">
        <f t="shared" si="4"/>
        <v>2</v>
      </c>
      <c r="D41" s="394">
        <f>COUNTIF('2.Infor Detallado Desempeño POA'!U43:U44,"&gt;=99%")-COUNTIF('2.Infor Detallado Desempeño POA'!U43:U44,"&gt;100%")</f>
        <v>2</v>
      </c>
      <c r="E41" s="395">
        <f>COUNTIF('2.Infor Detallado Desempeño POA'!U43:U44,"&gt;100%")</f>
        <v>0</v>
      </c>
      <c r="F41" s="452">
        <f>COUNTIF('2.Infor Detallado Desempeño POA'!U43:U44,"&lt;99%")</f>
        <v>0</v>
      </c>
      <c r="G41" s="450">
        <f>COUNTIF('2.Infor Detallado Desempeño POA'!U43:U44,"=No programado")</f>
        <v>0</v>
      </c>
      <c r="H41" s="392">
        <f>SUM(D41:G41)</f>
        <v>2</v>
      </c>
      <c r="I41" s="393">
        <f t="shared" si="3"/>
        <v>0</v>
      </c>
    </row>
    <row r="42" spans="2:9" s="462" customFormat="1" ht="19.95" customHeight="1">
      <c r="B42" s="375" t="s">
        <v>693</v>
      </c>
      <c r="C42" s="454">
        <f t="shared" si="4"/>
        <v>3</v>
      </c>
      <c r="D42" s="394">
        <f>COUNTIF('2.Infor Detallado Desempeño POA'!U50:U52,"&gt;=99%")-COUNTIF('2.Infor Detallado Desempeño POA'!U50:U52,"&gt;100%")</f>
        <v>1</v>
      </c>
      <c r="E42" s="395">
        <f>COUNTIF('2.Infor Detallado Desempeño POA'!U50:U52,"&gt;100%")</f>
        <v>1</v>
      </c>
      <c r="F42" s="452">
        <f>COUNTIF('2.Infor Detallado Desempeño POA'!U50:U52,"&lt;99%")</f>
        <v>0</v>
      </c>
      <c r="G42" s="450">
        <f>COUNTIF('2.Infor Detallado Desempeño POA'!U50:U52,"=No programado")</f>
        <v>1</v>
      </c>
      <c r="H42" s="392">
        <f t="shared" ref="H42:H53" si="6">SUM(D42:G42)</f>
        <v>3</v>
      </c>
      <c r="I42" s="393">
        <f t="shared" si="3"/>
        <v>0</v>
      </c>
    </row>
    <row r="43" spans="2:9" s="462" customFormat="1" ht="19.95" customHeight="1">
      <c r="B43" s="375" t="s">
        <v>683</v>
      </c>
      <c r="C43" s="454">
        <f t="shared" si="4"/>
        <v>20</v>
      </c>
      <c r="D43" s="394">
        <f>COUNTIF('2.Infor Detallado Desempeño POA'!U58:U77,"&gt;=99%")-COUNTIF('2.Infor Detallado Desempeño POA'!U58:U77,"&gt;100%")</f>
        <v>2</v>
      </c>
      <c r="E43" s="395">
        <f>COUNTIF('2.Infor Detallado Desempeño POA'!U58:U77,"&gt;100%")</f>
        <v>14</v>
      </c>
      <c r="F43" s="452">
        <f>COUNTIF('2.Infor Detallado Desempeño POA'!U58:U77,"&lt;99%")</f>
        <v>2</v>
      </c>
      <c r="G43" s="450">
        <f>COUNTIF('2.Infor Detallado Desempeño POA'!U58:U77,"=No programado")</f>
        <v>2</v>
      </c>
      <c r="H43" s="392">
        <f t="shared" si="6"/>
        <v>20</v>
      </c>
      <c r="I43" s="393">
        <f t="shared" si="3"/>
        <v>0</v>
      </c>
    </row>
    <row r="44" spans="2:9" s="462" customFormat="1" ht="19.95" customHeight="1">
      <c r="B44" s="375" t="s">
        <v>818</v>
      </c>
      <c r="C44" s="454">
        <f t="shared" si="4"/>
        <v>7</v>
      </c>
      <c r="D44" s="394">
        <f>COUNTIF('2.Infor Detallado Desempeño POA'!U83:U89,"&gt;=99%")-COUNTIF('2.Infor Detallado Desempeño POA'!U83:U89,"&gt;100%")</f>
        <v>0</v>
      </c>
      <c r="E44" s="395">
        <f>COUNTIF('2.Infor Detallado Desempeño POA'!U83:U89,"&gt;100%")</f>
        <v>3</v>
      </c>
      <c r="F44" s="452">
        <f>COUNTIF('2.Infor Detallado Desempeño POA'!U83:U89,"&lt;99%")</f>
        <v>4</v>
      </c>
      <c r="G44" s="450">
        <f>COUNTIF('2.Infor Detallado Desempeño POA'!U83:U89,"=No programado")</f>
        <v>0</v>
      </c>
      <c r="H44" s="392">
        <f t="shared" si="6"/>
        <v>7</v>
      </c>
      <c r="I44" s="393">
        <f t="shared" si="3"/>
        <v>0</v>
      </c>
    </row>
    <row r="45" spans="2:9" s="462" customFormat="1" ht="19.95" customHeight="1">
      <c r="B45" s="375" t="s">
        <v>686</v>
      </c>
      <c r="C45" s="454">
        <f t="shared" si="4"/>
        <v>8</v>
      </c>
      <c r="D45" s="394">
        <f>COUNTIF('2.Infor Detallado Desempeño POA'!U95:U102,"&gt;=99%")-COUNTIF('2.Infor Detallado Desempeño POA'!U95:U102,"&gt;100%")</f>
        <v>1</v>
      </c>
      <c r="E45" s="395">
        <f>COUNTIF('2.Infor Detallado Desempeño POA'!U95:U102,"&gt;100%")</f>
        <v>1</v>
      </c>
      <c r="F45" s="452">
        <f>COUNTIF('2.Infor Detallado Desempeño POA'!U95:U102,"&lt;99%")</f>
        <v>4</v>
      </c>
      <c r="G45" s="450">
        <f>COUNTIF('2.Infor Detallado Desempeño POA'!U95:U102,"=No programado")</f>
        <v>1</v>
      </c>
      <c r="H45" s="392">
        <f t="shared" si="6"/>
        <v>7</v>
      </c>
      <c r="I45" s="393">
        <f t="shared" si="3"/>
        <v>1</v>
      </c>
    </row>
    <row r="46" spans="2:9" s="462" customFormat="1" ht="19.95" customHeight="1">
      <c r="B46" s="375" t="s">
        <v>687</v>
      </c>
      <c r="C46" s="454">
        <f t="shared" si="4"/>
        <v>8</v>
      </c>
      <c r="D46" s="394">
        <f>COUNTIF('2.Infor Detallado Desempeño POA'!U108:U115,"&gt;=99%")-COUNTIF('2.Infor Detallado Desempeño POA'!U108:U115,"&gt;100%")</f>
        <v>4</v>
      </c>
      <c r="E46" s="395">
        <f>COUNTIF('2.Infor Detallado Desempeño POA'!U108:U115,"&gt;100%")</f>
        <v>2</v>
      </c>
      <c r="F46" s="452">
        <f>COUNTIF('2.Infor Detallado Desempeño POA'!U108:U115,"&lt;99%")</f>
        <v>2</v>
      </c>
      <c r="G46" s="450">
        <f>COUNTIF('2.Infor Detallado Desempeño POA'!U108:U115,"=No programado")</f>
        <v>0</v>
      </c>
      <c r="H46" s="392">
        <f t="shared" si="6"/>
        <v>8</v>
      </c>
      <c r="I46" s="393">
        <f t="shared" si="3"/>
        <v>0</v>
      </c>
    </row>
    <row r="47" spans="2:9" s="462" customFormat="1" ht="19.95" customHeight="1">
      <c r="B47" s="375" t="s">
        <v>688</v>
      </c>
      <c r="C47" s="454">
        <f t="shared" si="4"/>
        <v>2</v>
      </c>
      <c r="D47" s="394">
        <f>COUNTIF('2.Infor Detallado Desempeño POA'!U121:U122,"&gt;=99%")-COUNTIF('2.Infor Detallado Desempeño POA'!U121:U122,"&gt;100%")</f>
        <v>1</v>
      </c>
      <c r="E47" s="395">
        <f>COUNTIF('2.Infor Detallado Desempeño POA'!U121:U122,"&gt;100%")</f>
        <v>1</v>
      </c>
      <c r="F47" s="452">
        <f>COUNTIF('2.Infor Detallado Desempeño POA'!U121:U122,"&lt;99%")</f>
        <v>0</v>
      </c>
      <c r="G47" s="450">
        <f>COUNTIF('2.Infor Detallado Desempeño POA'!U121:U122,"=No programado")</f>
        <v>0</v>
      </c>
      <c r="H47" s="392">
        <f t="shared" si="6"/>
        <v>2</v>
      </c>
      <c r="I47" s="393">
        <f t="shared" si="3"/>
        <v>0</v>
      </c>
    </row>
    <row r="48" spans="2:9" s="462" customFormat="1" ht="19.95" customHeight="1">
      <c r="B48" s="375" t="s">
        <v>689</v>
      </c>
      <c r="C48" s="454">
        <f t="shared" si="4"/>
        <v>3</v>
      </c>
      <c r="D48" s="394">
        <f>COUNTIF('2.Infor Detallado Desempeño POA'!U128:U130,"&gt;=99%")-COUNTIF('2.Infor Detallado Desempeño POA'!U128:U130,"&gt;100%")</f>
        <v>1</v>
      </c>
      <c r="E48" s="395">
        <f>COUNTIF('2.Infor Detallado Desempeño POA'!U128:U130,"&gt;100%")</f>
        <v>1</v>
      </c>
      <c r="F48" s="452">
        <f>COUNTIF('2.Infor Detallado Desempeño POA'!U128:U130,"&lt;99%")</f>
        <v>1</v>
      </c>
      <c r="G48" s="450">
        <f>COUNTIF('2.Infor Detallado Desempeño POA'!U128:U130,"=No programado")</f>
        <v>0</v>
      </c>
      <c r="H48" s="392">
        <f t="shared" si="6"/>
        <v>3</v>
      </c>
      <c r="I48" s="393">
        <f t="shared" si="3"/>
        <v>0</v>
      </c>
    </row>
    <row r="49" spans="2:17" s="462" customFormat="1" ht="19.95" customHeight="1">
      <c r="B49" s="375" t="s">
        <v>690</v>
      </c>
      <c r="C49" s="454">
        <f t="shared" si="4"/>
        <v>4</v>
      </c>
      <c r="D49" s="394">
        <f>COUNTIF('2.Infor Detallado Desempeño POA'!U136:U139,"&gt;=99%")-COUNTIF('2.Infor Detallado Desempeño POA'!U136:U139,"&gt;100%")</f>
        <v>0</v>
      </c>
      <c r="E49" s="395">
        <f>COUNTIF('2.Infor Detallado Desempeño POA'!U136:U139,"&gt;100%")</f>
        <v>4</v>
      </c>
      <c r="F49" s="452">
        <f>COUNTIF('2.Infor Detallado Desempeño POA'!U136:U139,"&lt;99%")</f>
        <v>0</v>
      </c>
      <c r="G49" s="450">
        <f>COUNTIF('2.Infor Detallado Desempeño POA'!U136:U139,"=No programado")</f>
        <v>0</v>
      </c>
      <c r="H49" s="392">
        <f t="shared" si="6"/>
        <v>4</v>
      </c>
      <c r="I49" s="393">
        <f t="shared" si="3"/>
        <v>0</v>
      </c>
    </row>
    <row r="50" spans="2:17" s="462" customFormat="1" ht="19.95" customHeight="1">
      <c r="B50" s="375" t="s">
        <v>691</v>
      </c>
      <c r="C50" s="454">
        <f t="shared" si="4"/>
        <v>4</v>
      </c>
      <c r="D50" s="394">
        <f>COUNTIF('2.Infor Detallado Desempeño POA'!U145:U148,"&gt;=99%")-COUNTIF('2.Infor Detallado Desempeño POA'!U145:U148,"&gt;100%")</f>
        <v>1</v>
      </c>
      <c r="E50" s="395">
        <f>COUNTIF('2.Infor Detallado Desempeño POA'!U145:U148,"&gt;100%")</f>
        <v>3</v>
      </c>
      <c r="F50" s="452">
        <f>COUNTIF('2.Infor Detallado Desempeño POA'!U145:U148,"&lt;99%")</f>
        <v>0</v>
      </c>
      <c r="G50" s="450">
        <f>COUNTIF('2.Infor Detallado Desempeño POA'!U145:U148,"=No programado")</f>
        <v>0</v>
      </c>
      <c r="H50" s="392">
        <f t="shared" si="6"/>
        <v>4</v>
      </c>
      <c r="I50" s="393">
        <f t="shared" si="3"/>
        <v>0</v>
      </c>
    </row>
    <row r="51" spans="2:17" s="462" customFormat="1" ht="19.95" customHeight="1">
      <c r="B51" s="375" t="s">
        <v>692</v>
      </c>
      <c r="C51" s="454">
        <f t="shared" si="4"/>
        <v>5</v>
      </c>
      <c r="D51" s="394">
        <f>COUNTIF('2.Infor Detallado Desempeño POA'!U154:U158,"&gt;=99%")-COUNTIF('2.Infor Detallado Desempeño POA'!U154:U158,"&gt;100%")</f>
        <v>5</v>
      </c>
      <c r="E51" s="395">
        <f>COUNTIF('2.Infor Detallado Desempeño POA'!U154:U158,"&gt;100%")</f>
        <v>0</v>
      </c>
      <c r="F51" s="452">
        <f>COUNTIF('2.Infor Detallado Desempeño POA'!U154:U158,"&lt;99%")</f>
        <v>0</v>
      </c>
      <c r="G51" s="450">
        <f>COUNTIF('2.Infor Detallado Desempeño POA'!U154:U158,"=No programado")</f>
        <v>0</v>
      </c>
      <c r="H51" s="392">
        <f t="shared" si="6"/>
        <v>5</v>
      </c>
      <c r="I51" s="393">
        <f t="shared" si="3"/>
        <v>0</v>
      </c>
    </row>
    <row r="52" spans="2:17" s="462" customFormat="1" ht="19.95" customHeight="1">
      <c r="B52" s="375" t="s">
        <v>694</v>
      </c>
      <c r="C52" s="454">
        <f t="shared" si="4"/>
        <v>3</v>
      </c>
      <c r="D52" s="394">
        <f>COUNTIF('2.Infor Detallado Desempeño POA'!U164:U166,"&gt;=99%")-COUNTIF('2.Infor Detallado Desempeño POA'!U164:U166,"&gt;100%")</f>
        <v>1</v>
      </c>
      <c r="E52" s="395">
        <f>COUNTIF('2.Infor Detallado Desempeño POA'!U164:U166,"&gt;100%")</f>
        <v>1</v>
      </c>
      <c r="F52" s="452">
        <f>COUNTIF('2.Infor Detallado Desempeño POA'!U164:U166,"&lt;99%")</f>
        <v>1</v>
      </c>
      <c r="G52" s="450">
        <f>COUNTIF('2.Infor Detallado Desempeño POA'!U164:U166,"=No programado")</f>
        <v>0</v>
      </c>
      <c r="H52" s="392">
        <f t="shared" si="6"/>
        <v>3</v>
      </c>
      <c r="I52" s="393">
        <f t="shared" si="3"/>
        <v>0</v>
      </c>
    </row>
    <row r="53" spans="2:17" s="462" customFormat="1" ht="19.95" customHeight="1">
      <c r="B53" s="375" t="s">
        <v>695</v>
      </c>
      <c r="C53" s="454">
        <f t="shared" si="4"/>
        <v>3</v>
      </c>
      <c r="D53" s="394">
        <f>COUNTIF('2.Infor Detallado Desempeño POA'!U172:U174,"&gt;=99%")-COUNTIF('2.Infor Detallado Desempeño POA'!U172:U174,"&gt;100%")</f>
        <v>2</v>
      </c>
      <c r="E53" s="395">
        <f>COUNTIF('2.Infor Detallado Desempeño POA'!U172:U174,"&gt;100%")</f>
        <v>0</v>
      </c>
      <c r="F53" s="452">
        <f>COUNTIF('2.Infor Detallado Desempeño POA'!U172:U174,"&lt;99%")</f>
        <v>0</v>
      </c>
      <c r="G53" s="450">
        <f>COUNTIF('2.Infor Detallado Desempeño POA'!U172:U174,"=No programado")</f>
        <v>1</v>
      </c>
      <c r="H53" s="392">
        <f t="shared" si="6"/>
        <v>3</v>
      </c>
      <c r="I53" s="393">
        <f t="shared" si="3"/>
        <v>0</v>
      </c>
    </row>
    <row r="54" spans="2:17" s="462" customFormat="1" ht="19.95" customHeight="1">
      <c r="B54" s="406" t="s">
        <v>847</v>
      </c>
      <c r="C54" s="407">
        <f>SUM(C38:C53)</f>
        <v>87</v>
      </c>
      <c r="D54" s="408">
        <f t="shared" ref="D54:E54" si="7">SUM(D38:D53)</f>
        <v>33</v>
      </c>
      <c r="E54" s="409">
        <f t="shared" si="7"/>
        <v>31</v>
      </c>
      <c r="F54" s="453">
        <f>SUM(F38:F53)</f>
        <v>15</v>
      </c>
      <c r="G54" s="451">
        <f>SUM(G38:G53)</f>
        <v>7</v>
      </c>
      <c r="H54" s="392">
        <f>SUM(D54:G54)</f>
        <v>86</v>
      </c>
      <c r="I54" s="393">
        <f t="shared" si="3"/>
        <v>1</v>
      </c>
    </row>
    <row r="55" spans="2:17" s="462" customFormat="1" ht="19.95" customHeight="1">
      <c r="B55" s="664"/>
      <c r="C55" s="666"/>
      <c r="D55" s="666"/>
      <c r="E55" s="666"/>
      <c r="F55" s="666"/>
      <c r="G55" s="666"/>
      <c r="H55" s="665"/>
      <c r="I55" s="393"/>
    </row>
    <row r="56" spans="2:17" s="462" customFormat="1" ht="3" customHeight="1">
      <c r="C56" s="669"/>
      <c r="D56" s="667" t="str">
        <f>+D37</f>
        <v>No de Indicadores con Meta Cumplida según progrLación</v>
      </c>
      <c r="E56" s="668">
        <f>+D54</f>
        <v>33</v>
      </c>
      <c r="F56" s="670"/>
      <c r="G56" s="671"/>
      <c r="H56" s="463"/>
    </row>
    <row r="57" spans="2:17" s="462" customFormat="1" ht="3" customHeight="1">
      <c r="C57" s="669"/>
      <c r="D57" s="667" t="str">
        <f>+E37</f>
        <v xml:space="preserve">No de Indicadores con ejecución superior a la programada </v>
      </c>
      <c r="E57" s="668">
        <f>+E54</f>
        <v>31</v>
      </c>
      <c r="F57" s="670"/>
      <c r="G57" s="671"/>
      <c r="H57" s="463"/>
    </row>
    <row r="58" spans="2:17" s="462" customFormat="1" ht="3" customHeight="1">
      <c r="C58" s="669"/>
      <c r="D58" s="667" t="str">
        <f>+F37</f>
        <v xml:space="preserve">No de Indicadores con ejecución menor a la programada </v>
      </c>
      <c r="E58" s="668">
        <f>+F54</f>
        <v>15</v>
      </c>
      <c r="F58" s="670"/>
      <c r="G58" s="671"/>
      <c r="H58" s="463"/>
    </row>
    <row r="59" spans="2:17" s="462" customFormat="1" ht="3" customHeight="1">
      <c r="C59" s="669"/>
      <c r="D59" s="667" t="str">
        <f>+G37</f>
        <v>No de indicadores sin programar en el periodo</v>
      </c>
      <c r="E59" s="668">
        <f>+G54</f>
        <v>7</v>
      </c>
      <c r="F59" s="670"/>
      <c r="G59" s="671"/>
      <c r="H59" s="463"/>
    </row>
    <row r="60" spans="2:17" s="462" customFormat="1" ht="10.199999999999999" customHeight="1">
      <c r="C60" s="463"/>
      <c r="D60" s="463"/>
      <c r="E60" s="464">
        <f>SUM(E27:E30)</f>
        <v>86</v>
      </c>
      <c r="F60" s="461"/>
      <c r="H60" s="463"/>
    </row>
    <row r="61" spans="2:17" ht="15.6" thickBot="1"/>
    <row r="62" spans="2:17" s="382" customFormat="1" ht="15.6">
      <c r="B62" s="1253" t="s">
        <v>704</v>
      </c>
      <c r="C62" s="1255" t="s">
        <v>845</v>
      </c>
      <c r="D62" s="1257" t="s">
        <v>846</v>
      </c>
      <c r="E62" s="1258"/>
      <c r="F62" s="1259"/>
      <c r="P62" s="370"/>
      <c r="Q62" s="370"/>
    </row>
    <row r="63" spans="2:17" ht="33" customHeight="1">
      <c r="B63" s="1254"/>
      <c r="C63" s="1256"/>
      <c r="D63" s="383" t="s">
        <v>713</v>
      </c>
      <c r="E63" s="383" t="s">
        <v>717</v>
      </c>
      <c r="F63" s="384" t="s">
        <v>721</v>
      </c>
      <c r="H63" s="370"/>
    </row>
    <row r="64" spans="2:17">
      <c r="B64" s="385" t="s">
        <v>678</v>
      </c>
      <c r="C64" s="386">
        <f>+'3.Resum Desemp Procesos POA T1'!C41</f>
        <v>4</v>
      </c>
      <c r="D64" s="386">
        <f>+'Rango indicadores'!E111</f>
        <v>4</v>
      </c>
      <c r="E64" s="386">
        <f>+'Rango indicadores'!F111</f>
        <v>0</v>
      </c>
      <c r="F64" s="387">
        <f>+'Rango indicadores'!G111</f>
        <v>0</v>
      </c>
      <c r="H64" s="370"/>
    </row>
    <row r="65" spans="2:8">
      <c r="B65" s="385" t="s">
        <v>680</v>
      </c>
      <c r="C65" s="386">
        <f>+'3.Resum Desemp Procesos POA T1'!C42</f>
        <v>4</v>
      </c>
      <c r="D65" s="386">
        <f>+'Rango indicadores'!E112</f>
        <v>4</v>
      </c>
      <c r="E65" s="386">
        <f>+'Rango indicadores'!F112</f>
        <v>0</v>
      </c>
      <c r="F65" s="387">
        <f>+'Rango indicadores'!G112</f>
        <v>0</v>
      </c>
      <c r="H65" s="370"/>
    </row>
    <row r="66" spans="2:8">
      <c r="B66" s="385" t="s">
        <v>681</v>
      </c>
      <c r="C66" s="386">
        <f>+'3.Resum Desemp Procesos POA T1'!C43</f>
        <v>7</v>
      </c>
      <c r="D66" s="386">
        <f>+'Rango indicadores'!E113</f>
        <v>7</v>
      </c>
      <c r="E66" s="386">
        <f>+'Rango indicadores'!F113</f>
        <v>0</v>
      </c>
      <c r="F66" s="387">
        <f>+'Rango indicadores'!G113</f>
        <v>0</v>
      </c>
      <c r="H66" s="370"/>
    </row>
    <row r="67" spans="2:8">
      <c r="B67" s="385" t="s">
        <v>682</v>
      </c>
      <c r="C67" s="386">
        <f>+'3.Resum Desemp Procesos POA T1'!C44</f>
        <v>2</v>
      </c>
      <c r="D67" s="386">
        <f>+'Rango indicadores'!E114</f>
        <v>2</v>
      </c>
      <c r="E67" s="386">
        <f>+'Rango indicadores'!F114</f>
        <v>0</v>
      </c>
      <c r="F67" s="387">
        <f>+'Rango indicadores'!G114</f>
        <v>0</v>
      </c>
      <c r="H67" s="370"/>
    </row>
    <row r="68" spans="2:8">
      <c r="B68" s="385" t="s">
        <v>693</v>
      </c>
      <c r="C68" s="386">
        <f>+'3.Resum Desemp Procesos POA T1'!C45</f>
        <v>3</v>
      </c>
      <c r="D68" s="386">
        <f>+'Rango indicadores'!E115</f>
        <v>20</v>
      </c>
      <c r="E68" s="386">
        <f>+'Rango indicadores'!F115</f>
        <v>0</v>
      </c>
      <c r="F68" s="387">
        <f>+'Rango indicadores'!G115</f>
        <v>0</v>
      </c>
      <c r="H68" s="370"/>
    </row>
    <row r="69" spans="2:8">
      <c r="B69" s="385" t="s">
        <v>683</v>
      </c>
      <c r="C69" s="386">
        <f>+'3.Resum Desemp Procesos POA T1'!C47</f>
        <v>20</v>
      </c>
      <c r="D69" s="386">
        <f>+'Rango indicadores'!E116</f>
        <v>7</v>
      </c>
      <c r="E69" s="386">
        <f>+'Rango indicadores'!F116</f>
        <v>0</v>
      </c>
      <c r="F69" s="387">
        <f>+'Rango indicadores'!G116</f>
        <v>0</v>
      </c>
      <c r="H69" s="370"/>
    </row>
    <row r="70" spans="2:8">
      <c r="B70" s="385" t="s">
        <v>818</v>
      </c>
      <c r="C70" s="386">
        <f>+'3.Resum Desemp Procesos POA T1'!C48</f>
        <v>7</v>
      </c>
      <c r="D70" s="386">
        <f>+'Rango indicadores'!E117</f>
        <v>8</v>
      </c>
      <c r="E70" s="386">
        <f>+'Rango indicadores'!F117</f>
        <v>0</v>
      </c>
      <c r="F70" s="387">
        <f>+'Rango indicadores'!G117</f>
        <v>0</v>
      </c>
      <c r="H70" s="370"/>
    </row>
    <row r="71" spans="2:8">
      <c r="B71" s="385" t="s">
        <v>686</v>
      </c>
      <c r="C71" s="386">
        <f>+'3.Resum Desemp Procesos POA T1'!C49</f>
        <v>8</v>
      </c>
      <c r="D71" s="386">
        <f>+'Rango indicadores'!E118</f>
        <v>7</v>
      </c>
      <c r="E71" s="386">
        <f>+'Rango indicadores'!F118</f>
        <v>0</v>
      </c>
      <c r="F71" s="387">
        <f>+'Rango indicadores'!G118</f>
        <v>1</v>
      </c>
      <c r="H71" s="370"/>
    </row>
    <row r="72" spans="2:8">
      <c r="B72" s="385" t="s">
        <v>687</v>
      </c>
      <c r="C72" s="386">
        <f>+'3.Resum Desemp Procesos POA T1'!C51</f>
        <v>8</v>
      </c>
      <c r="D72" s="386">
        <f>+'Rango indicadores'!E119</f>
        <v>2</v>
      </c>
      <c r="E72" s="386">
        <f>+'Rango indicadores'!F119</f>
        <v>0</v>
      </c>
      <c r="F72" s="387">
        <f>+'Rango indicadores'!G119</f>
        <v>0</v>
      </c>
      <c r="H72" s="370"/>
    </row>
    <row r="73" spans="2:8">
      <c r="B73" s="385" t="s">
        <v>688</v>
      </c>
      <c r="C73" s="386">
        <f>+'3.Resum Desemp Procesos POA T1'!C52</f>
        <v>2</v>
      </c>
      <c r="D73" s="386">
        <f>+'Rango indicadores'!E120</f>
        <v>3</v>
      </c>
      <c r="E73" s="386">
        <f>+'Rango indicadores'!F120</f>
        <v>0</v>
      </c>
      <c r="F73" s="387">
        <f>+'Rango indicadores'!G120</f>
        <v>0</v>
      </c>
      <c r="H73" s="370"/>
    </row>
    <row r="74" spans="2:8">
      <c r="B74" s="385" t="s">
        <v>689</v>
      </c>
      <c r="C74" s="386">
        <f>+'3.Resum Desemp Procesos POA T1'!C53</f>
        <v>3</v>
      </c>
      <c r="D74" s="386">
        <f>+'Rango indicadores'!E121</f>
        <v>1</v>
      </c>
      <c r="E74" s="386">
        <f>+'Rango indicadores'!F121</f>
        <v>3</v>
      </c>
      <c r="F74" s="387">
        <f>+'Rango indicadores'!G121</f>
        <v>0</v>
      </c>
      <c r="H74" s="370"/>
    </row>
    <row r="75" spans="2:8">
      <c r="B75" s="385" t="s">
        <v>690</v>
      </c>
      <c r="C75" s="386">
        <f>+'3.Resum Desemp Procesos POA T1'!C54</f>
        <v>4</v>
      </c>
      <c r="D75" s="386">
        <f>+'Rango indicadores'!E122</f>
        <v>3</v>
      </c>
      <c r="E75" s="386">
        <f>+'Rango indicadores'!F122</f>
        <v>1</v>
      </c>
      <c r="F75" s="387">
        <f>+'Rango indicadores'!G122</f>
        <v>0</v>
      </c>
      <c r="H75" s="370"/>
    </row>
    <row r="76" spans="2:8">
      <c r="B76" s="385" t="s">
        <v>691</v>
      </c>
      <c r="C76" s="386">
        <f>+'3.Resum Desemp Procesos POA T1'!C55</f>
        <v>4</v>
      </c>
      <c r="D76" s="386">
        <f>+'Rango indicadores'!E123</f>
        <v>5</v>
      </c>
      <c r="E76" s="386">
        <f>+'Rango indicadores'!F123</f>
        <v>0</v>
      </c>
      <c r="F76" s="387">
        <f>+'Rango indicadores'!G123</f>
        <v>0</v>
      </c>
      <c r="H76" s="370"/>
    </row>
    <row r="77" spans="2:8">
      <c r="B77" s="385" t="s">
        <v>692</v>
      </c>
      <c r="C77" s="386">
        <f>+'3.Resum Desemp Procesos POA T1'!C56</f>
        <v>5</v>
      </c>
      <c r="D77" s="386">
        <f>+'Rango indicadores'!E124</f>
        <v>3</v>
      </c>
      <c r="E77" s="386">
        <f>+'Rango indicadores'!F124</f>
        <v>0</v>
      </c>
      <c r="F77" s="387">
        <f>+'Rango indicadores'!G124</f>
        <v>0</v>
      </c>
      <c r="H77" s="370"/>
    </row>
    <row r="78" spans="2:8">
      <c r="B78" s="385" t="s">
        <v>694</v>
      </c>
      <c r="C78" s="386">
        <f>+'3.Resum Desemp Procesos POA T1'!C58</f>
        <v>3</v>
      </c>
      <c r="D78" s="386">
        <f>+'Rango indicadores'!E125</f>
        <v>3</v>
      </c>
      <c r="E78" s="386">
        <f>+'Rango indicadores'!F125</f>
        <v>0</v>
      </c>
      <c r="F78" s="387">
        <f>+'Rango indicadores'!G125</f>
        <v>0</v>
      </c>
      <c r="H78" s="370"/>
    </row>
    <row r="79" spans="2:8">
      <c r="B79" s="385" t="s">
        <v>695</v>
      </c>
      <c r="C79" s="386">
        <f>+'3.Resum Desemp Procesos POA T1'!C59</f>
        <v>3</v>
      </c>
      <c r="D79" s="386">
        <f>+'Rango indicadores'!E126</f>
        <v>3</v>
      </c>
      <c r="E79" s="386">
        <f>+'Rango indicadores'!F126</f>
        <v>0</v>
      </c>
      <c r="F79" s="387">
        <f>+'Rango indicadores'!G126</f>
        <v>0</v>
      </c>
      <c r="H79" s="370"/>
    </row>
    <row r="80" spans="2:8" ht="16.2" thickBot="1">
      <c r="B80" s="388" t="s">
        <v>847</v>
      </c>
      <c r="C80" s="389">
        <f>SUM(C64:C79)</f>
        <v>87</v>
      </c>
      <c r="D80" s="389">
        <f>SUM(D64:D79)</f>
        <v>82</v>
      </c>
      <c r="E80" s="389">
        <f>SUM(E64:E79)</f>
        <v>4</v>
      </c>
      <c r="F80" s="390">
        <f>SUM(F64:F79)</f>
        <v>1</v>
      </c>
      <c r="H80" s="370"/>
    </row>
    <row r="81" spans="8:8">
      <c r="H81" s="370"/>
    </row>
    <row r="82" spans="8:8">
      <c r="H82" s="370"/>
    </row>
    <row r="84" spans="8:8" ht="15" customHeight="1"/>
  </sheetData>
  <sheetProtection algorithmName="SHA-512" hashValue="B2pdSCtC+NXs5Ub3qk7U3ZGjY1fMralZJCVdXt83Re3sok++7RIEJ83IxqyqHOd3U9iX9tG4ytEOivtvlRyWwA==" saltValue="+3BuBkMVTTWHOrlq0aH2sA==" spinCount="100000" sheet="1" objects="1" scenarios="1"/>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70C0"/>
  </sheetPr>
  <dimension ref="B1:V116"/>
  <sheetViews>
    <sheetView showGridLines="0" topLeftCell="B1" zoomScale="85" zoomScaleNormal="85" workbookViewId="0">
      <selection activeCell="F62" sqref="F62"/>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4" width="18.88671875" style="372" customWidth="1"/>
    <col min="5" max="5" width="22.6640625" style="372"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37" t="s">
        <v>843</v>
      </c>
      <c r="C2" s="1270" t="s">
        <v>852</v>
      </c>
      <c r="D2" s="1270"/>
      <c r="E2" s="1270"/>
      <c r="F2" s="1270"/>
      <c r="G2" s="1270"/>
      <c r="H2" s="1270"/>
      <c r="I2" s="364"/>
      <c r="J2" s="364"/>
      <c r="K2" s="364"/>
      <c r="L2" s="364"/>
      <c r="M2" s="364"/>
      <c r="N2" s="414"/>
      <c r="O2" s="414"/>
      <c r="P2" s="414"/>
      <c r="Q2" s="414"/>
      <c r="R2" s="414"/>
      <c r="S2" s="414"/>
      <c r="T2" s="414"/>
      <c r="U2" s="414"/>
      <c r="V2" s="313"/>
    </row>
    <row r="3" spans="2:22" s="310" customFormat="1" ht="17.399999999999999" customHeight="1">
      <c r="B3" s="1237"/>
      <c r="C3" s="1271" t="s">
        <v>1155</v>
      </c>
      <c r="D3" s="1271"/>
      <c r="E3" s="1271"/>
      <c r="F3" s="1271"/>
      <c r="G3" s="1271"/>
      <c r="H3" s="1271"/>
      <c r="I3" s="363"/>
      <c r="J3" s="363"/>
      <c r="K3" s="363"/>
      <c r="L3" s="363"/>
      <c r="M3" s="363"/>
      <c r="N3" s="413"/>
      <c r="O3" s="413"/>
      <c r="P3" s="413"/>
      <c r="Q3" s="413"/>
      <c r="R3" s="413"/>
      <c r="S3" s="413"/>
      <c r="T3" s="413"/>
      <c r="U3" s="413"/>
      <c r="V3" s="314"/>
    </row>
    <row r="4" spans="2:22" s="310" customFormat="1" ht="6" customHeight="1">
      <c r="B4" s="396"/>
      <c r="D4" s="1272"/>
      <c r="E4" s="1272"/>
      <c r="F4" s="1272"/>
      <c r="G4" s="1272"/>
      <c r="H4" s="1272"/>
      <c r="I4" s="355"/>
      <c r="J4" s="355"/>
      <c r="K4" s="355"/>
      <c r="L4" s="355"/>
      <c r="M4" s="355"/>
      <c r="N4" s="415"/>
      <c r="O4" s="415"/>
      <c r="P4" s="415"/>
      <c r="Q4" s="415"/>
      <c r="R4" s="415"/>
      <c r="S4" s="415"/>
      <c r="T4" s="415"/>
      <c r="U4" s="415"/>
      <c r="V4" s="315"/>
    </row>
    <row r="5" spans="2:22" s="310" customFormat="1" ht="19.5" customHeight="1">
      <c r="B5" s="750" t="str">
        <f>+'2.Infor Detallado Desempeño POA'!C7</f>
        <v xml:space="preserve">Fecha de corte: </v>
      </c>
      <c r="C5" s="764">
        <f>+'2.Infor Detallado Desempeño POA'!D7</f>
        <v>45107</v>
      </c>
      <c r="D5" s="356"/>
      <c r="E5" s="316"/>
      <c r="V5" s="313"/>
    </row>
    <row r="6" spans="2:22" ht="1.95" customHeight="1">
      <c r="B6" s="373"/>
    </row>
    <row r="7" spans="2:22" ht="8.4" customHeight="1">
      <c r="B7" s="373"/>
    </row>
    <row r="8" spans="2:22" ht="54" customHeight="1">
      <c r="B8" s="419" t="s">
        <v>704</v>
      </c>
      <c r="C8" s="420" t="s">
        <v>1162</v>
      </c>
      <c r="D8" s="374"/>
      <c r="E8" s="370"/>
    </row>
    <row r="9" spans="2:22">
      <c r="B9" s="375" t="s">
        <v>678</v>
      </c>
      <c r="C9" s="376">
        <f>+F41</f>
        <v>0.58143477011494249</v>
      </c>
      <c r="D9" s="377"/>
      <c r="E9" s="370"/>
    </row>
    <row r="10" spans="2:22">
      <c r="B10" s="375" t="s">
        <v>680</v>
      </c>
      <c r="C10" s="376">
        <f>+F42</f>
        <v>0.20512820512820512</v>
      </c>
      <c r="D10" s="377"/>
      <c r="E10" s="370"/>
      <c r="H10" s="431"/>
      <c r="I10" s="432" t="s">
        <v>1067</v>
      </c>
    </row>
    <row r="11" spans="2:22">
      <c r="B11" s="375" t="s">
        <v>681</v>
      </c>
      <c r="C11" s="376">
        <f>+F43</f>
        <v>0.46857142857142858</v>
      </c>
      <c r="D11" s="377"/>
      <c r="E11" s="370"/>
      <c r="H11" s="663"/>
      <c r="I11" s="432" t="s">
        <v>859</v>
      </c>
    </row>
    <row r="12" spans="2:22">
      <c r="B12" s="375" t="s">
        <v>682</v>
      </c>
      <c r="C12" s="376">
        <f>+F44</f>
        <v>0.5</v>
      </c>
      <c r="D12" s="377"/>
      <c r="E12" s="370"/>
      <c r="H12" s="433"/>
      <c r="I12" s="432" t="s">
        <v>860</v>
      </c>
    </row>
    <row r="13" spans="2:22">
      <c r="B13" s="375" t="s">
        <v>693</v>
      </c>
      <c r="C13" s="376">
        <f>+F45</f>
        <v>0.77083333333333326</v>
      </c>
      <c r="D13" s="378"/>
      <c r="E13" s="370"/>
      <c r="H13" s="434"/>
      <c r="I13" s="432" t="s">
        <v>861</v>
      </c>
    </row>
    <row r="14" spans="2:22">
      <c r="B14" s="375" t="s">
        <v>683</v>
      </c>
      <c r="C14" s="376">
        <f>+F47</f>
        <v>0.54661830542959755</v>
      </c>
      <c r="D14" s="377"/>
      <c r="E14" s="370"/>
    </row>
    <row r="15" spans="2:22">
      <c r="B15" s="375" t="s">
        <v>818</v>
      </c>
      <c r="C15" s="376">
        <f>+F48</f>
        <v>0.47783599926457071</v>
      </c>
      <c r="D15" s="377"/>
      <c r="E15" s="370"/>
    </row>
    <row r="16" spans="2:22">
      <c r="B16" s="375" t="s">
        <v>686</v>
      </c>
      <c r="C16" s="376">
        <f>+F49</f>
        <v>0.46643977591036412</v>
      </c>
      <c r="D16" s="377"/>
      <c r="E16" s="370"/>
    </row>
    <row r="17" spans="2:17">
      <c r="B17" s="375" t="s">
        <v>687</v>
      </c>
      <c r="C17" s="376">
        <f t="shared" ref="C17:C22" si="0">+F51</f>
        <v>0.49449506802721094</v>
      </c>
      <c r="D17" s="377"/>
      <c r="E17" s="370"/>
    </row>
    <row r="18" spans="2:17">
      <c r="B18" s="375" t="s">
        <v>688</v>
      </c>
      <c r="C18" s="376">
        <f t="shared" si="0"/>
        <v>0.51288659793814428</v>
      </c>
      <c r="D18" s="377"/>
      <c r="E18" s="370"/>
    </row>
    <row r="19" spans="2:17">
      <c r="B19" s="375" t="s">
        <v>689</v>
      </c>
      <c r="C19" s="376">
        <f t="shared" si="0"/>
        <v>0.47606666666666669</v>
      </c>
      <c r="D19" s="377"/>
      <c r="E19" s="370"/>
    </row>
    <row r="20" spans="2:17">
      <c r="B20" s="375" t="s">
        <v>690</v>
      </c>
      <c r="C20" s="376">
        <f t="shared" si="0"/>
        <v>0.5487353801169591</v>
      </c>
      <c r="D20" s="377"/>
      <c r="E20" s="370"/>
    </row>
    <row r="21" spans="2:17">
      <c r="B21" s="375" t="s">
        <v>691</v>
      </c>
      <c r="C21" s="376">
        <f t="shared" si="0"/>
        <v>0.51084375000000004</v>
      </c>
      <c r="D21" s="377"/>
      <c r="E21" s="370"/>
    </row>
    <row r="22" spans="2:17">
      <c r="B22" s="375" t="s">
        <v>692</v>
      </c>
      <c r="C22" s="376">
        <f t="shared" si="0"/>
        <v>0.5</v>
      </c>
      <c r="D22" s="377"/>
      <c r="E22" s="370"/>
    </row>
    <row r="23" spans="2:17">
      <c r="B23" s="375" t="s">
        <v>694</v>
      </c>
      <c r="C23" s="376">
        <f>+F58</f>
        <v>0.48611111111111116</v>
      </c>
      <c r="D23" s="377"/>
      <c r="E23" s="370"/>
    </row>
    <row r="24" spans="2:17" ht="15.6" thickBot="1">
      <c r="B24" s="379" t="s">
        <v>695</v>
      </c>
      <c r="C24" s="376">
        <f>+F59</f>
        <v>0.41333333333333333</v>
      </c>
      <c r="D24" s="377"/>
      <c r="E24" s="370"/>
    </row>
    <row r="25" spans="2:17" ht="16.2" thickBot="1">
      <c r="B25" s="380" t="s">
        <v>844</v>
      </c>
      <c r="C25" s="707">
        <f>+F62</f>
        <v>0.48976292674453625</v>
      </c>
      <c r="D25" s="381"/>
      <c r="E25" s="370"/>
    </row>
    <row r="26" spans="2:17" s="382" customFormat="1">
      <c r="C26" s="140"/>
      <c r="D26" s="140"/>
      <c r="E26" s="140"/>
      <c r="P26" s="370"/>
      <c r="Q26" s="370"/>
    </row>
    <row r="27" spans="2:17" s="382" customFormat="1" ht="56.25" customHeight="1" thickBot="1">
      <c r="B27" s="382" t="s">
        <v>637</v>
      </c>
      <c r="C27" s="140"/>
      <c r="G27" s="762"/>
      <c r="P27" s="370"/>
      <c r="Q27" s="370"/>
    </row>
    <row r="28" spans="2:17" ht="57" customHeight="1">
      <c r="B28" s="1273" t="s">
        <v>884</v>
      </c>
      <c r="C28" s="1275" t="s">
        <v>816</v>
      </c>
      <c r="D28" s="1277" t="s">
        <v>885</v>
      </c>
      <c r="E28" s="1278"/>
      <c r="F28" s="1279"/>
      <c r="H28" s="372"/>
    </row>
    <row r="29" spans="2:17" ht="57.6" customHeight="1" thickBot="1">
      <c r="B29" s="1274"/>
      <c r="C29" s="1276"/>
      <c r="D29" s="488" t="str">
        <f>+D39</f>
        <v>Segundo Trimestre</v>
      </c>
      <c r="E29" s="492" t="s">
        <v>886</v>
      </c>
      <c r="F29" s="494" t="s">
        <v>878</v>
      </c>
      <c r="H29" s="372"/>
    </row>
    <row r="30" spans="2:17" ht="29.4" customHeight="1">
      <c r="B30" s="476" t="s">
        <v>879</v>
      </c>
      <c r="C30" s="466">
        <f>+C46</f>
        <v>20</v>
      </c>
      <c r="D30" s="489">
        <f>IFERROR(AVERAGE(D41:D45),0)</f>
        <v>0.9987962962962964</v>
      </c>
      <c r="E30" s="495">
        <f>IFERROR(AVERAGE(E41:E45),0)</f>
        <v>1.0029635854341739</v>
      </c>
      <c r="F30" s="661">
        <f>IFERROR(AVERAGE(F41:F45),0)</f>
        <v>0.50519354742958189</v>
      </c>
      <c r="H30" s="372"/>
    </row>
    <row r="31" spans="2:17" ht="36.6" customHeight="1">
      <c r="B31" s="468" t="s">
        <v>880</v>
      </c>
      <c r="C31" s="467">
        <f>+C50</f>
        <v>35</v>
      </c>
      <c r="D31" s="490">
        <f>IFERROR(AVERAGE(D47:D49),0)</f>
        <v>0.99264320970593634</v>
      </c>
      <c r="E31" s="495">
        <f>IFERROR(AVERAGE(E47:E49),0)</f>
        <v>1.1158512072601174</v>
      </c>
      <c r="F31" s="661">
        <f>IFERROR(AVERAGE(F47:F49),0)</f>
        <v>0.49696469353484413</v>
      </c>
      <c r="H31" s="372"/>
    </row>
    <row r="32" spans="2:17" ht="41.4" customHeight="1">
      <c r="B32" s="468" t="s">
        <v>881</v>
      </c>
      <c r="C32" s="467">
        <f>+C57</f>
        <v>26</v>
      </c>
      <c r="D32" s="490">
        <f>IFERROR(AVERAGE(D51:D56),0)</f>
        <v>1.0328696036967167</v>
      </c>
      <c r="E32" s="495">
        <f>IFERROR(AVERAGE(E51:E56),0)</f>
        <v>1.0110926302981733</v>
      </c>
      <c r="F32" s="661">
        <f>IFERROR(AVERAGE(F51:F56),0)</f>
        <v>0.50717124379149681</v>
      </c>
      <c r="H32" s="372"/>
    </row>
    <row r="33" spans="2:22" ht="40.799999999999997">
      <c r="B33" s="468" t="s">
        <v>882</v>
      </c>
      <c r="C33" s="467">
        <f>+C60</f>
        <v>6</v>
      </c>
      <c r="D33" s="491">
        <f>IFERROR(AVERAGE(D58:D59),0)</f>
        <v>1.1072072072072072</v>
      </c>
      <c r="E33" s="496">
        <f>IFERROR(AVERAGE(E58:E59),0)</f>
        <v>0.988849765258216</v>
      </c>
      <c r="F33" s="662">
        <f>IFERROR(AVERAGE(F58:F59),0)</f>
        <v>0.44972222222222225</v>
      </c>
      <c r="H33" s="372"/>
    </row>
    <row r="34" spans="2:22" ht="23.4">
      <c r="B34" s="470" t="s">
        <v>883</v>
      </c>
      <c r="C34" s="474">
        <f>SUM(C30:C33)</f>
        <v>87</v>
      </c>
      <c r="D34" s="469">
        <f>AVERAGE(D30:D33)</f>
        <v>1.032879079226539</v>
      </c>
      <c r="E34" s="493">
        <f>AVERAGE(E30:E33)</f>
        <v>1.0296892970626701</v>
      </c>
      <c r="F34" s="493">
        <f>AVERAGE(F30:F33)</f>
        <v>0.48976292674453625</v>
      </c>
      <c r="H34" s="372"/>
    </row>
    <row r="35" spans="2:22" ht="23.4">
      <c r="B35" s="471"/>
      <c r="C35" s="472"/>
      <c r="D35" s="473"/>
      <c r="E35" s="473"/>
      <c r="H35" s="372"/>
    </row>
    <row r="36" spans="2:22" s="382" customFormat="1">
      <c r="C36" s="140"/>
      <c r="P36" s="370"/>
      <c r="Q36" s="370"/>
    </row>
    <row r="37" spans="2:22" s="310" customFormat="1" ht="19.5" customHeight="1" thickBot="1">
      <c r="B37" s="750" t="str">
        <f>+B5</f>
        <v xml:space="preserve">Fecha de corte: </v>
      </c>
      <c r="C37" s="764">
        <f>+C5</f>
        <v>45107</v>
      </c>
      <c r="D37" s="316"/>
      <c r="E37" s="316"/>
      <c r="V37" s="313"/>
    </row>
    <row r="38" spans="2:22" s="310" customFormat="1" ht="21" customHeight="1">
      <c r="B38" s="1262" t="s">
        <v>704</v>
      </c>
      <c r="C38" s="1264" t="s">
        <v>816</v>
      </c>
      <c r="D38" s="1264" t="s">
        <v>854</v>
      </c>
      <c r="E38" s="1264"/>
      <c r="F38" s="1266"/>
      <c r="G38" s="311"/>
      <c r="H38" s="311"/>
      <c r="I38" s="311"/>
      <c r="U38" s="313"/>
    </row>
    <row r="39" spans="2:22" s="310" customFormat="1" ht="49.5" customHeight="1" thickBot="1">
      <c r="B39" s="1263"/>
      <c r="C39" s="1265"/>
      <c r="D39" s="477" t="str">
        <f>+'2.Infor Detallado Desempeño POA'!T12</f>
        <v>Segundo Trimestre</v>
      </c>
      <c r="E39" s="477" t="str">
        <f>+'2.Infor Detallado Desempeño POA'!U12</f>
        <v>Acumulado
Corte 
30/06/2023</v>
      </c>
      <c r="F39" s="478" t="str">
        <f>+'2.Infor Detallado Desempeño POA'!V12</f>
        <v>Anual</v>
      </c>
      <c r="G39" s="397"/>
      <c r="H39" s="311"/>
      <c r="I39" s="311"/>
      <c r="J39" s="311"/>
      <c r="V39" s="313"/>
    </row>
    <row r="40" spans="2:22" s="310" customFormat="1" ht="6" customHeight="1" thickBot="1">
      <c r="B40" s="1267"/>
      <c r="C40" s="1268"/>
      <c r="D40" s="1268"/>
      <c r="E40" s="1268"/>
      <c r="F40" s="1269"/>
      <c r="G40" s="323"/>
      <c r="H40" s="320"/>
      <c r="I40" s="320"/>
      <c r="J40" s="320"/>
      <c r="V40" s="313"/>
    </row>
    <row r="41" spans="2:22" s="310" customFormat="1">
      <c r="B41" s="317" t="s">
        <v>678</v>
      </c>
      <c r="C41" s="318">
        <f>+'Rango indicadores'!D111</f>
        <v>4</v>
      </c>
      <c r="D41" s="319">
        <f>IF(AND('2.Infor Detallado Desempeño POA'!T17&gt;0),'2.Infor Detallado Desempeño POA'!T17,"No Programado")</f>
        <v>0.99398148148148147</v>
      </c>
      <c r="E41" s="319">
        <f>IF(AND('2.Infor Detallado Desempeño POA'!U17&gt;0),'2.Infor Detallado Desempeño POA'!U17,"No Programado")</f>
        <v>0.99696078431372548</v>
      </c>
      <c r="F41" s="319">
        <f>IF(AND('2.Infor Detallado Desempeño POA'!V17&gt;0),'2.Infor Detallado Desempeño POA'!V17,"No Programado")</f>
        <v>0.58143477011494249</v>
      </c>
      <c r="G41" s="320"/>
      <c r="H41" s="320"/>
      <c r="I41" s="320"/>
      <c r="J41" s="320"/>
      <c r="V41" s="313"/>
    </row>
    <row r="42" spans="2:22" s="310" customFormat="1">
      <c r="B42" s="321" t="s">
        <v>680</v>
      </c>
      <c r="C42" s="318">
        <f>+'Rango indicadores'!D112</f>
        <v>4</v>
      </c>
      <c r="D42" s="319">
        <f>IF(AND('2.Infor Detallado Desempeño POA'!T26&gt;0),'2.Infor Detallado Desempeño POA'!T26,"No Programado")</f>
        <v>1</v>
      </c>
      <c r="E42" s="319">
        <f>IF(AND('2.Infor Detallado Desempeño POA'!U26&gt;0),'2.Infor Detallado Desempeño POA'!U26,"No Programado")</f>
        <v>1</v>
      </c>
      <c r="F42" s="319">
        <f>IF(AND('2.Infor Detallado Desempeño POA'!V26&gt;0),'2.Infor Detallado Desempeño POA'!V26,"No Programado")</f>
        <v>0.20512820512820512</v>
      </c>
      <c r="G42" s="320"/>
      <c r="H42" s="320"/>
      <c r="I42" s="320"/>
      <c r="J42" s="320"/>
      <c r="V42" s="313"/>
    </row>
    <row r="43" spans="2:22" s="310" customFormat="1">
      <c r="B43" s="321" t="s">
        <v>681</v>
      </c>
      <c r="C43" s="318">
        <f>+'Rango indicadores'!D113</f>
        <v>7</v>
      </c>
      <c r="D43" s="319">
        <f>IF(AND('2.Infor Detallado Desempeño POA'!T38&gt;0),'2.Infor Detallado Desempeño POA'!T38,"No Programado")</f>
        <v>1</v>
      </c>
      <c r="E43" s="319">
        <f>IF(AND('2.Infor Detallado Desempeño POA'!U38&gt;0),'2.Infor Detallado Desempeño POA'!U38,"No Programado")</f>
        <v>0.97619047619047616</v>
      </c>
      <c r="F43" s="319">
        <f>IF(AND('2.Infor Detallado Desempeño POA'!V38&gt;0),'2.Infor Detallado Desempeño POA'!V38,"No Programado")</f>
        <v>0.46857142857142858</v>
      </c>
      <c r="G43" s="320"/>
      <c r="H43" s="320"/>
      <c r="I43" s="320"/>
      <c r="J43" s="320"/>
      <c r="V43" s="313"/>
    </row>
    <row r="44" spans="2:22" s="310" customFormat="1">
      <c r="B44" s="321" t="s">
        <v>682</v>
      </c>
      <c r="C44" s="318">
        <f>+'Rango indicadores'!D114</f>
        <v>2</v>
      </c>
      <c r="D44" s="319">
        <f>IF(AND('2.Infor Detallado Desempeño POA'!T45&gt;0),'2.Infor Detallado Desempeño POA'!T45,"No Programado")</f>
        <v>1</v>
      </c>
      <c r="E44" s="319">
        <f>IF(AND('2.Infor Detallado Desempeño POA'!U45&gt;0),'2.Infor Detallado Desempeño POA'!U45,"No Programado")</f>
        <v>1</v>
      </c>
      <c r="F44" s="319">
        <f>IF(AND('2.Infor Detallado Desempeño POA'!V45&gt;0),'2.Infor Detallado Desempeño POA'!V45,"No Programado")</f>
        <v>0.5</v>
      </c>
      <c r="G44" s="320"/>
      <c r="H44" s="320"/>
      <c r="I44" s="320"/>
      <c r="J44" s="320"/>
      <c r="V44" s="313"/>
    </row>
    <row r="45" spans="2:22" s="310" customFormat="1" ht="15.6" thickBot="1">
      <c r="B45" s="322" t="s">
        <v>693</v>
      </c>
      <c r="C45" s="318">
        <f>+'Rango indicadores'!D124</f>
        <v>3</v>
      </c>
      <c r="D45" s="319">
        <f>IF(AND('2.Infor Detallado Desempeño POA'!T53&gt;0),'2.Infor Detallado Desempeño POA'!T53,"No Programado")</f>
        <v>1</v>
      </c>
      <c r="E45" s="319">
        <f>IF(AND('2.Infor Detallado Desempeño POA'!U53&gt;0),'2.Infor Detallado Desempeño POA'!U53,"No Programado")</f>
        <v>1.0416666666666665</v>
      </c>
      <c r="F45" s="319">
        <f>IF(AND('2.Infor Detallado Desempeño POA'!V53&gt;0),'2.Infor Detallado Desempeño POA'!V53,"No Programado")</f>
        <v>0.77083333333333326</v>
      </c>
      <c r="G45" s="320"/>
      <c r="H45" s="320"/>
      <c r="I45" s="320"/>
      <c r="J45" s="320"/>
      <c r="V45" s="313"/>
    </row>
    <row r="46" spans="2:22" s="310" customFormat="1" ht="34.950000000000003" customHeight="1" thickBot="1">
      <c r="B46" s="479" t="s">
        <v>855</v>
      </c>
      <c r="C46" s="480">
        <f>SUM(C41:C45)</f>
        <v>20</v>
      </c>
      <c r="D46" s="481">
        <f>IFERROR(AVERAGE(D41:D45),0)</f>
        <v>0.9987962962962964</v>
      </c>
      <c r="E46" s="481">
        <f>IFERROR(AVERAGE(E41:E45),0)</f>
        <v>1.0029635854341739</v>
      </c>
      <c r="F46" s="481">
        <f>IFERROR(AVERAGE(F41:F45),0)</f>
        <v>0.50519354742958189</v>
      </c>
      <c r="G46" s="323"/>
      <c r="H46" s="320"/>
      <c r="I46" s="320"/>
      <c r="J46" s="320"/>
      <c r="V46" s="313"/>
    </row>
    <row r="47" spans="2:22" s="310" customFormat="1">
      <c r="B47" s="317" t="s">
        <v>683</v>
      </c>
      <c r="C47" s="318">
        <f>+'Rango indicadores'!D115</f>
        <v>20</v>
      </c>
      <c r="D47" s="319">
        <f>IF(AND('2.Infor Detallado Desempeño POA'!T78&gt;0),'2.Infor Detallado Desempeño POA'!T78,"No Programado")</f>
        <v>1.2538175560057356</v>
      </c>
      <c r="E47" s="319">
        <f>IF(AND('2.Infor Detallado Desempeño POA'!U78&gt;0),'2.Infor Detallado Desempeño POA'!U78,"No Programado")</f>
        <v>1.3148255323115197</v>
      </c>
      <c r="F47" s="319">
        <f>IF(AND('2.Infor Detallado Desempeño POA'!V78&gt;0),'2.Infor Detallado Desempeño POA'!V78,"No Programado")</f>
        <v>0.54661830542959755</v>
      </c>
      <c r="G47" s="320"/>
      <c r="H47" s="320"/>
      <c r="I47" s="320"/>
      <c r="J47" s="320"/>
      <c r="V47" s="313"/>
    </row>
    <row r="48" spans="2:22" s="310" customFormat="1">
      <c r="B48" s="321" t="s">
        <v>818</v>
      </c>
      <c r="C48" s="318">
        <f>+'Rango indicadores'!D116</f>
        <v>7</v>
      </c>
      <c r="D48" s="319">
        <f>IF(AND('2.Infor Detallado Desempeño POA'!T90&gt;0),'2.Infor Detallado Desempeño POA'!T90,"No Programado")</f>
        <v>0.69408369408369419</v>
      </c>
      <c r="E48" s="319">
        <f>IF(AND('2.Infor Detallado Desempeño POA'!U90&gt;0),'2.Infor Detallado Desempeño POA'!U90,"No Programado")</f>
        <v>1.0658228176766891</v>
      </c>
      <c r="F48" s="319">
        <f>IF(AND('2.Infor Detallado Desempeño POA'!V90&gt;0),'2.Infor Detallado Desempeño POA'!V90,"No Programado")</f>
        <v>0.47783599926457071</v>
      </c>
      <c r="G48" s="320"/>
      <c r="H48" s="320"/>
      <c r="I48" s="320"/>
      <c r="J48" s="320"/>
      <c r="V48" s="313"/>
    </row>
    <row r="49" spans="2:22" s="310" customFormat="1" ht="15.6" thickBot="1">
      <c r="B49" s="322" t="s">
        <v>686</v>
      </c>
      <c r="C49" s="318">
        <f>+'Rango indicadores'!D117</f>
        <v>8</v>
      </c>
      <c r="D49" s="319">
        <f>IF(AND('2.Infor Detallado Desempeño POA'!T103&gt;0),'2.Infor Detallado Desempeño POA'!T103,"No Programado")</f>
        <v>1.0300283790283791</v>
      </c>
      <c r="E49" s="319">
        <f>IF(AND('2.Infor Detallado Desempeño POA'!U103&gt;0),'2.Infor Detallado Desempeño POA'!U103,"No Programado")</f>
        <v>0.96690527179214325</v>
      </c>
      <c r="F49" s="319">
        <f>IF(AND('2.Infor Detallado Desempeño POA'!V103&gt;0),'2.Infor Detallado Desempeño POA'!V103,"No Programado")</f>
        <v>0.46643977591036412</v>
      </c>
      <c r="G49" s="320"/>
      <c r="H49" s="320"/>
      <c r="I49" s="320"/>
      <c r="J49" s="320"/>
      <c r="V49" s="313"/>
    </row>
    <row r="50" spans="2:22" s="310" customFormat="1" ht="34.950000000000003" customHeight="1" thickBot="1">
      <c r="B50" s="479" t="s">
        <v>856</v>
      </c>
      <c r="C50" s="480">
        <f>SUM(C47:C49)</f>
        <v>35</v>
      </c>
      <c r="D50" s="481">
        <f>IFERROR(AVERAGE(D47:D49),0)</f>
        <v>0.99264320970593634</v>
      </c>
      <c r="E50" s="481">
        <f>IFERROR(AVERAGE(E47:E49),0)</f>
        <v>1.1158512072601174</v>
      </c>
      <c r="F50" s="481">
        <f>IFERROR(AVERAGE(F47:F49),0)</f>
        <v>0.49696469353484413</v>
      </c>
      <c r="G50" s="323"/>
      <c r="H50" s="320"/>
      <c r="I50" s="320"/>
      <c r="J50" s="320"/>
      <c r="V50" s="313"/>
    </row>
    <row r="51" spans="2:22" s="310" customFormat="1">
      <c r="B51" s="317" t="s">
        <v>687</v>
      </c>
      <c r="C51" s="318">
        <f>+'Rango indicadores'!D118</f>
        <v>8</v>
      </c>
      <c r="D51" s="319">
        <f>IF(AND('2.Infor Detallado Desempeño POA'!T116&gt;0),'2.Infor Detallado Desempeño POA'!T116,"No Programado")</f>
        <v>0.90997030848763338</v>
      </c>
      <c r="E51" s="319">
        <f>IF(AND('2.Infor Detallado Desempeño POA'!U116&gt;0),'2.Infor Detallado Desempeño POA'!U116,"No Programado")</f>
        <v>0.96083358387476125</v>
      </c>
      <c r="F51" s="319">
        <f>IF(AND('2.Infor Detallado Desempeño POA'!V116&gt;0),'2.Infor Detallado Desempeño POA'!V116,"No Programado")</f>
        <v>0.49449506802721094</v>
      </c>
      <c r="G51" s="320"/>
      <c r="H51" s="320"/>
      <c r="I51" s="320"/>
      <c r="J51" s="320"/>
      <c r="V51" s="313"/>
    </row>
    <row r="52" spans="2:22" s="310" customFormat="1">
      <c r="B52" s="321" t="s">
        <v>688</v>
      </c>
      <c r="C52" s="318">
        <f>+'Rango indicadores'!D119</f>
        <v>2</v>
      </c>
      <c r="D52" s="319">
        <f>IF(AND('2.Infor Detallado Desempeño POA'!T123),'2.Infor Detallado Desempeño POA'!T123,"No Programado")</f>
        <v>1.0369415807560136</v>
      </c>
      <c r="E52" s="319">
        <f>IF(AND('2.Infor Detallado Desempeño POA'!U123),'2.Infor Detallado Desempeño POA'!U123,"No Programado")</f>
        <v>1.0262027491408934</v>
      </c>
      <c r="F52" s="319">
        <f>IF(AND('2.Infor Detallado Desempeño POA'!V123),'2.Infor Detallado Desempeño POA'!V123,"No Programado")</f>
        <v>0.51288659793814428</v>
      </c>
      <c r="G52" s="320"/>
      <c r="H52" s="320"/>
      <c r="I52" s="320"/>
      <c r="J52" s="320"/>
      <c r="V52" s="313"/>
    </row>
    <row r="53" spans="2:22" s="310" customFormat="1">
      <c r="B53" s="321" t="s">
        <v>689</v>
      </c>
      <c r="C53" s="318">
        <f>+'Rango indicadores'!D120</f>
        <v>3</v>
      </c>
      <c r="D53" s="319">
        <f>IF(AND('2.Infor Detallado Desempeño POA'!T131&gt;0),'2.Infor Detallado Desempeño POA'!T131,"No Programado")</f>
        <v>1.0331388888888888</v>
      </c>
      <c r="E53" s="319">
        <f>IF(AND('2.Infor Detallado Desempeño POA'!U131&gt;0),'2.Infor Detallado Desempeño POA'!U131,"No Programado")</f>
        <v>0.95921708683473395</v>
      </c>
      <c r="F53" s="319">
        <f>IF(AND('2.Infor Detallado Desempeño POA'!V131&gt;0),'2.Infor Detallado Desempeño POA'!V131,"No Programado")</f>
        <v>0.47606666666666669</v>
      </c>
      <c r="G53" s="320"/>
      <c r="H53" s="320"/>
      <c r="I53" s="320"/>
      <c r="J53" s="320"/>
      <c r="V53" s="313"/>
    </row>
    <row r="54" spans="2:22" s="310" customFormat="1">
      <c r="B54" s="321" t="s">
        <v>690</v>
      </c>
      <c r="C54" s="318">
        <f>+'Rango indicadores'!D121</f>
        <v>4</v>
      </c>
      <c r="D54" s="319">
        <f>IF(AND('2.Infor Detallado Desempeño POA'!T140&gt;0),'2.Infor Detallado Desempeño POA'!T140,"No Programado")</f>
        <v>1.1312373737373738</v>
      </c>
      <c r="E54" s="319">
        <f>IF(AND('2.Infor Detallado Desempeño POA'!U140&gt;0),'2.Infor Detallado Desempeño POA'!U140,"No Programado")</f>
        <v>1.0652463312368972</v>
      </c>
      <c r="F54" s="319">
        <f>IF(AND('2.Infor Detallado Desempeño POA'!V140&gt;0),'2.Infor Detallado Desempeño POA'!V140,"No Programado")</f>
        <v>0.5487353801169591</v>
      </c>
      <c r="G54" s="320"/>
      <c r="H54" s="320"/>
      <c r="I54" s="320"/>
      <c r="J54" s="320"/>
      <c r="V54" s="313"/>
    </row>
    <row r="55" spans="2:22" s="310" customFormat="1">
      <c r="B55" s="321" t="s">
        <v>691</v>
      </c>
      <c r="C55" s="318">
        <f>+'Rango indicadores'!D122</f>
        <v>4</v>
      </c>
      <c r="D55" s="319">
        <f>IF(AND('2.Infor Detallado Desempeño POA'!T149&gt;0),'2.Infor Detallado Desempeño POA'!T149,"No Programado")</f>
        <v>1.0859294703103912</v>
      </c>
      <c r="E55" s="319">
        <f>IF(AND('2.Infor Detallado Desempeño POA'!U149&gt;0),'2.Infor Detallado Desempeño POA'!U149,"No Programado")</f>
        <v>1.0550560307017545</v>
      </c>
      <c r="F55" s="319">
        <f>IF(AND('2.Infor Detallado Desempeño POA'!V149&gt;0),'2.Infor Detallado Desempeño POA'!V149,"No Programado")</f>
        <v>0.51084375000000004</v>
      </c>
      <c r="G55" s="320"/>
      <c r="H55" s="320"/>
      <c r="I55" s="320"/>
      <c r="J55" s="320"/>
      <c r="V55" s="313"/>
    </row>
    <row r="56" spans="2:22" s="310" customFormat="1" ht="15.6" thickBot="1">
      <c r="B56" s="322" t="s">
        <v>692</v>
      </c>
      <c r="C56" s="318">
        <f>+'Rango indicadores'!D123</f>
        <v>5</v>
      </c>
      <c r="D56" s="319">
        <f>IF(AND('2.Infor Detallado Desempeño POA'!T159&gt;0),'2.Infor Detallado Desempeño POA'!T159,"No Programado")</f>
        <v>1</v>
      </c>
      <c r="E56" s="319">
        <f>IF(AND('2.Infor Detallado Desempeño POA'!U159&gt;0),'2.Infor Detallado Desempeño POA'!U159,"No Programado")</f>
        <v>1</v>
      </c>
      <c r="F56" s="319">
        <f>IF(AND('2.Infor Detallado Desempeño POA'!V159&gt;0),'2.Infor Detallado Desempeño POA'!V159,"No Programado")</f>
        <v>0.5</v>
      </c>
      <c r="G56" s="320"/>
      <c r="H56" s="320"/>
      <c r="I56" s="320"/>
      <c r="J56" s="320"/>
      <c r="V56" s="313"/>
    </row>
    <row r="57" spans="2:22" s="310" customFormat="1" ht="34.950000000000003" customHeight="1" thickBot="1">
      <c r="B57" s="479" t="s">
        <v>857</v>
      </c>
      <c r="C57" s="480">
        <f>SUM(C51:C56)</f>
        <v>26</v>
      </c>
      <c r="D57" s="481">
        <f>IFERROR(AVERAGE(D51:D56),0)</f>
        <v>1.0328696036967167</v>
      </c>
      <c r="E57" s="481">
        <f>IFERROR(AVERAGE(E51:E56),0)</f>
        <v>1.0110926302981733</v>
      </c>
      <c r="F57" s="481">
        <f>IFERROR(AVERAGE(F51:F56),0)</f>
        <v>0.50717124379149681</v>
      </c>
      <c r="G57" s="323"/>
      <c r="H57" s="320"/>
      <c r="I57" s="320"/>
      <c r="J57" s="320"/>
      <c r="V57" s="313"/>
    </row>
    <row r="58" spans="2:22" s="310" customFormat="1">
      <c r="B58" s="321" t="s">
        <v>694</v>
      </c>
      <c r="C58" s="318">
        <f>+'Rango indicadores'!D125</f>
        <v>3</v>
      </c>
      <c r="D58" s="319">
        <f>IF(AND('2.Infor Detallado Desempeño POA'!T167&gt;0),'2.Infor Detallado Desempeño POA'!T167,"No Programado")</f>
        <v>1.2144144144144144</v>
      </c>
      <c r="E58" s="319">
        <f>IF(AND('2.Infor Detallado Desempeño POA'!U167&gt;0),'2.Infor Detallado Desempeño POA'!U167,"No Programado")</f>
        <v>0.97769953051643199</v>
      </c>
      <c r="F58" s="319">
        <f>IF(AND('2.Infor Detallado Desempeño POA'!V167&gt;0),'2.Infor Detallado Desempeño POA'!V167,"No Programado")</f>
        <v>0.48611111111111116</v>
      </c>
      <c r="G58" s="320"/>
      <c r="H58" s="320"/>
      <c r="I58" s="320"/>
      <c r="J58" s="320"/>
      <c r="V58" s="313"/>
    </row>
    <row r="59" spans="2:22" s="310" customFormat="1" ht="15.6" thickBot="1">
      <c r="B59" s="404" t="s">
        <v>695</v>
      </c>
      <c r="C59" s="405">
        <f>+'Rango indicadores'!D126</f>
        <v>3</v>
      </c>
      <c r="D59" s="319">
        <f>IF(AND('2.Infor Detallado Desempeño POA'!T175&gt;0),'2.Infor Detallado Desempeño POA'!T175,"No Programado")</f>
        <v>1</v>
      </c>
      <c r="E59" s="319">
        <f>IF(AND('2.Infor Detallado Desempeño POA'!U175&gt;0),'2.Infor Detallado Desempeño POA'!U175,"No Programado")</f>
        <v>1</v>
      </c>
      <c r="F59" s="319">
        <f>IF(AND('2.Infor Detallado Desempeño POA'!V175&gt;0),'2.Infor Detallado Desempeño POA'!V175,"No Programado")</f>
        <v>0.41333333333333333</v>
      </c>
      <c r="G59" s="320"/>
      <c r="H59" s="320"/>
      <c r="I59" s="320"/>
      <c r="J59" s="320"/>
      <c r="V59" s="313"/>
    </row>
    <row r="60" spans="2:22" s="310" customFormat="1" ht="46.95" customHeight="1" thickBot="1">
      <c r="B60" s="482" t="s">
        <v>819</v>
      </c>
      <c r="C60" s="480">
        <f>SUM(C58:C59)</f>
        <v>6</v>
      </c>
      <c r="D60" s="481">
        <f>IFERROR(AVERAGE(D58:D59),0)</f>
        <v>1.1072072072072072</v>
      </c>
      <c r="E60" s="481">
        <f>IFERROR(AVERAGE(E58:E59),0)</f>
        <v>0.988849765258216</v>
      </c>
      <c r="F60" s="481">
        <f>IFERROR(AVERAGE(F58:F59),0)</f>
        <v>0.44972222222222225</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883</v>
      </c>
      <c r="C62" s="474">
        <f>+C60+C57+C50+C46</f>
        <v>87</v>
      </c>
      <c r="D62" s="469">
        <f>AVERAGE(D46,D50,D57,D60)</f>
        <v>1.032879079226539</v>
      </c>
      <c r="E62" s="469">
        <f>AVERAGE(E46,E50,E57,E60)</f>
        <v>1.0296892970626701</v>
      </c>
      <c r="F62" s="469">
        <f>AVERAGE(F46,F50,F57,F60)</f>
        <v>0.48976292674453625</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4EBxHVGV3EuUK5kq69227pmokzuJXZMLuWZ/uGHLESXSHJHW1eTvQ9txDX8QHdjgeBhH47chGxZvxfz6tdQg==" saltValue="ZMn3xXKLbPOCQiyyeuyWJ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F58:F59">
    <cfRule type="cellIs" dxfId="370" priority="21" operator="equal">
      <formula>"No Programado"</formula>
    </cfRule>
    <cfRule type="cellIs" dxfId="369" priority="22" operator="lessThanOrEqual">
      <formula>0.6</formula>
    </cfRule>
    <cfRule type="cellIs" dxfId="368" priority="23" operator="between">
      <formula>0.6</formula>
      <formula>0.899999999999999</formula>
    </cfRule>
    <cfRule type="cellIs" dxfId="367" priority="24" operator="greaterThan">
      <formula>1</formula>
    </cfRule>
    <cfRule type="cellIs" dxfId="366" priority="25" operator="between">
      <formula>0.9</formula>
      <formula>1</formula>
    </cfRule>
  </conditionalFormatting>
  <conditionalFormatting sqref="D41:F45">
    <cfRule type="cellIs" dxfId="365" priority="16" operator="equal">
      <formula>"No Programado"</formula>
    </cfRule>
    <cfRule type="cellIs" dxfId="364" priority="17" operator="lessThan">
      <formula>0.75</formula>
    </cfRule>
    <cfRule type="cellIs" dxfId="363" priority="18" operator="between">
      <formula>0.75</formula>
      <formula>0.95</formula>
    </cfRule>
    <cfRule type="cellIs" dxfId="362" priority="19" operator="greaterThan">
      <formula>1</formula>
    </cfRule>
    <cfRule type="cellIs" dxfId="361" priority="20" operator="between">
      <formula>0.9500000001</formula>
      <formula>1</formula>
    </cfRule>
  </conditionalFormatting>
  <conditionalFormatting sqref="D47:F49">
    <cfRule type="cellIs" dxfId="360" priority="11" operator="equal">
      <formula>"No Programado"</formula>
    </cfRule>
    <cfRule type="cellIs" dxfId="359" priority="12" operator="lessThan">
      <formula>0.75</formula>
    </cfRule>
    <cfRule type="cellIs" dxfId="358" priority="13" operator="between">
      <formula>0.75</formula>
      <formula>0.95</formula>
    </cfRule>
    <cfRule type="cellIs" dxfId="357" priority="14" operator="greaterThan">
      <formula>1</formula>
    </cfRule>
    <cfRule type="cellIs" dxfId="356" priority="15" operator="between">
      <formula>0.9500000001</formula>
      <formula>1</formula>
    </cfRule>
  </conditionalFormatting>
  <conditionalFormatting sqref="D51:F56">
    <cfRule type="cellIs" dxfId="355" priority="6" operator="equal">
      <formula>"No Programado"</formula>
    </cfRule>
    <cfRule type="cellIs" dxfId="354" priority="7" operator="lessThan">
      <formula>0.75</formula>
    </cfRule>
    <cfRule type="cellIs" dxfId="353" priority="8" operator="between">
      <formula>0.75</formula>
      <formula>0.95</formula>
    </cfRule>
    <cfRule type="cellIs" dxfId="352" priority="9" operator="greaterThan">
      <formula>1</formula>
    </cfRule>
    <cfRule type="cellIs" dxfId="351" priority="10" operator="between">
      <formula>0.9500000001</formula>
      <formula>1</formula>
    </cfRule>
  </conditionalFormatting>
  <conditionalFormatting sqref="D58:E59">
    <cfRule type="cellIs" dxfId="350" priority="1" operator="equal">
      <formula>"No Programado"</formula>
    </cfRule>
    <cfRule type="cellIs" dxfId="349" priority="2" operator="lessThan">
      <formula>0.75</formula>
    </cfRule>
    <cfRule type="cellIs" dxfId="348" priority="3" operator="between">
      <formula>0.75</formula>
      <formula>0.95</formula>
    </cfRule>
    <cfRule type="cellIs" dxfId="347" priority="4" operator="greaterThan">
      <formula>1</formula>
    </cfRule>
    <cfRule type="cellIs" dxfId="346" priority="5" operator="between">
      <formula>0.9500000001</formula>
      <formula>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sheetPr>
    <tabColor rgb="FF00FF99"/>
  </sheetPr>
  <dimension ref="B1:R84"/>
  <sheetViews>
    <sheetView showGridLines="0" workbookViewId="0">
      <selection activeCell="G77" sqref="G77"/>
    </sheetView>
  </sheetViews>
  <sheetFormatPr baseColWidth="10" defaultColWidth="11.44140625" defaultRowHeight="15"/>
  <cols>
    <col min="1" max="1" width="3.6640625" style="370" customWidth="1"/>
    <col min="2" max="2" width="52.44140625" style="370" customWidth="1"/>
    <col min="3" max="5" width="18.44140625" style="372" customWidth="1"/>
    <col min="6" max="6" width="18.44140625" style="370" customWidth="1"/>
    <col min="7" max="7" width="18.33203125" style="370" customWidth="1"/>
    <col min="8" max="8" width="6.109375" style="372" hidden="1" customWidth="1"/>
    <col min="9" max="9" width="0"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18">
      <c r="C1" s="371"/>
      <c r="D1" s="371"/>
      <c r="E1" s="371"/>
    </row>
    <row r="2" spans="2:18" ht="15.6">
      <c r="B2" s="1237" t="s">
        <v>843</v>
      </c>
      <c r="C2" s="1238" t="s">
        <v>848</v>
      </c>
      <c r="D2" s="1239"/>
      <c r="E2" s="1239"/>
      <c r="F2" s="1239"/>
      <c r="G2" s="1240"/>
      <c r="H2" s="416"/>
    </row>
    <row r="3" spans="2:18" ht="17.399999999999999">
      <c r="B3" s="1237"/>
      <c r="C3" s="1241" t="str">
        <f>+'3.Resum Desemp Procesos POA T1'!C3</f>
        <v>PLAN OPERATIVO ANUAL 2023</v>
      </c>
      <c r="D3" s="1242"/>
      <c r="E3" s="1242"/>
      <c r="F3" s="1242"/>
      <c r="G3" s="1243"/>
      <c r="H3" s="416"/>
    </row>
    <row r="4" spans="2:18" ht="9.75" customHeight="1">
      <c r="B4" s="1244"/>
      <c r="C4" s="1244"/>
      <c r="D4" s="1244"/>
      <c r="E4" s="1244"/>
      <c r="F4" s="1244"/>
      <c r="G4" s="448"/>
      <c r="H4" s="391"/>
    </row>
    <row r="5" spans="2:18" ht="19.5" customHeight="1">
      <c r="B5" s="370" t="str">
        <f>+'3.Resum Desemp Procesos POA T1'!B5</f>
        <v xml:space="preserve">Fecha de corte: </v>
      </c>
      <c r="C5" s="758">
        <f>+'3.Resum Desemp Procesos POA T3'!C5</f>
        <v>44834</v>
      </c>
    </row>
    <row r="6" spans="2:18" ht="19.5" customHeight="1">
      <c r="B6" s="373"/>
    </row>
    <row r="7" spans="2:18" s="382" customFormat="1" ht="31.5" customHeight="1">
      <c r="B7" s="1201" t="s">
        <v>671</v>
      </c>
      <c r="C7" s="1245" t="s">
        <v>1071</v>
      </c>
      <c r="D7" s="1246"/>
      <c r="E7" s="1246"/>
      <c r="F7" s="1246"/>
      <c r="G7" s="1247"/>
      <c r="H7" s="140"/>
      <c r="Q7" s="370"/>
      <c r="R7" s="370"/>
    </row>
    <row r="8" spans="2:18" s="382" customFormat="1" ht="74.400000000000006" customHeight="1">
      <c r="B8" s="1201"/>
      <c r="C8" s="449" t="s">
        <v>849</v>
      </c>
      <c r="D8" s="449" t="s">
        <v>850</v>
      </c>
      <c r="E8" s="449" t="s">
        <v>851</v>
      </c>
      <c r="F8" s="449" t="s">
        <v>858</v>
      </c>
      <c r="G8" s="418" t="s">
        <v>877</v>
      </c>
      <c r="H8" s="140"/>
      <c r="Q8" s="370"/>
      <c r="R8" s="370"/>
    </row>
    <row r="9" spans="2:18">
      <c r="B9" s="375" t="s">
        <v>678</v>
      </c>
      <c r="C9" s="454">
        <f>+'4.Segto Medición POA 2022 T4'!C65</f>
        <v>4</v>
      </c>
      <c r="D9" s="394">
        <f>COUNTIF('2.Infor Detallado Desempeño POA'!AC13:AC16,"=100%")</f>
        <v>0</v>
      </c>
      <c r="E9" s="395">
        <f>COUNTIF('2.Infor Detallado Desempeño POA'!AC13:AC16,"&gt;100%")</f>
        <v>0</v>
      </c>
      <c r="F9" s="452">
        <f>COUNTIF('2.Infor Detallado Desempeño POA'!AC13:AC16,"&lt;100%")</f>
        <v>4</v>
      </c>
      <c r="G9" s="450">
        <f>COUNTIF('2.Infor Detallado Desempeño POA'!AC13:AC16,"=No programado")</f>
        <v>0</v>
      </c>
      <c r="H9" s="392">
        <f>SUM(D9:G9)</f>
        <v>4</v>
      </c>
      <c r="I9" s="393">
        <f t="shared" ref="I9:I25" si="0">C9-H9</f>
        <v>0</v>
      </c>
    </row>
    <row r="10" spans="2:18">
      <c r="B10" s="375" t="s">
        <v>680</v>
      </c>
      <c r="C10" s="454">
        <f>+'4.Segto Medición POA 2022 T4'!C66</f>
        <v>4</v>
      </c>
      <c r="D10" s="394">
        <f>COUNTIF('2.Infor Detallado Desempeño POA'!AC22:AC25,"=100%")</f>
        <v>0</v>
      </c>
      <c r="E10" s="395">
        <f>COUNTIF('2.Infor Detallado Desempeño POA'!AC22:AC25,"&gt;100%")</f>
        <v>0</v>
      </c>
      <c r="F10" s="452">
        <f>COUNTIF('2.Infor Detallado Desempeño POA'!AC22:AC25,"&lt;100%")</f>
        <v>2</v>
      </c>
      <c r="G10" s="450">
        <f>COUNTIF('2.Infor Detallado Desempeño POA'!AC22:AC25,"=No programado")</f>
        <v>2</v>
      </c>
      <c r="H10" s="392">
        <f t="shared" ref="H10:H24" si="1">SUM(D10:G10)</f>
        <v>4</v>
      </c>
      <c r="I10" s="393">
        <f t="shared" si="0"/>
        <v>0</v>
      </c>
    </row>
    <row r="11" spans="2:18">
      <c r="B11" s="375" t="s">
        <v>681</v>
      </c>
      <c r="C11" s="454">
        <f>+'4.Segto Medición POA 2022 T4'!C67</f>
        <v>7</v>
      </c>
      <c r="D11" s="394">
        <f>COUNTIF('2.Infor Detallado Desempeño POA'!AC31:AC37,"=100%")</f>
        <v>0</v>
      </c>
      <c r="E11" s="395">
        <f>COUNTIF('2.Infor Detallado Desempeño POA'!AC31:AC37,"&gt;100%")</f>
        <v>0</v>
      </c>
      <c r="F11" s="452">
        <f>COUNTIF('2.Infor Detallado Desempeño POA'!AC31:AC37,"&lt;100%")</f>
        <v>7</v>
      </c>
      <c r="G11" s="450">
        <f>COUNTIF('2.Infor Detallado Desempeño POA'!AC31:AC37,"=No programado")</f>
        <v>0</v>
      </c>
      <c r="H11" s="392">
        <f t="shared" si="1"/>
        <v>7</v>
      </c>
      <c r="I11" s="393">
        <f t="shared" si="0"/>
        <v>0</v>
      </c>
    </row>
    <row r="12" spans="2:18">
      <c r="B12" s="375" t="s">
        <v>682</v>
      </c>
      <c r="C12" s="454">
        <f>+'4.Segto Medición POA 2022 T4'!C68</f>
        <v>2</v>
      </c>
      <c r="D12" s="394">
        <f>COUNTIF('2.Infor Detallado Desempeño POA'!AC43:AC44,"=100%")</f>
        <v>0</v>
      </c>
      <c r="E12" s="395">
        <f>COUNTIF('2.Infor Detallado Desempeño POA'!AC43:AC44,"&gt;100%")</f>
        <v>0</v>
      </c>
      <c r="F12" s="452">
        <f>COUNTIF('2.Infor Detallado Desempeño POA'!AC43:AC44,"&lt;100%")</f>
        <v>2</v>
      </c>
      <c r="G12" s="450">
        <f>COUNTIF('2.Infor Detallado Desempeño POA'!AC43:AC44,"=No programado")</f>
        <v>0</v>
      </c>
      <c r="H12" s="392">
        <f>SUM(D12:G12)</f>
        <v>2</v>
      </c>
      <c r="I12" s="393">
        <f t="shared" si="0"/>
        <v>0</v>
      </c>
    </row>
    <row r="13" spans="2:18">
      <c r="B13" s="375" t="s">
        <v>693</v>
      </c>
      <c r="C13" s="454">
        <f>+'4.Segto Medición POA 2022 T4'!C69</f>
        <v>3</v>
      </c>
      <c r="D13" s="394">
        <f>COUNTIF('2.Infor Detallado Desempeño POA'!AC50:AC52,"=100%")</f>
        <v>0</v>
      </c>
      <c r="E13" s="395">
        <f>COUNTIF('2.Infor Detallado Desempeño POA'!AC50:AC52,"&gt;100%")</f>
        <v>0</v>
      </c>
      <c r="F13" s="452">
        <f>COUNTIF('2.Infor Detallado Desempeño POA'!AC50:AC52,"&lt;100%")</f>
        <v>1</v>
      </c>
      <c r="G13" s="450">
        <f>COUNTIF('2.Infor Detallado Desempeño POA'!AC50:AC52,"=No programado")</f>
        <v>2</v>
      </c>
      <c r="H13" s="392">
        <f t="shared" si="1"/>
        <v>3</v>
      </c>
      <c r="I13" s="393">
        <f t="shared" si="0"/>
        <v>0</v>
      </c>
    </row>
    <row r="14" spans="2:18">
      <c r="B14" s="375" t="s">
        <v>683</v>
      </c>
      <c r="C14" s="454">
        <f>+'4.Segto Medición POA 2022 T4'!C70</f>
        <v>20</v>
      </c>
      <c r="D14" s="394">
        <f>COUNTIF('2.Infor Detallado Desempeño POA'!AC58:AC77,"=100%")</f>
        <v>0</v>
      </c>
      <c r="E14" s="395">
        <f>COUNTIF('2.Infor Detallado Desempeño POA'!AC58:AC77,"&gt;100%")</f>
        <v>0</v>
      </c>
      <c r="F14" s="452">
        <f>COUNTIF('2.Infor Detallado Desempeño POA'!AC58:AC77,"&lt;100%")</f>
        <v>17</v>
      </c>
      <c r="G14" s="450">
        <f>COUNTIF('2.Infor Detallado Desempeño POA'!AC58:AC77,"=No programado")</f>
        <v>3</v>
      </c>
      <c r="H14" s="392">
        <f t="shared" si="1"/>
        <v>20</v>
      </c>
      <c r="I14" s="393">
        <f t="shared" si="0"/>
        <v>0</v>
      </c>
    </row>
    <row r="15" spans="2:18">
      <c r="B15" s="375" t="s">
        <v>818</v>
      </c>
      <c r="C15" s="454">
        <f>+'4.Segto Medición POA 2022 T4'!C71</f>
        <v>7</v>
      </c>
      <c r="D15" s="394">
        <f>COUNTIF('2.Infor Detallado Desempeño POA'!AC83:AC89,"=100%")</f>
        <v>0</v>
      </c>
      <c r="E15" s="395">
        <f>COUNTIF('2.Infor Detallado Desempeño POA'!AC83:AC89,"&gt;100%")</f>
        <v>0</v>
      </c>
      <c r="F15" s="452">
        <f>COUNTIF('2.Infor Detallado Desempeño POA'!AC83:AC89,"&lt;100%")</f>
        <v>5</v>
      </c>
      <c r="G15" s="450">
        <f>COUNTIF('2.Infor Detallado Desempeño POA'!AC83:AC89,"=No programado")</f>
        <v>2</v>
      </c>
      <c r="H15" s="392">
        <f t="shared" si="1"/>
        <v>7</v>
      </c>
      <c r="I15" s="393">
        <f t="shared" si="0"/>
        <v>0</v>
      </c>
    </row>
    <row r="16" spans="2:18">
      <c r="B16" s="375" t="s">
        <v>686</v>
      </c>
      <c r="C16" s="454">
        <f>+'4.Segto Medición POA 2022 T4'!C72</f>
        <v>8</v>
      </c>
      <c r="D16" s="394">
        <f>COUNTIF('2.Infor Detallado Desempeño POA'!AC95:AC102,"=100%")</f>
        <v>0</v>
      </c>
      <c r="E16" s="395">
        <f>COUNTIF('2.Infor Detallado Desempeño POA'!AC95:AC102,"&gt;100%")</f>
        <v>0</v>
      </c>
      <c r="F16" s="452">
        <f>COUNTIF('2.Infor Detallado Desempeño POA'!AC95:AC102,"&lt;100%")</f>
        <v>7</v>
      </c>
      <c r="G16" s="450">
        <f>COUNTIF('2.Infor Detallado Desempeño POA'!AC95:AC102,"=No programado")</f>
        <v>1</v>
      </c>
      <c r="H16" s="392">
        <f t="shared" si="1"/>
        <v>8</v>
      </c>
      <c r="I16" s="393">
        <f t="shared" si="0"/>
        <v>0</v>
      </c>
    </row>
    <row r="17" spans="2:9">
      <c r="B17" s="375" t="s">
        <v>687</v>
      </c>
      <c r="C17" s="454">
        <f>+'4.Segto Medición POA 2022 T4'!C73</f>
        <v>8</v>
      </c>
      <c r="D17" s="394">
        <f>COUNTIF('2.Infor Detallado Desempeño POA'!AC108:AC115,"=100%")</f>
        <v>0</v>
      </c>
      <c r="E17" s="395">
        <f>COUNTIF('2.Infor Detallado Desempeño POA'!AC108:AC115,"&gt;100%")</f>
        <v>0</v>
      </c>
      <c r="F17" s="452">
        <f>COUNTIF('2.Infor Detallado Desempeño POA'!AC108:AC115,"&lt;100%")</f>
        <v>8</v>
      </c>
      <c r="G17" s="450">
        <f>COUNTIF('2.Infor Detallado Desempeño POA'!AC108:AC115,"=No programado")</f>
        <v>0</v>
      </c>
      <c r="H17" s="392">
        <f t="shared" si="1"/>
        <v>8</v>
      </c>
      <c r="I17" s="393">
        <f t="shared" si="0"/>
        <v>0</v>
      </c>
    </row>
    <row r="18" spans="2:9" ht="16.5" customHeight="1">
      <c r="B18" s="375" t="s">
        <v>688</v>
      </c>
      <c r="C18" s="454">
        <f>+'4.Segto Medición POA 2022 T4'!C74</f>
        <v>2</v>
      </c>
      <c r="D18" s="394">
        <f>COUNTIF('2.Infor Detallado Desempeño POA'!AC121:AC122,"=100%")</f>
        <v>0</v>
      </c>
      <c r="E18" s="395">
        <f>COUNTIF('2.Infor Detallado Desempeño POA'!AC121:AC122,"&gt;100%")</f>
        <v>0</v>
      </c>
      <c r="F18" s="452">
        <f>COUNTIF('2.Infor Detallado Desempeño POA'!AC121:AC122,"&lt;100%")</f>
        <v>2</v>
      </c>
      <c r="G18" s="450">
        <f>COUNTIF('2.Infor Detallado Desempeño POA'!AC121:AC122,"=No programado")</f>
        <v>0</v>
      </c>
      <c r="H18" s="392">
        <f t="shared" si="1"/>
        <v>2</v>
      </c>
      <c r="I18" s="393">
        <f t="shared" si="0"/>
        <v>0</v>
      </c>
    </row>
    <row r="19" spans="2:9">
      <c r="B19" s="375" t="s">
        <v>689</v>
      </c>
      <c r="C19" s="454">
        <f>+'4.Segto Medición POA 2022 T4'!C75</f>
        <v>3</v>
      </c>
      <c r="D19" s="394">
        <f>COUNTIF('2.Infor Detallado Desempeño POA'!AC128:AC130,"=100%")</f>
        <v>0</v>
      </c>
      <c r="E19" s="395">
        <f>COUNTIF('2.Infor Detallado Desempeño POA'!AC128:AC130,"&gt;100%")</f>
        <v>0</v>
      </c>
      <c r="F19" s="452">
        <f>COUNTIF('2.Infor Detallado Desempeño POA'!AC128:AC130,"&lt;100%")</f>
        <v>3</v>
      </c>
      <c r="G19" s="450">
        <f>COUNTIF('2.Infor Detallado Desempeño POA'!AC128:AC130,"=No programado")</f>
        <v>0</v>
      </c>
      <c r="H19" s="392">
        <f t="shared" si="1"/>
        <v>3</v>
      </c>
      <c r="I19" s="393">
        <f t="shared" si="0"/>
        <v>0</v>
      </c>
    </row>
    <row r="20" spans="2:9">
      <c r="B20" s="375" t="s">
        <v>690</v>
      </c>
      <c r="C20" s="454">
        <f>+'4.Segto Medición POA 2022 T4'!C76</f>
        <v>4</v>
      </c>
      <c r="D20" s="394">
        <f>COUNTIF('2.Infor Detallado Desempeño POA'!AC136:AC139,"=100%")</f>
        <v>0</v>
      </c>
      <c r="E20" s="395">
        <f>COUNTIF('2.Infor Detallado Desempeño POA'!AC136:AC139,"&gt;100%")</f>
        <v>0</v>
      </c>
      <c r="F20" s="452">
        <f>COUNTIF('2.Infor Detallado Desempeño POA'!AC136:AC139,"&lt;100%")</f>
        <v>3</v>
      </c>
      <c r="G20" s="450">
        <f>COUNTIF('2.Infor Detallado Desempeño POA'!AC136:AC139,"=No programado")</f>
        <v>1</v>
      </c>
      <c r="H20" s="392">
        <f t="shared" si="1"/>
        <v>4</v>
      </c>
      <c r="I20" s="393">
        <f t="shared" si="0"/>
        <v>0</v>
      </c>
    </row>
    <row r="21" spans="2:9">
      <c r="B21" s="375" t="s">
        <v>691</v>
      </c>
      <c r="C21" s="454">
        <f>+'4.Segto Medición POA 2022 T4'!C77</f>
        <v>4</v>
      </c>
      <c r="D21" s="394">
        <f>COUNTIF('2.Infor Detallado Desempeño POA'!AC145:AC148,"=100%")</f>
        <v>0</v>
      </c>
      <c r="E21" s="395">
        <f>COUNTIF('2.Infor Detallado Desempeño POA'!AC145:AC148,"&gt;100%")</f>
        <v>0</v>
      </c>
      <c r="F21" s="452">
        <f>COUNTIF('2.Infor Detallado Desempeño POA'!AC145:AC148,"&lt;100%")</f>
        <v>4</v>
      </c>
      <c r="G21" s="450">
        <f>COUNTIF('2.Infor Detallado Desempeño POA'!AC145:AC148,"=No programado")</f>
        <v>0</v>
      </c>
      <c r="H21" s="392">
        <f t="shared" si="1"/>
        <v>4</v>
      </c>
      <c r="I21" s="393">
        <f t="shared" si="0"/>
        <v>0</v>
      </c>
    </row>
    <row r="22" spans="2:9">
      <c r="B22" s="375" t="s">
        <v>692</v>
      </c>
      <c r="C22" s="454">
        <f>+'4.Segto Medición POA 2022 T4'!C78</f>
        <v>5</v>
      </c>
      <c r="D22" s="394">
        <f>COUNTIF('2.Infor Detallado Desempeño POA'!AC154:AC158,"=100%")</f>
        <v>0</v>
      </c>
      <c r="E22" s="395">
        <f>COUNTIF('2.Infor Detallado Desempeño POA'!AC154:AC158,"&gt;100%")</f>
        <v>0</v>
      </c>
      <c r="F22" s="452">
        <f>COUNTIF('2.Infor Detallado Desempeño POA'!AC154:AC158,"&lt;100%")</f>
        <v>5</v>
      </c>
      <c r="G22" s="450">
        <f>COUNTIF('2.Infor Detallado Desempeño POA'!AC154:AC158,"=No programado")</f>
        <v>0</v>
      </c>
      <c r="H22" s="392">
        <f t="shared" si="1"/>
        <v>5</v>
      </c>
      <c r="I22" s="393">
        <f t="shared" si="0"/>
        <v>0</v>
      </c>
    </row>
    <row r="23" spans="2:9">
      <c r="B23" s="375" t="s">
        <v>694</v>
      </c>
      <c r="C23" s="454">
        <f>+'4.Segto Medición POA 2022 T4'!C79</f>
        <v>3</v>
      </c>
      <c r="D23" s="394">
        <f>COUNTIF('2.Infor Detallado Desempeño POA'!AC164:AC166,"=100%")</f>
        <v>0</v>
      </c>
      <c r="E23" s="395">
        <f>COUNTIF('2.Infor Detallado Desempeño POA'!AC164:AC166,"&gt;100%")</f>
        <v>0</v>
      </c>
      <c r="F23" s="452">
        <f>COUNTIF('2.Infor Detallado Desempeño POA'!AC164:AC166,"&lt;100%")</f>
        <v>3</v>
      </c>
      <c r="G23" s="450">
        <f>COUNTIF('2.Infor Detallado Desempeño POA'!AC164:AC166,"=No programado")</f>
        <v>0</v>
      </c>
      <c r="H23" s="392">
        <f t="shared" si="1"/>
        <v>3</v>
      </c>
      <c r="I23" s="393">
        <f t="shared" si="0"/>
        <v>0</v>
      </c>
    </row>
    <row r="24" spans="2:9">
      <c r="B24" s="375" t="s">
        <v>695</v>
      </c>
      <c r="C24" s="454">
        <f>+'4.Segto Medición POA 2022 T4'!C80</f>
        <v>3</v>
      </c>
      <c r="D24" s="394">
        <f>COUNTIF('2.Infor Detallado Desempeño POA'!AC172:AC174,"=100%")</f>
        <v>0</v>
      </c>
      <c r="E24" s="395">
        <f>COUNTIF('2.Infor Detallado Desempeño POA'!AC172:AC174,"&gt;100%")</f>
        <v>0</v>
      </c>
      <c r="F24" s="452">
        <f>COUNTIF('2.Infor Detallado Desempeño POA'!AC172:AC174,"&lt;100%")</f>
        <v>2</v>
      </c>
      <c r="G24" s="450">
        <f>COUNTIF('2.Infor Detallado Desempeño POA'!AC172:AC174,"=No programado")</f>
        <v>1</v>
      </c>
      <c r="H24" s="392">
        <f t="shared" si="1"/>
        <v>3</v>
      </c>
      <c r="I24" s="393">
        <f t="shared" si="0"/>
        <v>0</v>
      </c>
    </row>
    <row r="25" spans="2:9" ht="19.5" customHeight="1">
      <c r="B25" s="406" t="s">
        <v>847</v>
      </c>
      <c r="C25" s="407">
        <f>SUM(C9:C24)</f>
        <v>87</v>
      </c>
      <c r="D25" s="408">
        <f t="shared" ref="D25:E25" si="2">SUM(D9:D24)</f>
        <v>0</v>
      </c>
      <c r="E25" s="409">
        <f t="shared" si="2"/>
        <v>0</v>
      </c>
      <c r="F25" s="453">
        <f>SUM(F9:F24)</f>
        <v>75</v>
      </c>
      <c r="G25" s="451">
        <f>SUM(G9:G24)</f>
        <v>12</v>
      </c>
      <c r="H25" s="392">
        <f>SUM(D25:G25)</f>
        <v>87</v>
      </c>
      <c r="I25" s="393">
        <f t="shared" si="0"/>
        <v>0</v>
      </c>
    </row>
    <row r="27" spans="2:9" s="459" customFormat="1" ht="2.4" customHeight="1">
      <c r="C27" s="463"/>
      <c r="D27" s="667" t="str">
        <f>+D8</f>
        <v>No de Indicadores con Meta Cumplida según programación</v>
      </c>
      <c r="E27" s="668">
        <f>+D25</f>
        <v>0</v>
      </c>
      <c r="H27" s="460"/>
    </row>
    <row r="28" spans="2:9" s="459" customFormat="1" ht="2.4" customHeight="1">
      <c r="C28" s="463"/>
      <c r="D28" s="667" t="str">
        <f>+E8</f>
        <v xml:space="preserve">No de Indicadores con ejecución superior a la programada </v>
      </c>
      <c r="E28" s="668">
        <f>+E25</f>
        <v>0</v>
      </c>
      <c r="H28" s="460"/>
    </row>
    <row r="29" spans="2:9" s="459" customFormat="1" ht="2.4" customHeight="1">
      <c r="C29" s="463"/>
      <c r="D29" s="667" t="str">
        <f>+F8</f>
        <v xml:space="preserve">No de Indicadores con ejecución menor a la programada </v>
      </c>
      <c r="E29" s="668">
        <f>+F25</f>
        <v>75</v>
      </c>
      <c r="H29" s="460"/>
    </row>
    <row r="30" spans="2:9" s="459" customFormat="1" ht="2.4" customHeight="1">
      <c r="C30" s="463"/>
      <c r="D30" s="667" t="str">
        <f>+G8</f>
        <v>No de indicadores sin programar en el periodo</v>
      </c>
      <c r="E30" s="668">
        <f>+G25</f>
        <v>12</v>
      </c>
      <c r="H30" s="460"/>
    </row>
    <row r="31" spans="2:9" s="459" customFormat="1">
      <c r="C31" s="460"/>
      <c r="D31" s="460"/>
      <c r="E31" s="460"/>
      <c r="H31" s="460"/>
    </row>
    <row r="32" spans="2:9" s="459" customFormat="1">
      <c r="C32" s="460"/>
      <c r="D32" s="460"/>
      <c r="E32" s="460"/>
      <c r="H32" s="460"/>
    </row>
    <row r="33" spans="2:9" s="459" customFormat="1" hidden="1">
      <c r="C33" s="460"/>
      <c r="D33" s="460"/>
      <c r="E33" s="460"/>
      <c r="H33" s="460"/>
    </row>
    <row r="34" spans="2:9" s="462" customFormat="1" ht="10.199999999999999" hidden="1" customHeight="1">
      <c r="C34" s="463"/>
      <c r="D34" s="1248" t="str">
        <f>+C7</f>
        <v>CUMPLIMIENTO PROGRAMACIÓN EN EL PERIODO 
Tercer Trimestre de 2022</v>
      </c>
      <c r="E34" s="1248"/>
      <c r="H34" s="463"/>
    </row>
    <row r="35" spans="2:9" s="462" customFormat="1" ht="28.2" customHeight="1">
      <c r="B35" s="1201" t="s">
        <v>671</v>
      </c>
      <c r="C35" s="1249" t="s">
        <v>1068</v>
      </c>
      <c r="D35" s="1250"/>
      <c r="E35" s="1250"/>
      <c r="F35" s="1250"/>
      <c r="G35" s="1251"/>
      <c r="H35" s="463"/>
    </row>
    <row r="36" spans="2:9" s="462" customFormat="1" ht="29.4" customHeight="1">
      <c r="B36" s="1201"/>
      <c r="C36" s="1260" t="s">
        <v>1074</v>
      </c>
      <c r="D36" s="1261"/>
      <c r="E36" s="1252">
        <f>C5</f>
        <v>44834</v>
      </c>
      <c r="F36" s="1252"/>
      <c r="G36" s="760"/>
      <c r="H36" s="463"/>
    </row>
    <row r="37" spans="2:9" s="462" customFormat="1" ht="77.25" customHeight="1">
      <c r="B37" s="1201"/>
      <c r="C37" s="449" t="s">
        <v>849</v>
      </c>
      <c r="D37" s="449" t="s">
        <v>850</v>
      </c>
      <c r="E37" s="449" t="s">
        <v>851</v>
      </c>
      <c r="F37" s="449" t="s">
        <v>858</v>
      </c>
      <c r="G37" s="418" t="s">
        <v>877</v>
      </c>
      <c r="H37" s="463"/>
    </row>
    <row r="38" spans="2:9" s="462" customFormat="1" ht="19.95" customHeight="1">
      <c r="B38" s="375" t="s">
        <v>678</v>
      </c>
      <c r="C38" s="454">
        <f>+C64</f>
        <v>4</v>
      </c>
      <c r="D38" s="394">
        <f>COUNTIF('2.Infor Detallado Desempeño POA'!AD13:AD16,"&gt;=99%")-COUNTIF('2.Infor Detallado Desempeño POA'!AD13:AD16,"&gt;100%")</f>
        <v>0</v>
      </c>
      <c r="E38" s="395">
        <f>COUNTIF('2.Infor Detallado Desempeño POA'!AD13:AD16,"&gt;100%")</f>
        <v>0</v>
      </c>
      <c r="F38" s="452">
        <f>COUNTIF('2.Infor Detallado Desempeño POA'!AD13:AD16,"&lt;99%")</f>
        <v>4</v>
      </c>
      <c r="G38" s="450">
        <f>COUNTIF('2.Infor Detallado Desempeño POA'!AD13:AD16,"=No programado")</f>
        <v>0</v>
      </c>
      <c r="H38" s="392">
        <f>SUM(D38:G38)</f>
        <v>4</v>
      </c>
      <c r="I38" s="393">
        <f t="shared" ref="I38:I54" si="3">C38-H38</f>
        <v>0</v>
      </c>
    </row>
    <row r="39" spans="2:9" s="462" customFormat="1" ht="19.95" customHeight="1">
      <c r="B39" s="375" t="s">
        <v>680</v>
      </c>
      <c r="C39" s="454">
        <f t="shared" ref="C39:C53" si="4">+C65</f>
        <v>4</v>
      </c>
      <c r="D39" s="394">
        <f>COUNTIF('2.Infor Detallado Desempeño POA'!AD22:AD25,"&gt;=99%")-COUNTIF('2.Infor Detallado Desempeño POA'!AD22:AD25,"&gt;100%")</f>
        <v>0</v>
      </c>
      <c r="E39" s="395">
        <f>COUNTIF('2.Infor Detallado Desempeño POA'!AD22:AD25,"&gt;100%")</f>
        <v>0</v>
      </c>
      <c r="F39" s="452">
        <f>COUNTIF('2.Infor Detallado Desempeño POA'!AD22:AD25,"&lt;99%")</f>
        <v>2</v>
      </c>
      <c r="G39" s="450">
        <f>COUNTIF('2.Infor Detallado Desempeño POA'!AD22:AD25,"=No programado")</f>
        <v>2</v>
      </c>
      <c r="H39" s="392">
        <f t="shared" ref="H39:H40" si="5">SUM(D39:G39)</f>
        <v>4</v>
      </c>
      <c r="I39" s="393">
        <f t="shared" si="3"/>
        <v>0</v>
      </c>
    </row>
    <row r="40" spans="2:9" s="462" customFormat="1" ht="19.95" customHeight="1">
      <c r="B40" s="375" t="s">
        <v>681</v>
      </c>
      <c r="C40" s="454">
        <f t="shared" si="4"/>
        <v>7</v>
      </c>
      <c r="D40" s="394">
        <f>COUNTIF('2.Infor Detallado Desempeño POA'!AD31:AD37,"&gt;=99%")-COUNTIF('2.Infor Detallado Desempeño POA'!AD31:AD37,"&gt;100%")</f>
        <v>0</v>
      </c>
      <c r="E40" s="395">
        <f>COUNTIF('2.Infor Detallado Desempeño POA'!AD31:AD37,"&gt;100%")</f>
        <v>0</v>
      </c>
      <c r="F40" s="452">
        <f>COUNTIF('2.Infor Detallado Desempeño POA'!AD31:AD37,"&lt;99%")</f>
        <v>7</v>
      </c>
      <c r="G40" s="450">
        <f>COUNTIF('2.Infor Detallado Desempeño POA'!AD31:AD37,"=No programado")</f>
        <v>0</v>
      </c>
      <c r="H40" s="392">
        <f t="shared" si="5"/>
        <v>7</v>
      </c>
      <c r="I40" s="393">
        <f t="shared" si="3"/>
        <v>0</v>
      </c>
    </row>
    <row r="41" spans="2:9" s="462" customFormat="1" ht="19.95" customHeight="1">
      <c r="B41" s="375" t="s">
        <v>682</v>
      </c>
      <c r="C41" s="454">
        <f t="shared" si="4"/>
        <v>2</v>
      </c>
      <c r="D41" s="394">
        <f>COUNTIF('2.Infor Detallado Desempeño POA'!AD43:AD44,"&gt;=99%")-COUNTIF('2.Infor Detallado Desempeño POA'!AD43:AD44,"&gt;100%")</f>
        <v>0</v>
      </c>
      <c r="E41" s="395">
        <f>COUNTIF('2.Infor Detallado Desempeño POA'!AD43:AD44,"&gt;100%")</f>
        <v>0</v>
      </c>
      <c r="F41" s="452">
        <f>COUNTIF('2.Infor Detallado Desempeño POA'!AD43:AD44,"&lt;99%")</f>
        <v>2</v>
      </c>
      <c r="G41" s="450">
        <f>COUNTIF('2.Infor Detallado Desempeño POA'!AD43:AD44,"=No programado")</f>
        <v>0</v>
      </c>
      <c r="H41" s="392">
        <f>SUM(D41:G41)</f>
        <v>2</v>
      </c>
      <c r="I41" s="393">
        <f t="shared" si="3"/>
        <v>0</v>
      </c>
    </row>
    <row r="42" spans="2:9" s="462" customFormat="1" ht="19.95" customHeight="1">
      <c r="B42" s="375" t="s">
        <v>693</v>
      </c>
      <c r="C42" s="454">
        <f t="shared" si="4"/>
        <v>3</v>
      </c>
      <c r="D42" s="394">
        <f>COUNTIF('2.Infor Detallado Desempeño POA'!AD50:AD52,"&gt;=99%")-COUNTIF('2.Infor Detallado Desempeño POA'!AD50:AD52,"&gt;100%")</f>
        <v>1</v>
      </c>
      <c r="E42" s="395">
        <f>COUNTIF('2.Infor Detallado Desempeño POA'!AD50:AD52,"&gt;100%")</f>
        <v>0</v>
      </c>
      <c r="F42" s="452">
        <f>COUNTIF('2.Infor Detallado Desempeño POA'!AD50:AD52,"&lt;99%")</f>
        <v>1</v>
      </c>
      <c r="G42" s="450">
        <f>COUNTIF('2.Infor Detallado Desempeño POA'!AD50:AD52,"=No programado")</f>
        <v>1</v>
      </c>
      <c r="H42" s="392">
        <f t="shared" ref="H42:H53" si="6">SUM(D42:G42)</f>
        <v>3</v>
      </c>
      <c r="I42" s="393">
        <f t="shared" si="3"/>
        <v>0</v>
      </c>
    </row>
    <row r="43" spans="2:9" s="462" customFormat="1" ht="19.95" customHeight="1">
      <c r="B43" s="375" t="s">
        <v>683</v>
      </c>
      <c r="C43" s="454">
        <f t="shared" si="4"/>
        <v>20</v>
      </c>
      <c r="D43" s="394">
        <f>COUNTIF('2.Infor Detallado Desempeño POA'!AD58:AD77,"&gt;=99%")-COUNTIF('2.Infor Detallado Desempeño POA'!AD58:AD77,"&gt;100%")</f>
        <v>1</v>
      </c>
      <c r="E43" s="395">
        <f>COUNTIF('2.Infor Detallado Desempeño POA'!AD58:AD77,"&gt;100%")</f>
        <v>2</v>
      </c>
      <c r="F43" s="452">
        <f>COUNTIF('2.Infor Detallado Desempeño POA'!AD58:AD77,"&lt;99%")</f>
        <v>15</v>
      </c>
      <c r="G43" s="450">
        <f>COUNTIF('2.Infor Detallado Desempeño POA'!AD58:AD77,"=No programado")</f>
        <v>2</v>
      </c>
      <c r="H43" s="392">
        <f t="shared" si="6"/>
        <v>20</v>
      </c>
      <c r="I43" s="393">
        <f t="shared" si="3"/>
        <v>0</v>
      </c>
    </row>
    <row r="44" spans="2:9" s="462" customFormat="1" ht="19.95" customHeight="1">
      <c r="B44" s="375" t="s">
        <v>818</v>
      </c>
      <c r="C44" s="454">
        <f t="shared" si="4"/>
        <v>7</v>
      </c>
      <c r="D44" s="394">
        <f>COUNTIF('2.Infor Detallado Desempeño POA'!AD83:AD89,"&gt;=99%")-COUNTIF('2.Infor Detallado Desempeño POA'!AD83:AD89,"&gt;100%")</f>
        <v>2</v>
      </c>
      <c r="E44" s="395">
        <f>COUNTIF('2.Infor Detallado Desempeño POA'!AD83:AD89,"&gt;100%")</f>
        <v>0</v>
      </c>
      <c r="F44" s="452">
        <f>COUNTIF('2.Infor Detallado Desempeño POA'!AD83:AD89,"&lt;99%")</f>
        <v>5</v>
      </c>
      <c r="G44" s="450">
        <f>COUNTIF('2.Infor Detallado Desempeño POA'!AD83:AD89,"=No programado")</f>
        <v>0</v>
      </c>
      <c r="H44" s="392">
        <f t="shared" si="6"/>
        <v>7</v>
      </c>
      <c r="I44" s="393">
        <f t="shared" si="3"/>
        <v>0</v>
      </c>
    </row>
    <row r="45" spans="2:9" s="462" customFormat="1" ht="19.95" customHeight="1">
      <c r="B45" s="375" t="s">
        <v>686</v>
      </c>
      <c r="C45" s="454">
        <f t="shared" si="4"/>
        <v>8</v>
      </c>
      <c r="D45" s="394">
        <f>COUNTIF('2.Infor Detallado Desempeño POA'!AD95:AD102,"&gt;=99%")-COUNTIF('2.Infor Detallado Desempeño POA'!AD95:AD102,"&gt;100%")</f>
        <v>1</v>
      </c>
      <c r="E45" s="395">
        <f>COUNTIF('2.Infor Detallado Desempeño POA'!AD95:AD102,"&gt;100%")</f>
        <v>1</v>
      </c>
      <c r="F45" s="452">
        <f>COUNTIF('2.Infor Detallado Desempeño POA'!AD95:AD102,"&lt;99%")</f>
        <v>5</v>
      </c>
      <c r="G45" s="450">
        <f>COUNTIF('2.Infor Detallado Desempeño POA'!AD95:AD102,"=No programado")</f>
        <v>1</v>
      </c>
      <c r="H45" s="392">
        <f t="shared" si="6"/>
        <v>8</v>
      </c>
      <c r="I45" s="393">
        <f t="shared" si="3"/>
        <v>0</v>
      </c>
    </row>
    <row r="46" spans="2:9" s="462" customFormat="1" ht="19.95" customHeight="1">
      <c r="B46" s="375" t="s">
        <v>687</v>
      </c>
      <c r="C46" s="454">
        <f t="shared" si="4"/>
        <v>8</v>
      </c>
      <c r="D46" s="394">
        <f>COUNTIF('2.Infor Detallado Desempeño POA'!AD108:AD115,"&gt;=99%")-COUNTIF('2.Infor Detallado Desempeño POA'!AD108:AD115,"&gt;100%")</f>
        <v>0</v>
      </c>
      <c r="E46" s="395">
        <f>COUNTIF('2.Infor Detallado Desempeño POA'!AD108:AD115,"&gt;100%")</f>
        <v>0</v>
      </c>
      <c r="F46" s="452">
        <f>COUNTIF('2.Infor Detallado Desempeño POA'!AD108:AD115,"&lt;99%")</f>
        <v>8</v>
      </c>
      <c r="G46" s="450">
        <f>COUNTIF('2.Infor Detallado Desempeño POA'!AD108:AD115,"=No programado")</f>
        <v>0</v>
      </c>
      <c r="H46" s="392">
        <f t="shared" si="6"/>
        <v>8</v>
      </c>
      <c r="I46" s="393">
        <f t="shared" si="3"/>
        <v>0</v>
      </c>
    </row>
    <row r="47" spans="2:9" s="462" customFormat="1" ht="19.95" customHeight="1">
      <c r="B47" s="375" t="s">
        <v>688</v>
      </c>
      <c r="C47" s="454">
        <f t="shared" si="4"/>
        <v>2</v>
      </c>
      <c r="D47" s="394">
        <f>COUNTIF('2.Infor Detallado Desempeño POA'!AD121:AD122,"&gt;=99%")-COUNTIF('2.Infor Detallado Desempeño POA'!AD121:AD122,"&gt;100%")</f>
        <v>0</v>
      </c>
      <c r="E47" s="395">
        <f>COUNTIF('2.Infor Detallado Desempeño POA'!AD121:AD122,"&gt;100%")</f>
        <v>0</v>
      </c>
      <c r="F47" s="452">
        <f>COUNTIF('2.Infor Detallado Desempeño POA'!AD121:AD122,"&lt;99%")</f>
        <v>2</v>
      </c>
      <c r="G47" s="450">
        <f>COUNTIF('2.Infor Detallado Desempeño POA'!AD121:AD122,"=No programado")</f>
        <v>0</v>
      </c>
      <c r="H47" s="392">
        <f t="shared" si="6"/>
        <v>2</v>
      </c>
      <c r="I47" s="393">
        <f t="shared" si="3"/>
        <v>0</v>
      </c>
    </row>
    <row r="48" spans="2:9" s="462" customFormat="1" ht="19.95" customHeight="1">
      <c r="B48" s="375" t="s">
        <v>689</v>
      </c>
      <c r="C48" s="454">
        <f t="shared" si="4"/>
        <v>3</v>
      </c>
      <c r="D48" s="394">
        <f>COUNTIF('2.Infor Detallado Desempeño POA'!AD128:AD130,"&gt;=99%")-COUNTIF('2.Infor Detallado Desempeño POA'!AD128:AD130,"&gt;100%")</f>
        <v>0</v>
      </c>
      <c r="E48" s="395">
        <f>COUNTIF('2.Infor Detallado Desempeño POA'!AD128:AD130,"&gt;100%")</f>
        <v>0</v>
      </c>
      <c r="F48" s="452">
        <f>COUNTIF('2.Infor Detallado Desempeño POA'!AD128:AD130,"&lt;99%")</f>
        <v>3</v>
      </c>
      <c r="G48" s="450">
        <f>COUNTIF('2.Infor Detallado Desempeño POA'!AD128:AD130,"=No programado")</f>
        <v>0</v>
      </c>
      <c r="H48" s="392">
        <f t="shared" si="6"/>
        <v>3</v>
      </c>
      <c r="I48" s="393">
        <f t="shared" si="3"/>
        <v>0</v>
      </c>
    </row>
    <row r="49" spans="2:17" s="462" customFormat="1" ht="19.95" customHeight="1">
      <c r="B49" s="375" t="s">
        <v>690</v>
      </c>
      <c r="C49" s="454">
        <f t="shared" si="4"/>
        <v>4</v>
      </c>
      <c r="D49" s="394">
        <f>COUNTIF('2.Infor Detallado Desempeño POA'!AD136:AD139,"&gt;=99%")-COUNTIF('2.Infor Detallado Desempeño POA'!AD136:AD139,"&gt;100%")</f>
        <v>0</v>
      </c>
      <c r="E49" s="395">
        <f>COUNTIF('2.Infor Detallado Desempeño POA'!AD136:AD139,"&gt;100%")</f>
        <v>1</v>
      </c>
      <c r="F49" s="452">
        <f>COUNTIF('2.Infor Detallado Desempeño POA'!AD136:AD139,"&lt;99%")</f>
        <v>3</v>
      </c>
      <c r="G49" s="450">
        <f>COUNTIF('2.Infor Detallado Desempeño POA'!AD136:AD139,"=No programado")</f>
        <v>0</v>
      </c>
      <c r="H49" s="392">
        <f t="shared" si="6"/>
        <v>4</v>
      </c>
      <c r="I49" s="393">
        <f t="shared" si="3"/>
        <v>0</v>
      </c>
    </row>
    <row r="50" spans="2:17" s="462" customFormat="1" ht="19.95" customHeight="1">
      <c r="B50" s="375" t="s">
        <v>691</v>
      </c>
      <c r="C50" s="454">
        <f t="shared" si="4"/>
        <v>4</v>
      </c>
      <c r="D50" s="394">
        <f>COUNTIF('2.Infor Detallado Desempeño POA'!AD145:AD148,"&gt;=99%")-COUNTIF('2.Infor Detallado Desempeño POA'!AD145:AD148,"&gt;100%")</f>
        <v>0</v>
      </c>
      <c r="E50" s="395">
        <f>COUNTIF('2.Infor Detallado Desempeño POA'!AD145:AD148,"&gt;100%")</f>
        <v>0</v>
      </c>
      <c r="F50" s="452">
        <f>COUNTIF('2.Infor Detallado Desempeño POA'!AD145:AD148,"&lt;99%")</f>
        <v>4</v>
      </c>
      <c r="G50" s="450">
        <f>COUNTIF('2.Infor Detallado Desempeño POA'!AD145:AD148,"=No programado")</f>
        <v>0</v>
      </c>
      <c r="H50" s="392">
        <f t="shared" si="6"/>
        <v>4</v>
      </c>
      <c r="I50" s="393">
        <f t="shared" si="3"/>
        <v>0</v>
      </c>
    </row>
    <row r="51" spans="2:17" s="462" customFormat="1" ht="19.95" customHeight="1">
      <c r="B51" s="375" t="s">
        <v>692</v>
      </c>
      <c r="C51" s="454">
        <f t="shared" si="4"/>
        <v>5</v>
      </c>
      <c r="D51" s="394">
        <f>COUNTIF('2.Infor Detallado Desempeño POA'!AD154:AD158,"&gt;=99%")-COUNTIF('2.Infor Detallado Desempeño POA'!AD154:AD158,"&gt;100%")</f>
        <v>0</v>
      </c>
      <c r="E51" s="395">
        <f>COUNTIF('2.Infor Detallado Desempeño POA'!AD154:AD158,"&gt;100%")</f>
        <v>0</v>
      </c>
      <c r="F51" s="452">
        <f>COUNTIF('2.Infor Detallado Desempeño POA'!AD154:AD158,"&lt;99%")</f>
        <v>5</v>
      </c>
      <c r="G51" s="450">
        <f>COUNTIF('2.Infor Detallado Desempeño POA'!AD154:AD158,"=No programado")</f>
        <v>0</v>
      </c>
      <c r="H51" s="392">
        <f t="shared" si="6"/>
        <v>5</v>
      </c>
      <c r="I51" s="393">
        <f t="shared" si="3"/>
        <v>0</v>
      </c>
    </row>
    <row r="52" spans="2:17" s="462" customFormat="1" ht="19.95" customHeight="1">
      <c r="B52" s="375" t="s">
        <v>694</v>
      </c>
      <c r="C52" s="454">
        <f t="shared" si="4"/>
        <v>3</v>
      </c>
      <c r="D52" s="394">
        <f>COUNTIF('2.Infor Detallado Desempeño POA'!AD164:AD166,"&gt;=99%")-COUNTIF('2.Infor Detallado Desempeño POA'!AD164:AD166,"&gt;100%")</f>
        <v>0</v>
      </c>
      <c r="E52" s="395">
        <f>COUNTIF('2.Infor Detallado Desempeño POA'!AD164:AD166,"&gt;100%")</f>
        <v>0</v>
      </c>
      <c r="F52" s="452">
        <f>COUNTIF('2.Infor Detallado Desempeño POA'!AD164:AD166,"&lt;99%")</f>
        <v>3</v>
      </c>
      <c r="G52" s="450">
        <f>COUNTIF('2.Infor Detallado Desempeño POA'!AD164:AD166,"=No programado")</f>
        <v>0</v>
      </c>
      <c r="H52" s="392">
        <f t="shared" si="6"/>
        <v>3</v>
      </c>
      <c r="I52" s="393">
        <f t="shared" si="3"/>
        <v>0</v>
      </c>
    </row>
    <row r="53" spans="2:17" s="462" customFormat="1" ht="19.95" customHeight="1">
      <c r="B53" s="375" t="s">
        <v>695</v>
      </c>
      <c r="C53" s="454">
        <f t="shared" si="4"/>
        <v>3</v>
      </c>
      <c r="D53" s="394">
        <f>COUNTIF('2.Infor Detallado Desempeño POA'!AD172:AD174,"&gt;=99%")-COUNTIF('2.Infor Detallado Desempeño POA'!AD172:AD174,"&gt;100%")</f>
        <v>1</v>
      </c>
      <c r="E53" s="395">
        <f>COUNTIF('2.Infor Detallado Desempeño POA'!AD172:AD174,"&gt;100%")</f>
        <v>0</v>
      </c>
      <c r="F53" s="452">
        <f>COUNTIF('2.Infor Detallado Desempeño POA'!AD172:AD174,"&lt;99%")</f>
        <v>2</v>
      </c>
      <c r="G53" s="450">
        <f>COUNTIF('2.Infor Detallado Desempeño POA'!AD172:AD174,"=No programado")</f>
        <v>0</v>
      </c>
      <c r="H53" s="392">
        <f t="shared" si="6"/>
        <v>3</v>
      </c>
      <c r="I53" s="393">
        <f t="shared" si="3"/>
        <v>0</v>
      </c>
    </row>
    <row r="54" spans="2:17" s="462" customFormat="1" ht="19.95" customHeight="1">
      <c r="B54" s="406" t="s">
        <v>847</v>
      </c>
      <c r="C54" s="407">
        <f>SUM(C38:C53)</f>
        <v>87</v>
      </c>
      <c r="D54" s="408">
        <f t="shared" ref="D54:E54" si="7">SUM(D38:D53)</f>
        <v>6</v>
      </c>
      <c r="E54" s="409">
        <f t="shared" si="7"/>
        <v>4</v>
      </c>
      <c r="F54" s="453">
        <f>SUM(F38:F53)</f>
        <v>71</v>
      </c>
      <c r="G54" s="451">
        <f>SUM(G38:G53)</f>
        <v>6</v>
      </c>
      <c r="H54" s="392">
        <f>SUM(D54:G54)</f>
        <v>87</v>
      </c>
      <c r="I54" s="393">
        <f t="shared" si="3"/>
        <v>0</v>
      </c>
    </row>
    <row r="55" spans="2:17" s="462" customFormat="1" ht="19.95" customHeight="1">
      <c r="B55" s="664"/>
      <c r="C55" s="666"/>
      <c r="D55" s="666"/>
      <c r="E55" s="666"/>
      <c r="F55" s="666"/>
      <c r="G55" s="666"/>
      <c r="H55" s="665"/>
      <c r="I55" s="393"/>
    </row>
    <row r="56" spans="2:17" s="462" customFormat="1" ht="3" customHeight="1">
      <c r="C56" s="669"/>
      <c r="D56" s="667" t="str">
        <f>+D37</f>
        <v>No de Indicadores con Meta Cumplida según programación</v>
      </c>
      <c r="E56" s="668">
        <f>+D54</f>
        <v>6</v>
      </c>
      <c r="F56" s="670"/>
      <c r="G56" s="671"/>
      <c r="H56" s="463"/>
    </row>
    <row r="57" spans="2:17" s="462" customFormat="1" ht="3" customHeight="1">
      <c r="C57" s="669"/>
      <c r="D57" s="667" t="str">
        <f>+E37</f>
        <v xml:space="preserve">No de Indicadores con ejecución superior a la programada </v>
      </c>
      <c r="E57" s="668">
        <f>+E54</f>
        <v>4</v>
      </c>
      <c r="F57" s="670"/>
      <c r="G57" s="671"/>
      <c r="H57" s="463"/>
    </row>
    <row r="58" spans="2:17" s="462" customFormat="1" ht="3" customHeight="1">
      <c r="C58" s="669"/>
      <c r="D58" s="667" t="str">
        <f>+F37</f>
        <v xml:space="preserve">No de Indicadores con ejecución menor a la programada </v>
      </c>
      <c r="E58" s="668">
        <f>+F54</f>
        <v>71</v>
      </c>
      <c r="F58" s="670"/>
      <c r="G58" s="671"/>
      <c r="H58" s="463"/>
    </row>
    <row r="59" spans="2:17" s="462" customFormat="1" ht="3" customHeight="1">
      <c r="C59" s="669"/>
      <c r="D59" s="667" t="str">
        <f>+G37</f>
        <v>No de indicadores sin programar en el periodo</v>
      </c>
      <c r="E59" s="668">
        <f>+G54</f>
        <v>6</v>
      </c>
      <c r="F59" s="670"/>
      <c r="G59" s="671"/>
      <c r="H59" s="463"/>
    </row>
    <row r="60" spans="2:17" s="462" customFormat="1" ht="10.199999999999999" customHeight="1">
      <c r="C60" s="463"/>
      <c r="D60" s="463"/>
      <c r="E60" s="464">
        <f>SUM(E27:E30)</f>
        <v>87</v>
      </c>
      <c r="F60" s="461"/>
      <c r="H60" s="463"/>
    </row>
    <row r="61" spans="2:17" ht="15.6" thickBot="1"/>
    <row r="62" spans="2:17" s="382" customFormat="1" ht="15.6">
      <c r="B62" s="1253" t="s">
        <v>704</v>
      </c>
      <c r="C62" s="1255" t="s">
        <v>845</v>
      </c>
      <c r="D62" s="1257" t="s">
        <v>846</v>
      </c>
      <c r="E62" s="1258"/>
      <c r="F62" s="1259"/>
      <c r="P62" s="370"/>
      <c r="Q62" s="370"/>
    </row>
    <row r="63" spans="2:17" ht="33" customHeight="1">
      <c r="B63" s="1254"/>
      <c r="C63" s="1256"/>
      <c r="D63" s="383" t="s">
        <v>713</v>
      </c>
      <c r="E63" s="383" t="s">
        <v>717</v>
      </c>
      <c r="F63" s="384" t="s">
        <v>721</v>
      </c>
      <c r="H63" s="370"/>
    </row>
    <row r="64" spans="2:17">
      <c r="B64" s="385" t="s">
        <v>678</v>
      </c>
      <c r="C64" s="386">
        <f>+'3.Resum Desemp Procesos POA T1'!C41</f>
        <v>4</v>
      </c>
      <c r="D64" s="386">
        <f>+'Rango indicadores'!E111</f>
        <v>4</v>
      </c>
      <c r="E64" s="386">
        <f>+'Rango indicadores'!F111</f>
        <v>0</v>
      </c>
      <c r="F64" s="387">
        <f>+'Rango indicadores'!G111</f>
        <v>0</v>
      </c>
      <c r="H64" s="370"/>
    </row>
    <row r="65" spans="2:8">
      <c r="B65" s="385" t="s">
        <v>680</v>
      </c>
      <c r="C65" s="386">
        <f>+'3.Resum Desemp Procesos POA T1'!C42</f>
        <v>4</v>
      </c>
      <c r="D65" s="386">
        <f>+'Rango indicadores'!E112</f>
        <v>4</v>
      </c>
      <c r="E65" s="386">
        <f>+'Rango indicadores'!F112</f>
        <v>0</v>
      </c>
      <c r="F65" s="387">
        <f>+'Rango indicadores'!G112</f>
        <v>0</v>
      </c>
      <c r="H65" s="370"/>
    </row>
    <row r="66" spans="2:8">
      <c r="B66" s="385" t="s">
        <v>681</v>
      </c>
      <c r="C66" s="386">
        <f>+'3.Resum Desemp Procesos POA T1'!C43</f>
        <v>7</v>
      </c>
      <c r="D66" s="386">
        <f>+'Rango indicadores'!E113</f>
        <v>7</v>
      </c>
      <c r="E66" s="386">
        <f>+'Rango indicadores'!F113</f>
        <v>0</v>
      </c>
      <c r="F66" s="387">
        <f>+'Rango indicadores'!G113</f>
        <v>0</v>
      </c>
      <c r="H66" s="370"/>
    </row>
    <row r="67" spans="2:8">
      <c r="B67" s="385" t="s">
        <v>682</v>
      </c>
      <c r="C67" s="386">
        <f>+'3.Resum Desemp Procesos POA T1'!C44</f>
        <v>2</v>
      </c>
      <c r="D67" s="386">
        <f>+'Rango indicadores'!E114</f>
        <v>2</v>
      </c>
      <c r="E67" s="386">
        <f>+'Rango indicadores'!F114</f>
        <v>0</v>
      </c>
      <c r="F67" s="387">
        <f>+'Rango indicadores'!G114</f>
        <v>0</v>
      </c>
      <c r="H67" s="370"/>
    </row>
    <row r="68" spans="2:8">
      <c r="B68" s="385" t="s">
        <v>693</v>
      </c>
      <c r="C68" s="386">
        <f>+'3.Resum Desemp Procesos POA T1'!C45</f>
        <v>3</v>
      </c>
      <c r="D68" s="386">
        <f>+'Rango indicadores'!E124</f>
        <v>3</v>
      </c>
      <c r="E68" s="386">
        <f>+'Rango indicadores'!F115</f>
        <v>0</v>
      </c>
      <c r="F68" s="387">
        <f>+'Rango indicadores'!G115</f>
        <v>0</v>
      </c>
      <c r="H68" s="370"/>
    </row>
    <row r="69" spans="2:8">
      <c r="B69" s="385" t="s">
        <v>683</v>
      </c>
      <c r="C69" s="386">
        <f>+'3.Resum Desemp Procesos POA T1'!C47</f>
        <v>20</v>
      </c>
      <c r="D69" s="386">
        <f>+'Rango indicadores'!E115</f>
        <v>20</v>
      </c>
      <c r="E69" s="386">
        <f>+'Rango indicadores'!F116</f>
        <v>0</v>
      </c>
      <c r="F69" s="387">
        <f>+'Rango indicadores'!G116</f>
        <v>0</v>
      </c>
      <c r="H69" s="370"/>
    </row>
    <row r="70" spans="2:8">
      <c r="B70" s="385" t="s">
        <v>818</v>
      </c>
      <c r="C70" s="386">
        <f>+'3.Resum Desemp Procesos POA T1'!C48</f>
        <v>7</v>
      </c>
      <c r="D70" s="386">
        <f>+'Rango indicadores'!E116</f>
        <v>7</v>
      </c>
      <c r="E70" s="386">
        <f>+'Rango indicadores'!F117</f>
        <v>0</v>
      </c>
      <c r="F70" s="387">
        <f>+'Rango indicadores'!G117</f>
        <v>0</v>
      </c>
      <c r="H70" s="370"/>
    </row>
    <row r="71" spans="2:8">
      <c r="B71" s="385" t="s">
        <v>686</v>
      </c>
      <c r="C71" s="386">
        <f>+'3.Resum Desemp Procesos POA T1'!C49</f>
        <v>8</v>
      </c>
      <c r="D71" s="386">
        <f>+'Rango indicadores'!E117</f>
        <v>8</v>
      </c>
      <c r="E71" s="386">
        <f>+'Rango indicadores'!F118</f>
        <v>0</v>
      </c>
      <c r="F71" s="387">
        <f>+'Rango indicadores'!G118</f>
        <v>1</v>
      </c>
      <c r="H71" s="370"/>
    </row>
    <row r="72" spans="2:8">
      <c r="B72" s="385" t="s">
        <v>687</v>
      </c>
      <c r="C72" s="386">
        <f>+'3.Resum Desemp Procesos POA T1'!C51</f>
        <v>8</v>
      </c>
      <c r="D72" s="386">
        <f>+'Rango indicadores'!E118</f>
        <v>7</v>
      </c>
      <c r="E72" s="386">
        <f>+'Rango indicadores'!F119</f>
        <v>0</v>
      </c>
      <c r="F72" s="387">
        <f>+'Rango indicadores'!G119</f>
        <v>0</v>
      </c>
      <c r="H72" s="370"/>
    </row>
    <row r="73" spans="2:8">
      <c r="B73" s="385" t="s">
        <v>688</v>
      </c>
      <c r="C73" s="386">
        <f>+'3.Resum Desemp Procesos POA T1'!C52</f>
        <v>2</v>
      </c>
      <c r="D73" s="386">
        <f>+'Rango indicadores'!E119</f>
        <v>2</v>
      </c>
      <c r="E73" s="386">
        <f>+'Rango indicadores'!F120</f>
        <v>0</v>
      </c>
      <c r="F73" s="387">
        <f>+'Rango indicadores'!G120</f>
        <v>0</v>
      </c>
      <c r="H73" s="370"/>
    </row>
    <row r="74" spans="2:8">
      <c r="B74" s="385" t="s">
        <v>689</v>
      </c>
      <c r="C74" s="386">
        <f>+'3.Resum Desemp Procesos POA T1'!C53</f>
        <v>3</v>
      </c>
      <c r="D74" s="386">
        <f>+'Rango indicadores'!E120</f>
        <v>3</v>
      </c>
      <c r="E74" s="386">
        <f>+'Rango indicadores'!F121</f>
        <v>3</v>
      </c>
      <c r="F74" s="387">
        <f>+'Rango indicadores'!G121</f>
        <v>0</v>
      </c>
      <c r="H74" s="370"/>
    </row>
    <row r="75" spans="2:8">
      <c r="B75" s="385" t="s">
        <v>690</v>
      </c>
      <c r="C75" s="386">
        <f>+'3.Resum Desemp Procesos POA T1'!C54</f>
        <v>4</v>
      </c>
      <c r="D75" s="386">
        <f>+'Rango indicadores'!E121</f>
        <v>1</v>
      </c>
      <c r="E75" s="386">
        <f>+'Rango indicadores'!F122</f>
        <v>1</v>
      </c>
      <c r="F75" s="387">
        <f>+'Rango indicadores'!G122</f>
        <v>0</v>
      </c>
      <c r="H75" s="370"/>
    </row>
    <row r="76" spans="2:8">
      <c r="B76" s="385" t="s">
        <v>691</v>
      </c>
      <c r="C76" s="386">
        <f>+'3.Resum Desemp Procesos POA T1'!C55</f>
        <v>4</v>
      </c>
      <c r="D76" s="386">
        <f>+'Rango indicadores'!E122</f>
        <v>3</v>
      </c>
      <c r="E76" s="386">
        <f>+'Rango indicadores'!F123</f>
        <v>0</v>
      </c>
      <c r="F76" s="387">
        <f>+'Rango indicadores'!G123</f>
        <v>0</v>
      </c>
      <c r="H76" s="370"/>
    </row>
    <row r="77" spans="2:8">
      <c r="B77" s="385" t="s">
        <v>692</v>
      </c>
      <c r="C77" s="386">
        <f>+'3.Resum Desemp Procesos POA T1'!C56</f>
        <v>5</v>
      </c>
      <c r="D77" s="386">
        <f>+'Rango indicadores'!E123</f>
        <v>5</v>
      </c>
      <c r="E77" s="386">
        <f>+'Rango indicadores'!F124</f>
        <v>0</v>
      </c>
      <c r="F77" s="387">
        <f>+'Rango indicadores'!G124</f>
        <v>0</v>
      </c>
      <c r="H77" s="370"/>
    </row>
    <row r="78" spans="2:8">
      <c r="B78" s="385" t="s">
        <v>694</v>
      </c>
      <c r="C78" s="386">
        <f>+'3.Resum Desemp Procesos POA T1'!C58</f>
        <v>3</v>
      </c>
      <c r="D78" s="386">
        <f>+'Rango indicadores'!E124</f>
        <v>3</v>
      </c>
      <c r="E78" s="386">
        <f>+'Rango indicadores'!F125</f>
        <v>0</v>
      </c>
      <c r="F78" s="387">
        <f>+'Rango indicadores'!G125</f>
        <v>0</v>
      </c>
      <c r="H78" s="370"/>
    </row>
    <row r="79" spans="2:8">
      <c r="B79" s="385" t="s">
        <v>695</v>
      </c>
      <c r="C79" s="386">
        <f>+'3.Resum Desemp Procesos POA T1'!C59</f>
        <v>3</v>
      </c>
      <c r="D79" s="386">
        <f>+'Rango indicadores'!E125</f>
        <v>3</v>
      </c>
      <c r="E79" s="386">
        <f>+'Rango indicadores'!F126</f>
        <v>0</v>
      </c>
      <c r="F79" s="387">
        <f>+'Rango indicadores'!G126</f>
        <v>0</v>
      </c>
      <c r="H79" s="370"/>
    </row>
    <row r="80" spans="2:8" ht="16.2" thickBot="1">
      <c r="B80" s="388" t="s">
        <v>847</v>
      </c>
      <c r="C80" s="389">
        <f>SUM(C64:C79)</f>
        <v>87</v>
      </c>
      <c r="D80" s="389">
        <f>SUM(D64:D79)</f>
        <v>82</v>
      </c>
      <c r="E80" s="389">
        <f>SUM(E64:E79)</f>
        <v>4</v>
      </c>
      <c r="F80" s="390">
        <f>SUM(F64:F79)</f>
        <v>1</v>
      </c>
      <c r="H80" s="370"/>
    </row>
    <row r="81" spans="8:8">
      <c r="H81" s="370"/>
    </row>
    <row r="82" spans="8:8">
      <c r="H82" s="370"/>
    </row>
    <row r="84" spans="8:8" ht="15" customHeight="1"/>
  </sheetData>
  <mergeCells count="14">
    <mergeCell ref="D34:E34"/>
    <mergeCell ref="B35:B37"/>
    <mergeCell ref="C35:G35"/>
    <mergeCell ref="E36:F36"/>
    <mergeCell ref="B62:B63"/>
    <mergeCell ref="C62:C63"/>
    <mergeCell ref="D62:F62"/>
    <mergeCell ref="C36:D36"/>
    <mergeCell ref="B2:B3"/>
    <mergeCell ref="C2:G2"/>
    <mergeCell ref="C3:G3"/>
    <mergeCell ref="B4:F4"/>
    <mergeCell ref="B7:B8"/>
    <mergeCell ref="C7:G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5"/>
  <sheetViews>
    <sheetView showGridLines="0" topLeftCell="A37" zoomScale="85" zoomScaleNormal="85" workbookViewId="0">
      <selection activeCell="A18" sqref="A18:XFD18"/>
    </sheetView>
  </sheetViews>
  <sheetFormatPr baseColWidth="10" defaultColWidth="11.44140625" defaultRowHeight="15"/>
  <cols>
    <col min="1" max="1" width="3.6640625" style="370" customWidth="1"/>
    <col min="2" max="2" width="52.44140625" style="370" customWidth="1"/>
    <col min="3" max="5" width="18.44140625" style="372" customWidth="1"/>
    <col min="6" max="7" width="18.44140625" style="370" customWidth="1"/>
    <col min="8" max="8" width="6.109375" style="372" hidden="1" customWidth="1"/>
    <col min="9" max="9" width="11.44140625"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9">
      <c r="C1" s="371"/>
      <c r="D1" s="371"/>
      <c r="E1" s="371"/>
    </row>
    <row r="2" spans="2:9" ht="15.6">
      <c r="B2" s="1237" t="s">
        <v>843</v>
      </c>
      <c r="C2" s="1238" t="s">
        <v>848</v>
      </c>
      <c r="D2" s="1239"/>
      <c r="E2" s="1239"/>
      <c r="F2" s="1239"/>
      <c r="G2" s="1240"/>
      <c r="H2" s="416"/>
    </row>
    <row r="3" spans="2:9" ht="17.399999999999999">
      <c r="B3" s="1237"/>
      <c r="C3" s="1241" t="str">
        <f>+'3.Resum Desemp Procesos POA T1'!C3</f>
        <v>PLAN OPERATIVO ANUAL 2023</v>
      </c>
      <c r="D3" s="1242"/>
      <c r="E3" s="1242"/>
      <c r="F3" s="1242"/>
      <c r="G3" s="1243"/>
      <c r="H3" s="416"/>
    </row>
    <row r="4" spans="2:9" ht="9.75" customHeight="1">
      <c r="B4" s="1244"/>
      <c r="C4" s="1244"/>
      <c r="D4" s="1244"/>
      <c r="E4" s="1244"/>
      <c r="F4" s="1244"/>
      <c r="G4" s="448"/>
      <c r="H4" s="391"/>
    </row>
    <row r="5" spans="2:9" ht="19.5" customHeight="1">
      <c r="B5" s="370" t="str">
        <f>+'3.Resum Desemp Procesos POA T1'!B5</f>
        <v xml:space="preserve">Fecha de corte: </v>
      </c>
      <c r="C5" s="758">
        <f>+'3.Resum Desemp Procesos POA T4 '!C5</f>
        <v>45107</v>
      </c>
    </row>
    <row r="6" spans="2:9" ht="19.5" customHeight="1">
      <c r="B6" s="373"/>
    </row>
    <row r="7" spans="2:9" s="462" customFormat="1" ht="26.25" customHeight="1">
      <c r="B7" s="1201" t="s">
        <v>671</v>
      </c>
      <c r="C7" s="1249" t="s">
        <v>1068</v>
      </c>
      <c r="D7" s="1250"/>
      <c r="E7" s="1250"/>
      <c r="F7" s="1250"/>
      <c r="G7" s="1251"/>
      <c r="H7" s="463"/>
    </row>
    <row r="8" spans="2:9" s="462" customFormat="1" ht="29.4" customHeight="1">
      <c r="B8" s="1201"/>
      <c r="C8" s="759"/>
      <c r="D8" s="761" t="s">
        <v>1069</v>
      </c>
      <c r="E8" s="1252">
        <f>C5</f>
        <v>45107</v>
      </c>
      <c r="F8" s="1252"/>
      <c r="G8" s="760"/>
      <c r="H8" s="463"/>
    </row>
    <row r="9" spans="2:9" s="462" customFormat="1" ht="72.599999999999994" customHeight="1">
      <c r="B9" s="1201"/>
      <c r="C9" s="449" t="s">
        <v>849</v>
      </c>
      <c r="D9" s="449" t="s">
        <v>850</v>
      </c>
      <c r="E9" s="449" t="s">
        <v>851</v>
      </c>
      <c r="F9" s="449" t="s">
        <v>858</v>
      </c>
      <c r="G9" s="418" t="s">
        <v>877</v>
      </c>
      <c r="H9" s="463"/>
    </row>
    <row r="10" spans="2:9" s="462" customFormat="1" ht="19.95" customHeight="1">
      <c r="B10" s="375" t="s">
        <v>678</v>
      </c>
      <c r="C10" s="454">
        <f t="shared" ref="C10:C25" si="0">+C65</f>
        <v>4</v>
      </c>
      <c r="D10" s="394">
        <f>COUNTIF('2.Infor Detallado Desempeño POA'!AM13:AM16,"&gt;=99%")-COUNTIF('2.Infor Detallado Desempeño POA'!AM13:AM16,"&gt;100%")</f>
        <v>0</v>
      </c>
      <c r="E10" s="395">
        <f>COUNTIF('2.Infor Detallado Desempeño POA'!AM13:AM16,"&gt;100%")</f>
        <v>0</v>
      </c>
      <c r="F10" s="452">
        <f>COUNTIF('2.Infor Detallado Desempeño POA'!AM13:AM16,"&lt;99%")</f>
        <v>4</v>
      </c>
      <c r="G10" s="450">
        <f>COUNTIF('2.Infor Detallado Desempeño POA'!AM13:AM16,"=No programado")</f>
        <v>0</v>
      </c>
      <c r="H10" s="392">
        <f>SUM(D10:G10)</f>
        <v>4</v>
      </c>
      <c r="I10" s="393">
        <f t="shared" ref="I10:I26" si="1">C10-H10</f>
        <v>0</v>
      </c>
    </row>
    <row r="11" spans="2:9" s="462" customFormat="1" ht="19.95" customHeight="1">
      <c r="B11" s="375" t="s">
        <v>680</v>
      </c>
      <c r="C11" s="454">
        <f t="shared" si="0"/>
        <v>4</v>
      </c>
      <c r="D11" s="394">
        <f>COUNTIF('2.Infor Detallado Desempeño POA'!AM22:AM25,"&gt;=99%")-COUNTIF('2.Infor Detallado Desempeño POA'!AM22:AM25,"&gt;100%")</f>
        <v>0</v>
      </c>
      <c r="E11" s="395">
        <f>COUNTIF('2.Infor Detallado Desempeño POA'!AM22:AM25,"&gt;100%")</f>
        <v>0</v>
      </c>
      <c r="F11" s="452">
        <f>COUNTIF('2.Infor Detallado Desempeño POA'!AM22:AM25,"&lt;99%")</f>
        <v>4</v>
      </c>
      <c r="G11" s="450">
        <f>COUNTIF('2.Infor Detallado Desempeño POA'!AM22:AM25,"=No programado")</f>
        <v>0</v>
      </c>
      <c r="H11" s="392">
        <f t="shared" ref="H11:H12" si="2">SUM(D11:G11)</f>
        <v>4</v>
      </c>
      <c r="I11" s="393">
        <f t="shared" si="1"/>
        <v>0</v>
      </c>
    </row>
    <row r="12" spans="2:9" s="462" customFormat="1" ht="19.95" customHeight="1">
      <c r="B12" s="375" t="s">
        <v>681</v>
      </c>
      <c r="C12" s="454">
        <f t="shared" si="0"/>
        <v>7</v>
      </c>
      <c r="D12" s="394">
        <f>COUNTIF('2.Infor Detallado Desempeño POA'!AM31:AM37,"&gt;=99%")-COUNTIF('2.Infor Detallado Desempeño POA'!AM31:AM37,"&gt;100%")</f>
        <v>0</v>
      </c>
      <c r="E12" s="395">
        <f>COUNTIF('2.Infor Detallado Desempeño POA'!AM31:AM37,"&gt;100%")</f>
        <v>0</v>
      </c>
      <c r="F12" s="452">
        <f>COUNTIF('2.Infor Detallado Desempeño POA'!AM31:AM37,"&lt;99%")</f>
        <v>7</v>
      </c>
      <c r="G12" s="450">
        <f>COUNTIF('2.Infor Detallado Desempeño POA'!AM31:AM37,"=No programado")</f>
        <v>0</v>
      </c>
      <c r="H12" s="392">
        <f t="shared" si="2"/>
        <v>7</v>
      </c>
      <c r="I12" s="393">
        <f t="shared" si="1"/>
        <v>0</v>
      </c>
    </row>
    <row r="13" spans="2:9" s="462" customFormat="1" ht="19.95" customHeight="1">
      <c r="B13" s="375" t="s">
        <v>682</v>
      </c>
      <c r="C13" s="454">
        <f t="shared" si="0"/>
        <v>2</v>
      </c>
      <c r="D13" s="394">
        <f>COUNTIF('2.Infor Detallado Desempeño POA'!AM43:AM44,"&gt;=99%")-COUNTIF('2.Infor Detallado Desempeño POA'!AM43:AM44,"&gt;100%")</f>
        <v>0</v>
      </c>
      <c r="E13" s="395">
        <f>COUNTIF('2.Infor Detallado Desempeño POA'!AM43:AM44,"&gt;100%")</f>
        <v>0</v>
      </c>
      <c r="F13" s="452">
        <f>COUNTIF('2.Infor Detallado Desempeño POA'!AM43:AM44,"&lt;99%")</f>
        <v>2</v>
      </c>
      <c r="G13" s="450">
        <f>COUNTIF('2.Infor Detallado Desempeño POA'!AM43:AM44,"=No programado")</f>
        <v>0</v>
      </c>
      <c r="H13" s="392">
        <f>SUM(D13:G13)</f>
        <v>2</v>
      </c>
      <c r="I13" s="393">
        <f t="shared" si="1"/>
        <v>0</v>
      </c>
    </row>
    <row r="14" spans="2:9" s="462" customFormat="1" ht="19.95" customHeight="1">
      <c r="B14" s="375" t="s">
        <v>693</v>
      </c>
      <c r="C14" s="454">
        <f t="shared" si="0"/>
        <v>3</v>
      </c>
      <c r="D14" s="394">
        <f>COUNTIF('2.Infor Detallado Desempeño POA'!AM50:AM52,"&gt;=99%")-COUNTIF('2.Infor Detallado Desempeño POA'!AM50:AM52,"&gt;100%")</f>
        <v>1</v>
      </c>
      <c r="E14" s="409">
        <f>COUNTIF('2.Infor Detallado Desempeño POA'!AM50:AM52,"&gt;100%")</f>
        <v>0</v>
      </c>
      <c r="F14" s="452">
        <f>COUNTIF('2.Infor Detallado Desempeño POA'!AM50:AM52,"&lt;99%")</f>
        <v>2</v>
      </c>
      <c r="G14" s="450">
        <f>COUNTIF('2.Infor Detallado Desempeño POA'!AM50:AM52,"=No programado")</f>
        <v>0</v>
      </c>
      <c r="H14" s="392">
        <f t="shared" ref="H14:H25" si="3">SUM(D14:G14)</f>
        <v>3</v>
      </c>
      <c r="I14" s="393">
        <f t="shared" si="1"/>
        <v>0</v>
      </c>
    </row>
    <row r="15" spans="2:9" s="462" customFormat="1" ht="19.95" customHeight="1">
      <c r="B15" s="375" t="s">
        <v>683</v>
      </c>
      <c r="C15" s="454">
        <f t="shared" si="0"/>
        <v>20</v>
      </c>
      <c r="D15" s="394">
        <f>COUNTIF('2.Infor Detallado Desempeño POA'!AM58:AM77,"&gt;=99%")-COUNTIF('2.Infor Detallado Desempeño POA'!AM58:AM77,"&gt;100%")</f>
        <v>0</v>
      </c>
      <c r="E15" s="409">
        <f>COUNTIF('2.Infor Detallado Desempeño POA'!AM58:AM77,"&gt;100%")</f>
        <v>0</v>
      </c>
      <c r="F15" s="452">
        <f>COUNTIF('2.Infor Detallado Desempeño POA'!AM58:AM77,"&lt;99%")</f>
        <v>20</v>
      </c>
      <c r="G15" s="450">
        <f>COUNTIF('2.Infor Detallado Desempeño POA'!AM58:AM77,"=No programado")</f>
        <v>0</v>
      </c>
      <c r="H15" s="392">
        <f t="shared" si="3"/>
        <v>20</v>
      </c>
      <c r="I15" s="393">
        <f t="shared" si="1"/>
        <v>0</v>
      </c>
    </row>
    <row r="16" spans="2:9" s="462" customFormat="1" ht="19.95" customHeight="1">
      <c r="B16" s="375" t="s">
        <v>818</v>
      </c>
      <c r="C16" s="454">
        <f t="shared" si="0"/>
        <v>7</v>
      </c>
      <c r="D16" s="394">
        <f>COUNTIF('2.Infor Detallado Desempeño POA'!AM83:AM89,"&gt;=99%")-COUNTIF('2.Infor Detallado Desempeño POA'!AM83:AM89,"&gt;100%")</f>
        <v>0</v>
      </c>
      <c r="E16" s="409">
        <f>COUNTIF('2.Infor Detallado Desempeño POA'!AM83:AM89,"&gt;100%")</f>
        <v>0</v>
      </c>
      <c r="F16" s="452">
        <f>COUNTIF('2.Infor Detallado Desempeño POA'!AM83:AM89,"&lt;99%")</f>
        <v>7</v>
      </c>
      <c r="G16" s="450">
        <f>COUNTIF('2.Infor Detallado Desempeño POA'!AM83:AM89,"=No programado")</f>
        <v>0</v>
      </c>
      <c r="H16" s="392">
        <f t="shared" si="3"/>
        <v>7</v>
      </c>
      <c r="I16" s="393">
        <f t="shared" si="1"/>
        <v>0</v>
      </c>
    </row>
    <row r="17" spans="2:9" s="462" customFormat="1" ht="19.95" customHeight="1">
      <c r="B17" s="375" t="s">
        <v>686</v>
      </c>
      <c r="C17" s="454">
        <f t="shared" si="0"/>
        <v>8</v>
      </c>
      <c r="D17" s="394">
        <f>COUNTIF('2.Infor Detallado Desempeño POA'!AM95:AM102,"&gt;=99%")-COUNTIF('2.Infor Detallado Desempeño POA'!AM95:AM102,"&gt;100%")</f>
        <v>0</v>
      </c>
      <c r="E17" s="395">
        <f>COUNTIF('2.Infor Detallado Desempeño POA'!AM95:AM102,"&gt;100%")</f>
        <v>0</v>
      </c>
      <c r="F17" s="453">
        <f>COUNTIF('2.Infor Detallado Desempeño POA'!AM95:AM102,"&lt;99%")</f>
        <v>7</v>
      </c>
      <c r="G17" s="450">
        <f>COUNTIF('2.Infor Detallado Desempeño POA'!AM95:AM102,"=No programado")</f>
        <v>1</v>
      </c>
      <c r="H17" s="392">
        <f t="shared" si="3"/>
        <v>8</v>
      </c>
      <c r="I17" s="393">
        <f t="shared" si="1"/>
        <v>0</v>
      </c>
    </row>
    <row r="18" spans="2:9" s="462" customFormat="1" ht="19.95" customHeight="1">
      <c r="B18" s="375" t="s">
        <v>687</v>
      </c>
      <c r="C18" s="454">
        <f t="shared" si="0"/>
        <v>8</v>
      </c>
      <c r="D18" s="394">
        <f>COUNTIF('2.Infor Detallado Desempeño POA'!AM108:AM115,"&gt;=99%")-COUNTIF('2.Infor Detallado Desempeño POA'!AM108:AM115,"&gt;100%")</f>
        <v>0</v>
      </c>
      <c r="E18" s="409">
        <f>COUNTIF('2.Infor Detallado Desempeño POA'!AM108:AM115,"&gt;100%")</f>
        <v>0</v>
      </c>
      <c r="F18" s="453">
        <f>COUNTIF('2.Infor Detallado Desempeño POA'!AM108:AM115,"&lt;99%")</f>
        <v>8</v>
      </c>
      <c r="G18" s="450">
        <f>COUNTIF('2.Infor Detallado Desempeño POA'!AM108:AM115,"=No programado")</f>
        <v>0</v>
      </c>
      <c r="H18" s="392">
        <f t="shared" si="3"/>
        <v>8</v>
      </c>
      <c r="I18" s="393">
        <f t="shared" si="1"/>
        <v>0</v>
      </c>
    </row>
    <row r="19" spans="2:9" s="462" customFormat="1" ht="19.95" customHeight="1">
      <c r="B19" s="375" t="s">
        <v>688</v>
      </c>
      <c r="C19" s="454">
        <f t="shared" si="0"/>
        <v>2</v>
      </c>
      <c r="D19" s="394">
        <f>COUNTIF('2.Infor Detallado Desempeño POA'!AM121:AM122,"&gt;=99%")-COUNTIF('2.Infor Detallado Desempeño POA'!AM121:AM122,"&gt;100%")</f>
        <v>0</v>
      </c>
      <c r="E19" s="409">
        <f>COUNTIF('2.Infor Detallado Desempeño POA'!AM121:AM122,"&gt;100%")</f>
        <v>0</v>
      </c>
      <c r="F19" s="452">
        <f>COUNTIF('2.Infor Detallado Desempeño POA'!AM121:AM122,"&lt;99%")</f>
        <v>2</v>
      </c>
      <c r="G19" s="450">
        <f>COUNTIF('2.Infor Detallado Desempeño POA'!AM121:AM122,"=No programado")</f>
        <v>0</v>
      </c>
      <c r="H19" s="392">
        <f t="shared" si="3"/>
        <v>2</v>
      </c>
      <c r="I19" s="393">
        <f t="shared" si="1"/>
        <v>0</v>
      </c>
    </row>
    <row r="20" spans="2:9" s="462" customFormat="1" ht="19.95" customHeight="1">
      <c r="B20" s="375" t="s">
        <v>689</v>
      </c>
      <c r="C20" s="454">
        <f t="shared" si="0"/>
        <v>3</v>
      </c>
      <c r="D20" s="394">
        <f>COUNTIF('2.Infor Detallado Desempeño POA'!AM128:AM130,"&gt;=99%")-COUNTIF('2.Infor Detallado Desempeño POA'!AM128:AM130,"&gt;100%")</f>
        <v>0</v>
      </c>
      <c r="E20" s="409">
        <f>COUNTIF('2.Infor Detallado Desempeño POA'!AM128:AM130,"&gt;100%")</f>
        <v>0</v>
      </c>
      <c r="F20" s="452">
        <f>COUNTIF('2.Infor Detallado Desempeño POA'!AM128:AM130,"&lt;99%")</f>
        <v>3</v>
      </c>
      <c r="G20" s="450">
        <f>COUNTIF('2.Infor Detallado Desempeño POA'!AM128:AM130,"=No programado")</f>
        <v>0</v>
      </c>
      <c r="H20" s="392">
        <f t="shared" si="3"/>
        <v>3</v>
      </c>
      <c r="I20" s="393">
        <f t="shared" si="1"/>
        <v>0</v>
      </c>
    </row>
    <row r="21" spans="2:9" s="462" customFormat="1" ht="19.95" customHeight="1">
      <c r="B21" s="375" t="s">
        <v>690</v>
      </c>
      <c r="C21" s="454">
        <f t="shared" si="0"/>
        <v>4</v>
      </c>
      <c r="D21" s="394">
        <f>COUNTIF('2.Infor Detallado Desempeño POA'!AM136:AM139,"&gt;=99%")-COUNTIF('2.Infor Detallado Desempeño POA'!AM136:AM139,"&gt;100%")</f>
        <v>0</v>
      </c>
      <c r="E21" s="409">
        <f>COUNTIF('2.Infor Detallado Desempeño POA'!AM136:AM139,"&gt;100%")</f>
        <v>3</v>
      </c>
      <c r="F21" s="453">
        <f>COUNTIF('2.Infor Detallado Desempeño POA'!AM136:AM139,"&lt;99%")</f>
        <v>1</v>
      </c>
      <c r="G21" s="450">
        <f>COUNTIF('2.Infor Detallado Desempeño POA'!AM136:AM139,"=No programado")</f>
        <v>0</v>
      </c>
      <c r="H21" s="392">
        <f t="shared" si="3"/>
        <v>4</v>
      </c>
      <c r="I21" s="393">
        <f t="shared" si="1"/>
        <v>0</v>
      </c>
    </row>
    <row r="22" spans="2:9" s="462" customFormat="1" ht="19.95" customHeight="1">
      <c r="B22" s="375" t="s">
        <v>691</v>
      </c>
      <c r="C22" s="454">
        <f t="shared" si="0"/>
        <v>4</v>
      </c>
      <c r="D22" s="394">
        <f>COUNTIF('2.Infor Detallado Desempeño POA'!AM145:AM148,"&gt;=99%")-COUNTIF('2.Infor Detallado Desempeño POA'!AM145:AM148,"&gt;100%")</f>
        <v>1</v>
      </c>
      <c r="E22" s="409">
        <f>COUNTIF('2.Infor Detallado Desempeño POA'!AM145:AM148,"&gt;100%")</f>
        <v>1</v>
      </c>
      <c r="F22" s="452">
        <f>COUNTIF('2.Infor Detallado Desempeño POA'!AM145:AM148,"&lt;99%")</f>
        <v>2</v>
      </c>
      <c r="G22" s="450">
        <f>COUNTIF('2.Infor Detallado Desempeño POA'!AM145:AM148,"=No programado")</f>
        <v>0</v>
      </c>
      <c r="H22" s="392">
        <f t="shared" si="3"/>
        <v>4</v>
      </c>
      <c r="I22" s="393">
        <f t="shared" si="1"/>
        <v>0</v>
      </c>
    </row>
    <row r="23" spans="2:9" s="462" customFormat="1" ht="19.95" customHeight="1">
      <c r="B23" s="375" t="s">
        <v>692</v>
      </c>
      <c r="C23" s="454">
        <f t="shared" si="0"/>
        <v>5</v>
      </c>
      <c r="D23" s="394">
        <f>COUNTIF('2.Infor Detallado Desempeño POA'!AM154:AM158,"&gt;=99%")-COUNTIF('2.Infor Detallado Desempeño POA'!AM154:AM158,"&gt;100%")</f>
        <v>0</v>
      </c>
      <c r="E23" s="395">
        <f>COUNTIF('2.Infor Detallado Desempeño POA'!AM154:AM158,"&gt;100%")</f>
        <v>0</v>
      </c>
      <c r="F23" s="452">
        <f>COUNTIF('2.Infor Detallado Desempeño POA'!AM154:AM158,"&lt;99%")</f>
        <v>0</v>
      </c>
      <c r="G23" s="450">
        <f>COUNTIF('2.Infor Detallado Desempeño POA'!AM154:AM158,"=No programado")</f>
        <v>5</v>
      </c>
      <c r="H23" s="392">
        <f t="shared" si="3"/>
        <v>5</v>
      </c>
      <c r="I23" s="393">
        <f t="shared" si="1"/>
        <v>0</v>
      </c>
    </row>
    <row r="24" spans="2:9" s="462" customFormat="1" ht="19.95" customHeight="1">
      <c r="B24" s="375" t="s">
        <v>694</v>
      </c>
      <c r="C24" s="454">
        <f t="shared" si="0"/>
        <v>3</v>
      </c>
      <c r="D24" s="394">
        <f>COUNTIF('2.Infor Detallado Desempeño POA'!AM164:AM166,"&gt;=99%")-COUNTIF('2.Infor Detallado Desempeño POA'!AM164:AM166,"&gt;100%")</f>
        <v>0</v>
      </c>
      <c r="E24" s="409">
        <f>COUNTIF('2.Infor Detallado Desempeño POA'!AM164:AM166,"&gt;100%")</f>
        <v>0</v>
      </c>
      <c r="F24" s="452">
        <f>COUNTIF('2.Infor Detallado Desempeño POA'!AM164:AM166,"&lt;99%")</f>
        <v>0</v>
      </c>
      <c r="G24" s="450">
        <f>COUNTIF('2.Infor Detallado Desempeño POA'!AM164:AM166,"=No programado")</f>
        <v>0</v>
      </c>
      <c r="H24" s="392">
        <f t="shared" si="3"/>
        <v>0</v>
      </c>
      <c r="I24" s="393">
        <f t="shared" si="1"/>
        <v>3</v>
      </c>
    </row>
    <row r="25" spans="2:9" s="462" customFormat="1" ht="19.95" customHeight="1">
      <c r="B25" s="375" t="s">
        <v>695</v>
      </c>
      <c r="C25" s="454">
        <f t="shared" si="0"/>
        <v>3</v>
      </c>
      <c r="D25" s="394">
        <f>COUNTIF('2.Infor Detallado Desempeño POA'!AM172:AM174,"&gt;=99%")-COUNTIF('2.Infor Detallado Desempeño POA'!AM172:AM174,"&gt;100%")</f>
        <v>0</v>
      </c>
      <c r="E25" s="395">
        <f>COUNTIF('2.Infor Detallado Desempeño POA'!AM172:AM174,"&gt;100%")</f>
        <v>0</v>
      </c>
      <c r="F25" s="452">
        <f>COUNTIF('2.Infor Detallado Desempeño POA'!AM172:AM174,"&lt;99%")</f>
        <v>0</v>
      </c>
      <c r="G25" s="450">
        <f>COUNTIF('2.Infor Detallado Desempeño POA'!AM172:AM174,"=No programado")</f>
        <v>0</v>
      </c>
      <c r="H25" s="392">
        <f t="shared" si="3"/>
        <v>0</v>
      </c>
      <c r="I25" s="393">
        <f t="shared" si="1"/>
        <v>3</v>
      </c>
    </row>
    <row r="26" spans="2:9" s="462" customFormat="1" ht="19.95" customHeight="1">
      <c r="B26" s="406" t="s">
        <v>847</v>
      </c>
      <c r="C26" s="407">
        <f>SUM(C10:C25)</f>
        <v>87</v>
      </c>
      <c r="D26" s="408">
        <f t="shared" ref="D26:E26" si="4">SUM(D10:D25)</f>
        <v>2</v>
      </c>
      <c r="E26" s="409">
        <f t="shared" si="4"/>
        <v>4</v>
      </c>
      <c r="F26" s="453">
        <f>SUM(F10:F25)</f>
        <v>69</v>
      </c>
      <c r="G26" s="451">
        <f>SUM(G10:G25)</f>
        <v>6</v>
      </c>
      <c r="H26" s="392">
        <f>SUM(D26:G26)</f>
        <v>81</v>
      </c>
      <c r="I26" s="393">
        <f t="shared" si="1"/>
        <v>6</v>
      </c>
    </row>
    <row r="27" spans="2:9" s="462" customFormat="1" ht="19.95" customHeight="1">
      <c r="B27" s="664"/>
      <c r="C27" s="666"/>
      <c r="D27" s="666"/>
      <c r="E27" s="666"/>
      <c r="F27" s="666"/>
      <c r="G27" s="666"/>
      <c r="H27" s="665"/>
      <c r="I27" s="393"/>
    </row>
    <row r="28" spans="2:9" s="462" customFormat="1" ht="3" customHeight="1">
      <c r="C28" s="669"/>
      <c r="D28" s="667" t="str">
        <f>+D9</f>
        <v>No de Indicadores con Meta Cumplida según programación</v>
      </c>
      <c r="E28" s="668">
        <f>+D26</f>
        <v>2</v>
      </c>
      <c r="F28" s="670"/>
      <c r="G28" s="671"/>
      <c r="H28" s="463"/>
    </row>
    <row r="29" spans="2:9" s="462" customFormat="1" ht="3" customHeight="1">
      <c r="C29" s="669"/>
      <c r="D29" s="667" t="str">
        <f>+E9</f>
        <v xml:space="preserve">No de Indicadores con ejecución superior a la programada </v>
      </c>
      <c r="E29" s="668">
        <f>+E26</f>
        <v>4</v>
      </c>
      <c r="F29" s="670"/>
      <c r="G29" s="671"/>
      <c r="H29" s="463"/>
    </row>
    <row r="30" spans="2:9" s="462" customFormat="1" ht="3" customHeight="1">
      <c r="C30" s="669"/>
      <c r="D30" s="667" t="str">
        <f>+F9</f>
        <v xml:space="preserve">No de Indicadores con ejecución menor a la programada </v>
      </c>
      <c r="E30" s="668">
        <f>+F26</f>
        <v>69</v>
      </c>
      <c r="F30" s="670"/>
      <c r="G30" s="671"/>
      <c r="H30" s="463"/>
    </row>
    <row r="31" spans="2:9" s="462" customFormat="1" ht="3" customHeight="1">
      <c r="C31" s="669"/>
      <c r="D31" s="667" t="str">
        <f>+G9</f>
        <v>No de indicadores sin programar en el periodo</v>
      </c>
      <c r="E31" s="668">
        <f>+G26</f>
        <v>6</v>
      </c>
      <c r="F31" s="670"/>
      <c r="G31" s="671"/>
      <c r="H31" s="463"/>
    </row>
    <row r="32" spans="2:9" s="462" customFormat="1" ht="10.199999999999999" customHeight="1">
      <c r="C32" s="463"/>
      <c r="D32" s="463"/>
      <c r="E32" s="464">
        <f>SUM(E55:E58)</f>
        <v>76</v>
      </c>
      <c r="F32" s="461"/>
      <c r="H32" s="463"/>
    </row>
    <row r="34" spans="2:18" ht="19.5" customHeight="1">
      <c r="B34" s="373"/>
    </row>
    <row r="35" spans="2:18" s="382" customFormat="1" ht="31.5" customHeight="1">
      <c r="B35" s="1201" t="s">
        <v>671</v>
      </c>
      <c r="C35" s="1245" t="s">
        <v>1003</v>
      </c>
      <c r="D35" s="1246"/>
      <c r="E35" s="1246"/>
      <c r="F35" s="1246"/>
      <c r="G35" s="1247"/>
      <c r="H35" s="140"/>
      <c r="Q35" s="370"/>
      <c r="R35" s="370"/>
    </row>
    <row r="36" spans="2:18" s="382" customFormat="1" ht="74.400000000000006" customHeight="1">
      <c r="B36" s="1201"/>
      <c r="C36" s="449" t="s">
        <v>849</v>
      </c>
      <c r="D36" s="449" t="s">
        <v>850</v>
      </c>
      <c r="E36" s="449" t="s">
        <v>851</v>
      </c>
      <c r="F36" s="449" t="s">
        <v>858</v>
      </c>
      <c r="G36" s="418" t="s">
        <v>877</v>
      </c>
      <c r="H36" s="140"/>
      <c r="Q36" s="370"/>
      <c r="R36" s="370"/>
    </row>
    <row r="37" spans="2:18">
      <c r="B37" s="375" t="s">
        <v>678</v>
      </c>
      <c r="C37" s="454">
        <f>+'4.Segto Medición POA 2022 T4'!C65</f>
        <v>4</v>
      </c>
      <c r="D37" s="394">
        <f>COUNTIF('2.Infor Detallado Desempeño POA'!AL13:AL16,"=100%")</f>
        <v>0</v>
      </c>
      <c r="E37" s="395">
        <f>COUNTIF('2.Infor Detallado Desempeño POA'!AL13:AL16,"&gt;100%")</f>
        <v>0</v>
      </c>
      <c r="F37" s="452">
        <f>COUNTIF('2.Infor Detallado Desempeño POA'!AL13:AL16,"&lt;100%")</f>
        <v>3</v>
      </c>
      <c r="G37" s="450">
        <f>COUNTIF('2.Infor Detallado Desempeño POA'!AL13:AL16,"=No programado")</f>
        <v>1</v>
      </c>
      <c r="H37" s="392">
        <f>SUM(D37:G37)</f>
        <v>4</v>
      </c>
      <c r="I37" s="393">
        <f t="shared" ref="I37:I53" si="5">C37-H37</f>
        <v>0</v>
      </c>
    </row>
    <row r="38" spans="2:18">
      <c r="B38" s="375" t="s">
        <v>680</v>
      </c>
      <c r="C38" s="454">
        <f>+'4.Segto Medición POA 2022 T4'!C66</f>
        <v>4</v>
      </c>
      <c r="D38" s="394">
        <f>COUNTIF('2.Infor Detallado Desempeño POA'!AL22:AL25,"=100%")</f>
        <v>0</v>
      </c>
      <c r="E38" s="395">
        <f>COUNTIF('2.Infor Detallado Desempeño POA'!AL22:AL25,"&gt;100%")</f>
        <v>0</v>
      </c>
      <c r="F38" s="452">
        <f>COUNTIF('2.Infor Detallado Desempeño POA'!AL22:AL25,"&lt;100%")</f>
        <v>4</v>
      </c>
      <c r="G38" s="450">
        <f>COUNTIF('2.Infor Detallado Desempeño POA'!AL22:AL25,"=No programado")</f>
        <v>0</v>
      </c>
      <c r="H38" s="392">
        <f t="shared" ref="H38:H52" si="6">SUM(D38:G38)</f>
        <v>4</v>
      </c>
      <c r="I38" s="393">
        <f t="shared" si="5"/>
        <v>0</v>
      </c>
    </row>
    <row r="39" spans="2:18">
      <c r="B39" s="375" t="s">
        <v>681</v>
      </c>
      <c r="C39" s="454">
        <f>+'4.Segto Medición POA 2022 T4'!C67</f>
        <v>7</v>
      </c>
      <c r="D39" s="394">
        <f>COUNTIF('2.Infor Detallado Desempeño POA'!AL31:AL37,"=100%")</f>
        <v>0</v>
      </c>
      <c r="E39" s="395">
        <f>COUNTIF('2.Infor Detallado Desempeño POA'!AL31:AL37,"&gt;100%")</f>
        <v>0</v>
      </c>
      <c r="F39" s="452">
        <f>COUNTIF('2.Infor Detallado Desempeño POA'!AL31:AL37,"&lt;100%")</f>
        <v>7</v>
      </c>
      <c r="G39" s="450">
        <f>COUNTIF('2.Infor Detallado Desempeño POA'!AL31:AL37,"=No programado")</f>
        <v>0</v>
      </c>
      <c r="H39" s="392">
        <f t="shared" si="6"/>
        <v>7</v>
      </c>
      <c r="I39" s="393">
        <f t="shared" si="5"/>
        <v>0</v>
      </c>
    </row>
    <row r="40" spans="2:18">
      <c r="B40" s="375" t="s">
        <v>682</v>
      </c>
      <c r="C40" s="454">
        <f>+'4.Segto Medición POA 2022 T4'!C68</f>
        <v>2</v>
      </c>
      <c r="D40" s="394">
        <f>COUNTIF('2.Infor Detallado Desempeño POA'!AL43:AL44,"=100%")</f>
        <v>0</v>
      </c>
      <c r="E40" s="395">
        <f>COUNTIF('2.Infor Detallado Desempeño POA'!AL43:AL44,"&gt;100%")</f>
        <v>0</v>
      </c>
      <c r="F40" s="452">
        <f>COUNTIF('2.Infor Detallado Desempeño POA'!AL43:AL44,"&lt;100%")</f>
        <v>2</v>
      </c>
      <c r="G40" s="450">
        <f>COUNTIF('2.Infor Detallado Desempeño POA'!AL43:AL44,"=No programado")</f>
        <v>0</v>
      </c>
      <c r="H40" s="392">
        <f>SUM(D40:G40)</f>
        <v>2</v>
      </c>
      <c r="I40" s="393">
        <f t="shared" si="5"/>
        <v>0</v>
      </c>
    </row>
    <row r="41" spans="2:18">
      <c r="B41" s="375" t="s">
        <v>693</v>
      </c>
      <c r="C41" s="454">
        <f>+'4.Segto Medición POA 2022 T4'!C69</f>
        <v>3</v>
      </c>
      <c r="D41" s="394">
        <f>COUNTIF('2.Infor Detallado Desempeño POA'!AL50:AL52,"=100%")</f>
        <v>0</v>
      </c>
      <c r="E41" s="395">
        <f>COUNTIF('2.Infor Detallado Desempeño POA'!AL50:AL52,"&gt;100%")</f>
        <v>0</v>
      </c>
      <c r="F41" s="452">
        <f>COUNTIF('2.Infor Detallado Desempeño POA'!AL50:AL52,"&lt;100%")</f>
        <v>1</v>
      </c>
      <c r="G41" s="450">
        <f>COUNTIF('2.Infor Detallado Desempeño POA'!AL50:AL52,"=No programado")</f>
        <v>2</v>
      </c>
      <c r="H41" s="392">
        <f t="shared" si="6"/>
        <v>3</v>
      </c>
      <c r="I41" s="393">
        <f t="shared" si="5"/>
        <v>0</v>
      </c>
    </row>
    <row r="42" spans="2:18">
      <c r="B42" s="375" t="s">
        <v>683</v>
      </c>
      <c r="C42" s="454">
        <f>+'4.Segto Medición POA 2022 T4'!C70</f>
        <v>20</v>
      </c>
      <c r="D42" s="394">
        <f>COUNTIF('2.Infor Detallado Desempeño POA'!AL58:AL77,"=100%")</f>
        <v>0</v>
      </c>
      <c r="E42" s="395">
        <f>COUNTIF('2.Infor Detallado Desempeño POA'!AL58:AL77,"&gt;100%")</f>
        <v>0</v>
      </c>
      <c r="F42" s="452">
        <f>COUNTIF('2.Infor Detallado Desempeño POA'!AL58:AL77,"&lt;100%")</f>
        <v>20</v>
      </c>
      <c r="G42" s="450">
        <f>COUNTIF('2.Infor Detallado Desempeño POA'!AL58:AL77,"=No programado")</f>
        <v>0</v>
      </c>
      <c r="H42" s="392">
        <f t="shared" si="6"/>
        <v>20</v>
      </c>
      <c r="I42" s="393">
        <f t="shared" si="5"/>
        <v>0</v>
      </c>
    </row>
    <row r="43" spans="2:18">
      <c r="B43" s="375" t="s">
        <v>818</v>
      </c>
      <c r="C43" s="454">
        <f>+'4.Segto Medición POA 2022 T4'!C71</f>
        <v>7</v>
      </c>
      <c r="D43" s="394">
        <f>COUNTIF('2.Infor Detallado Desempeño POA'!AL83:AL89,"=100%")</f>
        <v>0</v>
      </c>
      <c r="E43" s="395">
        <f>COUNTIF('2.Infor Detallado Desempeño POA'!AL83:AL89,"&gt;100%")</f>
        <v>0</v>
      </c>
      <c r="F43" s="452">
        <f>COUNTIF('2.Infor Detallado Desempeño POA'!AL83:AL89,"&lt;100%")</f>
        <v>7</v>
      </c>
      <c r="G43" s="450">
        <f>COUNTIF('2.Infor Detallado Desempeño POA'!AL83:AL89,"=No programado")</f>
        <v>0</v>
      </c>
      <c r="H43" s="392">
        <f t="shared" si="6"/>
        <v>7</v>
      </c>
      <c r="I43" s="393">
        <f t="shared" si="5"/>
        <v>0</v>
      </c>
    </row>
    <row r="44" spans="2:18">
      <c r="B44" s="375" t="s">
        <v>686</v>
      </c>
      <c r="C44" s="454">
        <f>+'4.Segto Medición POA 2022 T4'!C72</f>
        <v>8</v>
      </c>
      <c r="D44" s="394">
        <f>COUNTIF('2.Infor Detallado Desempeño POA'!AL95:AL102,"=100%")</f>
        <v>0</v>
      </c>
      <c r="E44" s="395">
        <f>COUNTIF('2.Infor Detallado Desempeño POA'!AL95:AL102,"&gt;100%")</f>
        <v>0</v>
      </c>
      <c r="F44" s="452">
        <f>COUNTIF('2.Infor Detallado Desempeño POA'!AL95:AL102,"&lt;100%")</f>
        <v>7</v>
      </c>
      <c r="G44" s="450">
        <f>COUNTIF('2.Infor Detallado Desempeño POA'!AL95:AL102,"=No programado")</f>
        <v>1</v>
      </c>
      <c r="H44" s="392">
        <f t="shared" si="6"/>
        <v>8</v>
      </c>
      <c r="I44" s="393">
        <f t="shared" si="5"/>
        <v>0</v>
      </c>
    </row>
    <row r="45" spans="2:18">
      <c r="B45" s="375" t="s">
        <v>687</v>
      </c>
      <c r="C45" s="454">
        <f>+'4.Segto Medición POA 2022 T4'!C73</f>
        <v>8</v>
      </c>
      <c r="D45" s="394">
        <f>COUNTIF('2.Infor Detallado Desempeño POA'!AL108:AL115,"=100%")</f>
        <v>0</v>
      </c>
      <c r="E45" s="395">
        <f>COUNTIF('2.Infor Detallado Desempeño POA'!AL108:AL115,"&gt;100%")</f>
        <v>0</v>
      </c>
      <c r="F45" s="452">
        <f>COUNTIF('2.Infor Detallado Desempeño POA'!AL108:AL115,"&lt;100%")</f>
        <v>7</v>
      </c>
      <c r="G45" s="450">
        <f>COUNTIF('2.Infor Detallado Desempeño POA'!AL108:AL115,"=No programado")</f>
        <v>1</v>
      </c>
      <c r="H45" s="392">
        <f t="shared" si="6"/>
        <v>8</v>
      </c>
      <c r="I45" s="393">
        <f t="shared" si="5"/>
        <v>0</v>
      </c>
    </row>
    <row r="46" spans="2:18" ht="16.5" customHeight="1">
      <c r="B46" s="375" t="s">
        <v>688</v>
      </c>
      <c r="C46" s="454">
        <f>+'4.Segto Medición POA 2022 T4'!C74</f>
        <v>2</v>
      </c>
      <c r="D46" s="394">
        <f>COUNTIF('2.Infor Detallado Desempeño POA'!AL121:AL122,"=100%")</f>
        <v>0</v>
      </c>
      <c r="E46" s="395">
        <f>COUNTIF('2.Infor Detallado Desempeño POA'!AL121:AL122,"&gt;100%")</f>
        <v>0</v>
      </c>
      <c r="F46" s="452">
        <f>COUNTIF('2.Infor Detallado Desempeño POA'!AL121:AL122,"&lt;100%")</f>
        <v>2</v>
      </c>
      <c r="G46" s="450">
        <f>COUNTIF('2.Infor Detallado Desempeño POA'!AL121:AL122,"=No programado")</f>
        <v>0</v>
      </c>
      <c r="H46" s="392">
        <f t="shared" si="6"/>
        <v>2</v>
      </c>
      <c r="I46" s="393">
        <f t="shared" si="5"/>
        <v>0</v>
      </c>
    </row>
    <row r="47" spans="2:18">
      <c r="B47" s="375" t="s">
        <v>689</v>
      </c>
      <c r="C47" s="454">
        <f>+'4.Segto Medición POA 2022 T4'!C75</f>
        <v>3</v>
      </c>
      <c r="D47" s="394">
        <f>COUNTIF('2.Infor Detallado Desempeño POA'!AL128:AL130,"=100%")</f>
        <v>0</v>
      </c>
      <c r="E47" s="395">
        <f>COUNTIF('2.Infor Detallado Desempeño POA'!AL128:AL130,"&gt;100%")</f>
        <v>0</v>
      </c>
      <c r="F47" s="452">
        <f>COUNTIF('2.Infor Detallado Desempeño POA'!AL128:AL130,"&lt;100%")</f>
        <v>3</v>
      </c>
      <c r="G47" s="450">
        <f>COUNTIF('2.Infor Detallado Desempeño POA'!AL128:AL130,"=No programado")</f>
        <v>0</v>
      </c>
      <c r="H47" s="392">
        <f t="shared" si="6"/>
        <v>3</v>
      </c>
      <c r="I47" s="393">
        <f t="shared" si="5"/>
        <v>0</v>
      </c>
    </row>
    <row r="48" spans="2:18">
      <c r="B48" s="375" t="s">
        <v>690</v>
      </c>
      <c r="C48" s="454">
        <f>+'4.Segto Medición POA 2022 T4'!C76</f>
        <v>4</v>
      </c>
      <c r="D48" s="394">
        <f>COUNTIF('2.Infor Detallado Desempeño POA'!AL136:AL139,"=100%")</f>
        <v>0</v>
      </c>
      <c r="E48" s="395">
        <f>COUNTIF('2.Infor Detallado Desempeño POA'!AL136:AL139,"&gt;100%")</f>
        <v>0</v>
      </c>
      <c r="F48" s="452">
        <f>COUNTIF('2.Infor Detallado Desempeño POA'!AL136:AL139,"&lt;100%")</f>
        <v>3</v>
      </c>
      <c r="G48" s="450">
        <f>COUNTIF('2.Infor Detallado Desempeño POA'!AL136:AL139,"=No programado")</f>
        <v>1</v>
      </c>
      <c r="H48" s="392">
        <f t="shared" si="6"/>
        <v>4</v>
      </c>
      <c r="I48" s="393">
        <f t="shared" si="5"/>
        <v>0</v>
      </c>
    </row>
    <row r="49" spans="2:17">
      <c r="B49" s="375" t="s">
        <v>691</v>
      </c>
      <c r="C49" s="454">
        <f>+'4.Segto Medición POA 2022 T4'!C77</f>
        <v>4</v>
      </c>
      <c r="D49" s="394">
        <f>COUNTIF('2.Infor Detallado Desempeño POA'!AL145:AL148,"=100%")</f>
        <v>0</v>
      </c>
      <c r="E49" s="395">
        <f>COUNTIF('2.Infor Detallado Desempeño POA'!AL145:AL148,"&gt;100%")</f>
        <v>0</v>
      </c>
      <c r="F49" s="452">
        <f>COUNTIF('2.Infor Detallado Desempeño POA'!AL145:AL148,"&lt;100%")</f>
        <v>4</v>
      </c>
      <c r="G49" s="450">
        <f>COUNTIF('2.Infor Detallado Desempeño POA'!AL145:AL148,"=No programado")</f>
        <v>0</v>
      </c>
      <c r="H49" s="392">
        <f t="shared" si="6"/>
        <v>4</v>
      </c>
      <c r="I49" s="393">
        <f t="shared" si="5"/>
        <v>0</v>
      </c>
    </row>
    <row r="50" spans="2:17">
      <c r="B50" s="375" t="s">
        <v>692</v>
      </c>
      <c r="C50" s="454">
        <f>+'4.Segto Medición POA 2022 T4'!C78</f>
        <v>5</v>
      </c>
      <c r="D50" s="394">
        <f>COUNTIF('2.Infor Detallado Desempeño POA'!AL154:AL158,"=100%")</f>
        <v>0</v>
      </c>
      <c r="E50" s="395">
        <f>COUNTIF('2.Infor Detallado Desempeño POA'!AL154:AL158,"&gt;100%")</f>
        <v>0</v>
      </c>
      <c r="F50" s="452">
        <f>COUNTIF('2.Infor Detallado Desempeño POA'!AL154:AL158,"&lt;100%")</f>
        <v>0</v>
      </c>
      <c r="G50" s="450">
        <f>COUNTIF('2.Infor Detallado Desempeño POA'!AL154:AL158,"=No programado")</f>
        <v>0</v>
      </c>
      <c r="H50" s="392">
        <f t="shared" si="6"/>
        <v>0</v>
      </c>
      <c r="I50" s="393">
        <f t="shared" si="5"/>
        <v>5</v>
      </c>
    </row>
    <row r="51" spans="2:17">
      <c r="B51" s="375" t="s">
        <v>694</v>
      </c>
      <c r="C51" s="454">
        <f>+'4.Segto Medición POA 2022 T4'!C79</f>
        <v>3</v>
      </c>
      <c r="D51" s="394">
        <f>COUNTIF('2.Infor Detallado Desempeño POA'!AL164:AL166,"=100%")</f>
        <v>0</v>
      </c>
      <c r="E51" s="395">
        <f>COUNTIF('2.Infor Detallado Desempeño POA'!AL164:AL166,"&gt;100%")</f>
        <v>0</v>
      </c>
      <c r="F51" s="452">
        <f>COUNTIF('2.Infor Detallado Desempeño POA'!AL164:AL166,"&lt;100%")</f>
        <v>0</v>
      </c>
      <c r="G51" s="450">
        <f>COUNTIF('2.Infor Detallado Desempeño POA'!AL164:AL166,"=No programado")</f>
        <v>0</v>
      </c>
      <c r="H51" s="392">
        <f t="shared" si="6"/>
        <v>0</v>
      </c>
      <c r="I51" s="393">
        <f t="shared" si="5"/>
        <v>3</v>
      </c>
    </row>
    <row r="52" spans="2:17">
      <c r="B52" s="375" t="s">
        <v>695</v>
      </c>
      <c r="C52" s="454">
        <f>+'4.Segto Medición POA 2022 T4'!C80</f>
        <v>3</v>
      </c>
      <c r="D52" s="394">
        <f>COUNTIF('2.Infor Detallado Desempeño POA'!AL172:AL174,"=100%")</f>
        <v>0</v>
      </c>
      <c r="E52" s="395">
        <f>COUNTIF('2.Infor Detallado Desempeño POA'!AL172:AL174,"&gt;100%")</f>
        <v>0</v>
      </c>
      <c r="F52" s="452">
        <f>COUNTIF('2.Infor Detallado Desempeño POA'!AL172:AL174,"&lt;100%")</f>
        <v>0</v>
      </c>
      <c r="G52" s="450">
        <f>COUNTIF('2.Infor Detallado Desempeño POA'!AL172:AL174,"=No programado")</f>
        <v>0</v>
      </c>
      <c r="H52" s="392">
        <f t="shared" si="6"/>
        <v>0</v>
      </c>
      <c r="I52" s="393">
        <f t="shared" si="5"/>
        <v>3</v>
      </c>
    </row>
    <row r="53" spans="2:17" ht="19.5" customHeight="1">
      <c r="B53" s="406" t="s">
        <v>847</v>
      </c>
      <c r="C53" s="407">
        <f>SUM(C37:C52)</f>
        <v>87</v>
      </c>
      <c r="D53" s="408">
        <f t="shared" ref="D53:E53" si="7">SUM(D37:D52)</f>
        <v>0</v>
      </c>
      <c r="E53" s="409">
        <f t="shared" si="7"/>
        <v>0</v>
      </c>
      <c r="F53" s="453">
        <f>SUM(F37:F52)</f>
        <v>70</v>
      </c>
      <c r="G53" s="451">
        <f>SUM(G37:G52)</f>
        <v>6</v>
      </c>
      <c r="H53" s="392">
        <f>SUM(D53:G53)</f>
        <v>76</v>
      </c>
      <c r="I53" s="393">
        <f t="shared" si="5"/>
        <v>11</v>
      </c>
    </row>
    <row r="54" spans="2:17" s="459" customFormat="1" ht="6" customHeight="1">
      <c r="C54" s="460"/>
      <c r="D54" s="460"/>
      <c r="E54" s="460"/>
      <c r="H54" s="460"/>
    </row>
    <row r="55" spans="2:17" s="459" customFormat="1" ht="6" customHeight="1">
      <c r="C55" s="463"/>
      <c r="D55" s="667" t="str">
        <f>+D36</f>
        <v>No de Indicadores con Meta Cumplida según programación</v>
      </c>
      <c r="E55" s="668">
        <f>+D53</f>
        <v>0</v>
      </c>
      <c r="H55" s="460"/>
    </row>
    <row r="56" spans="2:17" s="459" customFormat="1" ht="6" customHeight="1">
      <c r="C56" s="463"/>
      <c r="D56" s="667" t="str">
        <f>+E36</f>
        <v xml:space="preserve">No de Indicadores con ejecución superior a la programada </v>
      </c>
      <c r="E56" s="668">
        <f>+E53</f>
        <v>0</v>
      </c>
      <c r="H56" s="460"/>
    </row>
    <row r="57" spans="2:17" s="459" customFormat="1" ht="6" customHeight="1">
      <c r="C57" s="463"/>
      <c r="D57" s="667" t="str">
        <f>+F36</f>
        <v xml:space="preserve">No de Indicadores con ejecución menor a la programada </v>
      </c>
      <c r="E57" s="668">
        <f>+F53</f>
        <v>70</v>
      </c>
      <c r="H57" s="460"/>
    </row>
    <row r="58" spans="2:17" s="459" customFormat="1" ht="6" customHeight="1">
      <c r="C58" s="463"/>
      <c r="D58" s="667" t="str">
        <f>+G36</f>
        <v>No de indicadores sin programar en el periodo</v>
      </c>
      <c r="E58" s="668">
        <f>+G53</f>
        <v>6</v>
      </c>
      <c r="H58" s="460"/>
    </row>
    <row r="59" spans="2:17" s="459" customFormat="1" ht="6" customHeight="1">
      <c r="C59" s="460"/>
      <c r="D59" s="460"/>
      <c r="E59" s="460"/>
      <c r="H59" s="460"/>
    </row>
    <row r="60" spans="2:17" s="459" customFormat="1" ht="6" customHeight="1">
      <c r="C60" s="460"/>
      <c r="D60" s="460"/>
      <c r="E60" s="460"/>
      <c r="H60" s="460"/>
    </row>
    <row r="61" spans="2:17" s="459" customFormat="1" ht="6" customHeight="1">
      <c r="C61" s="460"/>
      <c r="D61" s="460"/>
      <c r="E61" s="460"/>
      <c r="H61" s="460"/>
    </row>
    <row r="62" spans="2:17" s="462" customFormat="1" ht="6" customHeight="1" thickBot="1">
      <c r="C62" s="463"/>
      <c r="D62" s="1248" t="str">
        <f>+C35</f>
        <v>CUMPLIMIENTO PROGRAMACIÓN EN EL PERIODO 
Cuarto Trimestre de 2021</v>
      </c>
      <c r="E62" s="1248"/>
      <c r="H62" s="463"/>
    </row>
    <row r="63" spans="2:17" s="382" customFormat="1" ht="15.6">
      <c r="B63" s="1253" t="s">
        <v>704</v>
      </c>
      <c r="C63" s="1255" t="s">
        <v>845</v>
      </c>
      <c r="D63" s="1257" t="s">
        <v>846</v>
      </c>
      <c r="E63" s="1258"/>
      <c r="F63" s="1259"/>
      <c r="P63" s="370"/>
      <c r="Q63" s="370"/>
    </row>
    <row r="64" spans="2:17" ht="33" customHeight="1">
      <c r="B64" s="1254"/>
      <c r="C64" s="1256"/>
      <c r="D64" s="383" t="s">
        <v>713</v>
      </c>
      <c r="E64" s="383" t="s">
        <v>717</v>
      </c>
      <c r="F64" s="384" t="s">
        <v>721</v>
      </c>
      <c r="H64" s="370"/>
    </row>
    <row r="65" spans="2:8">
      <c r="B65" s="385" t="s">
        <v>678</v>
      </c>
      <c r="C65" s="386">
        <f>+'3.Resum Desemp Procesos POA T1'!C41</f>
        <v>4</v>
      </c>
      <c r="D65" s="386">
        <f>+'Rango indicadores'!E111</f>
        <v>4</v>
      </c>
      <c r="E65" s="386">
        <f>+'Rango indicadores'!F111</f>
        <v>0</v>
      </c>
      <c r="F65" s="387">
        <f>+'Rango indicadores'!G111</f>
        <v>0</v>
      </c>
      <c r="H65" s="370"/>
    </row>
    <row r="66" spans="2:8">
      <c r="B66" s="385" t="s">
        <v>680</v>
      </c>
      <c r="C66" s="386">
        <f>+'3.Resum Desemp Procesos POA T1'!C42</f>
        <v>4</v>
      </c>
      <c r="D66" s="386">
        <f>+'Rango indicadores'!E112</f>
        <v>4</v>
      </c>
      <c r="E66" s="386">
        <f>+'Rango indicadores'!F112</f>
        <v>0</v>
      </c>
      <c r="F66" s="387">
        <f>+'Rango indicadores'!G112</f>
        <v>0</v>
      </c>
      <c r="H66" s="370"/>
    </row>
    <row r="67" spans="2:8">
      <c r="B67" s="385" t="s">
        <v>681</v>
      </c>
      <c r="C67" s="386">
        <f>+'3.Resum Desemp Procesos POA T1'!C43</f>
        <v>7</v>
      </c>
      <c r="D67" s="386">
        <f>+'Rango indicadores'!E113</f>
        <v>7</v>
      </c>
      <c r="E67" s="386">
        <f>+'Rango indicadores'!F113</f>
        <v>0</v>
      </c>
      <c r="F67" s="387">
        <f>+'Rango indicadores'!G113</f>
        <v>0</v>
      </c>
      <c r="H67" s="370"/>
    </row>
    <row r="68" spans="2:8">
      <c r="B68" s="385" t="s">
        <v>682</v>
      </c>
      <c r="C68" s="386">
        <f>+'3.Resum Desemp Procesos POA T1'!C44</f>
        <v>2</v>
      </c>
      <c r="D68" s="386">
        <f>+'Rango indicadores'!E114</f>
        <v>2</v>
      </c>
      <c r="E68" s="386">
        <f>+'Rango indicadores'!F114</f>
        <v>0</v>
      </c>
      <c r="F68" s="387">
        <f>+'Rango indicadores'!G114</f>
        <v>0</v>
      </c>
      <c r="H68" s="370"/>
    </row>
    <row r="69" spans="2:8">
      <c r="B69" s="385" t="s">
        <v>693</v>
      </c>
      <c r="C69" s="386">
        <f>+'3.Resum Desemp Procesos POA T1'!C45</f>
        <v>3</v>
      </c>
      <c r="D69" s="386">
        <f>+'Rango indicadores'!E115</f>
        <v>20</v>
      </c>
      <c r="E69" s="386">
        <f>+'Rango indicadores'!F115</f>
        <v>0</v>
      </c>
      <c r="F69" s="387">
        <f>+'Rango indicadores'!G115</f>
        <v>0</v>
      </c>
      <c r="H69" s="370"/>
    </row>
    <row r="70" spans="2:8">
      <c r="B70" s="385" t="s">
        <v>683</v>
      </c>
      <c r="C70" s="386">
        <f>+'3.Resum Desemp Procesos POA T1'!C47</f>
        <v>20</v>
      </c>
      <c r="D70" s="386">
        <f>+'Rango indicadores'!E116</f>
        <v>7</v>
      </c>
      <c r="E70" s="386">
        <f>+'Rango indicadores'!F116</f>
        <v>0</v>
      </c>
      <c r="F70" s="387">
        <f>+'Rango indicadores'!G116</f>
        <v>0</v>
      </c>
      <c r="H70" s="370"/>
    </row>
    <row r="71" spans="2:8">
      <c r="B71" s="385" t="s">
        <v>818</v>
      </c>
      <c r="C71" s="386">
        <f>+'3.Resum Desemp Procesos POA T1'!C48</f>
        <v>7</v>
      </c>
      <c r="D71" s="386">
        <f>+'Rango indicadores'!E117</f>
        <v>8</v>
      </c>
      <c r="E71" s="386">
        <f>+'Rango indicadores'!F117</f>
        <v>0</v>
      </c>
      <c r="F71" s="387">
        <f>+'Rango indicadores'!G117</f>
        <v>0</v>
      </c>
      <c r="H71" s="370"/>
    </row>
    <row r="72" spans="2:8">
      <c r="B72" s="385" t="s">
        <v>686</v>
      </c>
      <c r="C72" s="386">
        <f>+'3.Resum Desemp Procesos POA T1'!C49</f>
        <v>8</v>
      </c>
      <c r="D72" s="386">
        <f>+'Rango indicadores'!E118</f>
        <v>7</v>
      </c>
      <c r="E72" s="386">
        <f>+'Rango indicadores'!F118</f>
        <v>0</v>
      </c>
      <c r="F72" s="387">
        <f>+'Rango indicadores'!G118</f>
        <v>1</v>
      </c>
      <c r="H72" s="370"/>
    </row>
    <row r="73" spans="2:8">
      <c r="B73" s="385" t="s">
        <v>687</v>
      </c>
      <c r="C73" s="386">
        <f>+'3.Resum Desemp Procesos POA T1'!C51</f>
        <v>8</v>
      </c>
      <c r="D73" s="386">
        <f>+'Rango indicadores'!E119</f>
        <v>2</v>
      </c>
      <c r="E73" s="386">
        <f>+'Rango indicadores'!F119</f>
        <v>0</v>
      </c>
      <c r="F73" s="387">
        <f>+'Rango indicadores'!G119</f>
        <v>0</v>
      </c>
      <c r="H73" s="370"/>
    </row>
    <row r="74" spans="2:8">
      <c r="B74" s="385" t="s">
        <v>688</v>
      </c>
      <c r="C74" s="386">
        <f>+'3.Resum Desemp Procesos POA T1'!C52</f>
        <v>2</v>
      </c>
      <c r="D74" s="386">
        <f>+'Rango indicadores'!E120</f>
        <v>3</v>
      </c>
      <c r="E74" s="386">
        <f>+'Rango indicadores'!F120</f>
        <v>0</v>
      </c>
      <c r="F74" s="387">
        <f>+'Rango indicadores'!G120</f>
        <v>0</v>
      </c>
      <c r="H74" s="370"/>
    </row>
    <row r="75" spans="2:8">
      <c r="B75" s="385" t="s">
        <v>689</v>
      </c>
      <c r="C75" s="386">
        <f>+'3.Resum Desemp Procesos POA T1'!C53</f>
        <v>3</v>
      </c>
      <c r="D75" s="386">
        <f>+'Rango indicadores'!E121</f>
        <v>1</v>
      </c>
      <c r="E75" s="386">
        <f>+'Rango indicadores'!F121</f>
        <v>3</v>
      </c>
      <c r="F75" s="387">
        <f>+'Rango indicadores'!G121</f>
        <v>0</v>
      </c>
      <c r="H75" s="370"/>
    </row>
    <row r="76" spans="2:8">
      <c r="B76" s="385" t="s">
        <v>690</v>
      </c>
      <c r="C76" s="386">
        <f>+'3.Resum Desemp Procesos POA T1'!C54</f>
        <v>4</v>
      </c>
      <c r="D76" s="386">
        <f>+'Rango indicadores'!E122</f>
        <v>3</v>
      </c>
      <c r="E76" s="386">
        <f>+'Rango indicadores'!F122</f>
        <v>1</v>
      </c>
      <c r="F76" s="387">
        <f>+'Rango indicadores'!G122</f>
        <v>0</v>
      </c>
      <c r="H76" s="370"/>
    </row>
    <row r="77" spans="2:8">
      <c r="B77" s="385" t="s">
        <v>691</v>
      </c>
      <c r="C77" s="386">
        <f>+'3.Resum Desemp Procesos POA T1'!C55</f>
        <v>4</v>
      </c>
      <c r="D77" s="386">
        <f>+'Rango indicadores'!E123</f>
        <v>5</v>
      </c>
      <c r="E77" s="386">
        <f>+'Rango indicadores'!F123</f>
        <v>0</v>
      </c>
      <c r="F77" s="387">
        <f>+'Rango indicadores'!G123</f>
        <v>0</v>
      </c>
      <c r="H77" s="370"/>
    </row>
    <row r="78" spans="2:8">
      <c r="B78" s="385" t="s">
        <v>692</v>
      </c>
      <c r="C78" s="386">
        <f>+'3.Resum Desemp Procesos POA T1'!C56</f>
        <v>5</v>
      </c>
      <c r="D78" s="386">
        <f>+'Rango indicadores'!E124</f>
        <v>3</v>
      </c>
      <c r="E78" s="386">
        <f>+'Rango indicadores'!F124</f>
        <v>0</v>
      </c>
      <c r="F78" s="387">
        <f>+'Rango indicadores'!G124</f>
        <v>0</v>
      </c>
      <c r="H78" s="370"/>
    </row>
    <row r="79" spans="2:8">
      <c r="B79" s="385" t="s">
        <v>694</v>
      </c>
      <c r="C79" s="386">
        <f>+'3.Resum Desemp Procesos POA T1'!C58</f>
        <v>3</v>
      </c>
      <c r="D79" s="386">
        <f>+'Rango indicadores'!E125</f>
        <v>3</v>
      </c>
      <c r="E79" s="386">
        <f>+'Rango indicadores'!F125</f>
        <v>0</v>
      </c>
      <c r="F79" s="387">
        <f>+'Rango indicadores'!G125</f>
        <v>0</v>
      </c>
      <c r="H79" s="370"/>
    </row>
    <row r="80" spans="2:8">
      <c r="B80" s="385" t="s">
        <v>695</v>
      </c>
      <c r="C80" s="386">
        <f>+'3.Resum Desemp Procesos POA T1'!C59</f>
        <v>3</v>
      </c>
      <c r="D80" s="386">
        <f>+'Rango indicadores'!E126</f>
        <v>3</v>
      </c>
      <c r="E80" s="386">
        <f>+'Rango indicadores'!F126</f>
        <v>0</v>
      </c>
      <c r="F80" s="387">
        <f>+'Rango indicadores'!G126</f>
        <v>0</v>
      </c>
      <c r="H80" s="370"/>
    </row>
    <row r="81" spans="2:8" ht="16.2" thickBot="1">
      <c r="B81" s="388" t="s">
        <v>847</v>
      </c>
      <c r="C81" s="389">
        <f>SUM(C65:C80)</f>
        <v>87</v>
      </c>
      <c r="D81" s="389">
        <f>SUM(D65:D80)</f>
        <v>82</v>
      </c>
      <c r="E81" s="389">
        <f>SUM(E65:E80)</f>
        <v>4</v>
      </c>
      <c r="F81" s="390">
        <f>SUM(F65:F80)</f>
        <v>1</v>
      </c>
      <c r="H81" s="370"/>
    </row>
    <row r="82" spans="2:8">
      <c r="H82" s="370"/>
    </row>
    <row r="83" spans="2:8">
      <c r="H83" s="370"/>
    </row>
    <row r="85" spans="2:8" ht="15" customHeight="1"/>
  </sheetData>
  <mergeCells count="13">
    <mergeCell ref="B2:B3"/>
    <mergeCell ref="C2:G2"/>
    <mergeCell ref="C3:G3"/>
    <mergeCell ref="B63:B64"/>
    <mergeCell ref="C63:C64"/>
    <mergeCell ref="D63:F63"/>
    <mergeCell ref="D62:E62"/>
    <mergeCell ref="B4:F4"/>
    <mergeCell ref="B35:B36"/>
    <mergeCell ref="C35:G35"/>
    <mergeCell ref="B7:B9"/>
    <mergeCell ref="C7:G7"/>
    <mergeCell ref="E8:F8"/>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topLeftCell="A2" zoomScale="85" zoomScaleNormal="85" workbookViewId="0">
      <selection activeCell="E27" sqref="E27"/>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5" width="18.88671875" style="372"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37" t="s">
        <v>843</v>
      </c>
      <c r="C2" s="1270" t="s">
        <v>852</v>
      </c>
      <c r="D2" s="1270"/>
      <c r="E2" s="1270"/>
      <c r="F2" s="1270"/>
      <c r="G2" s="1270"/>
      <c r="H2" s="1270"/>
      <c r="I2" s="364"/>
      <c r="J2" s="364"/>
      <c r="K2" s="364"/>
      <c r="L2" s="364"/>
      <c r="M2" s="364"/>
      <c r="N2" s="414"/>
      <c r="O2" s="414"/>
      <c r="P2" s="414"/>
      <c r="Q2" s="414"/>
      <c r="R2" s="414"/>
      <c r="S2" s="414"/>
      <c r="T2" s="414"/>
      <c r="U2" s="414"/>
      <c r="V2" s="313"/>
    </row>
    <row r="3" spans="2:22" s="310" customFormat="1" ht="17.399999999999999" customHeight="1">
      <c r="B3" s="1237"/>
      <c r="C3" s="1271" t="s">
        <v>1065</v>
      </c>
      <c r="D3" s="1271"/>
      <c r="E3" s="1271"/>
      <c r="F3" s="1271"/>
      <c r="G3" s="1271"/>
      <c r="H3" s="1271"/>
      <c r="I3" s="363"/>
      <c r="J3" s="363"/>
      <c r="K3" s="363"/>
      <c r="L3" s="363"/>
      <c r="M3" s="363"/>
      <c r="N3" s="413"/>
      <c r="O3" s="413"/>
      <c r="P3" s="413"/>
      <c r="Q3" s="413"/>
      <c r="R3" s="413"/>
      <c r="S3" s="413"/>
      <c r="T3" s="413"/>
      <c r="U3" s="413"/>
      <c r="V3" s="314"/>
    </row>
    <row r="4" spans="2:22" s="310" customFormat="1" ht="6" customHeight="1">
      <c r="B4" s="396"/>
      <c r="D4" s="1272"/>
      <c r="E4" s="1272"/>
      <c r="F4" s="1272"/>
      <c r="G4" s="1272"/>
      <c r="H4" s="1272"/>
      <c r="I4" s="355"/>
      <c r="J4" s="355"/>
      <c r="K4" s="355"/>
      <c r="L4" s="355"/>
      <c r="M4" s="355"/>
      <c r="N4" s="415"/>
      <c r="O4" s="415"/>
      <c r="P4" s="415"/>
      <c r="Q4" s="415"/>
      <c r="R4" s="415"/>
      <c r="S4" s="415"/>
      <c r="T4" s="415"/>
      <c r="U4" s="415"/>
      <c r="V4" s="315"/>
    </row>
    <row r="5" spans="2:22" s="310" customFormat="1" ht="19.5" customHeight="1">
      <c r="B5" s="750" t="str">
        <f>+'2.Infor Detallado Desempeño POA'!C7</f>
        <v xml:space="preserve">Fecha de corte: </v>
      </c>
      <c r="C5" s="817">
        <f>+'2.Infor Detallado Desempeño POA'!D7</f>
        <v>45107</v>
      </c>
      <c r="D5" s="356"/>
      <c r="E5" s="316"/>
      <c r="V5" s="313"/>
    </row>
    <row r="6" spans="2:22" ht="1.95" customHeight="1">
      <c r="B6" s="373"/>
    </row>
    <row r="7" spans="2:22" ht="8.4" customHeight="1">
      <c r="B7" s="373"/>
    </row>
    <row r="8" spans="2:22" ht="54" customHeight="1">
      <c r="B8" s="419" t="s">
        <v>704</v>
      </c>
      <c r="C8" s="420" t="s">
        <v>1066</v>
      </c>
      <c r="D8" s="374"/>
      <c r="E8" s="370"/>
    </row>
    <row r="9" spans="2:22">
      <c r="B9" s="375" t="s">
        <v>678</v>
      </c>
      <c r="C9" s="376">
        <f>+F41</f>
        <v>0.58143477011494249</v>
      </c>
      <c r="D9" s="377"/>
      <c r="E9" s="370"/>
    </row>
    <row r="10" spans="2:22">
      <c r="B10" s="375" t="s">
        <v>680</v>
      </c>
      <c r="C10" s="376">
        <f>+F42</f>
        <v>0.20512820512820512</v>
      </c>
      <c r="D10" s="377"/>
      <c r="E10" s="370"/>
      <c r="H10" s="431"/>
      <c r="I10" s="432" t="s">
        <v>1067</v>
      </c>
    </row>
    <row r="11" spans="2:22">
      <c r="B11" s="375" t="s">
        <v>681</v>
      </c>
      <c r="C11" s="376">
        <f>+F43</f>
        <v>0.46857142857142858</v>
      </c>
      <c r="D11" s="377"/>
      <c r="E11" s="370"/>
      <c r="H11" s="663"/>
      <c r="I11" s="432" t="s">
        <v>859</v>
      </c>
    </row>
    <row r="12" spans="2:22">
      <c r="B12" s="375" t="s">
        <v>682</v>
      </c>
      <c r="C12" s="376">
        <f>+F44</f>
        <v>0.5</v>
      </c>
      <c r="D12" s="377"/>
      <c r="E12" s="370"/>
      <c r="H12" s="433"/>
      <c r="I12" s="432" t="s">
        <v>860</v>
      </c>
    </row>
    <row r="13" spans="2:22">
      <c r="B13" s="375" t="s">
        <v>693</v>
      </c>
      <c r="C13" s="376">
        <f>+F45</f>
        <v>0.51370370370370366</v>
      </c>
      <c r="D13" s="378"/>
      <c r="E13" s="370"/>
      <c r="H13" s="434"/>
      <c r="I13" s="432" t="s">
        <v>861</v>
      </c>
    </row>
    <row r="14" spans="2:22">
      <c r="B14" s="375" t="s">
        <v>683</v>
      </c>
      <c r="C14" s="376">
        <f>+F47</f>
        <v>0.54661830542959755</v>
      </c>
      <c r="D14" s="377"/>
      <c r="E14" s="370"/>
    </row>
    <row r="15" spans="2:22">
      <c r="B15" s="375" t="s">
        <v>818</v>
      </c>
      <c r="C15" s="376">
        <f>+F48</f>
        <v>0.47783599926457071</v>
      </c>
      <c r="D15" s="377"/>
      <c r="E15" s="370"/>
    </row>
    <row r="16" spans="2:22">
      <c r="B16" s="375" t="s">
        <v>686</v>
      </c>
      <c r="C16" s="376">
        <f>+F49</f>
        <v>0.47013480392156859</v>
      </c>
      <c r="D16" s="377"/>
      <c r="E16" s="370"/>
    </row>
    <row r="17" spans="2:17">
      <c r="B17" s="375" t="s">
        <v>687</v>
      </c>
      <c r="C17" s="376">
        <f t="shared" ref="C17:C22" si="0">+F51</f>
        <v>0.49443129251700685</v>
      </c>
      <c r="D17" s="377"/>
      <c r="E17" s="370"/>
    </row>
    <row r="18" spans="2:17">
      <c r="B18" s="375" t="s">
        <v>688</v>
      </c>
      <c r="C18" s="376">
        <f t="shared" si="0"/>
        <v>0.51288659793814428</v>
      </c>
      <c r="D18" s="377"/>
      <c r="E18" s="370"/>
    </row>
    <row r="19" spans="2:17">
      <c r="B19" s="375" t="s">
        <v>689</v>
      </c>
      <c r="C19" s="376">
        <f t="shared" si="0"/>
        <v>0.47606666666666669</v>
      </c>
      <c r="D19" s="377"/>
      <c r="E19" s="370"/>
    </row>
    <row r="20" spans="2:17">
      <c r="B20" s="375" t="s">
        <v>690</v>
      </c>
      <c r="C20" s="376">
        <f t="shared" si="0"/>
        <v>0.93859649122807021</v>
      </c>
      <c r="D20" s="377"/>
      <c r="E20" s="370"/>
    </row>
    <row r="21" spans="2:17">
      <c r="B21" s="375" t="s">
        <v>691</v>
      </c>
      <c r="C21" s="376">
        <f t="shared" si="0"/>
        <v>0.76318749999999991</v>
      </c>
      <c r="D21" s="377"/>
      <c r="E21" s="370"/>
    </row>
    <row r="22" spans="2:17">
      <c r="B22" s="375" t="s">
        <v>692</v>
      </c>
      <c r="C22" s="376">
        <f t="shared" si="0"/>
        <v>0.5</v>
      </c>
      <c r="D22" s="377"/>
      <c r="E22" s="370"/>
    </row>
    <row r="23" spans="2:17">
      <c r="B23" s="375" t="s">
        <v>694</v>
      </c>
      <c r="C23" s="376">
        <f>+F58</f>
        <v>0.48611111111111116</v>
      </c>
      <c r="D23" s="377"/>
      <c r="E23" s="370"/>
    </row>
    <row r="24" spans="2:17" ht="15.6" thickBot="1">
      <c r="B24" s="379" t="s">
        <v>695</v>
      </c>
      <c r="C24" s="376">
        <f>+F59</f>
        <v>0.41333333333333333</v>
      </c>
      <c r="D24" s="377"/>
      <c r="E24" s="370"/>
    </row>
    <row r="25" spans="2:17" ht="31.8" thickBot="1">
      <c r="B25" s="816" t="s">
        <v>844</v>
      </c>
      <c r="C25" s="707">
        <f>+F62</f>
        <v>0.50397024283069292</v>
      </c>
      <c r="D25" s="381"/>
      <c r="E25" s="370"/>
    </row>
    <row r="26" spans="2:17" s="382" customFormat="1">
      <c r="C26" s="140"/>
      <c r="D26" s="140"/>
      <c r="E26" s="140"/>
      <c r="P26" s="370"/>
      <c r="Q26" s="370"/>
    </row>
    <row r="27" spans="2:17" s="382" customFormat="1" ht="56.25" customHeight="1" thickBot="1">
      <c r="B27" s="382" t="s">
        <v>637</v>
      </c>
      <c r="C27" s="140"/>
      <c r="P27" s="370"/>
      <c r="Q27" s="370"/>
    </row>
    <row r="28" spans="2:17" ht="57" customHeight="1">
      <c r="B28" s="1273" t="s">
        <v>884</v>
      </c>
      <c r="C28" s="1275" t="s">
        <v>816</v>
      </c>
      <c r="D28" s="1277" t="s">
        <v>885</v>
      </c>
      <c r="E28" s="1278"/>
      <c r="F28" s="1279"/>
      <c r="H28" s="372"/>
    </row>
    <row r="29" spans="2:17" ht="54.6" customHeight="1" thickBot="1">
      <c r="B29" s="1274"/>
      <c r="C29" s="1276"/>
      <c r="D29" s="488" t="str">
        <f>+D39</f>
        <v>Cuarto Trimestre</v>
      </c>
      <c r="E29" s="492" t="s">
        <v>886</v>
      </c>
      <c r="F29" s="494" t="s">
        <v>878</v>
      </c>
      <c r="H29" s="372"/>
    </row>
    <row r="30" spans="2:17" ht="29.4" customHeight="1">
      <c r="B30" s="476" t="s">
        <v>879</v>
      </c>
      <c r="C30" s="466">
        <f>+C46</f>
        <v>20</v>
      </c>
      <c r="D30" s="489">
        <f>IFERROR(AVERAGE(D41:D45),0)</f>
        <v>1</v>
      </c>
      <c r="E30" s="495">
        <f>IFERROR(AVERAGE(E41:E45),0)</f>
        <v>0.50519354742958189</v>
      </c>
      <c r="F30" s="661">
        <f>IFERROR(AVERAGE(F41:F45),0)</f>
        <v>0.45376762150365596</v>
      </c>
      <c r="H30" s="372"/>
    </row>
    <row r="31" spans="2:17" ht="36.6" customHeight="1">
      <c r="B31" s="468" t="s">
        <v>880</v>
      </c>
      <c r="C31" s="467">
        <f>+C50</f>
        <v>35</v>
      </c>
      <c r="D31" s="490">
        <f>IFERROR(AVERAGE(D47:D49),0)</f>
        <v>0</v>
      </c>
      <c r="E31" s="495">
        <f>IFERROR(AVERAGE(E47:E49),0)</f>
        <v>0.48786629320625557</v>
      </c>
      <c r="F31" s="661">
        <f>IFERROR(AVERAGE(F47:F49),0)</f>
        <v>0.49819636953857893</v>
      </c>
      <c r="H31" s="372"/>
    </row>
    <row r="32" spans="2:17" ht="41.4" customHeight="1">
      <c r="B32" s="468" t="s">
        <v>881</v>
      </c>
      <c r="C32" s="467">
        <f>+C57</f>
        <v>26</v>
      </c>
      <c r="D32" s="490">
        <f>IFERROR(AVERAGE(D51:D56),0)</f>
        <v>0</v>
      </c>
      <c r="E32" s="495">
        <f>IFERROR(AVERAGE(E51:E56),0)</f>
        <v>0.74265582652913997</v>
      </c>
      <c r="F32" s="661">
        <f>IFERROR(AVERAGE(F51:F56),0)</f>
        <v>0.61419475805831469</v>
      </c>
      <c r="H32" s="372"/>
    </row>
    <row r="33" spans="2:22" ht="40.799999999999997">
      <c r="B33" s="468" t="s">
        <v>882</v>
      </c>
      <c r="C33" s="467">
        <f>+C60</f>
        <v>6</v>
      </c>
      <c r="D33" s="491">
        <f>IFERROR(AVERAGE(D58:D59),0)</f>
        <v>0</v>
      </c>
      <c r="E33" s="496">
        <f>IFERROR(AVERAGE(E58:E59),0)</f>
        <v>0</v>
      </c>
      <c r="F33" s="662">
        <f>IFERROR(AVERAGE(F58:F59),0)</f>
        <v>0.44972222222222225</v>
      </c>
      <c r="H33" s="372"/>
    </row>
    <row r="34" spans="2:22" ht="23.4">
      <c r="B34" s="470" t="s">
        <v>883</v>
      </c>
      <c r="C34" s="474">
        <f>SUM(C30:C33)</f>
        <v>87</v>
      </c>
      <c r="D34" s="469">
        <f>AVERAGE(D30:D33)</f>
        <v>0.25</v>
      </c>
      <c r="E34" s="493">
        <f>AVERAGE(E30:E33)</f>
        <v>0.43392891679124435</v>
      </c>
      <c r="F34" s="493">
        <f>AVERAGE(F30:F33)</f>
        <v>0.50397024283069292</v>
      </c>
      <c r="H34" s="372"/>
    </row>
    <row r="35" spans="2:22" ht="23.4">
      <c r="B35" s="471"/>
      <c r="C35" s="472"/>
      <c r="D35" s="473"/>
      <c r="E35" s="473"/>
      <c r="H35" s="372"/>
    </row>
    <row r="36" spans="2:22" s="382" customFormat="1">
      <c r="C36" s="140"/>
      <c r="P36" s="370"/>
      <c r="Q36" s="370"/>
    </row>
    <row r="37" spans="2:22" s="310" customFormat="1" ht="19.5" customHeight="1" thickBot="1">
      <c r="B37" s="750" t="str">
        <f>+B5</f>
        <v xml:space="preserve">Fecha de corte: </v>
      </c>
      <c r="C37" s="817">
        <f>+C5</f>
        <v>45107</v>
      </c>
      <c r="D37" s="316"/>
      <c r="E37" s="316"/>
      <c r="V37" s="313"/>
    </row>
    <row r="38" spans="2:22" s="310" customFormat="1" ht="21" customHeight="1">
      <c r="B38" s="1262" t="s">
        <v>704</v>
      </c>
      <c r="C38" s="1264" t="s">
        <v>816</v>
      </c>
      <c r="D38" s="1264" t="s">
        <v>854</v>
      </c>
      <c r="E38" s="1264"/>
      <c r="F38" s="1266"/>
      <c r="G38" s="311"/>
      <c r="H38" s="311"/>
      <c r="I38" s="311"/>
      <c r="U38" s="313"/>
    </row>
    <row r="39" spans="2:22" s="310" customFormat="1" ht="49.5" customHeight="1" thickBot="1">
      <c r="B39" s="1263"/>
      <c r="C39" s="1265"/>
      <c r="D39" s="477" t="str">
        <f>+'2.Infor Detallado Desempeño POA'!AL12</f>
        <v>Cuarto Trimestre</v>
      </c>
      <c r="E39" s="477" t="str">
        <f>+'2.Infor Detallado Desempeño POA'!AM12</f>
        <v>Acumulado
Corte 
31/12/2023</v>
      </c>
      <c r="F39" s="478" t="str">
        <f>+'2.Infor Detallado Desempeño POA'!AN12</f>
        <v>Anual</v>
      </c>
      <c r="G39" s="397"/>
      <c r="H39" s="311"/>
      <c r="I39" s="311"/>
      <c r="J39" s="311"/>
      <c r="V39" s="313"/>
    </row>
    <row r="40" spans="2:22" s="310" customFormat="1" ht="6" customHeight="1" thickBot="1">
      <c r="B40" s="1267"/>
      <c r="C40" s="1268"/>
      <c r="D40" s="1268"/>
      <c r="E40" s="1268"/>
      <c r="F40" s="1269"/>
      <c r="G40" s="323"/>
      <c r="H40" s="320"/>
      <c r="I40" s="320"/>
      <c r="J40" s="320"/>
      <c r="V40" s="313"/>
    </row>
    <row r="41" spans="2:22" s="310" customFormat="1">
      <c r="B41" s="317" t="s">
        <v>678</v>
      </c>
      <c r="C41" s="318">
        <f>+'Rango indicadores'!D111</f>
        <v>4</v>
      </c>
      <c r="D41" s="319" t="str">
        <f>IF(AND('2.Infor Detallado Desempeño POA'!AL17&gt;0),'2.Infor Detallado Desempeño POA'!AL17,"No Programado")</f>
        <v>No Programado</v>
      </c>
      <c r="E41" s="319">
        <f>IF(AND('2.Infor Detallado Desempeño POA'!AM17&gt;0),'2.Infor Detallado Desempeño POA'!AM17,"No Programado")</f>
        <v>0.58143477011494249</v>
      </c>
      <c r="F41" s="319">
        <f>IF(AND('2.Infor Detallado Desempeño POA'!AN17&gt;0),'2.Infor Detallado Desempeño POA'!AN17,"No Programado")</f>
        <v>0.58143477011494249</v>
      </c>
      <c r="G41" s="320"/>
      <c r="H41" s="320"/>
      <c r="I41" s="320"/>
      <c r="J41" s="320"/>
      <c r="V41" s="313"/>
    </row>
    <row r="42" spans="2:22" s="310" customFormat="1">
      <c r="B42" s="321" t="s">
        <v>680</v>
      </c>
      <c r="C42" s="318">
        <f>+'Rango indicadores'!D112</f>
        <v>4</v>
      </c>
      <c r="D42" s="319" t="str">
        <f>IF(AND('2.Infor Detallado Desempeño POA'!AL26&gt;0),'2.Infor Detallado Desempeño POA'!AL26,"No Programado")</f>
        <v>No Programado</v>
      </c>
      <c r="E42" s="319">
        <f>IF(AND('2.Infor Detallado Desempeño POA'!AM26&gt;0),'2.Infor Detallado Desempeño POA'!AM26,"No Programado")</f>
        <v>0.20512820512820512</v>
      </c>
      <c r="F42" s="319">
        <f>IF(AND('2.Infor Detallado Desempeño POA'!AN26&gt;0),'2.Infor Detallado Desempeño POA'!AN26,"No Programado")</f>
        <v>0.20512820512820512</v>
      </c>
      <c r="G42" s="320"/>
      <c r="H42" s="320"/>
      <c r="I42" s="320"/>
      <c r="J42" s="320"/>
      <c r="V42" s="313"/>
    </row>
    <row r="43" spans="2:22" s="310" customFormat="1">
      <c r="B43" s="321" t="s">
        <v>681</v>
      </c>
      <c r="C43" s="318">
        <f>+'Rango indicadores'!D113</f>
        <v>7</v>
      </c>
      <c r="D43" s="319" t="str">
        <f>IF(AND('2.Infor Detallado Desempeño POA'!AL38&gt;0),'2.Infor Detallado Desempeño POA'!AL38,"No Programado")</f>
        <v>No Programado</v>
      </c>
      <c r="E43" s="319">
        <f>IF(AND('2.Infor Detallado Desempeño POA'!AM38&gt;0),'2.Infor Detallado Desempeño POA'!AM38,"No Programado")</f>
        <v>0.46857142857142858</v>
      </c>
      <c r="F43" s="319">
        <f>IF(AND('2.Infor Detallado Desempeño POA'!AN38&gt;0),'2.Infor Detallado Desempeño POA'!AN38,"No Programado")</f>
        <v>0.46857142857142858</v>
      </c>
      <c r="G43" s="320"/>
      <c r="H43" s="320"/>
      <c r="I43" s="320"/>
      <c r="J43" s="320"/>
      <c r="V43" s="313"/>
    </row>
    <row r="44" spans="2:22" s="310" customFormat="1">
      <c r="B44" s="321" t="s">
        <v>682</v>
      </c>
      <c r="C44" s="318">
        <f>+'Rango indicadores'!D114</f>
        <v>2</v>
      </c>
      <c r="D44" s="319">
        <f>IF(AND('2.Infor Detallado Desempeño POA'!T45&gt;0),'2.Infor Detallado Desempeño POA'!T45,"No Programado")</f>
        <v>1</v>
      </c>
      <c r="E44" s="319">
        <f>IF(AND('2.Infor Detallado Desempeño POA'!AM45&gt;0),'2.Infor Detallado Desempeño POA'!AM45,"No Programado")</f>
        <v>0.5</v>
      </c>
      <c r="F44" s="319">
        <f>IF(AND('2.Infor Detallado Desempeño POA'!AN45&gt;0),'2.Infor Detallado Desempeño POA'!AN45,"No Programado")</f>
        <v>0.5</v>
      </c>
      <c r="G44" s="320"/>
      <c r="H44" s="320"/>
      <c r="I44" s="320"/>
      <c r="J44" s="320"/>
      <c r="V44" s="313"/>
    </row>
    <row r="45" spans="2:22" s="310" customFormat="1" ht="15.6" thickBot="1">
      <c r="B45" s="322" t="s">
        <v>693</v>
      </c>
      <c r="C45" s="318">
        <f>+'Rango indicadores'!D124</f>
        <v>3</v>
      </c>
      <c r="D45" s="319" t="str">
        <f>IF(AND('2.Infor Detallado Desempeño POA'!AL53&gt;0),'2.Infor Detallado Desempeño POA'!AL53,"No Programado")</f>
        <v>No Programado</v>
      </c>
      <c r="E45" s="319">
        <f>IF(AND('2.Infor Detallado Desempeño POA'!AD53&gt;0),'2.Infor Detallado Desempeño POA'!AD53,"No Programado")</f>
        <v>0.77083333333333326</v>
      </c>
      <c r="F45" s="319">
        <f>IF(AND('2.Infor Detallado Desempeño POA'!AN53&gt;0),'2.Infor Detallado Desempeño POA'!AN53,"No Programado")</f>
        <v>0.51370370370370366</v>
      </c>
      <c r="G45" s="320"/>
      <c r="H45" s="320"/>
      <c r="I45" s="320"/>
      <c r="J45" s="320"/>
      <c r="V45" s="313"/>
    </row>
    <row r="46" spans="2:22" s="310" customFormat="1" ht="34.950000000000003" customHeight="1" thickBot="1">
      <c r="B46" s="479" t="s">
        <v>855</v>
      </c>
      <c r="C46" s="480">
        <f>SUM(C41:C45)</f>
        <v>20</v>
      </c>
      <c r="D46" s="481">
        <f>IFERROR(AVERAGE(D41:D45),0)</f>
        <v>1</v>
      </c>
      <c r="E46" s="481">
        <f>IFERROR(AVERAGE(E41:E45),0)</f>
        <v>0.50519354742958189</v>
      </c>
      <c r="F46" s="481">
        <f>IFERROR(AVERAGE(F41:F45),0)</f>
        <v>0.45376762150365596</v>
      </c>
      <c r="G46" s="323"/>
      <c r="H46" s="320"/>
      <c r="I46" s="320"/>
      <c r="J46" s="320"/>
      <c r="V46" s="313"/>
    </row>
    <row r="47" spans="2:22" s="310" customFormat="1">
      <c r="B47" s="317" t="s">
        <v>683</v>
      </c>
      <c r="C47" s="318">
        <f>+'Rango indicadores'!D115</f>
        <v>20</v>
      </c>
      <c r="D47" s="319" t="str">
        <f>IF(AND('2.Infor Detallado Desempeño POA'!AL78&gt;0),'2.Infor Detallado Desempeño POA'!AL78,"No Programado")</f>
        <v>No Programado</v>
      </c>
      <c r="E47" s="319">
        <f>IF(AND('2.Infor Detallado Desempeño POA'!AM78&gt;0),'2.Infor Detallado Desempeño POA'!AM78,"No Programado")</f>
        <v>0.51928739015811765</v>
      </c>
      <c r="F47" s="319">
        <f>IF(AND('2.Infor Detallado Desempeño POA'!AN78&gt;0),'2.Infor Detallado Desempeño POA'!AN78,"No Programado")</f>
        <v>0.54661830542959755</v>
      </c>
      <c r="G47" s="320"/>
      <c r="H47" s="320"/>
      <c r="I47" s="320"/>
      <c r="J47" s="320"/>
      <c r="V47" s="313"/>
    </row>
    <row r="48" spans="2:22" s="310" customFormat="1">
      <c r="B48" s="321" t="s">
        <v>818</v>
      </c>
      <c r="C48" s="318">
        <f>+'Rango indicadores'!D116</f>
        <v>7</v>
      </c>
      <c r="D48" s="319" t="str">
        <f>IF(AND('2.Infor Detallado Desempeño POA'!AL90&gt;0),'2.Infor Detallado Desempeño POA'!AL90,"No Programado")</f>
        <v>No Programado</v>
      </c>
      <c r="E48" s="319">
        <f>IF(AND('2.Infor Detallado Desempeño POA'!AM90&gt;0),'2.Infor Detallado Desempeño POA'!AM90,"No Programado")</f>
        <v>0.47783599926457071</v>
      </c>
      <c r="F48" s="319">
        <f>IF(AND('2.Infor Detallado Desempeño POA'!AN90&gt;0),'2.Infor Detallado Desempeño POA'!AN90,"No Programado")</f>
        <v>0.47783599926457071</v>
      </c>
      <c r="G48" s="320"/>
      <c r="H48" s="320"/>
      <c r="I48" s="320"/>
      <c r="J48" s="320"/>
      <c r="V48" s="313"/>
    </row>
    <row r="49" spans="2:22" s="310" customFormat="1" ht="15.6" thickBot="1">
      <c r="B49" s="322" t="s">
        <v>686</v>
      </c>
      <c r="C49" s="318">
        <f>+'Rango indicadores'!D117</f>
        <v>8</v>
      </c>
      <c r="D49" s="319" t="str">
        <f>IF(AND('2.Infor Detallado Desempeño POA'!AL103&gt;0),'2.Infor Detallado Desempeño POA'!AL103,"No Programado")</f>
        <v>No Programado</v>
      </c>
      <c r="E49" s="319">
        <f>IF(AND('2.Infor Detallado Desempeño POA'!AM103&gt;0),'2.Infor Detallado Desempeño POA'!AM103,"No Programado")</f>
        <v>0.46647549019607842</v>
      </c>
      <c r="F49" s="319">
        <f>IF(AND('2.Infor Detallado Desempeño POA'!AN103&gt;0),'2.Infor Detallado Desempeño POA'!AN103,"No Programado")</f>
        <v>0.47013480392156859</v>
      </c>
      <c r="G49" s="320"/>
      <c r="H49" s="320"/>
      <c r="I49" s="320"/>
      <c r="J49" s="320"/>
      <c r="V49" s="313"/>
    </row>
    <row r="50" spans="2:22" s="310" customFormat="1" ht="34.950000000000003" customHeight="1" thickBot="1">
      <c r="B50" s="479" t="s">
        <v>856</v>
      </c>
      <c r="C50" s="480">
        <f>SUM(C47:C49)</f>
        <v>35</v>
      </c>
      <c r="D50" s="481">
        <f>IFERROR(AVERAGE(D47:D49),0)</f>
        <v>0</v>
      </c>
      <c r="E50" s="481">
        <f>IFERROR(AVERAGE(E47:E49),0)</f>
        <v>0.48786629320625557</v>
      </c>
      <c r="F50" s="481">
        <f>IFERROR(AVERAGE(F47:F49),0)</f>
        <v>0.49819636953857893</v>
      </c>
      <c r="G50" s="323"/>
      <c r="H50" s="320"/>
      <c r="I50" s="320"/>
      <c r="J50" s="320"/>
      <c r="V50" s="313"/>
    </row>
    <row r="51" spans="2:22" s="310" customFormat="1">
      <c r="B51" s="317" t="s">
        <v>687</v>
      </c>
      <c r="C51" s="318">
        <f>+'Rango indicadores'!D118</f>
        <v>8</v>
      </c>
      <c r="D51" s="319" t="str">
        <f>IF(AND('2.Infor Detallado Desempeño POA'!AL116&gt;0),'2.Infor Detallado Desempeño POA'!AL116,"No Programado")</f>
        <v>No Programado</v>
      </c>
      <c r="E51" s="319">
        <f>IF(AND('2.Infor Detallado Desempeño POA'!AM116&gt;0),'2.Infor Detallado Desempeño POA'!AM116,"No Programado")</f>
        <v>0.49454932240273886</v>
      </c>
      <c r="F51" s="319">
        <f>IF(AND('2.Infor Detallado Desempeño POA'!AN116&gt;0),'2.Infor Detallado Desempeño POA'!AN116,"No Programado")</f>
        <v>0.49443129251700685</v>
      </c>
      <c r="G51" s="320"/>
      <c r="H51" s="320"/>
      <c r="I51" s="320"/>
      <c r="J51" s="320"/>
      <c r="V51" s="313"/>
    </row>
    <row r="52" spans="2:22" s="310" customFormat="1">
      <c r="B52" s="321" t="s">
        <v>688</v>
      </c>
      <c r="C52" s="318">
        <f>+'Rango indicadores'!D119</f>
        <v>2</v>
      </c>
      <c r="D52" s="319" t="str">
        <f>IF(AND('2.Infor Detallado Desempeño POA'!AL123),'2.Infor Detallado Desempeño POA'!AL123,"No Programado")</f>
        <v>No Programado</v>
      </c>
      <c r="E52" s="319">
        <f>IF(AND('2.Infor Detallado Desempeño POA'!AM123),'2.Infor Detallado Desempeño POA'!AM123,"No Programado")</f>
        <v>0.51310137457044669</v>
      </c>
      <c r="F52" s="319">
        <f>IF(AND('2.Infor Detallado Desempeño POA'!AN123),'2.Infor Detallado Desempeño POA'!AN123,"No Programado")</f>
        <v>0.51288659793814428</v>
      </c>
      <c r="G52" s="320"/>
      <c r="H52" s="320"/>
      <c r="I52" s="320"/>
      <c r="J52" s="320"/>
      <c r="V52" s="313"/>
    </row>
    <row r="53" spans="2:22" s="310" customFormat="1">
      <c r="B53" s="321" t="s">
        <v>689</v>
      </c>
      <c r="C53" s="318">
        <f>+'Rango indicadores'!D120</f>
        <v>3</v>
      </c>
      <c r="D53" s="319" t="str">
        <f>IF(AND('2.Infor Detallado Desempeño POA'!AL131&gt;0),'2.Infor Detallado Desempeño POA'!AL131,"No Programado")</f>
        <v>No Programado</v>
      </c>
      <c r="E53" s="319">
        <f>IF(AND('2.Infor Detallado Desempeño POA'!AM131&gt;0),'2.Infor Detallado Desempeño POA'!AM131,"No Programado")</f>
        <v>0.47606666666666669</v>
      </c>
      <c r="F53" s="319">
        <f>IF(AND('2.Infor Detallado Desempeño POA'!AN131&gt;0),'2.Infor Detallado Desempeño POA'!AN131,"No Programado")</f>
        <v>0.47606666666666669</v>
      </c>
      <c r="G53" s="320"/>
      <c r="H53" s="320"/>
      <c r="I53" s="320"/>
      <c r="J53" s="320"/>
      <c r="V53" s="313"/>
    </row>
    <row r="54" spans="2:22" s="310" customFormat="1">
      <c r="B54" s="321" t="s">
        <v>690</v>
      </c>
      <c r="C54" s="318">
        <f>+'Rango indicadores'!D121</f>
        <v>4</v>
      </c>
      <c r="D54" s="319" t="str">
        <f>IF(AND('2.Infor Detallado Desempeño POA'!AL140&gt;0),'2.Infor Detallado Desempeño POA'!AL140,"No Programado")</f>
        <v>No Programado</v>
      </c>
      <c r="E54" s="319">
        <f>IF(AND('2.Infor Detallado Desempeño POA'!AM140&gt;0),'2.Infor Detallado Desempeño POA'!AM140,"No Programado")</f>
        <v>1.4663742690058479</v>
      </c>
      <c r="F54" s="319">
        <f>IF(AND('2.Infor Detallado Desempeño POA'!AN140&gt;0),'2.Infor Detallado Desempeño POA'!AN140,"No Programado")</f>
        <v>0.93859649122807021</v>
      </c>
      <c r="G54" s="320"/>
      <c r="H54" s="320"/>
      <c r="I54" s="320"/>
      <c r="J54" s="320"/>
      <c r="V54" s="313"/>
    </row>
    <row r="55" spans="2:22" s="310" customFormat="1">
      <c r="B55" s="321" t="s">
        <v>691</v>
      </c>
      <c r="C55" s="318">
        <f>+'Rango indicadores'!D122</f>
        <v>4</v>
      </c>
      <c r="D55" s="319" t="str">
        <f>IF(AND('2.Infor Detallado Desempeño POA'!AL149&gt;0),'2.Infor Detallado Desempeño POA'!AL149,"No Programado")</f>
        <v>No Programado</v>
      </c>
      <c r="E55" s="319">
        <f>IF(AND('2.Infor Detallado Desempeño POA'!AM149&gt;0),'2.Infor Detallado Desempeño POA'!AM149,"No Programado")</f>
        <v>0.76318750000000013</v>
      </c>
      <c r="F55" s="319">
        <f>IF(AND('2.Infor Detallado Desempeño POA'!AN149&gt;0),'2.Infor Detallado Desempeño POA'!AN149,"No Programado")</f>
        <v>0.76318749999999991</v>
      </c>
      <c r="G55" s="320"/>
      <c r="H55" s="320"/>
      <c r="I55" s="320"/>
      <c r="J55" s="320"/>
      <c r="V55" s="313"/>
    </row>
    <row r="56" spans="2:22" s="310" customFormat="1" ht="15.6" thickBot="1">
      <c r="B56" s="322" t="s">
        <v>692</v>
      </c>
      <c r="C56" s="318">
        <f>+'Rango indicadores'!D123</f>
        <v>5</v>
      </c>
      <c r="D56" s="319" t="str">
        <f>IF(AND('2.Infor Detallado Desempeño POA'!AL159&gt;0),'2.Infor Detallado Desempeño POA'!AL159,"No Programado")</f>
        <v>No Programado</v>
      </c>
      <c r="E56" s="319" t="str">
        <f>IF(AND('2.Infor Detallado Desempeño POA'!AM159&gt;0),'2.Infor Detallado Desempeño POA'!AM159,"No Programado")</f>
        <v>No Programado</v>
      </c>
      <c r="F56" s="319">
        <f>IF(AND('2.Infor Detallado Desempeño POA'!AN159&gt;0),'2.Infor Detallado Desempeño POA'!AN159,"No Programado")</f>
        <v>0.5</v>
      </c>
      <c r="G56" s="320"/>
      <c r="H56" s="320"/>
      <c r="I56" s="320"/>
      <c r="J56" s="320"/>
      <c r="V56" s="313"/>
    </row>
    <row r="57" spans="2:22" s="310" customFormat="1" ht="34.950000000000003" customHeight="1" thickBot="1">
      <c r="B57" s="479" t="s">
        <v>857</v>
      </c>
      <c r="C57" s="480">
        <f>SUM(C51:C56)</f>
        <v>26</v>
      </c>
      <c r="D57" s="481">
        <f>IFERROR(AVERAGE(D51:D56),0)</f>
        <v>0</v>
      </c>
      <c r="E57" s="481">
        <f>IFERROR(AVERAGE(E51:E56),0)</f>
        <v>0.74265582652913997</v>
      </c>
      <c r="F57" s="481">
        <f>IFERROR(AVERAGE(F51:F56),0)</f>
        <v>0.61419475805831469</v>
      </c>
      <c r="G57" s="323"/>
      <c r="H57" s="320"/>
      <c r="I57" s="320"/>
      <c r="J57" s="320"/>
      <c r="V57" s="313"/>
    </row>
    <row r="58" spans="2:22" s="310" customFormat="1">
      <c r="B58" s="321" t="s">
        <v>694</v>
      </c>
      <c r="C58" s="318">
        <f>+'Rango indicadores'!D125</f>
        <v>3</v>
      </c>
      <c r="D58" s="319" t="str">
        <f>IF(AND('2.Infor Detallado Desempeño POA'!AL167&gt;0),'2.Infor Detallado Desempeño POA'!AL167,"No Programado")</f>
        <v>No Programado</v>
      </c>
      <c r="E58" s="319" t="str">
        <f>IF(AND('2.Infor Detallado Desempeño POA'!AM167&gt;0),'2.Infor Detallado Desempeño POA'!AM167,"No Programado")</f>
        <v>No Programado</v>
      </c>
      <c r="F58" s="319">
        <f>IF(AND('2.Infor Detallado Desempeño POA'!AN167&gt;0),'2.Infor Detallado Desempeño POA'!AN167,"No Programado")</f>
        <v>0.48611111111111116</v>
      </c>
      <c r="G58" s="320"/>
      <c r="H58" s="320"/>
      <c r="I58" s="320"/>
      <c r="J58" s="320"/>
      <c r="V58" s="313"/>
    </row>
    <row r="59" spans="2:22" s="310" customFormat="1" ht="15.6" thickBot="1">
      <c r="B59" s="404" t="s">
        <v>695</v>
      </c>
      <c r="C59" s="405">
        <f>+'Rango indicadores'!D126</f>
        <v>3</v>
      </c>
      <c r="D59" s="319" t="str">
        <f>IF(AND('2.Infor Detallado Desempeño POA'!AL175&gt;0),'2.Infor Detallado Desempeño POA'!AL175,"No Programado")</f>
        <v>No Programado</v>
      </c>
      <c r="E59" s="319" t="str">
        <f>IF(AND('2.Infor Detallado Desempeño POA'!AM175&gt;0),'2.Infor Detallado Desempeño POA'!AM175,"No Programado")</f>
        <v>No Programado</v>
      </c>
      <c r="F59" s="319">
        <f>IF(AND('2.Infor Detallado Desempeño POA'!AN175&gt;0),'2.Infor Detallado Desempeño POA'!AN175,"No Programado")</f>
        <v>0.41333333333333333</v>
      </c>
      <c r="G59" s="320"/>
      <c r="H59" s="320"/>
      <c r="I59" s="320"/>
      <c r="J59" s="320"/>
      <c r="V59" s="313"/>
    </row>
    <row r="60" spans="2:22" s="310" customFormat="1" ht="46.95" customHeight="1" thickBot="1">
      <c r="B60" s="482" t="s">
        <v>819</v>
      </c>
      <c r="C60" s="480">
        <f>SUM(C58:C59)</f>
        <v>6</v>
      </c>
      <c r="D60" s="481">
        <f>IFERROR(AVERAGE(D58:D59),0)</f>
        <v>0</v>
      </c>
      <c r="E60" s="481">
        <f>IFERROR(AVERAGE(E58:E59),0)</f>
        <v>0</v>
      </c>
      <c r="F60" s="481">
        <f>IFERROR(AVERAGE(F58:F59),0)</f>
        <v>0.44972222222222225</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883</v>
      </c>
      <c r="C62" s="474">
        <f>+C60+C57+C50+C46</f>
        <v>87</v>
      </c>
      <c r="D62" s="469">
        <f>AVERAGE(D46,D50,D57,D60)</f>
        <v>0.25</v>
      </c>
      <c r="E62" s="469">
        <f>AVERAGE(E46,E50,E57,E60)</f>
        <v>0.43392891679124435</v>
      </c>
      <c r="F62" s="469">
        <f>AVERAGE(F46,F50,F57,F60)</f>
        <v>0.50397024283069292</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345" priority="1" operator="equal">
      <formula>"No Programado"</formula>
    </cfRule>
    <cfRule type="cellIs" dxfId="344" priority="2" operator="lessThanOrEqual">
      <formula>0.6</formula>
    </cfRule>
    <cfRule type="cellIs" dxfId="343" priority="3" operator="between">
      <formula>0.6</formula>
      <formula>0.899999999999999</formula>
    </cfRule>
    <cfRule type="cellIs" dxfId="342" priority="4" operator="greaterThan">
      <formula>1</formula>
    </cfRule>
    <cfRule type="cellIs" dxfId="341" priority="5" operator="between">
      <formula>0.9</formula>
      <formula>1</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topLeftCell="A16" zoomScale="85" zoomScaleNormal="85" workbookViewId="0">
      <selection activeCell="H10" sqref="H10"/>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5" width="18.88671875" style="372"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37" t="s">
        <v>843</v>
      </c>
      <c r="C2" s="1270" t="s">
        <v>852</v>
      </c>
      <c r="D2" s="1270"/>
      <c r="E2" s="1270"/>
      <c r="F2" s="1270"/>
      <c r="G2" s="1270"/>
      <c r="H2" s="1270"/>
      <c r="I2" s="364"/>
      <c r="J2" s="364"/>
      <c r="K2" s="364"/>
      <c r="L2" s="364"/>
      <c r="M2" s="364"/>
      <c r="N2" s="414"/>
      <c r="O2" s="414"/>
      <c r="P2" s="414"/>
      <c r="Q2" s="414"/>
      <c r="R2" s="414"/>
      <c r="S2" s="414"/>
      <c r="T2" s="414"/>
      <c r="U2" s="414"/>
      <c r="V2" s="313"/>
    </row>
    <row r="3" spans="2:22" s="310" customFormat="1" ht="17.399999999999999" customHeight="1">
      <c r="B3" s="1237"/>
      <c r="C3" s="1271" t="s">
        <v>1065</v>
      </c>
      <c r="D3" s="1271"/>
      <c r="E3" s="1271"/>
      <c r="F3" s="1271"/>
      <c r="G3" s="1271"/>
      <c r="H3" s="1271"/>
      <c r="I3" s="363"/>
      <c r="J3" s="363"/>
      <c r="K3" s="363"/>
      <c r="L3" s="363"/>
      <c r="M3" s="363"/>
      <c r="N3" s="413"/>
      <c r="O3" s="413"/>
      <c r="P3" s="413"/>
      <c r="Q3" s="413"/>
      <c r="R3" s="413"/>
      <c r="S3" s="413"/>
      <c r="T3" s="413"/>
      <c r="U3" s="413"/>
      <c r="V3" s="314"/>
    </row>
    <row r="4" spans="2:22" s="310" customFormat="1" ht="6" customHeight="1">
      <c r="B4" s="396"/>
      <c r="D4" s="1272"/>
      <c r="E4" s="1272"/>
      <c r="F4" s="1272"/>
      <c r="G4" s="1272"/>
      <c r="H4" s="1272"/>
      <c r="I4" s="355"/>
      <c r="J4" s="355"/>
      <c r="K4" s="355"/>
      <c r="L4" s="355"/>
      <c r="M4" s="355"/>
      <c r="N4" s="415"/>
      <c r="O4" s="415"/>
      <c r="P4" s="415"/>
      <c r="Q4" s="415"/>
      <c r="R4" s="415"/>
      <c r="S4" s="415"/>
      <c r="T4" s="415"/>
      <c r="U4" s="415"/>
      <c r="V4" s="315"/>
    </row>
    <row r="5" spans="2:22" s="310" customFormat="1" ht="19.5" customHeight="1">
      <c r="B5" s="750" t="str">
        <f>+'2.Infor Detallado Desempeño POA'!C7</f>
        <v xml:space="preserve">Fecha de corte: </v>
      </c>
      <c r="C5" s="757">
        <v>44834</v>
      </c>
      <c r="D5" s="356"/>
      <c r="E5" s="316"/>
      <c r="V5" s="313"/>
    </row>
    <row r="6" spans="2:22" ht="1.95" customHeight="1">
      <c r="B6" s="373"/>
    </row>
    <row r="7" spans="2:22" ht="8.4" customHeight="1">
      <c r="B7" s="373"/>
    </row>
    <row r="8" spans="2:22" ht="54" customHeight="1">
      <c r="B8" s="419" t="s">
        <v>704</v>
      </c>
      <c r="C8" s="420" t="s">
        <v>1066</v>
      </c>
      <c r="D8" s="374"/>
      <c r="E8" s="370"/>
    </row>
    <row r="9" spans="2:22">
      <c r="B9" s="375" t="s">
        <v>678</v>
      </c>
      <c r="C9" s="376">
        <f>+F41</f>
        <v>0.58143477011494249</v>
      </c>
      <c r="D9" s="377"/>
      <c r="E9" s="370"/>
    </row>
    <row r="10" spans="2:22">
      <c r="B10" s="375" t="s">
        <v>680</v>
      </c>
      <c r="C10" s="376">
        <f>+F42</f>
        <v>0.20512820512820512</v>
      </c>
      <c r="D10" s="377"/>
      <c r="E10" s="370"/>
      <c r="H10" s="431"/>
      <c r="I10" s="432" t="s">
        <v>1067</v>
      </c>
    </row>
    <row r="11" spans="2:22">
      <c r="B11" s="375" t="s">
        <v>681</v>
      </c>
      <c r="C11" s="376">
        <f>+F43</f>
        <v>0.46857142857142858</v>
      </c>
      <c r="D11" s="377"/>
      <c r="E11" s="370"/>
      <c r="H11" s="663"/>
      <c r="I11" s="432" t="s">
        <v>859</v>
      </c>
    </row>
    <row r="12" spans="2:22">
      <c r="B12" s="375" t="s">
        <v>682</v>
      </c>
      <c r="C12" s="376">
        <f>+F44</f>
        <v>0.49950000000000006</v>
      </c>
      <c r="D12" s="377"/>
      <c r="E12" s="370"/>
      <c r="H12" s="433"/>
      <c r="I12" s="432" t="s">
        <v>860</v>
      </c>
    </row>
    <row r="13" spans="2:22">
      <c r="B13" s="375" t="s">
        <v>693</v>
      </c>
      <c r="C13" s="376">
        <f>+F45</f>
        <v>0.51370370370370366</v>
      </c>
      <c r="D13" s="378"/>
      <c r="E13" s="370"/>
      <c r="H13" s="434"/>
      <c r="I13" s="432" t="s">
        <v>861</v>
      </c>
    </row>
    <row r="14" spans="2:22">
      <c r="B14" s="375" t="s">
        <v>683</v>
      </c>
      <c r="C14" s="376">
        <f>+F47</f>
        <v>0.54659060459857256</v>
      </c>
      <c r="D14" s="377"/>
      <c r="E14" s="370"/>
    </row>
    <row r="15" spans="2:22">
      <c r="B15" s="375" t="s">
        <v>818</v>
      </c>
      <c r="C15" s="376">
        <f>+F48</f>
        <v>0.47783599926457071</v>
      </c>
      <c r="D15" s="377"/>
      <c r="E15" s="370"/>
    </row>
    <row r="16" spans="2:22">
      <c r="B16" s="375" t="s">
        <v>686</v>
      </c>
      <c r="C16" s="376">
        <f>+F49</f>
        <v>0.40804105392156859</v>
      </c>
      <c r="D16" s="377"/>
      <c r="E16" s="370"/>
    </row>
    <row r="17" spans="2:17">
      <c r="B17" s="375" t="s">
        <v>687</v>
      </c>
      <c r="C17" s="376">
        <f t="shared" ref="C17:C22" si="0">+F51</f>
        <v>0.49440001594387756</v>
      </c>
      <c r="D17" s="377"/>
      <c r="E17" s="370"/>
    </row>
    <row r="18" spans="2:17">
      <c r="B18" s="375" t="s">
        <v>688</v>
      </c>
      <c r="C18" s="376">
        <f t="shared" si="0"/>
        <v>0.51263659793814442</v>
      </c>
      <c r="D18" s="377"/>
      <c r="E18" s="370"/>
    </row>
    <row r="19" spans="2:17">
      <c r="B19" s="375" t="s">
        <v>689</v>
      </c>
      <c r="C19" s="376">
        <f t="shared" si="0"/>
        <v>0.47606666666666669</v>
      </c>
      <c r="D19" s="377"/>
      <c r="E19" s="370"/>
    </row>
    <row r="20" spans="2:17">
      <c r="B20" s="375" t="s">
        <v>690</v>
      </c>
      <c r="C20" s="376">
        <f t="shared" si="0"/>
        <v>0.48255482456140353</v>
      </c>
      <c r="D20" s="377"/>
      <c r="E20" s="370"/>
    </row>
    <row r="21" spans="2:17">
      <c r="B21" s="375" t="s">
        <v>691</v>
      </c>
      <c r="C21" s="376">
        <f t="shared" si="0"/>
        <v>0.51092187499999997</v>
      </c>
      <c r="D21" s="377"/>
      <c r="E21" s="370"/>
    </row>
    <row r="22" spans="2:17">
      <c r="B22" s="375" t="s">
        <v>692</v>
      </c>
      <c r="C22" s="376">
        <f t="shared" si="0"/>
        <v>0.49950000000000011</v>
      </c>
      <c r="D22" s="377"/>
      <c r="E22" s="370"/>
    </row>
    <row r="23" spans="2:17">
      <c r="B23" s="375" t="s">
        <v>694</v>
      </c>
      <c r="C23" s="376">
        <f>+F58</f>
        <v>0.48611111111111116</v>
      </c>
      <c r="D23" s="377"/>
      <c r="E23" s="370"/>
    </row>
    <row r="24" spans="2:17" ht="15.6" thickBot="1">
      <c r="B24" s="379" t="s">
        <v>695</v>
      </c>
      <c r="C24" s="376">
        <f>+F59</f>
        <v>0.41333333333333333</v>
      </c>
      <c r="D24" s="377"/>
      <c r="E24" s="370"/>
    </row>
    <row r="25" spans="2:17" ht="16.2" thickBot="1">
      <c r="B25" s="380" t="s">
        <v>844</v>
      </c>
      <c r="C25" s="707">
        <f>+F62</f>
        <v>0.46922309825144937</v>
      </c>
      <c r="D25" s="381"/>
      <c r="E25" s="370"/>
    </row>
    <row r="26" spans="2:17" s="382" customFormat="1">
      <c r="C26" s="140"/>
      <c r="D26" s="140"/>
      <c r="E26" s="140"/>
      <c r="P26" s="370"/>
      <c r="Q26" s="370"/>
    </row>
    <row r="27" spans="2:17" s="382" customFormat="1" ht="56.25" customHeight="1" thickBot="1">
      <c r="B27" s="382" t="s">
        <v>637</v>
      </c>
      <c r="C27" s="140"/>
      <c r="P27" s="370"/>
      <c r="Q27" s="370"/>
    </row>
    <row r="28" spans="2:17" ht="57" customHeight="1">
      <c r="B28" s="1273" t="s">
        <v>884</v>
      </c>
      <c r="C28" s="1275" t="s">
        <v>816</v>
      </c>
      <c r="D28" s="1277" t="s">
        <v>885</v>
      </c>
      <c r="E28" s="1278"/>
      <c r="F28" s="1279"/>
      <c r="H28" s="372"/>
    </row>
    <row r="29" spans="2:17" ht="54.6" customHeight="1" thickBot="1">
      <c r="B29" s="1274"/>
      <c r="C29" s="1276"/>
      <c r="D29" s="488" t="str">
        <f>+D39</f>
        <v>Tercer Trimestre</v>
      </c>
      <c r="E29" s="492" t="s">
        <v>886</v>
      </c>
      <c r="F29" s="494" t="s">
        <v>878</v>
      </c>
      <c r="H29" s="372"/>
    </row>
    <row r="30" spans="2:17" ht="29.4" customHeight="1">
      <c r="B30" s="476" t="s">
        <v>879</v>
      </c>
      <c r="C30" s="466">
        <f>+C46</f>
        <v>20</v>
      </c>
      <c r="D30" s="489">
        <f>IFERROR(AVERAGE(D41:D45),0)</f>
        <v>1</v>
      </c>
      <c r="E30" s="495">
        <f>IFERROR(AVERAGE(E41:E45),0)</f>
        <v>0.65939955834038932</v>
      </c>
      <c r="F30" s="661">
        <f>IFERROR(AVERAGE(F41:F45),0)</f>
        <v>0.45366762150365603</v>
      </c>
      <c r="H30" s="372"/>
    </row>
    <row r="31" spans="2:17" ht="36.6" customHeight="1">
      <c r="B31" s="468" t="s">
        <v>880</v>
      </c>
      <c r="C31" s="467">
        <f>+C50</f>
        <v>35</v>
      </c>
      <c r="D31" s="490">
        <f>IFERROR(AVERAGE(D47:D49),0)</f>
        <v>0</v>
      </c>
      <c r="E31" s="495">
        <f>IFERROR(AVERAGE(E47:E49),0)</f>
        <v>0.69157756891601574</v>
      </c>
      <c r="F31" s="661">
        <f>IFERROR(AVERAGE(F47:F49),0)</f>
        <v>0.47748921926157067</v>
      </c>
      <c r="H31" s="372"/>
    </row>
    <row r="32" spans="2:17" ht="41.4" customHeight="1">
      <c r="B32" s="468" t="s">
        <v>881</v>
      </c>
      <c r="C32" s="467">
        <f>+C57</f>
        <v>26</v>
      </c>
      <c r="D32" s="490">
        <f>IFERROR(AVERAGE(D51:D56),0)</f>
        <v>0</v>
      </c>
      <c r="E32" s="495">
        <f>IFERROR(AVERAGE(E51:E56),0)</f>
        <v>0.69640977079665844</v>
      </c>
      <c r="F32" s="661">
        <f>IFERROR(AVERAGE(F51:F56),0)</f>
        <v>0.49601333001834869</v>
      </c>
      <c r="H32" s="372"/>
    </row>
    <row r="33" spans="2:22" ht="40.799999999999997">
      <c r="B33" s="468" t="s">
        <v>882</v>
      </c>
      <c r="C33" s="467">
        <f>+C60</f>
        <v>6</v>
      </c>
      <c r="D33" s="491">
        <f>IFERROR(AVERAGE(D58:D59),0)</f>
        <v>0</v>
      </c>
      <c r="E33" s="496">
        <f>IFERROR(AVERAGE(E58:E59),0)</f>
        <v>0.52605321507760539</v>
      </c>
      <c r="F33" s="662">
        <f>IFERROR(AVERAGE(F58:F59),0)</f>
        <v>0.44972222222222225</v>
      </c>
      <c r="H33" s="372"/>
    </row>
    <row r="34" spans="2:22" ht="23.4">
      <c r="B34" s="470" t="s">
        <v>883</v>
      </c>
      <c r="C34" s="474">
        <f>SUM(C30:C33)</f>
        <v>87</v>
      </c>
      <c r="D34" s="469">
        <f>AVERAGE(D30:D33)</f>
        <v>0.25</v>
      </c>
      <c r="E34" s="493">
        <f>AVERAGE(E30:E33)</f>
        <v>0.64336002828266725</v>
      </c>
      <c r="F34" s="493">
        <f>AVERAGE(F30:F33)</f>
        <v>0.46922309825144937</v>
      </c>
      <c r="H34" s="372"/>
    </row>
    <row r="35" spans="2:22" ht="23.4">
      <c r="B35" s="471"/>
      <c r="C35" s="472"/>
      <c r="D35" s="473"/>
      <c r="E35" s="473"/>
      <c r="H35" s="372"/>
    </row>
    <row r="36" spans="2:22" s="382" customFormat="1">
      <c r="C36" s="140"/>
      <c r="P36" s="370"/>
      <c r="Q36" s="370"/>
    </row>
    <row r="37" spans="2:22" s="310" customFormat="1" ht="19.5" customHeight="1" thickBot="1">
      <c r="B37" s="750" t="str">
        <f>+B5</f>
        <v xml:space="preserve">Fecha de corte: </v>
      </c>
      <c r="C37" s="757">
        <f>+C5</f>
        <v>44834</v>
      </c>
      <c r="D37" s="316"/>
      <c r="E37" s="316"/>
      <c r="V37" s="313"/>
    </row>
    <row r="38" spans="2:22" s="310" customFormat="1" ht="21" customHeight="1">
      <c r="B38" s="1262" t="s">
        <v>704</v>
      </c>
      <c r="C38" s="1264" t="s">
        <v>816</v>
      </c>
      <c r="D38" s="1264" t="s">
        <v>854</v>
      </c>
      <c r="E38" s="1264"/>
      <c r="F38" s="1266"/>
      <c r="G38" s="311"/>
      <c r="H38" s="311"/>
      <c r="I38" s="311"/>
      <c r="U38" s="313"/>
    </row>
    <row r="39" spans="2:22" s="310" customFormat="1" ht="49.5" customHeight="1" thickBot="1">
      <c r="B39" s="1263"/>
      <c r="C39" s="1265"/>
      <c r="D39" s="477" t="str">
        <f>+'2.Infor Detallado Desempeño POA'!AC12</f>
        <v>Tercer Trimestre</v>
      </c>
      <c r="E39" s="477" t="str">
        <f>+'2.Infor Detallado Desempeño POA'!AD12</f>
        <v>Acumulado Corte 
30/09/2022</v>
      </c>
      <c r="F39" s="478" t="str">
        <f>+'2.Infor Detallado Desempeño POA'!AE12</f>
        <v>Anual</v>
      </c>
      <c r="G39" s="397"/>
      <c r="H39" s="311"/>
      <c r="I39" s="311"/>
      <c r="J39" s="311"/>
      <c r="V39" s="313"/>
    </row>
    <row r="40" spans="2:22" s="310" customFormat="1" ht="6" customHeight="1" thickBot="1">
      <c r="B40" s="1267"/>
      <c r="C40" s="1268"/>
      <c r="D40" s="1268"/>
      <c r="E40" s="1268"/>
      <c r="F40" s="1269"/>
      <c r="G40" s="323"/>
      <c r="H40" s="320"/>
      <c r="I40" s="320"/>
      <c r="J40" s="320"/>
      <c r="V40" s="313"/>
    </row>
    <row r="41" spans="2:22" s="310" customFormat="1">
      <c r="B41" s="317" t="s">
        <v>678</v>
      </c>
      <c r="C41" s="318">
        <f>+'Rango indicadores'!D111</f>
        <v>4</v>
      </c>
      <c r="D41" s="319" t="str">
        <f>IF(AND('2.Infor Detallado Desempeño POA'!AC17&gt;0),'2.Infor Detallado Desempeño POA'!AC17,"No Programado")</f>
        <v>No Programado</v>
      </c>
      <c r="E41" s="319">
        <f>IF(AND('2.Infor Detallado Desempeño POA'!AD17&gt;0),'2.Infor Detallado Desempeño POA'!AD17,"No Programado")</f>
        <v>0.68650482541526248</v>
      </c>
      <c r="F41" s="319">
        <f>IF(AND('2.Infor Detallado Desempeño POA'!AE17&gt;0),'2.Infor Detallado Desempeño POA'!AE17,"No Programado")</f>
        <v>0.58143477011494249</v>
      </c>
      <c r="G41" s="320"/>
      <c r="H41" s="320"/>
      <c r="I41" s="320"/>
      <c r="J41" s="320"/>
      <c r="V41" s="313"/>
    </row>
    <row r="42" spans="2:22" s="310" customFormat="1">
      <c r="B42" s="321" t="s">
        <v>680</v>
      </c>
      <c r="C42" s="318">
        <f>+'Rango indicadores'!D112</f>
        <v>4</v>
      </c>
      <c r="D42" s="319" t="str">
        <f>IF(AND('2.Infor Detallado Desempeño POA'!AC26&gt;0),'2.Infor Detallado Desempeño POA'!AC26,"No Programado")</f>
        <v>No Programado</v>
      </c>
      <c r="E42" s="319">
        <f>IF(AND('2.Infor Detallado Desempeño POA'!AD26&gt;0),'2.Infor Detallado Desempeño POA'!AD26,"No Programado")</f>
        <v>0.55645161290322576</v>
      </c>
      <c r="F42" s="319">
        <f>IF(AND('2.Infor Detallado Desempeño POA'!AE26&gt;0),'2.Infor Detallado Desempeño POA'!AE26,"No Programado")</f>
        <v>0.20512820512820512</v>
      </c>
      <c r="G42" s="320"/>
      <c r="H42" s="320"/>
      <c r="I42" s="320"/>
      <c r="J42" s="320"/>
      <c r="V42" s="313"/>
    </row>
    <row r="43" spans="2:22" s="310" customFormat="1">
      <c r="B43" s="321" t="s">
        <v>681</v>
      </c>
      <c r="C43" s="318">
        <f>+'Rango indicadores'!D113</f>
        <v>7</v>
      </c>
      <c r="D43" s="319" t="str">
        <f>IF(AND('2.Infor Detallado Desempeño POA'!AC38&gt;0),'2.Infor Detallado Desempeño POA'!AC38,"No Programado")</f>
        <v>No Programado</v>
      </c>
      <c r="E43" s="319">
        <f>IF(AND('2.Infor Detallado Desempeño POA'!AD38&gt;0),'2.Infor Detallado Desempeño POA'!AD38,"No Programado")</f>
        <v>0.61654135338345861</v>
      </c>
      <c r="F43" s="319">
        <f>IF(AND('2.Infor Detallado Desempeño POA'!AE38&gt;0),'2.Infor Detallado Desempeño POA'!AE38,"No Programado")</f>
        <v>0.46857142857142858</v>
      </c>
      <c r="G43" s="320"/>
      <c r="H43" s="320"/>
      <c r="I43" s="320"/>
      <c r="J43" s="320"/>
      <c r="V43" s="313"/>
    </row>
    <row r="44" spans="2:22" s="310" customFormat="1">
      <c r="B44" s="321" t="s">
        <v>682</v>
      </c>
      <c r="C44" s="318">
        <f>+'Rango indicadores'!D114</f>
        <v>2</v>
      </c>
      <c r="D44" s="319">
        <f>IF(AND('2.Infor Detallado Desempeño POA'!T45&gt;0),'2.Infor Detallado Desempeño POA'!T45,"No Programado")</f>
        <v>1</v>
      </c>
      <c r="E44" s="319">
        <f>IF(AND('2.Infor Detallado Desempeño POA'!AD45&gt;0),'2.Infor Detallado Desempeño POA'!AD45,"No Programado")</f>
        <v>0.66666666666666663</v>
      </c>
      <c r="F44" s="319">
        <f>IF(AND('2.Infor Detallado Desempeño POA'!AE45&gt;0),'2.Infor Detallado Desempeño POA'!AE45,"No Programado")</f>
        <v>0.49950000000000006</v>
      </c>
      <c r="G44" s="320"/>
      <c r="H44" s="320"/>
      <c r="I44" s="320"/>
      <c r="J44" s="320"/>
      <c r="V44" s="313"/>
    </row>
    <row r="45" spans="2:22" s="310" customFormat="1" ht="15.6" thickBot="1">
      <c r="B45" s="322" t="s">
        <v>693</v>
      </c>
      <c r="C45" s="318">
        <f>+'Rango indicadores'!D124</f>
        <v>3</v>
      </c>
      <c r="D45" s="319" t="str">
        <f>IF(AND('2.Infor Detallado Desempeño POA'!AC53&gt;0),'2.Infor Detallado Desempeño POA'!AC53,"No Programado")</f>
        <v>No Programado</v>
      </c>
      <c r="E45" s="319">
        <f>IF(AND('2.Infor Detallado Desempeño POA'!AD53&gt;0),'2.Infor Detallado Desempeño POA'!AD53,"No Programado")</f>
        <v>0.77083333333333326</v>
      </c>
      <c r="F45" s="319">
        <f>IF(AND('2.Infor Detallado Desempeño POA'!AE53&gt;0),'2.Infor Detallado Desempeño POA'!AE53,"No Programado")</f>
        <v>0.51370370370370366</v>
      </c>
      <c r="G45" s="320"/>
      <c r="H45" s="320"/>
      <c r="I45" s="320"/>
      <c r="J45" s="320"/>
      <c r="V45" s="313"/>
    </row>
    <row r="46" spans="2:22" s="310" customFormat="1" ht="34.950000000000003" customHeight="1" thickBot="1">
      <c r="B46" s="479" t="s">
        <v>855</v>
      </c>
      <c r="C46" s="480">
        <f>SUM(C41:C45)</f>
        <v>20</v>
      </c>
      <c r="D46" s="481">
        <f>IFERROR(AVERAGE(D41:D45),0)</f>
        <v>1</v>
      </c>
      <c r="E46" s="481">
        <f>IFERROR(AVERAGE(E41:E45),0)</f>
        <v>0.65939955834038932</v>
      </c>
      <c r="F46" s="481">
        <f>IFERROR(AVERAGE(F41:F45),0)</f>
        <v>0.45366762150365603</v>
      </c>
      <c r="G46" s="323"/>
      <c r="H46" s="320"/>
      <c r="I46" s="320"/>
      <c r="J46" s="320"/>
      <c r="V46" s="313"/>
    </row>
    <row r="47" spans="2:22" s="310" customFormat="1">
      <c r="B47" s="317" t="s">
        <v>683</v>
      </c>
      <c r="C47" s="318">
        <f>+'Rango indicadores'!D115</f>
        <v>20</v>
      </c>
      <c r="D47" s="319" t="str">
        <f>IF(AND('2.Infor Detallado Desempeño POA'!AC78&gt;0),'2.Infor Detallado Desempeño POA'!AC78,"No Programado")</f>
        <v>No Programado</v>
      </c>
      <c r="E47" s="319">
        <f>IF(AND('2.Infor Detallado Desempeño POA'!AD78&gt;0),'2.Infor Detallado Desempeño POA'!AD78,"No Programado")</f>
        <v>0.77721565367084355</v>
      </c>
      <c r="F47" s="319">
        <f>IF(AND('2.Infor Detallado Desempeño POA'!AE78&gt;0),'2.Infor Detallado Desempeño POA'!AE78,"No Programado")</f>
        <v>0.54659060459857256</v>
      </c>
      <c r="G47" s="320"/>
      <c r="H47" s="320"/>
      <c r="I47" s="320"/>
      <c r="J47" s="320"/>
      <c r="V47" s="313"/>
    </row>
    <row r="48" spans="2:22" s="310" customFormat="1">
      <c r="B48" s="321" t="s">
        <v>818</v>
      </c>
      <c r="C48" s="318">
        <f>+'Rango indicadores'!D116</f>
        <v>7</v>
      </c>
      <c r="D48" s="319" t="str">
        <f>IF(AND('2.Infor Detallado Desempeño POA'!AC90&gt;0),'2.Infor Detallado Desempeño POA'!AC90,"No Programado")</f>
        <v>No Programado</v>
      </c>
      <c r="E48" s="319">
        <f>IF(AND('2.Infor Detallado Desempeño POA'!AD90&gt;0),'2.Infor Detallado Desempeño POA'!AD90,"No Programado")</f>
        <v>0.6069934730649017</v>
      </c>
      <c r="F48" s="319">
        <f>IF(AND('2.Infor Detallado Desempeño POA'!AE90&gt;0),'2.Infor Detallado Desempeño POA'!AE90,"No Programado")</f>
        <v>0.47783599926457071</v>
      </c>
      <c r="G48" s="320"/>
      <c r="H48" s="320"/>
      <c r="I48" s="320"/>
      <c r="J48" s="320"/>
      <c r="V48" s="313"/>
    </row>
    <row r="49" spans="2:22" s="310" customFormat="1" ht="15.6" thickBot="1">
      <c r="B49" s="322" t="s">
        <v>686</v>
      </c>
      <c r="C49" s="318">
        <f>+'Rango indicadores'!D117</f>
        <v>8</v>
      </c>
      <c r="D49" s="319" t="str">
        <f>IF(AND('2.Infor Detallado Desempeño POA'!AC103&gt;0),'2.Infor Detallado Desempeño POA'!AC103,"No Programado")</f>
        <v>No Programado</v>
      </c>
      <c r="E49" s="319">
        <f>IF(AND('2.Infor Detallado Desempeño POA'!AD103&gt;0),'2.Infor Detallado Desempeño POA'!AD103,"No Programado")</f>
        <v>0.69052358001230185</v>
      </c>
      <c r="F49" s="319">
        <f>IF(AND('2.Infor Detallado Desempeño POA'!AE103&gt;0),'2.Infor Detallado Desempeño POA'!AE103,"No Programado")</f>
        <v>0.40804105392156859</v>
      </c>
      <c r="G49" s="320"/>
      <c r="H49" s="320"/>
      <c r="I49" s="320"/>
      <c r="J49" s="320"/>
      <c r="V49" s="313"/>
    </row>
    <row r="50" spans="2:22" s="310" customFormat="1" ht="34.950000000000003" customHeight="1" thickBot="1">
      <c r="B50" s="479" t="s">
        <v>856</v>
      </c>
      <c r="C50" s="480">
        <f>SUM(C47:C49)</f>
        <v>35</v>
      </c>
      <c r="D50" s="481">
        <f>IFERROR(AVERAGE(D47:D49),0)</f>
        <v>0</v>
      </c>
      <c r="E50" s="481">
        <f>IFERROR(AVERAGE(E47:E49),0)</f>
        <v>0.69157756891601574</v>
      </c>
      <c r="F50" s="481">
        <f>IFERROR(AVERAGE(F47:F49),0)</f>
        <v>0.47748921926157067</v>
      </c>
      <c r="G50" s="323"/>
      <c r="H50" s="320"/>
      <c r="I50" s="320"/>
      <c r="J50" s="320"/>
      <c r="V50" s="313"/>
    </row>
    <row r="51" spans="2:22" s="310" customFormat="1">
      <c r="B51" s="317" t="s">
        <v>687</v>
      </c>
      <c r="C51" s="318">
        <f>+'Rango indicadores'!D118</f>
        <v>8</v>
      </c>
      <c r="D51" s="319" t="str">
        <f>IF(AND('2.Infor Detallado Desempeño POA'!AC116&gt;0),'2.Infor Detallado Desempeño POA'!AC116,"No Programado")</f>
        <v>No Programado</v>
      </c>
      <c r="E51" s="319">
        <f>IF(AND('2.Infor Detallado Desempeño POA'!AD116&gt;0),'2.Infor Detallado Desempeño POA'!AD116,"No Programado")</f>
        <v>0.67364373274682765</v>
      </c>
      <c r="F51" s="319">
        <f>IF(AND('2.Infor Detallado Desempeño POA'!AE116&gt;0),'2.Infor Detallado Desempeño POA'!AE116,"No Programado")</f>
        <v>0.49440001594387756</v>
      </c>
      <c r="G51" s="320"/>
      <c r="H51" s="320"/>
      <c r="I51" s="320"/>
      <c r="J51" s="320"/>
      <c r="V51" s="313"/>
    </row>
    <row r="52" spans="2:22" s="310" customFormat="1">
      <c r="B52" s="321" t="s">
        <v>688</v>
      </c>
      <c r="C52" s="318">
        <f>+'Rango indicadores'!D119</f>
        <v>2</v>
      </c>
      <c r="D52" s="319" t="str">
        <f>IF(AND('2.Infor Detallado Desempeño POA'!AC123),'2.Infor Detallado Desempeño POA'!AC123,"No Programado")</f>
        <v>No Programado</v>
      </c>
      <c r="E52" s="319">
        <f>IF(AND('2.Infor Detallado Desempeño POA'!AD123),'2.Infor Detallado Desempeño POA'!AD123,"No Programado")</f>
        <v>0.68413516609392899</v>
      </c>
      <c r="F52" s="319">
        <f>IF(AND('2.Infor Detallado Desempeño POA'!AE123),'2.Infor Detallado Desempeño POA'!AE123,"No Programado")</f>
        <v>0.51263659793814442</v>
      </c>
      <c r="G52" s="320"/>
      <c r="H52" s="320"/>
      <c r="I52" s="320"/>
      <c r="J52" s="320"/>
      <c r="V52" s="313"/>
    </row>
    <row r="53" spans="2:22" s="310" customFormat="1">
      <c r="B53" s="321" t="s">
        <v>689</v>
      </c>
      <c r="C53" s="318">
        <f>+'Rango indicadores'!D120</f>
        <v>3</v>
      </c>
      <c r="D53" s="319" t="str">
        <f>IF(AND('2.Infor Detallado Desempeño POA'!AC131&gt;0),'2.Infor Detallado Desempeño POA'!AC131,"No Programado")</f>
        <v>No Programado</v>
      </c>
      <c r="E53" s="319">
        <f>IF(AND('2.Infor Detallado Desempeño POA'!AD131&gt;0),'2.Infor Detallado Desempeño POA'!AD131,"No Programado")</f>
        <v>0.65872545522110748</v>
      </c>
      <c r="F53" s="319">
        <f>IF(AND('2.Infor Detallado Desempeño POA'!AE131&gt;0),'2.Infor Detallado Desempeño POA'!AE131,"No Programado")</f>
        <v>0.47606666666666669</v>
      </c>
      <c r="G53" s="320"/>
      <c r="H53" s="320"/>
      <c r="I53" s="320"/>
      <c r="J53" s="320"/>
      <c r="V53" s="313"/>
    </row>
    <row r="54" spans="2:22" s="310" customFormat="1">
      <c r="B54" s="321" t="s">
        <v>690</v>
      </c>
      <c r="C54" s="318">
        <f>+'Rango indicadores'!D121</f>
        <v>4</v>
      </c>
      <c r="D54" s="319" t="str">
        <f>IF(AND('2.Infor Detallado Desempeño POA'!AC140&gt;0),'2.Infor Detallado Desempeño POA'!AC140,"No Programado")</f>
        <v>No Programado</v>
      </c>
      <c r="E54" s="319">
        <f>IF(AND('2.Infor Detallado Desempeño POA'!AD140&gt;0),'2.Infor Detallado Desempeño POA'!AD140,"No Programado")</f>
        <v>0.80925925925925934</v>
      </c>
      <c r="F54" s="319">
        <f>IF(AND('2.Infor Detallado Desempeño POA'!AE140&gt;0),'2.Infor Detallado Desempeño POA'!AE140,"No Programado")</f>
        <v>0.48255482456140353</v>
      </c>
      <c r="G54" s="320"/>
      <c r="H54" s="320"/>
      <c r="I54" s="320"/>
      <c r="J54" s="320"/>
      <c r="V54" s="313"/>
    </row>
    <row r="55" spans="2:22" s="310" customFormat="1">
      <c r="B55" s="321" t="s">
        <v>691</v>
      </c>
      <c r="C55" s="318">
        <f>+'Rango indicadores'!D122</f>
        <v>4</v>
      </c>
      <c r="D55" s="319" t="str">
        <f>IF(AND('2.Infor Detallado Desempeño POA'!AC149&gt;0),'2.Infor Detallado Desempeño POA'!AC149,"No Programado")</f>
        <v>No Programado</v>
      </c>
      <c r="E55" s="319">
        <f>IF(AND('2.Infor Detallado Desempeño POA'!AD149&gt;0),'2.Infor Detallado Desempeño POA'!AD149,"No Programado")</f>
        <v>0.68602834479216046</v>
      </c>
      <c r="F55" s="319">
        <f>IF(AND('2.Infor Detallado Desempeño POA'!AE149&gt;0),'2.Infor Detallado Desempeño POA'!AE149,"No Programado")</f>
        <v>0.51092187499999997</v>
      </c>
      <c r="G55" s="320"/>
      <c r="H55" s="320"/>
      <c r="I55" s="320"/>
      <c r="J55" s="320"/>
      <c r="V55" s="313"/>
    </row>
    <row r="56" spans="2:22" s="310" customFormat="1" ht="15.6" thickBot="1">
      <c r="B56" s="322" t="s">
        <v>692</v>
      </c>
      <c r="C56" s="318">
        <f>+'Rango indicadores'!D123</f>
        <v>5</v>
      </c>
      <c r="D56" s="319" t="str">
        <f>IF(AND('2.Infor Detallado Desempeño POA'!AC159&gt;0),'2.Infor Detallado Desempeño POA'!AC159,"No Programado")</f>
        <v>No Programado</v>
      </c>
      <c r="E56" s="319">
        <f>IF(AND('2.Infor Detallado Desempeño POA'!AD159&gt;0),'2.Infor Detallado Desempeño POA'!AD159,"No Programado")</f>
        <v>0.66666666666666663</v>
      </c>
      <c r="F56" s="319">
        <f>IF(AND('2.Infor Detallado Desempeño POA'!AE159&gt;0),'2.Infor Detallado Desempeño POA'!AE159,"No Programado")</f>
        <v>0.49950000000000011</v>
      </c>
      <c r="G56" s="320"/>
      <c r="H56" s="320"/>
      <c r="I56" s="320"/>
      <c r="J56" s="320"/>
      <c r="V56" s="313"/>
    </row>
    <row r="57" spans="2:22" s="310" customFormat="1" ht="34.950000000000003" customHeight="1" thickBot="1">
      <c r="B57" s="479" t="s">
        <v>857</v>
      </c>
      <c r="C57" s="480">
        <f>SUM(C51:C56)</f>
        <v>26</v>
      </c>
      <c r="D57" s="481">
        <f>IFERROR(AVERAGE(D51:D56),0)</f>
        <v>0</v>
      </c>
      <c r="E57" s="481">
        <f>IFERROR(AVERAGE(E51:E56),0)</f>
        <v>0.69640977079665844</v>
      </c>
      <c r="F57" s="481">
        <f>IFERROR(AVERAGE(F51:F56),0)</f>
        <v>0.49601333001834869</v>
      </c>
      <c r="G57" s="323"/>
      <c r="H57" s="320"/>
      <c r="I57" s="320"/>
      <c r="J57" s="320"/>
      <c r="V57" s="313"/>
    </row>
    <row r="58" spans="2:22" s="310" customFormat="1">
      <c r="B58" s="321" t="s">
        <v>694</v>
      </c>
      <c r="C58" s="318">
        <f>+'Rango indicadores'!D125</f>
        <v>3</v>
      </c>
      <c r="D58" s="319" t="str">
        <f>IF(AND('2.Infor Detallado Desempeño POA'!AC167&gt;0),'2.Infor Detallado Desempeño POA'!AC167,"No Programado")</f>
        <v>No Programado</v>
      </c>
      <c r="E58" s="319">
        <f>IF(AND('2.Infor Detallado Desempeño POA'!AD167&gt;0),'2.Infor Detallado Desempeño POA'!AD167,"No Programado")</f>
        <v>0.62121212121212122</v>
      </c>
      <c r="F58" s="319">
        <f>IF(AND('2.Infor Detallado Desempeño POA'!AE167&gt;0),'2.Infor Detallado Desempeño POA'!AE167,"No Programado")</f>
        <v>0.48611111111111116</v>
      </c>
      <c r="G58" s="320"/>
      <c r="H58" s="320"/>
      <c r="I58" s="320"/>
      <c r="J58" s="320"/>
      <c r="V58" s="313"/>
    </row>
    <row r="59" spans="2:22" s="310" customFormat="1" ht="15.6" thickBot="1">
      <c r="B59" s="404" t="s">
        <v>695</v>
      </c>
      <c r="C59" s="405">
        <f>+'Rango indicadores'!D126</f>
        <v>3</v>
      </c>
      <c r="D59" s="319" t="str">
        <f>IF(AND('2.Infor Detallado Desempeño POA'!AC175&gt;0),'2.Infor Detallado Desempeño POA'!AC175,"No Programado")</f>
        <v>No Programado</v>
      </c>
      <c r="E59" s="319">
        <f>IF(AND('2.Infor Detallado Desempeño POA'!AD175&gt;0),'2.Infor Detallado Desempeño POA'!AD175,"No Programado")</f>
        <v>0.43089430894308944</v>
      </c>
      <c r="F59" s="319">
        <f>IF(AND('2.Infor Detallado Desempeño POA'!AE175&gt;0),'2.Infor Detallado Desempeño POA'!AE175,"No Programado")</f>
        <v>0.41333333333333333</v>
      </c>
      <c r="G59" s="320"/>
      <c r="H59" s="320"/>
      <c r="I59" s="320"/>
      <c r="J59" s="320"/>
      <c r="V59" s="313"/>
    </row>
    <row r="60" spans="2:22" s="310" customFormat="1" ht="46.95" customHeight="1" thickBot="1">
      <c r="B60" s="482" t="s">
        <v>819</v>
      </c>
      <c r="C60" s="480">
        <f>SUM(C58:C59)</f>
        <v>6</v>
      </c>
      <c r="D60" s="481">
        <f>IFERROR(AVERAGE(D58:D59),0)</f>
        <v>0</v>
      </c>
      <c r="E60" s="481">
        <f>IFERROR(AVERAGE(E58:E59),0)</f>
        <v>0.52605321507760539</v>
      </c>
      <c r="F60" s="481">
        <f>IFERROR(AVERAGE(F58:F59),0)</f>
        <v>0.44972222222222225</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883</v>
      </c>
      <c r="C62" s="474">
        <f>+C60+C57+C50+C46</f>
        <v>87</v>
      </c>
      <c r="D62" s="469">
        <f>AVERAGE(D46,D50,D57,D60)</f>
        <v>0.25</v>
      </c>
      <c r="E62" s="469">
        <f>AVERAGE(E46,E50,E57,E60)</f>
        <v>0.64336002828266725</v>
      </c>
      <c r="F62" s="469">
        <f>AVERAGE(F46,F50,F57,F60)</f>
        <v>0.46922309825144937</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5S5DxJCSREFxS2fT07iV9aIc1Mmkmfo9+SzGRl1eIzVBWKdA6SO4VouvOd3Q9c9YXsCoObz7H7mPbJ1seTihtg==" saltValue="QNp/mf0wmHUauxad8yAqN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340" priority="1" operator="equal">
      <formula>"No Programado"</formula>
    </cfRule>
    <cfRule type="cellIs" dxfId="339" priority="2" operator="lessThanOrEqual">
      <formula>0.6</formula>
    </cfRule>
    <cfRule type="cellIs" dxfId="338" priority="3" operator="between">
      <formula>0.6</formula>
      <formula>0.899999999999999</formula>
    </cfRule>
    <cfRule type="cellIs" dxfId="337" priority="4" operator="greaterThan">
      <formula>1</formula>
    </cfRule>
    <cfRule type="cellIs" dxfId="336" priority="5" operator="between">
      <formula>0.9</formula>
      <formula>1</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70C0"/>
  </sheetPr>
  <dimension ref="B1:R84"/>
  <sheetViews>
    <sheetView showGridLines="0" workbookViewId="0">
      <selection activeCell="F9" sqref="F9"/>
    </sheetView>
  </sheetViews>
  <sheetFormatPr baseColWidth="10" defaultColWidth="11.44140625" defaultRowHeight="15"/>
  <cols>
    <col min="1" max="1" width="3.6640625" style="370" customWidth="1"/>
    <col min="2" max="2" width="52.44140625" style="370" customWidth="1"/>
    <col min="3" max="5" width="18.44140625" style="372" customWidth="1"/>
    <col min="6" max="7" width="18.44140625" style="370" customWidth="1"/>
    <col min="8" max="8" width="6.109375" style="372" hidden="1" customWidth="1"/>
    <col min="9" max="9" width="11.44140625" style="370" hidden="1" customWidth="1"/>
    <col min="10" max="16" width="11.44140625" style="370"/>
    <col min="17" max="17" width="62.44140625" style="370" bestFit="1" customWidth="1"/>
    <col min="18" max="18" width="40" style="370" customWidth="1"/>
    <col min="19" max="16356" width="11.44140625" style="370"/>
    <col min="16357" max="16357" width="1.44140625" style="370" customWidth="1"/>
    <col min="16358" max="16384" width="2.88671875" style="370" customWidth="1"/>
  </cols>
  <sheetData>
    <row r="1" spans="2:18">
      <c r="C1" s="371"/>
      <c r="D1" s="371"/>
      <c r="E1" s="371"/>
    </row>
    <row r="2" spans="2:18" ht="15.6">
      <c r="B2" s="1237" t="s">
        <v>843</v>
      </c>
      <c r="C2" s="1238" t="s">
        <v>848</v>
      </c>
      <c r="D2" s="1239"/>
      <c r="E2" s="1239"/>
      <c r="F2" s="1239"/>
      <c r="G2" s="1240"/>
      <c r="H2" s="416"/>
    </row>
    <row r="3" spans="2:18" ht="17.399999999999999">
      <c r="B3" s="1237"/>
      <c r="C3" s="1241" t="str">
        <f>+'3.Resum Desemp Procesos POA T1'!C3</f>
        <v>PLAN OPERATIVO ANUAL 2023</v>
      </c>
      <c r="D3" s="1242"/>
      <c r="E3" s="1242"/>
      <c r="F3" s="1242"/>
      <c r="G3" s="1243"/>
      <c r="H3" s="416"/>
    </row>
    <row r="4" spans="2:18" ht="9.75" customHeight="1">
      <c r="B4" s="1244"/>
      <c r="C4" s="1244"/>
      <c r="D4" s="1244"/>
      <c r="E4" s="1244"/>
      <c r="F4" s="1244"/>
      <c r="G4" s="448"/>
      <c r="H4" s="391"/>
    </row>
    <row r="5" spans="2:18" ht="19.5" customHeight="1">
      <c r="B5" s="763" t="str">
        <f>+'3.Resum Desemp Procesos POA T1'!B5</f>
        <v xml:space="preserve">Fecha de corte: </v>
      </c>
      <c r="C5" s="758">
        <f>+'3.Resum Desemp Procesos POA T1'!C5</f>
        <v>45016</v>
      </c>
    </row>
    <row r="6" spans="2:18" ht="19.5" customHeight="1">
      <c r="B6" s="373"/>
    </row>
    <row r="7" spans="2:18" s="382" customFormat="1" ht="31.5" customHeight="1">
      <c r="B7" s="1201" t="s">
        <v>671</v>
      </c>
      <c r="C7" s="1245" t="s">
        <v>1154</v>
      </c>
      <c r="D7" s="1246"/>
      <c r="E7" s="1246"/>
      <c r="F7" s="1246"/>
      <c r="G7" s="1247"/>
      <c r="H7" s="140"/>
      <c r="Q7" s="370"/>
      <c r="R7" s="370"/>
    </row>
    <row r="8" spans="2:18" s="382" customFormat="1" ht="74.400000000000006" customHeight="1">
      <c r="B8" s="1201"/>
      <c r="C8" s="449" t="s">
        <v>849</v>
      </c>
      <c r="D8" s="449" t="s">
        <v>850</v>
      </c>
      <c r="E8" s="449" t="s">
        <v>851</v>
      </c>
      <c r="F8" s="449" t="s">
        <v>858</v>
      </c>
      <c r="G8" s="418" t="s">
        <v>877</v>
      </c>
      <c r="H8" s="140"/>
      <c r="Q8" s="370"/>
      <c r="R8" s="370"/>
    </row>
    <row r="9" spans="2:18">
      <c r="B9" s="375" t="s">
        <v>678</v>
      </c>
      <c r="C9" s="454">
        <f>+'4.Segto Medición POA 2022 T4'!C65</f>
        <v>4</v>
      </c>
      <c r="D9" s="394">
        <f>COUNTIF('2.Infor Detallado Desempeño POA'!K13:K16,"=100%")</f>
        <v>4</v>
      </c>
      <c r="E9" s="395">
        <f>COUNTIF('2.Infor Detallado Desempeño POA'!K13:K16,"&gt;100%")</f>
        <v>0</v>
      </c>
      <c r="F9" s="452">
        <f>COUNTIF('2.Infor Detallado Desempeño POA'!K13:K16,"&lt;100%")</f>
        <v>0</v>
      </c>
      <c r="G9" s="450">
        <f>COUNTIF('2.Infor Detallado Desempeño POA'!K13:K16,"=No programado")</f>
        <v>0</v>
      </c>
      <c r="H9" s="392">
        <f>SUM(D9:G9)</f>
        <v>4</v>
      </c>
      <c r="I9" s="393">
        <f t="shared" ref="I9:I25" si="0">C9-H9</f>
        <v>0</v>
      </c>
    </row>
    <row r="10" spans="2:18">
      <c r="B10" s="375" t="s">
        <v>680</v>
      </c>
      <c r="C10" s="454">
        <f>+'4.Segto Medición POA 2022 T4'!C66</f>
        <v>4</v>
      </c>
      <c r="D10" s="394">
        <f>COUNTIF('2.Infor Detallado Desempeño POA'!K22:K25,"=100%")</f>
        <v>1</v>
      </c>
      <c r="E10" s="395">
        <f>COUNTIF('2.Infor Detallado Desempeño POA'!K22:K25,"&gt;100%")</f>
        <v>0</v>
      </c>
      <c r="F10" s="452">
        <f>COUNTIF('2.Infor Detallado Desempeño POA'!K22:K25,"&lt;100%")</f>
        <v>0</v>
      </c>
      <c r="G10" s="450">
        <f>COUNTIF('2.Infor Detallado Desempeño POA'!K22:K25,"=No programado")</f>
        <v>3</v>
      </c>
      <c r="H10" s="392">
        <f t="shared" ref="H10:H24" si="1">SUM(D10:G10)</f>
        <v>4</v>
      </c>
      <c r="I10" s="393">
        <f t="shared" si="0"/>
        <v>0</v>
      </c>
    </row>
    <row r="11" spans="2:18">
      <c r="B11" s="375" t="s">
        <v>681</v>
      </c>
      <c r="C11" s="454">
        <f>+'4.Segto Medición POA 2022 T4'!C67</f>
        <v>7</v>
      </c>
      <c r="D11" s="394">
        <f>COUNTIF('2.Infor Detallado Desempeño POA'!K31:K37,"=100%")</f>
        <v>6</v>
      </c>
      <c r="E11" s="395">
        <f>COUNTIF('2.Infor Detallado Desempeño POA'!K31:K37,"&gt;100%")</f>
        <v>0</v>
      </c>
      <c r="F11" s="452">
        <f>COUNTIF('2.Infor Detallado Desempeño POA'!K31:K37,"&lt;100%")</f>
        <v>1</v>
      </c>
      <c r="G11" s="450">
        <f>COUNTIF('2.Infor Detallado Desempeño POA'!K31:K37,"=No programado")</f>
        <v>0</v>
      </c>
      <c r="H11" s="392">
        <f t="shared" si="1"/>
        <v>7</v>
      </c>
      <c r="I11" s="393">
        <f t="shared" si="0"/>
        <v>0</v>
      </c>
    </row>
    <row r="12" spans="2:18">
      <c r="B12" s="375" t="s">
        <v>682</v>
      </c>
      <c r="C12" s="454">
        <f>+'4.Segto Medición POA 2022 T4'!C68</f>
        <v>2</v>
      </c>
      <c r="D12" s="394">
        <f>COUNTIF('2.Infor Detallado Desempeño POA'!K43:K44,"=100%")</f>
        <v>2</v>
      </c>
      <c r="E12" s="395">
        <f>COUNTIF('2.Infor Detallado Desempeño POA'!K43:K44,"&gt;100%")</f>
        <v>0</v>
      </c>
      <c r="F12" s="452">
        <f>COUNTIF('2.Infor Detallado Desempeño POA'!K43:K44,"&lt;100%")</f>
        <v>0</v>
      </c>
      <c r="G12" s="450">
        <f>COUNTIF('2.Infor Detallado Desempeño POA'!K43:K44,"=No programado")</f>
        <v>0</v>
      </c>
      <c r="H12" s="392">
        <f>SUM(D12:G12)</f>
        <v>2</v>
      </c>
      <c r="I12" s="393">
        <f t="shared" si="0"/>
        <v>0</v>
      </c>
    </row>
    <row r="13" spans="2:18">
      <c r="B13" s="375" t="s">
        <v>693</v>
      </c>
      <c r="C13" s="454">
        <f>+'4.Segto Medición POA 2022 T4'!C69</f>
        <v>3</v>
      </c>
      <c r="D13" s="394">
        <f>COUNTIF('2.Infor Detallado Desempeño POA'!K50:K52,"=100%")</f>
        <v>0</v>
      </c>
      <c r="E13" s="395">
        <f>COUNTIF('2.Infor Detallado Desempeño POA'!K50:K52,"&gt;100%")</f>
        <v>1</v>
      </c>
      <c r="F13" s="452">
        <f>COUNTIF('2.Infor Detallado Desempeño POA'!K50:K52,"&lt;100%")</f>
        <v>0</v>
      </c>
      <c r="G13" s="450">
        <f>COUNTIF('2.Infor Detallado Desempeño POA'!K50:K52,"=No programado")</f>
        <v>2</v>
      </c>
      <c r="H13" s="392">
        <f t="shared" si="1"/>
        <v>3</v>
      </c>
      <c r="I13" s="393">
        <f t="shared" si="0"/>
        <v>0</v>
      </c>
    </row>
    <row r="14" spans="2:18">
      <c r="B14" s="375" t="s">
        <v>683</v>
      </c>
      <c r="C14" s="454">
        <f>+'4.Segto Medición POA 2022 T4'!C70</f>
        <v>20</v>
      </c>
      <c r="D14" s="394">
        <f>COUNTIF('2.Infor Detallado Desempeño POA'!K58:K77,"=100%")</f>
        <v>0</v>
      </c>
      <c r="E14" s="395">
        <f>COUNTIF('2.Infor Detallado Desempeño POA'!K58:K77,"&gt;100%")</f>
        <v>14</v>
      </c>
      <c r="F14" s="452">
        <f>COUNTIF('2.Infor Detallado Desempeño POA'!K58:K77,"&lt;100%")</f>
        <v>1</v>
      </c>
      <c r="G14" s="450">
        <f>COUNTIF('2.Infor Detallado Desempeño POA'!K58:K77,"=No programado")</f>
        <v>5</v>
      </c>
      <c r="H14" s="392">
        <f t="shared" si="1"/>
        <v>20</v>
      </c>
      <c r="I14" s="393">
        <f t="shared" si="0"/>
        <v>0</v>
      </c>
    </row>
    <row r="15" spans="2:18">
      <c r="B15" s="375" t="s">
        <v>818</v>
      </c>
      <c r="C15" s="454">
        <f>+'4.Segto Medición POA 2022 T4'!C71</f>
        <v>7</v>
      </c>
      <c r="D15" s="394">
        <f>COUNTIF('2.Infor Detallado Desempeño POA'!K83:K89,"=100%")</f>
        <v>2</v>
      </c>
      <c r="E15" s="395">
        <f>COUNTIF('2.Infor Detallado Desempeño POA'!K83:K89,"&gt;100%")</f>
        <v>2</v>
      </c>
      <c r="F15" s="452">
        <f>COUNTIF('2.Infor Detallado Desempeño POA'!K83:K89,"&lt;100%")</f>
        <v>1</v>
      </c>
      <c r="G15" s="450">
        <f>COUNTIF('2.Infor Detallado Desempeño POA'!K83:K89,"=No programado")</f>
        <v>2</v>
      </c>
      <c r="H15" s="392">
        <f t="shared" si="1"/>
        <v>7</v>
      </c>
      <c r="I15" s="393">
        <f t="shared" si="0"/>
        <v>0</v>
      </c>
    </row>
    <row r="16" spans="2:18">
      <c r="B16" s="375" t="s">
        <v>686</v>
      </c>
      <c r="C16" s="454">
        <f>+'4.Segto Medición POA 2022 T4'!C72</f>
        <v>8</v>
      </c>
      <c r="D16" s="394">
        <f>COUNTIF('2.Infor Detallado Desempeño POA'!K95:K102,"=100%")</f>
        <v>3</v>
      </c>
      <c r="E16" s="395">
        <f>COUNTIF('2.Infor Detallado Desempeño POA'!K95:K102,"&gt;100%")</f>
        <v>0</v>
      </c>
      <c r="F16" s="452">
        <f>COUNTIF('2.Infor Detallado Desempeño POA'!K95:K102,"&lt;100%")</f>
        <v>2</v>
      </c>
      <c r="G16" s="450">
        <f>COUNTIF('2.Infor Detallado Desempeño POA'!K95:K102,"=No programado")</f>
        <v>2</v>
      </c>
      <c r="H16" s="392">
        <f t="shared" si="1"/>
        <v>7</v>
      </c>
      <c r="I16" s="393">
        <f t="shared" si="0"/>
        <v>1</v>
      </c>
    </row>
    <row r="17" spans="2:9">
      <c r="B17" s="375" t="s">
        <v>687</v>
      </c>
      <c r="C17" s="454">
        <f>+'4.Segto Medición POA 2022 T4'!C73</f>
        <v>8</v>
      </c>
      <c r="D17" s="394">
        <f>COUNTIF('2.Infor Detallado Desempeño POA'!K108:K115,"=100%")</f>
        <v>5</v>
      </c>
      <c r="E17" s="395">
        <f>COUNTIF('2.Infor Detallado Desempeño POA'!K108:K115,"&gt;100%")</f>
        <v>2</v>
      </c>
      <c r="F17" s="452">
        <f>COUNTIF('2.Infor Detallado Desempeño POA'!K108:K115,"&lt;100%")</f>
        <v>1</v>
      </c>
      <c r="G17" s="450">
        <f>COUNTIF('2.Infor Detallado Desempeño POA'!K108:K115,"=No programado")</f>
        <v>0</v>
      </c>
      <c r="H17" s="392">
        <f t="shared" si="1"/>
        <v>8</v>
      </c>
      <c r="I17" s="393">
        <f t="shared" si="0"/>
        <v>0</v>
      </c>
    </row>
    <row r="18" spans="2:9" ht="16.5" customHeight="1">
      <c r="B18" s="375" t="s">
        <v>688</v>
      </c>
      <c r="C18" s="454">
        <f>+'4.Segto Medición POA 2022 T4'!C74</f>
        <v>2</v>
      </c>
      <c r="D18" s="394">
        <f>COUNTIF('2.Infor Detallado Desempeño POA'!K121:K122,"=100%")</f>
        <v>1</v>
      </c>
      <c r="E18" s="395">
        <f>COUNTIF('2.Infor Detallado Desempeño POA'!K121:K122,"&gt;100%")</f>
        <v>1</v>
      </c>
      <c r="F18" s="452">
        <f>COUNTIF('2.Infor Detallado Desempeño POA'!K121:K122,"&lt;100%")</f>
        <v>0</v>
      </c>
      <c r="G18" s="450">
        <f>COUNTIF('2.Infor Detallado Desempeño POA'!K121:K122,"=No programado")</f>
        <v>0</v>
      </c>
      <c r="H18" s="392">
        <f t="shared" si="1"/>
        <v>2</v>
      </c>
      <c r="I18" s="393">
        <f t="shared" si="0"/>
        <v>0</v>
      </c>
    </row>
    <row r="19" spans="2:9">
      <c r="B19" s="375" t="s">
        <v>689</v>
      </c>
      <c r="C19" s="454">
        <f>+'4.Segto Medición POA 2022 T4'!C75</f>
        <v>3</v>
      </c>
      <c r="D19" s="394">
        <f>COUNTIF('2.Infor Detallado Desempeño POA'!K128:K130,"=100%")</f>
        <v>1</v>
      </c>
      <c r="E19" s="395">
        <f>COUNTIF('2.Infor Detallado Desempeño POA'!K128:K130,"&gt;100%")</f>
        <v>1</v>
      </c>
      <c r="F19" s="452">
        <f>COUNTIF('2.Infor Detallado Desempeño POA'!K128:K130,"&lt;100%")</f>
        <v>1</v>
      </c>
      <c r="G19" s="450">
        <f>COUNTIF('2.Infor Detallado Desempeño POA'!K128:K130,"=No programado")</f>
        <v>0</v>
      </c>
      <c r="H19" s="392">
        <f t="shared" si="1"/>
        <v>3</v>
      </c>
      <c r="I19" s="393">
        <f t="shared" si="0"/>
        <v>0</v>
      </c>
    </row>
    <row r="20" spans="2:9">
      <c r="B20" s="375" t="s">
        <v>690</v>
      </c>
      <c r="C20" s="454">
        <f>+'4.Segto Medición POA 2022 T4'!C76</f>
        <v>4</v>
      </c>
      <c r="D20" s="394">
        <f>COUNTIF('2.Infor Detallado Desempeño POA'!K136:K139,"=100%")</f>
        <v>2</v>
      </c>
      <c r="E20" s="395">
        <f>COUNTIF('2.Infor Detallado Desempeño POA'!K136:K139,"&gt;100%")</f>
        <v>0</v>
      </c>
      <c r="F20" s="452">
        <f>COUNTIF('2.Infor Detallado Desempeño POA'!K136:K139,"&lt;100%")</f>
        <v>1</v>
      </c>
      <c r="G20" s="450">
        <f>COUNTIF('2.Infor Detallado Desempeño POA'!K136:K139,"=No programado")</f>
        <v>1</v>
      </c>
      <c r="H20" s="392">
        <f t="shared" si="1"/>
        <v>4</v>
      </c>
      <c r="I20" s="393">
        <f t="shared" si="0"/>
        <v>0</v>
      </c>
    </row>
    <row r="21" spans="2:9">
      <c r="B21" s="375" t="s">
        <v>691</v>
      </c>
      <c r="C21" s="454">
        <f>+'4.Segto Medición POA 2022 T4'!C77</f>
        <v>4</v>
      </c>
      <c r="D21" s="394">
        <f>COUNTIF('2.Infor Detallado Desempeño POA'!K145:K148,"=100%")</f>
        <v>1</v>
      </c>
      <c r="E21" s="395">
        <f>COUNTIF('2.Infor Detallado Desempeño POA'!K145:K148,"&gt;100%")</f>
        <v>2</v>
      </c>
      <c r="F21" s="452">
        <f>COUNTIF('2.Infor Detallado Desempeño POA'!K145:K148,"&lt;100%")</f>
        <v>1</v>
      </c>
      <c r="G21" s="450">
        <f>COUNTIF('2.Infor Detallado Desempeño POA'!K145:K148,"=No programado")</f>
        <v>0</v>
      </c>
      <c r="H21" s="392">
        <f t="shared" si="1"/>
        <v>4</v>
      </c>
      <c r="I21" s="393">
        <f t="shared" si="0"/>
        <v>0</v>
      </c>
    </row>
    <row r="22" spans="2:9">
      <c r="B22" s="375" t="s">
        <v>692</v>
      </c>
      <c r="C22" s="454">
        <f>+'4.Segto Medición POA 2022 T4'!C78</f>
        <v>5</v>
      </c>
      <c r="D22" s="394">
        <f>COUNTIF('2.Infor Detallado Desempeño POA'!K154:K158,"=100%")</f>
        <v>5</v>
      </c>
      <c r="E22" s="395">
        <f>COUNTIF('2.Infor Detallado Desempeño POA'!K154:K158,"&gt;100%")</f>
        <v>0</v>
      </c>
      <c r="F22" s="452">
        <f>COUNTIF('2.Infor Detallado Desempeño POA'!K154:K158,"&lt;100%")</f>
        <v>0</v>
      </c>
      <c r="G22" s="450">
        <f>COUNTIF('2.Infor Detallado Desempeño POA'!K154:K158,"=No programado")</f>
        <v>0</v>
      </c>
      <c r="H22" s="392">
        <f t="shared" si="1"/>
        <v>5</v>
      </c>
      <c r="I22" s="393">
        <f t="shared" si="0"/>
        <v>0</v>
      </c>
    </row>
    <row r="23" spans="2:9">
      <c r="B23" s="375" t="s">
        <v>694</v>
      </c>
      <c r="C23" s="454">
        <f>+'4.Segto Medición POA 2022 T4'!C79</f>
        <v>3</v>
      </c>
      <c r="D23" s="394">
        <f>COUNTIF('2.Infor Detallado Desempeño POA'!K164:K166,"=100%")</f>
        <v>0</v>
      </c>
      <c r="E23" s="395">
        <f>COUNTIF('2.Infor Detallado Desempeño POA'!K164:K166,"&gt;100%")</f>
        <v>1</v>
      </c>
      <c r="F23" s="452">
        <f>COUNTIF('2.Infor Detallado Desempeño POA'!K164:K166,"&lt;100%")</f>
        <v>2</v>
      </c>
      <c r="G23" s="450">
        <f>COUNTIF('2.Infor Detallado Desempeño POA'!K164:K166,"=No programado")</f>
        <v>0</v>
      </c>
      <c r="H23" s="392">
        <f t="shared" si="1"/>
        <v>3</v>
      </c>
      <c r="I23" s="393">
        <f t="shared" si="0"/>
        <v>0</v>
      </c>
    </row>
    <row r="24" spans="2:9">
      <c r="B24" s="375" t="s">
        <v>695</v>
      </c>
      <c r="C24" s="454">
        <f>+'4.Segto Medición POA 2022 T4'!C80</f>
        <v>3</v>
      </c>
      <c r="D24" s="394">
        <f>COUNTIF('2.Infor Detallado Desempeño POA'!K172:K174,"=100%")</f>
        <v>1</v>
      </c>
      <c r="E24" s="395">
        <f>COUNTIF('2.Infor Detallado Desempeño POA'!K172:K174,"&gt;100%")</f>
        <v>0</v>
      </c>
      <c r="F24" s="452">
        <f>COUNTIF('2.Infor Detallado Desempeño POA'!K172:K174,"&lt;100%")</f>
        <v>0</v>
      </c>
      <c r="G24" s="450">
        <f>COUNTIF('2.Infor Detallado Desempeño POA'!K172:K174,"=No programado")</f>
        <v>2</v>
      </c>
      <c r="H24" s="392">
        <f t="shared" si="1"/>
        <v>3</v>
      </c>
      <c r="I24" s="393">
        <f t="shared" si="0"/>
        <v>0</v>
      </c>
    </row>
    <row r="25" spans="2:9" ht="19.5" customHeight="1">
      <c r="B25" s="406" t="s">
        <v>847</v>
      </c>
      <c r="C25" s="407">
        <f>SUM(C9:C24)</f>
        <v>87</v>
      </c>
      <c r="D25" s="408">
        <f t="shared" ref="D25:E25" si="2">SUM(D9:D24)</f>
        <v>34</v>
      </c>
      <c r="E25" s="409">
        <f t="shared" si="2"/>
        <v>24</v>
      </c>
      <c r="F25" s="453">
        <f>SUM(F9:F24)</f>
        <v>11</v>
      </c>
      <c r="G25" s="451">
        <f>SUM(G9:G24)</f>
        <v>17</v>
      </c>
      <c r="H25" s="392">
        <f>SUM(D25:G25)</f>
        <v>86</v>
      </c>
      <c r="I25" s="393">
        <f t="shared" si="0"/>
        <v>1</v>
      </c>
    </row>
    <row r="27" spans="2:9" s="459" customFormat="1" ht="2.4" customHeight="1">
      <c r="C27" s="463"/>
      <c r="D27" s="667" t="str">
        <f>+D8</f>
        <v>No de Indicadores con Meta Cumplida según programación</v>
      </c>
      <c r="E27" s="668">
        <f>+D25</f>
        <v>34</v>
      </c>
      <c r="H27" s="460"/>
    </row>
    <row r="28" spans="2:9" s="459" customFormat="1" ht="2.4" customHeight="1">
      <c r="C28" s="463"/>
      <c r="D28" s="667" t="str">
        <f>+E8</f>
        <v xml:space="preserve">No de Indicadores con ejecución superior a la programada </v>
      </c>
      <c r="E28" s="668">
        <f>+E25</f>
        <v>24</v>
      </c>
      <c r="H28" s="460"/>
    </row>
    <row r="29" spans="2:9" s="459" customFormat="1" ht="2.4" customHeight="1">
      <c r="C29" s="463"/>
      <c r="D29" s="667" t="str">
        <f>+F8</f>
        <v xml:space="preserve">No de Indicadores con ejecución menor a la programada </v>
      </c>
      <c r="E29" s="668">
        <f>+F25</f>
        <v>11</v>
      </c>
      <c r="H29" s="460"/>
    </row>
    <row r="30" spans="2:9" s="459" customFormat="1" ht="2.4" customHeight="1">
      <c r="C30" s="463"/>
      <c r="D30" s="667" t="str">
        <f>+G8</f>
        <v>No de indicadores sin programar en el periodo</v>
      </c>
      <c r="E30" s="668">
        <f>+G25</f>
        <v>17</v>
      </c>
      <c r="H30" s="460"/>
    </row>
    <row r="31" spans="2:9" s="459" customFormat="1">
      <c r="C31" s="460"/>
      <c r="D31" s="460"/>
      <c r="E31" s="460"/>
      <c r="H31" s="460"/>
    </row>
    <row r="32" spans="2:9" s="459" customFormat="1">
      <c r="C32" s="460"/>
      <c r="D32" s="460"/>
      <c r="E32" s="460"/>
      <c r="H32" s="460"/>
    </row>
    <row r="33" spans="2:9" s="459" customFormat="1" hidden="1">
      <c r="C33" s="460"/>
      <c r="D33" s="460"/>
      <c r="E33" s="460"/>
      <c r="H33" s="460"/>
    </row>
    <row r="34" spans="2:9" s="462" customFormat="1" ht="10.199999999999999" hidden="1" customHeight="1">
      <c r="C34" s="463"/>
      <c r="D34" s="1248" t="str">
        <f>+C7</f>
        <v>CUMPLIMIENTO PROGRAMACIÓN EN EL PERIODO 
Primer Trimestre de 2023</v>
      </c>
      <c r="E34" s="1248"/>
      <c r="H34" s="463"/>
    </row>
    <row r="35" spans="2:9" s="462" customFormat="1" ht="28.2" hidden="1" customHeight="1">
      <c r="B35" s="1201" t="s">
        <v>671</v>
      </c>
      <c r="C35" s="1249" t="s">
        <v>1068</v>
      </c>
      <c r="D35" s="1250"/>
      <c r="E35" s="1250"/>
      <c r="F35" s="1250"/>
      <c r="G35" s="1251"/>
      <c r="H35" s="463"/>
    </row>
    <row r="36" spans="2:9" s="462" customFormat="1" ht="29.4" hidden="1" customHeight="1">
      <c r="B36" s="1201"/>
      <c r="C36" s="759"/>
      <c r="D36" s="761" t="s">
        <v>1069</v>
      </c>
      <c r="E36" s="1252">
        <f>C5</f>
        <v>45016</v>
      </c>
      <c r="F36" s="1252"/>
      <c r="G36" s="760"/>
      <c r="H36" s="463"/>
    </row>
    <row r="37" spans="2:9" s="462" customFormat="1" ht="72.599999999999994" hidden="1" customHeight="1">
      <c r="B37" s="1201"/>
      <c r="C37" s="449" t="s">
        <v>849</v>
      </c>
      <c r="D37" s="449" t="s">
        <v>1070</v>
      </c>
      <c r="E37" s="449" t="s">
        <v>851</v>
      </c>
      <c r="F37" s="449" t="s">
        <v>858</v>
      </c>
      <c r="G37" s="418" t="s">
        <v>877</v>
      </c>
      <c r="H37" s="463"/>
    </row>
    <row r="38" spans="2:9" s="462" customFormat="1" ht="19.95" hidden="1" customHeight="1">
      <c r="B38" s="375" t="s">
        <v>678</v>
      </c>
      <c r="C38" s="454">
        <f>+C64</f>
        <v>4</v>
      </c>
      <c r="D38" s="394">
        <f>COUNTIF('2.Infor Detallado Desempeño POA'!L13:L16,"&gt;=99%")-COUNTIF('2.Infor Detallado Desempeño POA'!L13:L16,"&gt;100%")</f>
        <v>4</v>
      </c>
      <c r="E38" s="395">
        <f>COUNTIF('2.Infor Detallado Desempeño POA'!L13:L16,"&gt;100%")</f>
        <v>0</v>
      </c>
      <c r="F38" s="452">
        <f>COUNTIF('2.Infor Detallado Desempeño POA'!L13:L16,"&lt;99%")</f>
        <v>0</v>
      </c>
      <c r="G38" s="450">
        <f>COUNTIF('2.Infor Detallado Desempeño POA'!L13:L16,"=No programado")</f>
        <v>0</v>
      </c>
      <c r="H38" s="392">
        <f>SUM(D38:G38)</f>
        <v>4</v>
      </c>
      <c r="I38" s="393">
        <f t="shared" ref="I38:I54" si="3">C38-H38</f>
        <v>0</v>
      </c>
    </row>
    <row r="39" spans="2:9" s="462" customFormat="1" ht="19.95" hidden="1" customHeight="1">
      <c r="B39" s="375" t="s">
        <v>680</v>
      </c>
      <c r="C39" s="454">
        <f t="shared" ref="C39:C53" si="4">+C65</f>
        <v>4</v>
      </c>
      <c r="D39" s="394">
        <f>COUNTIF('2.Infor Detallado Desempeño POA'!L22:L25,"&gt;=99%")-COUNTIF('2.Infor Detallado Desempeño POA'!L22:L25,"&gt;100%")</f>
        <v>1</v>
      </c>
      <c r="E39" s="395">
        <f>COUNTIF('2.Infor Detallado Desempeño POA'!L22:L25,"&gt;100%")</f>
        <v>0</v>
      </c>
      <c r="F39" s="452">
        <f>COUNTIF('2.Infor Detallado Desempeño POA'!L25:L25,"&lt;99%")</f>
        <v>0</v>
      </c>
      <c r="G39" s="450">
        <f>COUNTIF('2.Infor Detallado Desempeño POA'!L22:L25,"=No programado")</f>
        <v>3</v>
      </c>
      <c r="H39" s="392">
        <f t="shared" ref="H39:H40" si="5">SUM(D39:G39)</f>
        <v>4</v>
      </c>
      <c r="I39" s="393">
        <f t="shared" si="3"/>
        <v>0</v>
      </c>
    </row>
    <row r="40" spans="2:9" s="462" customFormat="1" ht="19.95" hidden="1" customHeight="1">
      <c r="B40" s="375" t="s">
        <v>681</v>
      </c>
      <c r="C40" s="454">
        <f t="shared" si="4"/>
        <v>7</v>
      </c>
      <c r="D40" s="394">
        <f>COUNTIF('2.Infor Detallado Desempeño POA'!L31:L37,"&gt;=99%")-COUNTIF('2.Infor Detallado Desempeño POA'!L31:L37,"&gt;100%")</f>
        <v>6</v>
      </c>
      <c r="E40" s="395">
        <f>COUNTIF('2.Infor Detallado Desempeño POA'!L31:L37,"&gt;100%")</f>
        <v>0</v>
      </c>
      <c r="F40" s="452">
        <f>COUNTIF('2.Infor Detallado Desempeño POA'!L31:L37,"&lt;99%")</f>
        <v>1</v>
      </c>
      <c r="G40" s="450">
        <f>COUNTIF('2.Infor Detallado Desempeño POA'!L31:L37,"=No programado")</f>
        <v>0</v>
      </c>
      <c r="H40" s="392">
        <f t="shared" si="5"/>
        <v>7</v>
      </c>
      <c r="I40" s="393">
        <f t="shared" si="3"/>
        <v>0</v>
      </c>
    </row>
    <row r="41" spans="2:9" s="462" customFormat="1" ht="19.95" hidden="1" customHeight="1">
      <c r="B41" s="375" t="s">
        <v>682</v>
      </c>
      <c r="C41" s="454">
        <f t="shared" si="4"/>
        <v>2</v>
      </c>
      <c r="D41" s="394">
        <f>COUNTIF('2.Infor Detallado Desempeño POA'!L43:L44,"&gt;=99%")-COUNTIF('2.Infor Detallado Desempeño POA'!L43:L44,"&gt;100%")</f>
        <v>2</v>
      </c>
      <c r="E41" s="395">
        <f>COUNTIF('2.Infor Detallado Desempeño POA'!L43:L44,"&gt;100%")</f>
        <v>0</v>
      </c>
      <c r="F41" s="452">
        <f>COUNTIF('2.Infor Detallado Desempeño POA'!L43:L44,"&lt;99%")</f>
        <v>0</v>
      </c>
      <c r="G41" s="450">
        <f>COUNTIF('2.Infor Detallado Desempeño POA'!L43:L44,"=No programado")</f>
        <v>0</v>
      </c>
      <c r="H41" s="392">
        <f>SUM(D41:G41)</f>
        <v>2</v>
      </c>
      <c r="I41" s="393">
        <f t="shared" si="3"/>
        <v>0</v>
      </c>
    </row>
    <row r="42" spans="2:9" s="462" customFormat="1" ht="19.95" hidden="1" customHeight="1">
      <c r="B42" s="375" t="s">
        <v>693</v>
      </c>
      <c r="C42" s="454">
        <f t="shared" si="4"/>
        <v>3</v>
      </c>
      <c r="D42" s="394">
        <f>COUNTIF('2.Infor Detallado Desempeño POA'!L50:L52,"&gt;=99%")-COUNTIF('2.Infor Detallado Desempeño POA'!L50:L52,"&gt;100%")</f>
        <v>0</v>
      </c>
      <c r="E42" s="395">
        <f>COUNTIF('2.Infor Detallado Desempeño POA'!L50:L52,"&gt;100%")</f>
        <v>1</v>
      </c>
      <c r="F42" s="452">
        <f>COUNTIF('2.Infor Detallado Desempeño POA'!L50:L52,"&lt;99%")</f>
        <v>0</v>
      </c>
      <c r="G42" s="450">
        <f>COUNTIF('2.Infor Detallado Desempeño POA'!L50:L52,"=No programado")</f>
        <v>2</v>
      </c>
      <c r="H42" s="392">
        <f t="shared" ref="H42:H53" si="6">SUM(D42:G42)</f>
        <v>3</v>
      </c>
      <c r="I42" s="393">
        <f t="shared" si="3"/>
        <v>0</v>
      </c>
    </row>
    <row r="43" spans="2:9" s="462" customFormat="1" ht="19.95" hidden="1" customHeight="1">
      <c r="B43" s="375" t="s">
        <v>683</v>
      </c>
      <c r="C43" s="454">
        <f t="shared" si="4"/>
        <v>20</v>
      </c>
      <c r="D43" s="394">
        <f>COUNTIF('2.Infor Detallado Desempeño POA'!L58:L77,"&gt;=99%")-COUNTIF('2.Infor Detallado Desempeño POA'!L58:L77,"&gt;100%")</f>
        <v>0</v>
      </c>
      <c r="E43" s="395">
        <f>COUNTIF('2.Infor Detallado Desempeño POA'!L58:L77,"&gt;100%")</f>
        <v>14</v>
      </c>
      <c r="F43" s="452">
        <f>COUNTIF('2.Infor Detallado Desempeño POA'!L58:L77,"&lt;99%")</f>
        <v>1</v>
      </c>
      <c r="G43" s="450">
        <f>COUNTIF('2.Infor Detallado Desempeño POA'!L58:L77,"=No programado")</f>
        <v>5</v>
      </c>
      <c r="H43" s="392">
        <f t="shared" si="6"/>
        <v>20</v>
      </c>
      <c r="I43" s="393">
        <f t="shared" si="3"/>
        <v>0</v>
      </c>
    </row>
    <row r="44" spans="2:9" s="462" customFormat="1" ht="19.95" hidden="1" customHeight="1">
      <c r="B44" s="375" t="s">
        <v>818</v>
      </c>
      <c r="C44" s="454">
        <f t="shared" si="4"/>
        <v>7</v>
      </c>
      <c r="D44" s="394">
        <f>COUNTIF('2.Infor Detallado Desempeño POA'!L83:L89,"&gt;=99%")-COUNTIF('2.Infor Detallado Desempeño POA'!L83:L89,"&gt;100%")</f>
        <v>2</v>
      </c>
      <c r="E44" s="395">
        <f>COUNTIF('2.Infor Detallado Desempeño POA'!L83:L89,"&gt;100%")</f>
        <v>2</v>
      </c>
      <c r="F44" s="452">
        <f>COUNTIF('2.Infor Detallado Desempeño POA'!L83:L89,"&lt;99%")</f>
        <v>1</v>
      </c>
      <c r="G44" s="450">
        <f>COUNTIF('2.Infor Detallado Desempeño POA'!L83:L89,"=No programado")</f>
        <v>2</v>
      </c>
      <c r="H44" s="392">
        <f t="shared" si="6"/>
        <v>7</v>
      </c>
      <c r="I44" s="393">
        <f t="shared" si="3"/>
        <v>0</v>
      </c>
    </row>
    <row r="45" spans="2:9" s="462" customFormat="1" ht="19.95" hidden="1" customHeight="1">
      <c r="B45" s="375" t="s">
        <v>686</v>
      </c>
      <c r="C45" s="454">
        <f t="shared" si="4"/>
        <v>8</v>
      </c>
      <c r="D45" s="394">
        <f>COUNTIF('2.Infor Detallado Desempeño POA'!L95:L102,"&gt;=99%")-COUNTIF('2.Infor Detallado Desempeño POA'!L95:L102,"&gt;100%")</f>
        <v>3</v>
      </c>
      <c r="E45" s="395">
        <f>COUNTIF('2.Infor Detallado Desempeño POA'!L95:L102,"&gt;100%")</f>
        <v>0</v>
      </c>
      <c r="F45" s="452">
        <f>COUNTIF('2.Infor Detallado Desempeño POA'!L95:L102,"&lt;99%")</f>
        <v>2</v>
      </c>
      <c r="G45" s="450">
        <f>COUNTIF('2.Infor Detallado Desempeño POA'!L95:L102,"=No programado")</f>
        <v>2</v>
      </c>
      <c r="H45" s="392">
        <f t="shared" si="6"/>
        <v>7</v>
      </c>
      <c r="I45" s="393">
        <f t="shared" si="3"/>
        <v>1</v>
      </c>
    </row>
    <row r="46" spans="2:9" s="462" customFormat="1" ht="19.95" hidden="1" customHeight="1">
      <c r="B46" s="375" t="s">
        <v>687</v>
      </c>
      <c r="C46" s="454">
        <f t="shared" si="4"/>
        <v>8</v>
      </c>
      <c r="D46" s="394">
        <f>COUNTIF('2.Infor Detallado Desempeño POA'!L108:L115,"&gt;=99%")-COUNTIF('2.Infor Detallado Desempeño POA'!L108:L115,"&gt;100%")</f>
        <v>5</v>
      </c>
      <c r="E46" s="395">
        <f>COUNTIF('2.Infor Detallado Desempeño POA'!L108:L115,"&gt;100%")</f>
        <v>2</v>
      </c>
      <c r="F46" s="452">
        <f>COUNTIF('2.Infor Detallado Desempeño POA'!L108:L115,"&lt;99%")</f>
        <v>1</v>
      </c>
      <c r="G46" s="450">
        <f>COUNTIF('2.Infor Detallado Desempeño POA'!L108:L115,"=No programado")</f>
        <v>0</v>
      </c>
      <c r="H46" s="392">
        <f t="shared" si="6"/>
        <v>8</v>
      </c>
      <c r="I46" s="393">
        <f t="shared" si="3"/>
        <v>0</v>
      </c>
    </row>
    <row r="47" spans="2:9" s="462" customFormat="1" ht="19.95" hidden="1" customHeight="1">
      <c r="B47" s="375" t="s">
        <v>688</v>
      </c>
      <c r="C47" s="454">
        <f t="shared" si="4"/>
        <v>2</v>
      </c>
      <c r="D47" s="394">
        <f>COUNTIF('2.Infor Detallado Desempeño POA'!L121:L122,"&gt;=99%")-COUNTIF('2.Infor Detallado Desempeño POA'!L121:L122,"&gt;100%")</f>
        <v>1</v>
      </c>
      <c r="E47" s="395">
        <f>COUNTIF('2.Infor Detallado Desempeño POA'!L121:L122,"&gt;100%")</f>
        <v>1</v>
      </c>
      <c r="F47" s="452">
        <f>COUNTIF('2.Infor Detallado Desempeño POA'!L121:L122,"&lt;99%")</f>
        <v>0</v>
      </c>
      <c r="G47" s="450">
        <f>COUNTIF('2.Infor Detallado Desempeño POA'!L121:L122,"=No programado")</f>
        <v>0</v>
      </c>
      <c r="H47" s="392">
        <f t="shared" si="6"/>
        <v>2</v>
      </c>
      <c r="I47" s="393">
        <f t="shared" si="3"/>
        <v>0</v>
      </c>
    </row>
    <row r="48" spans="2:9" s="462" customFormat="1" ht="19.95" hidden="1" customHeight="1">
      <c r="B48" s="375" t="s">
        <v>689</v>
      </c>
      <c r="C48" s="454">
        <f t="shared" si="4"/>
        <v>3</v>
      </c>
      <c r="D48" s="394">
        <f>COUNTIF('2.Infor Detallado Desempeño POA'!L128:L130,"&gt;=99%")-COUNTIF('2.Infor Detallado Desempeño POA'!L128:L130,"&gt;100%")</f>
        <v>1</v>
      </c>
      <c r="E48" s="395">
        <f>COUNTIF('2.Infor Detallado Desempeño POA'!L128:L130,"&gt;100%")</f>
        <v>1</v>
      </c>
      <c r="F48" s="452">
        <f>COUNTIF('2.Infor Detallado Desempeño POA'!L128:L130,"&lt;99%")</f>
        <v>1</v>
      </c>
      <c r="G48" s="450">
        <f>COUNTIF('2.Infor Detallado Desempeño POA'!L128:L130,"=No programado")</f>
        <v>0</v>
      </c>
      <c r="H48" s="392">
        <f t="shared" si="6"/>
        <v>3</v>
      </c>
      <c r="I48" s="393">
        <f t="shared" si="3"/>
        <v>0</v>
      </c>
    </row>
    <row r="49" spans="2:17" s="462" customFormat="1" ht="19.95" hidden="1" customHeight="1">
      <c r="B49" s="375" t="s">
        <v>690</v>
      </c>
      <c r="C49" s="454">
        <f t="shared" si="4"/>
        <v>4</v>
      </c>
      <c r="D49" s="394">
        <f>COUNTIF('2.Infor Detallado Desempeño POA'!L136:L139,"&gt;=99%")-COUNTIF('2.Infor Detallado Desempeño POA'!L136:L139,"&gt;100%")</f>
        <v>2</v>
      </c>
      <c r="E49" s="395">
        <f>COUNTIF('2.Infor Detallado Desempeño POA'!L136:L139,"&gt;100%")</f>
        <v>0</v>
      </c>
      <c r="F49" s="452">
        <f>COUNTIF('2.Infor Detallado Desempeño POA'!L136:L139,"&lt;99%")</f>
        <v>1</v>
      </c>
      <c r="G49" s="450">
        <f>COUNTIF('2.Infor Detallado Desempeño POA'!L136:L139,"=No programado")</f>
        <v>1</v>
      </c>
      <c r="H49" s="392">
        <f t="shared" si="6"/>
        <v>4</v>
      </c>
      <c r="I49" s="393">
        <f t="shared" si="3"/>
        <v>0</v>
      </c>
    </row>
    <row r="50" spans="2:17" s="462" customFormat="1" ht="19.95" hidden="1" customHeight="1">
      <c r="B50" s="375" t="s">
        <v>691</v>
      </c>
      <c r="C50" s="454">
        <f t="shared" si="4"/>
        <v>4</v>
      </c>
      <c r="D50" s="394">
        <f>COUNTIF('2.Infor Detallado Desempeño POA'!L145:L148,"&gt;=99%")-COUNTIF('2.Infor Detallado Desempeño POA'!L145:L148,"&gt;100%")</f>
        <v>1</v>
      </c>
      <c r="E50" s="395">
        <f>COUNTIF('2.Infor Detallado Desempeño POA'!L145:L148,"&gt;100%")</f>
        <v>2</v>
      </c>
      <c r="F50" s="452">
        <f>COUNTIF('2.Infor Detallado Desempeño POA'!L145:L148,"&lt;99%")</f>
        <v>1</v>
      </c>
      <c r="G50" s="450">
        <f>COUNTIF('2.Infor Detallado Desempeño POA'!L145:L148,"=No programado")</f>
        <v>0</v>
      </c>
      <c r="H50" s="392">
        <f t="shared" si="6"/>
        <v>4</v>
      </c>
      <c r="I50" s="393">
        <f t="shared" si="3"/>
        <v>0</v>
      </c>
    </row>
    <row r="51" spans="2:17" s="462" customFormat="1" ht="19.95" hidden="1" customHeight="1">
      <c r="B51" s="375" t="s">
        <v>692</v>
      </c>
      <c r="C51" s="454">
        <f t="shared" si="4"/>
        <v>5</v>
      </c>
      <c r="D51" s="394">
        <f>COUNTIF('2.Infor Detallado Desempeño POA'!L154:L158,"&gt;=99%")-COUNTIF('2.Infor Detallado Desempeño POA'!L154:L158,"&gt;100%")</f>
        <v>5</v>
      </c>
      <c r="E51" s="395">
        <f>COUNTIF('2.Infor Detallado Desempeño POA'!L154:L158,"&gt;100%")</f>
        <v>0</v>
      </c>
      <c r="F51" s="452">
        <f>COUNTIF('2.Infor Detallado Desempeño POA'!L154:L158,"&lt;99%")</f>
        <v>0</v>
      </c>
      <c r="G51" s="450">
        <f>COUNTIF('2.Infor Detallado Desempeño POA'!L154:L158,"=No programado")</f>
        <v>0</v>
      </c>
      <c r="H51" s="392">
        <f t="shared" si="6"/>
        <v>5</v>
      </c>
      <c r="I51" s="393">
        <f t="shared" si="3"/>
        <v>0</v>
      </c>
    </row>
    <row r="52" spans="2:17" s="462" customFormat="1" ht="19.95" hidden="1" customHeight="1">
      <c r="B52" s="375" t="s">
        <v>694</v>
      </c>
      <c r="C52" s="454">
        <f t="shared" si="4"/>
        <v>3</v>
      </c>
      <c r="D52" s="394">
        <f>COUNTIF('2.Infor Detallado Desempeño POA'!L164:L166,"&gt;=99%")-COUNTIF('2.Infor Detallado Desempeño POA'!L164:L166,"&gt;100%")</f>
        <v>0</v>
      </c>
      <c r="E52" s="395">
        <f>COUNTIF('2.Infor Detallado Desempeño POA'!L164:L166,"&gt;100%")</f>
        <v>1</v>
      </c>
      <c r="F52" s="452">
        <f>COUNTIF('2.Infor Detallado Desempeño POA'!L164:L166,"&lt;99%")</f>
        <v>2</v>
      </c>
      <c r="G52" s="450">
        <f>COUNTIF('2.Infor Detallado Desempeño POA'!L164:L166,"=No programado")</f>
        <v>0</v>
      </c>
      <c r="H52" s="392">
        <f t="shared" si="6"/>
        <v>3</v>
      </c>
      <c r="I52" s="393">
        <f t="shared" si="3"/>
        <v>0</v>
      </c>
    </row>
    <row r="53" spans="2:17" s="462" customFormat="1" ht="19.95" hidden="1" customHeight="1">
      <c r="B53" s="375" t="s">
        <v>695</v>
      </c>
      <c r="C53" s="454">
        <f t="shared" si="4"/>
        <v>3</v>
      </c>
      <c r="D53" s="394">
        <f>COUNTIF('2.Infor Detallado Desempeño POA'!L172:L174,"&gt;=99%")-COUNTIF('2.Infor Detallado Desempeño POA'!L172:L174,"&gt;100%")</f>
        <v>1</v>
      </c>
      <c r="E53" s="395">
        <f>COUNTIF('2.Infor Detallado Desempeño POA'!L172:L174,"&gt;100%")</f>
        <v>0</v>
      </c>
      <c r="F53" s="452">
        <f>COUNTIF('2.Infor Detallado Desempeño POA'!L172:L174,"&lt;99%")</f>
        <v>0</v>
      </c>
      <c r="G53" s="450">
        <f>COUNTIF('2.Infor Detallado Desempeño POA'!L172:L174,"=No programado")</f>
        <v>2</v>
      </c>
      <c r="H53" s="392">
        <f t="shared" si="6"/>
        <v>3</v>
      </c>
      <c r="I53" s="393">
        <f t="shared" si="3"/>
        <v>0</v>
      </c>
    </row>
    <row r="54" spans="2:17" s="462" customFormat="1" ht="19.95" hidden="1" customHeight="1">
      <c r="B54" s="406" t="s">
        <v>847</v>
      </c>
      <c r="C54" s="407">
        <f>SUM(C38:C53)</f>
        <v>87</v>
      </c>
      <c r="D54" s="408">
        <f t="shared" ref="D54:E54" si="7">SUM(D38:D53)</f>
        <v>34</v>
      </c>
      <c r="E54" s="409">
        <f t="shared" si="7"/>
        <v>24</v>
      </c>
      <c r="F54" s="453">
        <f>SUM(F38:F53)</f>
        <v>11</v>
      </c>
      <c r="G54" s="451">
        <f>SUM(G38:G53)</f>
        <v>17</v>
      </c>
      <c r="H54" s="392">
        <f>SUM(D54:G54)</f>
        <v>86</v>
      </c>
      <c r="I54" s="393">
        <f t="shared" si="3"/>
        <v>1</v>
      </c>
    </row>
    <row r="55" spans="2:17" s="462" customFormat="1" ht="19.95" customHeight="1">
      <c r="B55" s="664"/>
      <c r="C55" s="666"/>
      <c r="D55" s="666"/>
      <c r="E55" s="666"/>
      <c r="F55" s="666"/>
      <c r="G55" s="666"/>
      <c r="H55" s="665"/>
      <c r="I55" s="393"/>
    </row>
    <row r="56" spans="2:17" s="462" customFormat="1" ht="3" customHeight="1">
      <c r="C56" s="669"/>
      <c r="D56" s="667" t="str">
        <f>+D37</f>
        <v>No de Indicadores con Meta Cumplida según progrLación</v>
      </c>
      <c r="E56" s="668">
        <f>+D54</f>
        <v>34</v>
      </c>
      <c r="F56" s="670"/>
      <c r="G56" s="671"/>
      <c r="H56" s="463"/>
    </row>
    <row r="57" spans="2:17" s="462" customFormat="1" ht="3" customHeight="1">
      <c r="C57" s="669"/>
      <c r="D57" s="667" t="str">
        <f>+E37</f>
        <v xml:space="preserve">No de Indicadores con ejecución superior a la programada </v>
      </c>
      <c r="E57" s="668">
        <f>+E54</f>
        <v>24</v>
      </c>
      <c r="F57" s="670"/>
      <c r="G57" s="671"/>
      <c r="H57" s="463"/>
    </row>
    <row r="58" spans="2:17" s="462" customFormat="1" ht="3" customHeight="1">
      <c r="C58" s="669"/>
      <c r="D58" s="667" t="str">
        <f>+F37</f>
        <v xml:space="preserve">No de Indicadores con ejecución menor a la programada </v>
      </c>
      <c r="E58" s="668">
        <f>+F54</f>
        <v>11</v>
      </c>
      <c r="F58" s="670"/>
      <c r="G58" s="671"/>
      <c r="H58" s="463"/>
    </row>
    <row r="59" spans="2:17" s="462" customFormat="1" ht="3" customHeight="1">
      <c r="C59" s="669"/>
      <c r="D59" s="667" t="str">
        <f>+G37</f>
        <v>No de indicadores sin programar en el periodo</v>
      </c>
      <c r="E59" s="668">
        <f>+G54</f>
        <v>17</v>
      </c>
      <c r="F59" s="670"/>
      <c r="G59" s="671"/>
      <c r="H59" s="463"/>
    </row>
    <row r="60" spans="2:17" s="462" customFormat="1" ht="10.199999999999999" customHeight="1">
      <c r="C60" s="463"/>
      <c r="D60" s="463"/>
      <c r="E60" s="464">
        <f>SUM(E27:E30)</f>
        <v>86</v>
      </c>
      <c r="F60" s="461"/>
      <c r="H60" s="463"/>
    </row>
    <row r="61" spans="2:17" ht="15.6" thickBot="1"/>
    <row r="62" spans="2:17" s="382" customFormat="1" ht="15.6">
      <c r="B62" s="1253" t="s">
        <v>704</v>
      </c>
      <c r="C62" s="1255" t="s">
        <v>845</v>
      </c>
      <c r="D62" s="1257" t="s">
        <v>846</v>
      </c>
      <c r="E62" s="1258"/>
      <c r="F62" s="1259"/>
      <c r="P62" s="370"/>
      <c r="Q62" s="370"/>
    </row>
    <row r="63" spans="2:17" ht="33" customHeight="1">
      <c r="B63" s="1254"/>
      <c r="C63" s="1256"/>
      <c r="D63" s="383" t="s">
        <v>713</v>
      </c>
      <c r="E63" s="383" t="s">
        <v>717</v>
      </c>
      <c r="F63" s="384" t="s">
        <v>721</v>
      </c>
      <c r="H63" s="370"/>
    </row>
    <row r="64" spans="2:17">
      <c r="B64" s="385" t="s">
        <v>678</v>
      </c>
      <c r="C64" s="386">
        <f>+'3.Resum Desemp Procesos POA T1'!C41</f>
        <v>4</v>
      </c>
      <c r="D64" s="386">
        <f>+'Rango indicadores'!E111</f>
        <v>4</v>
      </c>
      <c r="E64" s="386">
        <f>+'Rango indicadores'!F111</f>
        <v>0</v>
      </c>
      <c r="F64" s="387">
        <f>+'Rango indicadores'!G111</f>
        <v>0</v>
      </c>
      <c r="H64" s="370"/>
    </row>
    <row r="65" spans="2:8">
      <c r="B65" s="385" t="s">
        <v>680</v>
      </c>
      <c r="C65" s="386">
        <f>+'3.Resum Desemp Procesos POA T1'!C42</f>
        <v>4</v>
      </c>
      <c r="D65" s="386">
        <f>+'Rango indicadores'!E112</f>
        <v>4</v>
      </c>
      <c r="E65" s="386">
        <f>+'Rango indicadores'!F112</f>
        <v>0</v>
      </c>
      <c r="F65" s="387">
        <f>+'Rango indicadores'!G112</f>
        <v>0</v>
      </c>
      <c r="H65" s="370"/>
    </row>
    <row r="66" spans="2:8">
      <c r="B66" s="385" t="s">
        <v>681</v>
      </c>
      <c r="C66" s="386">
        <f>+'3.Resum Desemp Procesos POA T1'!C43</f>
        <v>7</v>
      </c>
      <c r="D66" s="386">
        <f>+'Rango indicadores'!E113</f>
        <v>7</v>
      </c>
      <c r="E66" s="386">
        <f>+'Rango indicadores'!F113</f>
        <v>0</v>
      </c>
      <c r="F66" s="387">
        <f>+'Rango indicadores'!G113</f>
        <v>0</v>
      </c>
      <c r="H66" s="370"/>
    </row>
    <row r="67" spans="2:8">
      <c r="B67" s="385" t="s">
        <v>682</v>
      </c>
      <c r="C67" s="386">
        <f>+'3.Resum Desemp Procesos POA T1'!C44</f>
        <v>2</v>
      </c>
      <c r="D67" s="386">
        <f>+'Rango indicadores'!E114</f>
        <v>2</v>
      </c>
      <c r="E67" s="386">
        <f>+'Rango indicadores'!F114</f>
        <v>0</v>
      </c>
      <c r="F67" s="387">
        <f>+'Rango indicadores'!G114</f>
        <v>0</v>
      </c>
      <c r="H67" s="370"/>
    </row>
    <row r="68" spans="2:8">
      <c r="B68" s="385" t="s">
        <v>693</v>
      </c>
      <c r="C68" s="386">
        <f>+'3.Resum Desemp Procesos POA T1'!C45</f>
        <v>3</v>
      </c>
      <c r="D68" s="386">
        <f>+'Rango indicadores'!E115</f>
        <v>20</v>
      </c>
      <c r="E68" s="386">
        <f>+'Rango indicadores'!F115</f>
        <v>0</v>
      </c>
      <c r="F68" s="387">
        <f>+'Rango indicadores'!G115</f>
        <v>0</v>
      </c>
      <c r="H68" s="370"/>
    </row>
    <row r="69" spans="2:8">
      <c r="B69" s="385" t="s">
        <v>683</v>
      </c>
      <c r="C69" s="386">
        <f>+'3.Resum Desemp Procesos POA T1'!C47</f>
        <v>20</v>
      </c>
      <c r="D69" s="386">
        <f>+'Rango indicadores'!E116</f>
        <v>7</v>
      </c>
      <c r="E69" s="386">
        <f>+'Rango indicadores'!F116</f>
        <v>0</v>
      </c>
      <c r="F69" s="387">
        <f>+'Rango indicadores'!G116</f>
        <v>0</v>
      </c>
      <c r="H69" s="370"/>
    </row>
    <row r="70" spans="2:8">
      <c r="B70" s="385" t="s">
        <v>818</v>
      </c>
      <c r="C70" s="386">
        <f>+'3.Resum Desemp Procesos POA T1'!C48</f>
        <v>7</v>
      </c>
      <c r="D70" s="386">
        <f>+'Rango indicadores'!E117</f>
        <v>8</v>
      </c>
      <c r="E70" s="386">
        <f>+'Rango indicadores'!F117</f>
        <v>0</v>
      </c>
      <c r="F70" s="387">
        <f>+'Rango indicadores'!G117</f>
        <v>0</v>
      </c>
      <c r="H70" s="370"/>
    </row>
    <row r="71" spans="2:8">
      <c r="B71" s="385" t="s">
        <v>686</v>
      </c>
      <c r="C71" s="386">
        <f>+'3.Resum Desemp Procesos POA T1'!C49</f>
        <v>8</v>
      </c>
      <c r="D71" s="386">
        <f>+'Rango indicadores'!E118</f>
        <v>7</v>
      </c>
      <c r="E71" s="386">
        <f>+'Rango indicadores'!F118</f>
        <v>0</v>
      </c>
      <c r="F71" s="387">
        <f>+'Rango indicadores'!G118</f>
        <v>1</v>
      </c>
      <c r="H71" s="370"/>
    </row>
    <row r="72" spans="2:8">
      <c r="B72" s="385" t="s">
        <v>687</v>
      </c>
      <c r="C72" s="386">
        <f>+'3.Resum Desemp Procesos POA T1'!C51</f>
        <v>8</v>
      </c>
      <c r="D72" s="386">
        <f>+'Rango indicadores'!E119</f>
        <v>2</v>
      </c>
      <c r="E72" s="386">
        <f>+'Rango indicadores'!F119</f>
        <v>0</v>
      </c>
      <c r="F72" s="387">
        <f>+'Rango indicadores'!G119</f>
        <v>0</v>
      </c>
      <c r="H72" s="370"/>
    </row>
    <row r="73" spans="2:8">
      <c r="B73" s="385" t="s">
        <v>688</v>
      </c>
      <c r="C73" s="386">
        <f>+'3.Resum Desemp Procesos POA T1'!C52</f>
        <v>2</v>
      </c>
      <c r="D73" s="386">
        <f>+'Rango indicadores'!E120</f>
        <v>3</v>
      </c>
      <c r="E73" s="386">
        <f>+'Rango indicadores'!F120</f>
        <v>0</v>
      </c>
      <c r="F73" s="387">
        <f>+'Rango indicadores'!G120</f>
        <v>0</v>
      </c>
      <c r="H73" s="370"/>
    </row>
    <row r="74" spans="2:8">
      <c r="B74" s="385" t="s">
        <v>689</v>
      </c>
      <c r="C74" s="386">
        <f>+'3.Resum Desemp Procesos POA T1'!C53</f>
        <v>3</v>
      </c>
      <c r="D74" s="386">
        <f>+'Rango indicadores'!E121</f>
        <v>1</v>
      </c>
      <c r="E74" s="386">
        <f>+'Rango indicadores'!F121</f>
        <v>3</v>
      </c>
      <c r="F74" s="387">
        <f>+'Rango indicadores'!G121</f>
        <v>0</v>
      </c>
      <c r="H74" s="370"/>
    </row>
    <row r="75" spans="2:8">
      <c r="B75" s="385" t="s">
        <v>690</v>
      </c>
      <c r="C75" s="386">
        <f>+'3.Resum Desemp Procesos POA T1'!C54</f>
        <v>4</v>
      </c>
      <c r="D75" s="386">
        <f>+'Rango indicadores'!E122</f>
        <v>3</v>
      </c>
      <c r="E75" s="386">
        <f>+'Rango indicadores'!F122</f>
        <v>1</v>
      </c>
      <c r="F75" s="387">
        <f>+'Rango indicadores'!G122</f>
        <v>0</v>
      </c>
      <c r="H75" s="370"/>
    </row>
    <row r="76" spans="2:8">
      <c r="B76" s="385" t="s">
        <v>691</v>
      </c>
      <c r="C76" s="386">
        <f>+'3.Resum Desemp Procesos POA T1'!C55</f>
        <v>4</v>
      </c>
      <c r="D76" s="386">
        <f>+'Rango indicadores'!E123</f>
        <v>5</v>
      </c>
      <c r="E76" s="386">
        <f>+'Rango indicadores'!F123</f>
        <v>0</v>
      </c>
      <c r="F76" s="387">
        <f>+'Rango indicadores'!G123</f>
        <v>0</v>
      </c>
      <c r="H76" s="370"/>
    </row>
    <row r="77" spans="2:8">
      <c r="B77" s="385" t="s">
        <v>692</v>
      </c>
      <c r="C77" s="386">
        <f>+'3.Resum Desemp Procesos POA T1'!C56</f>
        <v>5</v>
      </c>
      <c r="D77" s="386">
        <f>+'Rango indicadores'!E124</f>
        <v>3</v>
      </c>
      <c r="E77" s="386">
        <f>+'Rango indicadores'!F124</f>
        <v>0</v>
      </c>
      <c r="F77" s="387">
        <f>+'Rango indicadores'!G124</f>
        <v>0</v>
      </c>
      <c r="H77" s="370"/>
    </row>
    <row r="78" spans="2:8">
      <c r="B78" s="385" t="s">
        <v>694</v>
      </c>
      <c r="C78" s="386">
        <f>+'3.Resum Desemp Procesos POA T1'!C58</f>
        <v>3</v>
      </c>
      <c r="D78" s="386">
        <f>+'Rango indicadores'!E125</f>
        <v>3</v>
      </c>
      <c r="E78" s="386">
        <f>+'Rango indicadores'!F125</f>
        <v>0</v>
      </c>
      <c r="F78" s="387">
        <f>+'Rango indicadores'!G125</f>
        <v>0</v>
      </c>
      <c r="H78" s="370"/>
    </row>
    <row r="79" spans="2:8">
      <c r="B79" s="385" t="s">
        <v>695</v>
      </c>
      <c r="C79" s="386">
        <f>+'3.Resum Desemp Procesos POA T1'!C59</f>
        <v>3</v>
      </c>
      <c r="D79" s="386">
        <f>+'Rango indicadores'!E126</f>
        <v>3</v>
      </c>
      <c r="E79" s="386">
        <f>+'Rango indicadores'!F126</f>
        <v>0</v>
      </c>
      <c r="F79" s="387">
        <f>+'Rango indicadores'!G126</f>
        <v>0</v>
      </c>
      <c r="H79" s="370"/>
    </row>
    <row r="80" spans="2:8" ht="16.2" thickBot="1">
      <c r="B80" s="388" t="s">
        <v>847</v>
      </c>
      <c r="C80" s="389">
        <f>SUM(C64:C79)</f>
        <v>87</v>
      </c>
      <c r="D80" s="389">
        <f>SUM(D64:D79)</f>
        <v>82</v>
      </c>
      <c r="E80" s="389">
        <f>SUM(E64:E79)</f>
        <v>4</v>
      </c>
      <c r="F80" s="390">
        <f>SUM(F64:F79)</f>
        <v>1</v>
      </c>
      <c r="H80" s="370"/>
    </row>
    <row r="81" spans="8:8">
      <c r="H81" s="370"/>
    </row>
    <row r="82" spans="8:8">
      <c r="H82" s="370"/>
    </row>
    <row r="84" spans="8:8" ht="15" customHeight="1"/>
  </sheetData>
  <sheetProtection algorithmName="SHA-512" hashValue="PKy8YK7YMjUduh8OqY7ASoXet3rhH8TDv3dnhFuMreYtuNR0cB3kX1KHX+SHpCIOADe5J2NFs1jAuGZDC5wHzA==" saltValue="w7vxaGlkAM4LPReQVVys+w==" spinCount="100000" sheet="1" objects="1" scenarios="1"/>
  <mergeCells count="13">
    <mergeCell ref="D62:F62"/>
    <mergeCell ref="D34:E34"/>
    <mergeCell ref="C35:G35"/>
    <mergeCell ref="B35:B37"/>
    <mergeCell ref="E36:F36"/>
    <mergeCell ref="B62:B63"/>
    <mergeCell ref="C62:C63"/>
    <mergeCell ref="B2:B3"/>
    <mergeCell ref="C2:G2"/>
    <mergeCell ref="C3:G3"/>
    <mergeCell ref="B4:F4"/>
    <mergeCell ref="B7:B8"/>
    <mergeCell ref="C7:G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70C0"/>
  </sheetPr>
  <dimension ref="B1:V116"/>
  <sheetViews>
    <sheetView showGridLines="0" zoomScale="85" zoomScaleNormal="85" workbookViewId="0">
      <selection activeCell="B40" sqref="B40:F40"/>
    </sheetView>
  </sheetViews>
  <sheetFormatPr baseColWidth="10" defaultColWidth="11.44140625" defaultRowHeight="15" customHeight="1" zeroHeight="1"/>
  <cols>
    <col min="1" max="1" width="3.6640625" style="370" customWidth="1"/>
    <col min="2" max="2" width="47.33203125" style="370" customWidth="1"/>
    <col min="3" max="3" width="20.33203125" style="372" customWidth="1"/>
    <col min="4" max="4" width="18.88671875" style="372" customWidth="1"/>
    <col min="5" max="5" width="18.88671875" style="372" hidden="1" customWidth="1"/>
    <col min="6" max="6" width="19.44140625" style="370" customWidth="1"/>
    <col min="7" max="7" width="47" style="370" customWidth="1"/>
    <col min="8" max="15" width="11.44140625" style="370"/>
    <col min="16" max="16" width="62.44140625" style="370" bestFit="1" customWidth="1"/>
    <col min="17" max="17" width="40" style="370" customWidth="1"/>
    <col min="18" max="16355" width="11.44140625" style="370"/>
    <col min="16356" max="16356" width="1.44140625" style="370" customWidth="1"/>
    <col min="16357" max="16384" width="2.88671875" style="370" customWidth="1"/>
  </cols>
  <sheetData>
    <row r="1" spans="2:22" s="310" customFormat="1">
      <c r="D1" s="313"/>
      <c r="E1" s="311"/>
      <c r="F1" s="312"/>
      <c r="G1" s="312"/>
      <c r="H1" s="312"/>
      <c r="I1" s="312"/>
      <c r="J1" s="312"/>
      <c r="K1" s="312"/>
      <c r="L1" s="312"/>
      <c r="V1" s="313"/>
    </row>
    <row r="2" spans="2:22" s="310" customFormat="1" ht="28.95" customHeight="1">
      <c r="B2" s="1237" t="s">
        <v>843</v>
      </c>
      <c r="C2" s="1270" t="s">
        <v>852</v>
      </c>
      <c r="D2" s="1270"/>
      <c r="E2" s="1270"/>
      <c r="F2" s="1270"/>
      <c r="G2" s="1270"/>
      <c r="H2" s="1270"/>
      <c r="I2" s="364"/>
      <c r="J2" s="364"/>
      <c r="K2" s="364"/>
      <c r="L2" s="364"/>
      <c r="M2" s="364"/>
      <c r="N2" s="414"/>
      <c r="O2" s="414"/>
      <c r="P2" s="414"/>
      <c r="Q2" s="414"/>
      <c r="R2" s="414"/>
      <c r="S2" s="414"/>
      <c r="T2" s="414"/>
      <c r="U2" s="414"/>
      <c r="V2" s="313"/>
    </row>
    <row r="3" spans="2:22" s="310" customFormat="1" ht="17.399999999999999" customHeight="1">
      <c r="B3" s="1237"/>
      <c r="C3" s="1271" t="s">
        <v>1155</v>
      </c>
      <c r="D3" s="1271"/>
      <c r="E3" s="1271"/>
      <c r="F3" s="1271"/>
      <c r="G3" s="1271"/>
      <c r="H3" s="1271"/>
      <c r="I3" s="363"/>
      <c r="J3" s="363"/>
      <c r="K3" s="363"/>
      <c r="L3" s="363"/>
      <c r="M3" s="363"/>
      <c r="N3" s="916"/>
      <c r="O3" s="916"/>
      <c r="P3" s="916"/>
      <c r="Q3" s="916"/>
      <c r="R3" s="916"/>
      <c r="S3" s="916"/>
      <c r="T3" s="916"/>
      <c r="U3" s="916"/>
      <c r="V3" s="314"/>
    </row>
    <row r="4" spans="2:22" s="310" customFormat="1" ht="6" customHeight="1">
      <c r="B4" s="396"/>
      <c r="D4" s="1272"/>
      <c r="E4" s="1272"/>
      <c r="F4" s="1272"/>
      <c r="G4" s="1272"/>
      <c r="H4" s="1272"/>
      <c r="I4" s="355"/>
      <c r="J4" s="355"/>
      <c r="K4" s="355"/>
      <c r="L4" s="355"/>
      <c r="M4" s="355"/>
      <c r="N4" s="915"/>
      <c r="O4" s="915"/>
      <c r="P4" s="915"/>
      <c r="Q4" s="915"/>
      <c r="R4" s="915"/>
      <c r="S4" s="915"/>
      <c r="T4" s="915"/>
      <c r="U4" s="915"/>
      <c r="V4" s="315"/>
    </row>
    <row r="5" spans="2:22" s="310" customFormat="1" ht="19.5" customHeight="1">
      <c r="B5" s="750" t="str">
        <f>+'2.Infor Detallado Desempeño POA'!C7</f>
        <v xml:space="preserve">Fecha de corte: </v>
      </c>
      <c r="C5" s="764">
        <v>45016</v>
      </c>
      <c r="D5" s="356"/>
      <c r="E5" s="316"/>
      <c r="V5" s="313"/>
    </row>
    <row r="6" spans="2:22" ht="1.95" customHeight="1">
      <c r="B6" s="373"/>
    </row>
    <row r="7" spans="2:22" ht="8.4" customHeight="1">
      <c r="B7" s="373"/>
    </row>
    <row r="8" spans="2:22" ht="54" customHeight="1">
      <c r="B8" s="913" t="s">
        <v>704</v>
      </c>
      <c r="C8" s="912" t="s">
        <v>1162</v>
      </c>
      <c r="D8" s="374"/>
      <c r="E8" s="370"/>
    </row>
    <row r="9" spans="2:22">
      <c r="B9" s="375" t="s">
        <v>678</v>
      </c>
      <c r="C9" s="376">
        <f>+F41</f>
        <v>0.27531609195402296</v>
      </c>
      <c r="D9" s="377"/>
      <c r="E9" s="370"/>
    </row>
    <row r="10" spans="2:22">
      <c r="B10" s="375" t="s">
        <v>680</v>
      </c>
      <c r="C10" s="376">
        <f>+F42</f>
        <v>4.4871794871794872E-2</v>
      </c>
      <c r="D10" s="377"/>
      <c r="E10" s="370"/>
      <c r="H10" s="431"/>
      <c r="I10" s="432" t="s">
        <v>1067</v>
      </c>
    </row>
    <row r="11" spans="2:22">
      <c r="B11" s="375" t="s">
        <v>681</v>
      </c>
      <c r="C11" s="376">
        <f>+F43</f>
        <v>0.18857142857142858</v>
      </c>
      <c r="D11" s="377"/>
      <c r="E11" s="370"/>
      <c r="H11" s="663"/>
      <c r="I11" s="432" t="s">
        <v>859</v>
      </c>
    </row>
    <row r="12" spans="2:22">
      <c r="B12" s="375" t="s">
        <v>682</v>
      </c>
      <c r="C12" s="376">
        <f>+F44</f>
        <v>0.25</v>
      </c>
      <c r="D12" s="377"/>
      <c r="E12" s="370"/>
      <c r="H12" s="433"/>
      <c r="I12" s="432" t="s">
        <v>860</v>
      </c>
    </row>
    <row r="13" spans="2:22">
      <c r="B13" s="375" t="s">
        <v>693</v>
      </c>
      <c r="C13" s="376">
        <f>+F45</f>
        <v>9.0277777777777776E-2</v>
      </c>
      <c r="D13" s="378"/>
      <c r="E13" s="370"/>
      <c r="H13" s="434"/>
      <c r="I13" s="432" t="s">
        <v>861</v>
      </c>
    </row>
    <row r="14" spans="2:22">
      <c r="B14" s="375" t="s">
        <v>683</v>
      </c>
      <c r="C14" s="376">
        <f>+F47</f>
        <v>0.21738348915159889</v>
      </c>
      <c r="D14" s="377"/>
      <c r="E14" s="370"/>
    </row>
    <row r="15" spans="2:22">
      <c r="B15" s="375" t="s">
        <v>818</v>
      </c>
      <c r="C15" s="376">
        <f>+F48</f>
        <v>0.23504320647177787</v>
      </c>
      <c r="D15" s="377"/>
      <c r="E15" s="370"/>
    </row>
    <row r="16" spans="2:22">
      <c r="B16" s="375" t="s">
        <v>686</v>
      </c>
      <c r="C16" s="376">
        <f>+F49</f>
        <v>0.14658333333333332</v>
      </c>
      <c r="D16" s="377"/>
      <c r="E16" s="370"/>
    </row>
    <row r="17" spans="2:17">
      <c r="B17" s="375" t="s">
        <v>687</v>
      </c>
      <c r="C17" s="376">
        <f t="shared" ref="C17:C22" si="0">+F51</f>
        <v>0.30654154443027215</v>
      </c>
      <c r="D17" s="377"/>
      <c r="E17" s="370"/>
    </row>
    <row r="18" spans="2:17">
      <c r="B18" s="375" t="s">
        <v>688</v>
      </c>
      <c r="C18" s="376">
        <f t="shared" si="0"/>
        <v>0.25386597938144329</v>
      </c>
      <c r="D18" s="377"/>
      <c r="E18" s="370"/>
    </row>
    <row r="19" spans="2:17">
      <c r="B19" s="375" t="s">
        <v>689</v>
      </c>
      <c r="C19" s="376">
        <f t="shared" si="0"/>
        <v>0.21594035087719299</v>
      </c>
      <c r="D19" s="377"/>
      <c r="E19" s="370"/>
    </row>
    <row r="20" spans="2:17">
      <c r="B20" s="375" t="s">
        <v>690</v>
      </c>
      <c r="C20" s="376">
        <f t="shared" si="0"/>
        <v>0.20581505847953216</v>
      </c>
      <c r="D20" s="377"/>
      <c r="E20" s="370"/>
    </row>
    <row r="21" spans="2:17">
      <c r="B21" s="375" t="s">
        <v>691</v>
      </c>
      <c r="C21" s="376">
        <f t="shared" si="0"/>
        <v>0.23368026315789475</v>
      </c>
      <c r="D21" s="377"/>
      <c r="E21" s="370"/>
    </row>
    <row r="22" spans="2:17">
      <c r="B22" s="375" t="s">
        <v>692</v>
      </c>
      <c r="C22" s="376">
        <f t="shared" si="0"/>
        <v>0.25</v>
      </c>
      <c r="D22" s="377"/>
      <c r="E22" s="370"/>
    </row>
    <row r="23" spans="2:17">
      <c r="B23" s="375" t="s">
        <v>694</v>
      </c>
      <c r="C23" s="376">
        <f>+F58</f>
        <v>0.13796296296296295</v>
      </c>
      <c r="D23" s="377"/>
      <c r="E23" s="370"/>
    </row>
    <row r="24" spans="2:17" ht="15.6" thickBot="1">
      <c r="B24" s="379" t="s">
        <v>695</v>
      </c>
      <c r="C24" s="376">
        <f>+F59</f>
        <v>4.6666666666666669E-2</v>
      </c>
      <c r="D24" s="377"/>
      <c r="E24" s="370"/>
    </row>
    <row r="25" spans="2:17" ht="16.2" thickBot="1">
      <c r="B25" s="380" t="s">
        <v>844</v>
      </c>
      <c r="C25" s="707">
        <f>+F62</f>
        <v>0.17652486062244474</v>
      </c>
      <c r="D25" s="381"/>
      <c r="E25" s="370"/>
    </row>
    <row r="26" spans="2:17" s="382" customFormat="1">
      <c r="C26" s="140"/>
      <c r="D26" s="140"/>
      <c r="E26" s="140"/>
      <c r="P26" s="370"/>
      <c r="Q26" s="370"/>
    </row>
    <row r="27" spans="2:17" s="382" customFormat="1" ht="56.25" customHeight="1" thickBot="1">
      <c r="B27" s="382" t="s">
        <v>637</v>
      </c>
      <c r="C27" s="140"/>
      <c r="P27" s="370"/>
      <c r="Q27" s="370"/>
    </row>
    <row r="28" spans="2:17" ht="57" customHeight="1">
      <c r="B28" s="1273" t="s">
        <v>884</v>
      </c>
      <c r="C28" s="1275" t="s">
        <v>816</v>
      </c>
      <c r="D28" s="1277" t="s">
        <v>885</v>
      </c>
      <c r="E28" s="1278"/>
      <c r="F28" s="1279"/>
      <c r="H28" s="372"/>
    </row>
    <row r="29" spans="2:17" ht="54.6" customHeight="1" thickBot="1">
      <c r="B29" s="1274"/>
      <c r="C29" s="1276"/>
      <c r="D29" s="488" t="s">
        <v>1053</v>
      </c>
      <c r="E29" s="492" t="s">
        <v>886</v>
      </c>
      <c r="F29" s="494" t="s">
        <v>878</v>
      </c>
      <c r="H29" s="372"/>
    </row>
    <row r="30" spans="2:17" ht="29.4" customHeight="1">
      <c r="B30" s="476" t="s">
        <v>879</v>
      </c>
      <c r="C30" s="466">
        <f>+C46</f>
        <v>20</v>
      </c>
      <c r="D30" s="489">
        <f>IFERROR(AVERAGE(D41:D45),0)</f>
        <v>1.0052380952380953</v>
      </c>
      <c r="E30" s="495">
        <f>IFERROR(AVERAGE(E41:E45),0)</f>
        <v>1.0052380952380953</v>
      </c>
      <c r="F30" s="661">
        <f>IFERROR(AVERAGE(F41:F45),0)</f>
        <v>0.16980741863500484</v>
      </c>
      <c r="H30" s="372"/>
    </row>
    <row r="31" spans="2:17" ht="36.6" customHeight="1">
      <c r="B31" s="468" t="s">
        <v>880</v>
      </c>
      <c r="C31" s="467">
        <f>+C50</f>
        <v>35</v>
      </c>
      <c r="D31" s="490">
        <f>IFERROR(AVERAGE(D47:D49),0)</f>
        <v>1.6999790330185818</v>
      </c>
      <c r="E31" s="495">
        <f>IFERROR(AVERAGE(E47:E49),0)</f>
        <v>1.6999790330185818</v>
      </c>
      <c r="F31" s="661">
        <f>IFERROR(AVERAGE(F47:F49),0)</f>
        <v>0.19967000965223669</v>
      </c>
      <c r="H31" s="372"/>
    </row>
    <row r="32" spans="2:17" ht="41.4" customHeight="1">
      <c r="B32" s="468" t="s">
        <v>881</v>
      </c>
      <c r="C32" s="467">
        <f>+C57</f>
        <v>26</v>
      </c>
      <c r="D32" s="490">
        <f>IFERROR(AVERAGE(D51:D56),0)</f>
        <v>0.98130073349067148</v>
      </c>
      <c r="E32" s="495">
        <f>IFERROR(AVERAGE(E51:E56),0)</f>
        <v>0.98130073349067148</v>
      </c>
      <c r="F32" s="661">
        <f>IFERROR(AVERAGE(F51:F56),0)</f>
        <v>0.24430719938772258</v>
      </c>
      <c r="H32" s="372"/>
    </row>
    <row r="33" spans="2:22" ht="40.799999999999997">
      <c r="B33" s="468" t="s">
        <v>882</v>
      </c>
      <c r="C33" s="467">
        <f>+C60</f>
        <v>6</v>
      </c>
      <c r="D33" s="491">
        <f>IFERROR(AVERAGE(D58:D59),0)</f>
        <v>0.78627450980392166</v>
      </c>
      <c r="E33" s="496">
        <f>IFERROR(AVERAGE(E58:E59),0)</f>
        <v>0.78627450980392166</v>
      </c>
      <c r="F33" s="662">
        <f>IFERROR(AVERAGE(F58:F59),0)</f>
        <v>9.2314814814814808E-2</v>
      </c>
      <c r="H33" s="372"/>
    </row>
    <row r="34" spans="2:22" ht="23.4">
      <c r="B34" s="470" t="s">
        <v>883</v>
      </c>
      <c r="C34" s="474">
        <f>SUM(C30:C33)</f>
        <v>87</v>
      </c>
      <c r="D34" s="469">
        <f>AVERAGE(D30:D33)</f>
        <v>1.1181980928878175</v>
      </c>
      <c r="E34" s="493">
        <f>AVERAGE(E30:E33)</f>
        <v>1.1181980928878175</v>
      </c>
      <c r="F34" s="493">
        <f>AVERAGE(F30:F33)</f>
        <v>0.17652486062244474</v>
      </c>
      <c r="H34" s="372"/>
    </row>
    <row r="35" spans="2:22" ht="23.4">
      <c r="B35" s="471"/>
      <c r="C35" s="472"/>
      <c r="D35" s="473"/>
      <c r="E35" s="473"/>
      <c r="H35" s="372"/>
    </row>
    <row r="36" spans="2:22" s="382" customFormat="1">
      <c r="C36" s="140"/>
      <c r="P36" s="370"/>
      <c r="Q36" s="370"/>
    </row>
    <row r="37" spans="2:22" s="310" customFormat="1" ht="19.5" customHeight="1" thickBot="1">
      <c r="B37" s="750" t="str">
        <f>+B5</f>
        <v xml:space="preserve">Fecha de corte: </v>
      </c>
      <c r="C37" s="764">
        <f>+C5</f>
        <v>45016</v>
      </c>
      <c r="D37" s="316"/>
      <c r="E37" s="316"/>
      <c r="V37" s="313"/>
    </row>
    <row r="38" spans="2:22" s="310" customFormat="1" ht="40.950000000000003" customHeight="1">
      <c r="B38" s="1262" t="s">
        <v>704</v>
      </c>
      <c r="C38" s="1264" t="s">
        <v>816</v>
      </c>
      <c r="D38" s="1264" t="s">
        <v>854</v>
      </c>
      <c r="E38" s="1264"/>
      <c r="F38" s="1266"/>
      <c r="G38" s="311"/>
      <c r="H38" s="311"/>
      <c r="I38" s="311"/>
      <c r="U38" s="313"/>
    </row>
    <row r="39" spans="2:22" s="310" customFormat="1" ht="49.5" customHeight="1" thickBot="1">
      <c r="B39" s="1263"/>
      <c r="C39" s="1265"/>
      <c r="D39" s="914" t="str">
        <f>+D29</f>
        <v>Primer Trimestre</v>
      </c>
      <c r="E39" s="914" t="str">
        <f>+'2.Infor Detallado Desempeño POA'!L12</f>
        <v>Acumulado
Corte 
31/03/2023</v>
      </c>
      <c r="F39" s="478" t="str">
        <f>+'2.Infor Detallado Desempeño POA'!M12</f>
        <v>Anual</v>
      </c>
      <c r="G39" s="397"/>
      <c r="H39" s="311"/>
      <c r="I39" s="311"/>
      <c r="J39" s="311"/>
      <c r="V39" s="313"/>
    </row>
    <row r="40" spans="2:22" s="310" customFormat="1" ht="6" customHeight="1" thickBot="1">
      <c r="B40" s="1267"/>
      <c r="C40" s="1268"/>
      <c r="D40" s="1268"/>
      <c r="E40" s="1268"/>
      <c r="F40" s="1269"/>
      <c r="G40" s="323"/>
      <c r="H40" s="320"/>
      <c r="I40" s="320"/>
      <c r="J40" s="320"/>
      <c r="V40" s="313"/>
    </row>
    <row r="41" spans="2:22" s="310" customFormat="1">
      <c r="B41" s="317" t="s">
        <v>678</v>
      </c>
      <c r="C41" s="318">
        <f>+'Rango indicadores'!D111</f>
        <v>4</v>
      </c>
      <c r="D41" s="319">
        <f>IF(AND('2.Infor Detallado Desempeño POA'!K17&gt;0),'2.Infor Detallado Desempeño POA'!K17,"No Programado")</f>
        <v>1</v>
      </c>
      <c r="E41" s="319">
        <f>IF(AND('2.Infor Detallado Desempeño POA'!L17&gt;0),'2.Infor Detallado Desempeño POA'!L17,"No Programado")</f>
        <v>1</v>
      </c>
      <c r="F41" s="319">
        <f>IF(AND('2.Infor Detallado Desempeño POA'!M17&gt;0),'2.Infor Detallado Desempeño POA'!M17,"No Programado")</f>
        <v>0.27531609195402296</v>
      </c>
      <c r="G41" s="320"/>
      <c r="H41" s="320"/>
      <c r="I41" s="320"/>
      <c r="J41" s="320"/>
      <c r="V41" s="313"/>
    </row>
    <row r="42" spans="2:22" s="310" customFormat="1">
      <c r="B42" s="321" t="s">
        <v>680</v>
      </c>
      <c r="C42" s="318">
        <f>+'Rango indicadores'!D112</f>
        <v>4</v>
      </c>
      <c r="D42" s="319">
        <f>IF(AND('2.Infor Detallado Desempeño POA'!K26&gt;0),'2.Infor Detallado Desempeño POA'!K26,"No Programado")</f>
        <v>1</v>
      </c>
      <c r="E42" s="319">
        <f>IF(AND('2.Infor Detallado Desempeño POA'!L26&gt;0),'2.Infor Detallado Desempeño POA'!L26,"No Programado")</f>
        <v>1</v>
      </c>
      <c r="F42" s="319">
        <f>IF(AND('2.Infor Detallado Desempeño POA'!M26&gt;0),'2.Infor Detallado Desempeño POA'!M26,"No Programado")</f>
        <v>4.4871794871794872E-2</v>
      </c>
      <c r="G42" s="320"/>
      <c r="H42" s="320"/>
      <c r="I42" s="320"/>
      <c r="J42" s="320"/>
      <c r="V42" s="313"/>
    </row>
    <row r="43" spans="2:22" s="310" customFormat="1">
      <c r="B43" s="321" t="s">
        <v>681</v>
      </c>
      <c r="C43" s="318">
        <f>+'Rango indicadores'!D113</f>
        <v>7</v>
      </c>
      <c r="D43" s="319">
        <f>IF(AND('2.Infor Detallado Desempeño POA'!K38&gt;0),'2.Infor Detallado Desempeño POA'!K38,"No Programado")</f>
        <v>0.94285714285714284</v>
      </c>
      <c r="E43" s="319">
        <f>IF(AND('2.Infor Detallado Desempeño POA'!L38&gt;0),'2.Infor Detallado Desempeño POA'!L38,"No Programado")</f>
        <v>0.94285714285714284</v>
      </c>
      <c r="F43" s="319">
        <f>IF(AND('2.Infor Detallado Desempeño POA'!M38&gt;0),'2.Infor Detallado Desempeño POA'!M38,"No Programado")</f>
        <v>0.18857142857142858</v>
      </c>
      <c r="G43" s="320"/>
      <c r="H43" s="320"/>
      <c r="I43" s="320"/>
      <c r="J43" s="320"/>
      <c r="V43" s="313"/>
    </row>
    <row r="44" spans="2:22" s="310" customFormat="1">
      <c r="B44" s="321" t="s">
        <v>682</v>
      </c>
      <c r="C44" s="318">
        <f>+'Rango indicadores'!D114</f>
        <v>2</v>
      </c>
      <c r="D44" s="319">
        <f>IF(AND('2.Infor Detallado Desempeño POA'!K45&gt;0),'2.Infor Detallado Desempeño POA'!K45,"No Programado")</f>
        <v>1</v>
      </c>
      <c r="E44" s="319">
        <f>IF(AND('2.Infor Detallado Desempeño POA'!L45&gt;0),'2.Infor Detallado Desempeño POA'!L45,"No Programado")</f>
        <v>1</v>
      </c>
      <c r="F44" s="319">
        <f>IF(AND('2.Infor Detallado Desempeño POA'!M45&gt;0),'2.Infor Detallado Desempeño POA'!M45,"No Programado")</f>
        <v>0.25</v>
      </c>
      <c r="G44" s="320"/>
      <c r="H44" s="320"/>
      <c r="I44" s="320"/>
      <c r="J44" s="320"/>
      <c r="V44" s="313"/>
    </row>
    <row r="45" spans="2:22" s="310" customFormat="1" ht="15.6" thickBot="1">
      <c r="B45" s="322" t="s">
        <v>693</v>
      </c>
      <c r="C45" s="318">
        <f>+'Rango indicadores'!D124</f>
        <v>3</v>
      </c>
      <c r="D45" s="319">
        <f>IF(AND('2.Infor Detallado Desempeño POA'!K53&gt;0),'2.Infor Detallado Desempeño POA'!K53,"No Programado")</f>
        <v>1.0833333333333333</v>
      </c>
      <c r="E45" s="319">
        <f>IF(AND('2.Infor Detallado Desempeño POA'!L53&gt;0),'2.Infor Detallado Desempeño POA'!L53,"No Programado")</f>
        <v>1.0833333333333333</v>
      </c>
      <c r="F45" s="319">
        <f>IF(AND('2.Infor Detallado Desempeño POA'!M53&gt;0),'2.Infor Detallado Desempeño POA'!M53,"No Programado")</f>
        <v>9.0277777777777776E-2</v>
      </c>
      <c r="G45" s="320"/>
      <c r="H45" s="320"/>
      <c r="I45" s="320"/>
      <c r="J45" s="320"/>
      <c r="V45" s="313"/>
    </row>
    <row r="46" spans="2:22" s="310" customFormat="1" ht="34.950000000000003" customHeight="1" thickBot="1">
      <c r="B46" s="479" t="s">
        <v>855</v>
      </c>
      <c r="C46" s="480">
        <f>SUM(C41:C45)</f>
        <v>20</v>
      </c>
      <c r="D46" s="481">
        <f>IFERROR(AVERAGE(D41:D45),0)</f>
        <v>1.0052380952380953</v>
      </c>
      <c r="E46" s="481">
        <f>IFERROR(AVERAGE(E41:E45),0)</f>
        <v>1.0052380952380953</v>
      </c>
      <c r="F46" s="481">
        <f>IFERROR(AVERAGE(F41:F45),0)</f>
        <v>0.16980741863500484</v>
      </c>
      <c r="G46" s="323"/>
      <c r="H46" s="320"/>
      <c r="I46" s="320"/>
      <c r="J46" s="320"/>
      <c r="V46" s="313"/>
    </row>
    <row r="47" spans="2:22" s="310" customFormat="1">
      <c r="B47" s="317" t="s">
        <v>683</v>
      </c>
      <c r="C47" s="318">
        <f>+'Rango indicadores'!D115</f>
        <v>20</v>
      </c>
      <c r="D47" s="319">
        <f>IF(AND('2.Infor Detallado Desempeño POA'!K78&gt;0),'2.Infor Detallado Desempeño POA'!K78,"No Programado")</f>
        <v>1.2921367114588465</v>
      </c>
      <c r="E47" s="319">
        <f>IF(AND('2.Infor Detallado Desempeño POA'!L78&gt;0),'2.Infor Detallado Desempeño POA'!L78,"No Programado")</f>
        <v>1.2921367114588465</v>
      </c>
      <c r="F47" s="319">
        <f>IF(AND('2.Infor Detallado Desempeño POA'!M78&gt;0),'2.Infor Detallado Desempeño POA'!M78,"No Programado")</f>
        <v>0.21738348915159889</v>
      </c>
      <c r="G47" s="320"/>
      <c r="H47" s="320"/>
      <c r="I47" s="320"/>
      <c r="J47" s="320"/>
      <c r="V47" s="313"/>
    </row>
    <row r="48" spans="2:22" s="310" customFormat="1">
      <c r="B48" s="321" t="s">
        <v>818</v>
      </c>
      <c r="C48" s="318">
        <f>+'Rango indicadores'!D116</f>
        <v>7</v>
      </c>
      <c r="D48" s="319">
        <f>IF(AND('2.Infor Detallado Desempeño POA'!K90&gt;0),'2.Infor Detallado Desempeño POA'!K90,"No Programado")</f>
        <v>2.8348837209302324</v>
      </c>
      <c r="E48" s="319">
        <f>IF(AND('2.Infor Detallado Desempeño POA'!L90&gt;0),'2.Infor Detallado Desempeño POA'!L90,"No Programado")</f>
        <v>2.8348837209302324</v>
      </c>
      <c r="F48" s="319">
        <f>IF(AND('2.Infor Detallado Desempeño POA'!M90&gt;0),'2.Infor Detallado Desempeño POA'!M90,"No Programado")</f>
        <v>0.23504320647177787</v>
      </c>
      <c r="G48" s="320"/>
      <c r="H48" s="320"/>
      <c r="I48" s="320"/>
      <c r="J48" s="320"/>
      <c r="V48" s="313"/>
    </row>
    <row r="49" spans="2:22" s="310" customFormat="1" ht="15.6" thickBot="1">
      <c r="B49" s="322" t="s">
        <v>686</v>
      </c>
      <c r="C49" s="318">
        <f>+'Rango indicadores'!D117</f>
        <v>8</v>
      </c>
      <c r="D49" s="319">
        <f>IF(AND('2.Infor Detallado Desempeño POA'!K103&gt;0),'2.Infor Detallado Desempeño POA'!K103,"No Programado")</f>
        <v>0.97291666666666676</v>
      </c>
      <c r="E49" s="319">
        <f>IF(AND('2.Infor Detallado Desempeño POA'!L103&gt;0),'2.Infor Detallado Desempeño POA'!L103,"No Programado")</f>
        <v>0.97291666666666676</v>
      </c>
      <c r="F49" s="319">
        <f>IF(AND('2.Infor Detallado Desempeño POA'!M103&gt;0),'2.Infor Detallado Desempeño POA'!M103,"No Programado")</f>
        <v>0.14658333333333332</v>
      </c>
      <c r="G49" s="320"/>
      <c r="H49" s="320"/>
      <c r="I49" s="320"/>
      <c r="J49" s="320"/>
      <c r="V49" s="313"/>
    </row>
    <row r="50" spans="2:22" s="310" customFormat="1" ht="34.950000000000003" customHeight="1" thickBot="1">
      <c r="B50" s="479" t="s">
        <v>856</v>
      </c>
      <c r="C50" s="480">
        <f>SUM(C47:C49)</f>
        <v>35</v>
      </c>
      <c r="D50" s="481">
        <f>IFERROR(AVERAGE(D47:D49),0)</f>
        <v>1.6999790330185818</v>
      </c>
      <c r="E50" s="481">
        <f>IFERROR(AVERAGE(E47:E49),0)</f>
        <v>1.6999790330185818</v>
      </c>
      <c r="F50" s="481">
        <f>IFERROR(AVERAGE(F47:F49),0)</f>
        <v>0.19967000965223669</v>
      </c>
      <c r="G50" s="323"/>
      <c r="H50" s="320"/>
      <c r="I50" s="320"/>
      <c r="J50" s="320"/>
      <c r="V50" s="313"/>
    </row>
    <row r="51" spans="2:22" s="310" customFormat="1">
      <c r="B51" s="317" t="s">
        <v>687</v>
      </c>
      <c r="C51" s="318">
        <f>+'Rango indicadores'!D118</f>
        <v>8</v>
      </c>
      <c r="D51" s="319">
        <f>IF(AND('2.Infor Detallado Desempeño POA'!K116&gt;0),'2.Infor Detallado Desempeño POA'!K116,"No Programado")</f>
        <v>0.99501184701242706</v>
      </c>
      <c r="E51" s="319">
        <f>IF(AND('2.Infor Detallado Desempeño POA'!L116&gt;0),'2.Infor Detallado Desempeño POA'!L116,"No Programado")</f>
        <v>0.99501184701242706</v>
      </c>
      <c r="F51" s="319">
        <f>IF(AND('2.Infor Detallado Desempeño POA'!M116&gt;0),'2.Infor Detallado Desempeño POA'!M116,"No Programado")</f>
        <v>0.30654154443027215</v>
      </c>
      <c r="G51" s="320"/>
      <c r="H51" s="320"/>
      <c r="I51" s="320"/>
      <c r="J51" s="320"/>
      <c r="V51" s="313"/>
    </row>
    <row r="52" spans="2:22" s="310" customFormat="1">
      <c r="B52" s="321" t="s">
        <v>688</v>
      </c>
      <c r="C52" s="318">
        <f>+'Rango indicadores'!D119</f>
        <v>2</v>
      </c>
      <c r="D52" s="319">
        <f>IF(AND('2.Infor Detallado Desempeño POA'!K123),'2.Infor Detallado Desempeño POA'!K123,"No Programado")</f>
        <v>1.0154639175257731</v>
      </c>
      <c r="E52" s="319">
        <f>IF(AND('2.Infor Detallado Desempeño POA'!L123),'2.Infor Detallado Desempeño POA'!L123,"No Programado")</f>
        <v>1.0154639175257731</v>
      </c>
      <c r="F52" s="319">
        <f>IF(AND('2.Infor Detallado Desempeño POA'!M123),'2.Infor Detallado Desempeño POA'!M123,"No Programado")</f>
        <v>0.25386597938144329</v>
      </c>
      <c r="G52" s="320"/>
      <c r="H52" s="320"/>
      <c r="I52" s="320"/>
      <c r="J52" s="320"/>
      <c r="V52" s="313"/>
    </row>
    <row r="53" spans="2:22" s="310" customFormat="1">
      <c r="B53" s="321" t="s">
        <v>689</v>
      </c>
      <c r="C53" s="318">
        <f>+'Rango indicadores'!D120</f>
        <v>3</v>
      </c>
      <c r="D53" s="319">
        <f>IF(AND('2.Infor Detallado Desempeño POA'!K131&gt;0),'2.Infor Detallado Desempeño POA'!K131,"No Programado")</f>
        <v>0.86591975308641977</v>
      </c>
      <c r="E53" s="319">
        <f>IF(AND('2.Infor Detallado Desempeño POA'!L131&gt;0),'2.Infor Detallado Desempeño POA'!L131,"No Programado")</f>
        <v>0.86591975308641977</v>
      </c>
      <c r="F53" s="319">
        <f>IF(AND('2.Infor Detallado Desempeño POA'!M131&gt;0),'2.Infor Detallado Desempeño POA'!M131,"No Programado")</f>
        <v>0.21594035087719299</v>
      </c>
      <c r="G53" s="320"/>
      <c r="H53" s="320"/>
      <c r="I53" s="320"/>
      <c r="J53" s="320"/>
      <c r="V53" s="313"/>
    </row>
    <row r="54" spans="2:22" s="310" customFormat="1">
      <c r="B54" s="321" t="s">
        <v>690</v>
      </c>
      <c r="C54" s="318">
        <f>+'Rango indicadores'!D121</f>
        <v>4</v>
      </c>
      <c r="D54" s="319">
        <f>IF(AND('2.Infor Detallado Desempeño POA'!K140&gt;0),'2.Infor Detallado Desempeño POA'!K140,"No Programado")</f>
        <v>0.99592592592592588</v>
      </c>
      <c r="E54" s="319">
        <f>IF(AND('2.Infor Detallado Desempeño POA'!L140&gt;0),'2.Infor Detallado Desempeño POA'!L140,"No Programado")</f>
        <v>0.99592592592592588</v>
      </c>
      <c r="F54" s="319">
        <f>IF(AND('2.Infor Detallado Desempeño POA'!M140&gt;0),'2.Infor Detallado Desempeño POA'!M140,"No Programado")</f>
        <v>0.20581505847953216</v>
      </c>
      <c r="G54" s="320"/>
      <c r="H54" s="320"/>
      <c r="I54" s="320"/>
      <c r="J54" s="320"/>
      <c r="V54" s="313"/>
    </row>
    <row r="55" spans="2:22" s="310" customFormat="1">
      <c r="B55" s="321" t="s">
        <v>691</v>
      </c>
      <c r="C55" s="318">
        <f>+'Rango indicadores'!D122</f>
        <v>4</v>
      </c>
      <c r="D55" s="319">
        <f>IF(AND('2.Infor Detallado Desempeño POA'!K149&gt;0),'2.Infor Detallado Desempeño POA'!K149,"No Programado")</f>
        <v>1.0154829573934836</v>
      </c>
      <c r="E55" s="319">
        <f>IF(AND('2.Infor Detallado Desempeño POA'!L149&gt;0),'2.Infor Detallado Desempeño POA'!L149,"No Programado")</f>
        <v>1.0154829573934836</v>
      </c>
      <c r="F55" s="319">
        <f>IF(AND('2.Infor Detallado Desempeño POA'!M149&gt;0),'2.Infor Detallado Desempeño POA'!M149,"No Programado")</f>
        <v>0.23368026315789475</v>
      </c>
      <c r="G55" s="320"/>
      <c r="H55" s="320"/>
      <c r="I55" s="320"/>
      <c r="J55" s="320"/>
      <c r="V55" s="313"/>
    </row>
    <row r="56" spans="2:22" s="310" customFormat="1" ht="15.6" thickBot="1">
      <c r="B56" s="322" t="s">
        <v>692</v>
      </c>
      <c r="C56" s="318">
        <f>+'Rango indicadores'!D123</f>
        <v>5</v>
      </c>
      <c r="D56" s="319">
        <f>IF(AND('2.Infor Detallado Desempeño POA'!K159&gt;0),'2.Infor Detallado Desempeño POA'!K159,"No Programado")</f>
        <v>1</v>
      </c>
      <c r="E56" s="319">
        <f>IF(AND('2.Infor Detallado Desempeño POA'!L159&gt;0),'2.Infor Detallado Desempeño POA'!L159,"No Programado")</f>
        <v>1</v>
      </c>
      <c r="F56" s="319">
        <f>IF(AND('2.Infor Detallado Desempeño POA'!M159&gt;0),'2.Infor Detallado Desempeño POA'!M159,"No Programado")</f>
        <v>0.25</v>
      </c>
      <c r="G56" s="320"/>
      <c r="H56" s="320"/>
      <c r="I56" s="320"/>
      <c r="J56" s="320"/>
      <c r="V56" s="313"/>
    </row>
    <row r="57" spans="2:22" s="310" customFormat="1" ht="34.950000000000003" customHeight="1" thickBot="1">
      <c r="B57" s="479" t="s">
        <v>857</v>
      </c>
      <c r="C57" s="480">
        <f>SUM(C51:C56)</f>
        <v>26</v>
      </c>
      <c r="D57" s="481">
        <f>IFERROR(AVERAGE(D51:D56),0)</f>
        <v>0.98130073349067148</v>
      </c>
      <c r="E57" s="481">
        <f>IFERROR(AVERAGE(E51:E56),0)</f>
        <v>0.98130073349067148</v>
      </c>
      <c r="F57" s="481">
        <f>IFERROR(AVERAGE(F51:F56),0)</f>
        <v>0.24430719938772258</v>
      </c>
      <c r="G57" s="323"/>
      <c r="H57" s="320"/>
      <c r="I57" s="320"/>
      <c r="J57" s="320"/>
      <c r="V57" s="313"/>
    </row>
    <row r="58" spans="2:22" s="310" customFormat="1">
      <c r="B58" s="321" t="s">
        <v>694</v>
      </c>
      <c r="C58" s="318">
        <f>+'Rango indicadores'!D125</f>
        <v>3</v>
      </c>
      <c r="D58" s="319">
        <f>IF(AND('2.Infor Detallado Desempeño POA'!K167&gt;0),'2.Infor Detallado Desempeño POA'!K167,"No Programado")</f>
        <v>0.57254901960784321</v>
      </c>
      <c r="E58" s="319">
        <f>IF(AND('2.Infor Detallado Desempeño POA'!L167&gt;0),'2.Infor Detallado Desempeño POA'!L167,"No Programado")</f>
        <v>0.57254901960784321</v>
      </c>
      <c r="F58" s="319">
        <f>IF(AND('2.Infor Detallado Desempeño POA'!M167&gt;0),'2.Infor Detallado Desempeño POA'!M167,"No Programado")</f>
        <v>0.13796296296296295</v>
      </c>
      <c r="G58" s="320"/>
      <c r="H58" s="320"/>
      <c r="I58" s="320"/>
      <c r="J58" s="320"/>
      <c r="V58" s="313"/>
    </row>
    <row r="59" spans="2:22" s="310" customFormat="1" ht="15.6" thickBot="1">
      <c r="B59" s="404" t="s">
        <v>695</v>
      </c>
      <c r="C59" s="405">
        <f>+'Rango indicadores'!D126</f>
        <v>3</v>
      </c>
      <c r="D59" s="319">
        <f>IF(AND('2.Infor Detallado Desempeño POA'!K175&gt;0),'2.Infor Detallado Desempeño POA'!K175,"No Programado")</f>
        <v>1</v>
      </c>
      <c r="E59" s="319">
        <f>IF(AND('2.Infor Detallado Desempeño POA'!L175&gt;0),'2.Infor Detallado Desempeño POA'!L175,"No Programado")</f>
        <v>1</v>
      </c>
      <c r="F59" s="319">
        <f>IF(AND('2.Infor Detallado Desempeño POA'!M175&gt;0),'2.Infor Detallado Desempeño POA'!M175,"No Programado")</f>
        <v>4.6666666666666669E-2</v>
      </c>
      <c r="G59" s="320"/>
      <c r="H59" s="320"/>
      <c r="I59" s="320"/>
      <c r="J59" s="320"/>
      <c r="V59" s="313"/>
    </row>
    <row r="60" spans="2:22" s="310" customFormat="1" ht="46.95" customHeight="1" thickBot="1">
      <c r="B60" s="482" t="s">
        <v>819</v>
      </c>
      <c r="C60" s="480">
        <f>SUM(C58:C59)</f>
        <v>6</v>
      </c>
      <c r="D60" s="481">
        <f>IFERROR(AVERAGE(D58:D59),0)</f>
        <v>0.78627450980392166</v>
      </c>
      <c r="E60" s="481">
        <f>IFERROR(AVERAGE(E58:E59),0)</f>
        <v>0.78627450980392166</v>
      </c>
      <c r="F60" s="481">
        <f>IFERROR(AVERAGE(F58:F59),0)</f>
        <v>9.2314814814814808E-2</v>
      </c>
      <c r="G60" s="323"/>
      <c r="H60" s="320"/>
      <c r="I60" s="320"/>
      <c r="J60" s="320"/>
      <c r="V60" s="313"/>
    </row>
    <row r="61" spans="2:22" s="310" customFormat="1" ht="6" customHeight="1">
      <c r="B61" s="475"/>
      <c r="C61" s="397"/>
      <c r="D61" s="323"/>
      <c r="E61" s="323"/>
      <c r="F61" s="323"/>
      <c r="G61" s="323"/>
      <c r="H61" s="320"/>
      <c r="I61" s="320"/>
      <c r="J61" s="320"/>
      <c r="V61" s="313"/>
    </row>
    <row r="62" spans="2:22" ht="15" customHeight="1">
      <c r="B62" s="465" t="s">
        <v>883</v>
      </c>
      <c r="C62" s="474">
        <f>+C60+C57+C50+C46</f>
        <v>87</v>
      </c>
      <c r="D62" s="469">
        <f>AVERAGE(D46,D50,D57,D60)</f>
        <v>1.1181980928878175</v>
      </c>
      <c r="E62" s="469">
        <f>AVERAGE(E46,E50,E57,E60)</f>
        <v>1.1181980928878175</v>
      </c>
      <c r="F62" s="469">
        <f>AVERAGE(F46,F50,F57,F60)</f>
        <v>0.17652486062244474</v>
      </c>
      <c r="G62" s="497"/>
    </row>
    <row r="63" spans="2:22" ht="15" customHeight="1"/>
    <row r="64" spans="2:22" ht="15" customHeight="1">
      <c r="D64" s="48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335" priority="1" operator="equal">
      <formula>"No Programado"</formula>
    </cfRule>
    <cfRule type="cellIs" dxfId="334" priority="2" operator="lessThan">
      <formula>0.75</formula>
    </cfRule>
    <cfRule type="cellIs" dxfId="333" priority="3" operator="between">
      <formula>0.75</formula>
      <formula>0.95</formula>
    </cfRule>
    <cfRule type="cellIs" dxfId="332" priority="4" operator="greaterThan">
      <formula>1</formula>
    </cfRule>
    <cfRule type="cellIs" dxfId="331" priority="5" operator="between">
      <formula>0.9500000001</formula>
      <formula>1</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3.2"/>
  <cols>
    <col min="3" max="3" width="84.6640625" customWidth="1"/>
    <col min="9" max="9" width="15.33203125" bestFit="1" customWidth="1"/>
  </cols>
  <sheetData>
    <row r="4" spans="3:9">
      <c r="C4" s="14" t="s">
        <v>78</v>
      </c>
      <c r="E4" s="15" t="s">
        <v>59</v>
      </c>
      <c r="I4" t="s">
        <v>1046</v>
      </c>
    </row>
    <row r="5" spans="3:9" ht="22.8">
      <c r="C5" s="18" t="s">
        <v>99</v>
      </c>
      <c r="E5" s="18" t="s">
        <v>99</v>
      </c>
      <c r="I5" s="746" t="s">
        <v>1051</v>
      </c>
    </row>
    <row r="6" spans="3:9" ht="22.8">
      <c r="C6" s="18" t="s">
        <v>79</v>
      </c>
      <c r="E6" s="18">
        <v>2021</v>
      </c>
      <c r="I6" s="746" t="s">
        <v>1047</v>
      </c>
    </row>
    <row r="7" spans="3:9" ht="22.8">
      <c r="C7" s="18" t="s">
        <v>80</v>
      </c>
      <c r="E7" s="18">
        <v>2022</v>
      </c>
      <c r="I7" s="746" t="s">
        <v>1048</v>
      </c>
    </row>
    <row r="8" spans="3:9" ht="22.8">
      <c r="C8" s="18" t="s">
        <v>81</v>
      </c>
      <c r="E8" s="18">
        <v>2023</v>
      </c>
      <c r="I8" s="746" t="s">
        <v>1049</v>
      </c>
    </row>
    <row r="9" spans="3:9" ht="22.8">
      <c r="C9" s="18" t="s">
        <v>86</v>
      </c>
      <c r="E9" s="18">
        <v>2024</v>
      </c>
      <c r="I9" s="746" t="s">
        <v>1050</v>
      </c>
    </row>
    <row r="10" spans="3:9" ht="22.8">
      <c r="C10" s="18" t="s">
        <v>87</v>
      </c>
    </row>
    <row r="11" spans="3:9" ht="22.8">
      <c r="C11" s="18" t="s">
        <v>88</v>
      </c>
      <c r="I11" s="746" t="s">
        <v>1056</v>
      </c>
    </row>
    <row r="12" spans="3:9" ht="22.8">
      <c r="C12" s="18" t="s">
        <v>89</v>
      </c>
      <c r="I12" s="746" t="s">
        <v>1053</v>
      </c>
    </row>
    <row r="13" spans="3:9" ht="22.8">
      <c r="C13" s="18" t="s">
        <v>90</v>
      </c>
      <c r="I13" s="746" t="s">
        <v>1054</v>
      </c>
    </row>
    <row r="14" spans="3:9" ht="22.8">
      <c r="C14" s="18" t="s">
        <v>91</v>
      </c>
      <c r="I14" s="746" t="s">
        <v>1055</v>
      </c>
    </row>
    <row r="15" spans="3:9" ht="22.8">
      <c r="C15" s="18" t="s">
        <v>92</v>
      </c>
      <c r="I15" s="746" t="s">
        <v>1002</v>
      </c>
    </row>
    <row r="16" spans="3:9" ht="22.8">
      <c r="C16" s="18" t="s">
        <v>93</v>
      </c>
    </row>
    <row r="17" spans="3:9" ht="22.8">
      <c r="C17" s="18" t="s">
        <v>94</v>
      </c>
      <c r="I17" s="746" t="s">
        <v>99</v>
      </c>
    </row>
    <row r="18" spans="3:9" ht="22.8">
      <c r="C18" s="18" t="s">
        <v>95</v>
      </c>
      <c r="I18" s="749">
        <v>44926</v>
      </c>
    </row>
    <row r="19" spans="3:9" ht="22.8">
      <c r="C19" s="18" t="s">
        <v>96</v>
      </c>
      <c r="I19" s="749">
        <v>44834</v>
      </c>
    </row>
    <row r="20" spans="3:9" ht="22.8">
      <c r="C20" s="18" t="s">
        <v>97</v>
      </c>
      <c r="I20" s="749">
        <v>44742</v>
      </c>
    </row>
    <row r="21" spans="3:9" ht="22.8">
      <c r="C21" s="18" t="s">
        <v>98</v>
      </c>
      <c r="I21" s="749">
        <v>44651</v>
      </c>
    </row>
  </sheetData>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70C0"/>
  </sheetPr>
  <dimension ref="B1:BC236"/>
  <sheetViews>
    <sheetView showGridLines="0" tabSelected="1" zoomScale="70" zoomScaleNormal="70" workbookViewId="0">
      <selection activeCell="D7" sqref="D7"/>
    </sheetView>
  </sheetViews>
  <sheetFormatPr baseColWidth="10" defaultColWidth="11.44140625" defaultRowHeight="15" zeroHeight="1"/>
  <cols>
    <col min="1" max="1" width="3.44140625" style="310" customWidth="1"/>
    <col min="2" max="2" width="8.6640625" style="310" customWidth="1"/>
    <col min="3" max="3" width="23.33203125" style="310" customWidth="1"/>
    <col min="4" max="4" width="57.77734375" style="313" customWidth="1"/>
    <col min="5" max="6" width="16" style="316" hidden="1" customWidth="1"/>
    <col min="7" max="11" width="19.33203125" style="316" hidden="1" customWidth="1"/>
    <col min="12" max="12" width="21.5546875" style="316" hidden="1" customWidth="1"/>
    <col min="13" max="13" width="19.33203125" style="316" hidden="1" customWidth="1"/>
    <col min="14" max="14" width="19.33203125" style="316" customWidth="1"/>
    <col min="15" max="22" width="16" style="316" customWidth="1"/>
    <col min="23" max="24" width="16" style="316" hidden="1" customWidth="1"/>
    <col min="25" max="25" width="19.33203125" style="316" hidden="1" customWidth="1"/>
    <col min="26" max="26" width="16" style="316" hidden="1" customWidth="1"/>
    <col min="27" max="28" width="19.5546875" style="316" hidden="1" customWidth="1"/>
    <col min="29" max="29" width="16" style="316" hidden="1" customWidth="1"/>
    <col min="30" max="30" width="22.6640625" style="316" hidden="1" customWidth="1"/>
    <col min="31" max="32" width="16" style="316" hidden="1" customWidth="1"/>
    <col min="33" max="33" width="17.88671875" style="310" hidden="1" customWidth="1"/>
    <col min="34" max="34" width="23.33203125" style="310" hidden="1" customWidth="1"/>
    <col min="35" max="35" width="16" style="310" hidden="1" customWidth="1"/>
    <col min="36" max="36" width="22.88671875" style="310" hidden="1" customWidth="1"/>
    <col min="37" max="37" width="18.88671875" style="310" hidden="1" customWidth="1"/>
    <col min="38" max="38" width="19" style="310" hidden="1" customWidth="1"/>
    <col min="39" max="39" width="21" style="310" hidden="1" customWidth="1"/>
    <col min="40" max="40" width="14.44140625" style="310" hidden="1" customWidth="1"/>
    <col min="41" max="41" width="19.44140625" style="310" hidden="1" customWidth="1"/>
    <col min="42" max="42" width="10.109375" style="310" hidden="1" customWidth="1"/>
    <col min="43" max="43" width="13.33203125" style="310" hidden="1" customWidth="1"/>
    <col min="44" max="44" width="8.33203125" style="310" hidden="1" customWidth="1"/>
    <col min="45" max="45" width="14" style="310" hidden="1" customWidth="1"/>
    <col min="46" max="46" width="8.33203125" style="310" hidden="1" customWidth="1"/>
    <col min="47" max="47" width="19.44140625" style="310" hidden="1" customWidth="1"/>
    <col min="48" max="48" width="8.33203125" style="310" hidden="1" customWidth="1"/>
    <col min="49" max="49" width="87.33203125" style="313" customWidth="1"/>
    <col min="50" max="50" width="11" style="310" hidden="1" customWidth="1"/>
    <col min="51" max="51" width="17.6640625" style="310" hidden="1" customWidth="1"/>
    <col min="52" max="52" width="12.109375" style="310" hidden="1" customWidth="1"/>
    <col min="53" max="53" width="27.44140625" style="310" customWidth="1"/>
    <col min="54" max="16384" width="11.44140625" style="310"/>
  </cols>
  <sheetData>
    <row r="1" spans="2:55">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2"/>
      <c r="AH1" s="312"/>
      <c r="AI1" s="312"/>
      <c r="AJ1" s="312"/>
      <c r="AK1" s="312"/>
      <c r="AL1" s="312"/>
      <c r="AM1" s="312"/>
    </row>
    <row r="2" spans="2:55" ht="18.75" customHeight="1">
      <c r="C2" s="1306" t="s">
        <v>843</v>
      </c>
      <c r="D2" s="1307" t="s">
        <v>637</v>
      </c>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c r="AH2" s="1308"/>
      <c r="AI2" s="1308"/>
      <c r="AJ2" s="1308"/>
      <c r="AK2" s="1309"/>
      <c r="AL2" s="364"/>
      <c r="AM2" s="364"/>
      <c r="AN2" s="364"/>
      <c r="AO2" s="414"/>
      <c r="AP2" s="414"/>
      <c r="AQ2" s="414"/>
      <c r="AR2" s="414"/>
      <c r="AS2" s="414"/>
      <c r="AT2" s="414"/>
      <c r="AU2" s="414"/>
      <c r="AV2" s="414"/>
    </row>
    <row r="3" spans="2:55" ht="17.399999999999999" customHeight="1">
      <c r="C3" s="1306"/>
      <c r="D3" s="1310" t="s">
        <v>4</v>
      </c>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2"/>
      <c r="AL3" s="363"/>
      <c r="AM3" s="363"/>
      <c r="AN3" s="363"/>
      <c r="AO3" s="910"/>
      <c r="AP3" s="910"/>
      <c r="AQ3" s="910"/>
      <c r="AR3" s="910"/>
      <c r="AS3" s="910"/>
      <c r="AT3" s="910"/>
      <c r="AU3" s="910"/>
      <c r="AV3" s="910"/>
      <c r="AW3" s="314"/>
    </row>
    <row r="4" spans="2:55" ht="17.399999999999999" customHeight="1">
      <c r="C4" s="1306"/>
      <c r="D4" s="1310">
        <v>2023</v>
      </c>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2"/>
      <c r="AL4" s="363"/>
      <c r="AM4" s="363"/>
      <c r="AN4" s="363"/>
      <c r="AO4" s="910"/>
      <c r="AP4" s="910"/>
      <c r="AQ4" s="910"/>
      <c r="AR4" s="910"/>
      <c r="AS4" s="910"/>
      <c r="AT4" s="910"/>
      <c r="AU4" s="910"/>
      <c r="AV4" s="910"/>
      <c r="AW4" s="314"/>
    </row>
    <row r="5" spans="2:55" ht="15.6" customHeight="1">
      <c r="C5" s="1306"/>
      <c r="D5" s="1313" t="s">
        <v>815</v>
      </c>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5"/>
      <c r="AL5" s="364"/>
      <c r="AM5" s="364"/>
      <c r="AN5" s="364"/>
      <c r="AO5" s="414"/>
      <c r="AP5" s="414"/>
      <c r="AQ5" s="414"/>
      <c r="AR5" s="414"/>
      <c r="AS5" s="414"/>
      <c r="AT5" s="414"/>
      <c r="AU5" s="414"/>
      <c r="AV5" s="414"/>
      <c r="AW5" s="314"/>
    </row>
    <row r="6" spans="2:55" ht="20.399999999999999" customHeight="1">
      <c r="C6" s="1306"/>
      <c r="D6" s="1316" t="s">
        <v>1054</v>
      </c>
      <c r="E6" s="1317"/>
      <c r="F6" s="1317"/>
      <c r="G6" s="1317"/>
      <c r="H6" s="1317"/>
      <c r="I6" s="1317"/>
      <c r="J6" s="1317"/>
      <c r="K6" s="1317"/>
      <c r="L6" s="1317"/>
      <c r="M6" s="1317"/>
      <c r="N6" s="1317"/>
      <c r="O6" s="1317"/>
      <c r="P6" s="1317"/>
      <c r="Q6" s="1317"/>
      <c r="R6" s="1317"/>
      <c r="S6" s="1317"/>
      <c r="T6" s="1317"/>
      <c r="U6" s="1317"/>
      <c r="V6" s="1317"/>
      <c r="W6" s="1317"/>
      <c r="X6" s="1317"/>
      <c r="Y6" s="1317"/>
      <c r="Z6" s="1317"/>
      <c r="AA6" s="1317"/>
      <c r="AB6" s="1317"/>
      <c r="AC6" s="1317"/>
      <c r="AD6" s="1317"/>
      <c r="AE6" s="1317"/>
      <c r="AF6" s="1317"/>
      <c r="AG6" s="1317"/>
      <c r="AH6" s="1317"/>
      <c r="AI6" s="1317"/>
      <c r="AJ6" s="1317"/>
      <c r="AK6" s="1318"/>
      <c r="AL6" s="355"/>
      <c r="AM6" s="355"/>
      <c r="AN6" s="355"/>
      <c r="AO6" s="906"/>
      <c r="AP6" s="906"/>
      <c r="AQ6" s="906"/>
      <c r="AR6" s="906"/>
      <c r="AS6" s="906"/>
      <c r="AT6" s="906"/>
      <c r="AU6" s="906"/>
      <c r="AV6" s="906"/>
      <c r="AW6" s="315"/>
    </row>
    <row r="7" spans="2:55" ht="19.5" customHeight="1">
      <c r="C7" s="814" t="s">
        <v>1061</v>
      </c>
      <c r="D7" s="815">
        <v>45107</v>
      </c>
    </row>
    <row r="8" spans="2:55" s="324" customFormat="1" ht="24" customHeight="1" thickBot="1">
      <c r="D8" s="326"/>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748"/>
      <c r="AJ8" s="748"/>
      <c r="AM8" s="748"/>
      <c r="AW8" s="954"/>
      <c r="AY8" s="310"/>
      <c r="AZ8" s="310"/>
    </row>
    <row r="9" spans="2:55" s="324" customFormat="1" ht="60" hidden="1" customHeight="1" thickBot="1">
      <c r="D9" s="326"/>
      <c r="E9" s="325" t="s">
        <v>1144</v>
      </c>
      <c r="F9" s="325"/>
      <c r="G9" s="895" t="s">
        <v>1145</v>
      </c>
      <c r="H9" s="325"/>
      <c r="I9" s="895" t="s">
        <v>1153</v>
      </c>
      <c r="J9" s="325"/>
      <c r="K9" s="325"/>
      <c r="L9" s="325"/>
      <c r="M9" s="325"/>
      <c r="N9" s="325" t="s">
        <v>1144</v>
      </c>
      <c r="O9" s="325"/>
      <c r="P9" s="895" t="s">
        <v>1146</v>
      </c>
      <c r="Q9" s="325"/>
      <c r="R9" s="895" t="s">
        <v>1147</v>
      </c>
      <c r="S9" s="325"/>
      <c r="T9" s="325"/>
      <c r="U9" s="325"/>
      <c r="V9" s="325"/>
      <c r="W9" s="325" t="s">
        <v>1144</v>
      </c>
      <c r="X9" s="325"/>
      <c r="Y9" s="895" t="s">
        <v>1148</v>
      </c>
      <c r="Z9" s="325"/>
      <c r="AA9" s="895" t="s">
        <v>1149</v>
      </c>
      <c r="AB9" s="325"/>
      <c r="AC9" s="325"/>
      <c r="AD9" s="325"/>
      <c r="AE9" s="325"/>
      <c r="AF9" s="325" t="s">
        <v>1144</v>
      </c>
      <c r="AG9" s="325"/>
      <c r="AH9" s="895" t="s">
        <v>1150</v>
      </c>
      <c r="AI9" s="325"/>
      <c r="AJ9" s="895" t="s">
        <v>1151</v>
      </c>
      <c r="AM9" s="748"/>
      <c r="AW9" s="954"/>
      <c r="AY9" s="310"/>
      <c r="AZ9" s="310"/>
    </row>
    <row r="10" spans="2:55" s="324" customFormat="1" ht="16.2" thickBot="1">
      <c r="C10" s="327" t="s">
        <v>820</v>
      </c>
      <c r="D10" s="357"/>
      <c r="E10" s="1290" t="s">
        <v>1053</v>
      </c>
      <c r="F10" s="1291"/>
      <c r="G10" s="1291"/>
      <c r="H10" s="1291"/>
      <c r="I10" s="1291"/>
      <c r="J10" s="1291"/>
      <c r="K10" s="1291"/>
      <c r="L10" s="1291"/>
      <c r="M10" s="1292"/>
      <c r="N10" s="1293" t="s">
        <v>1054</v>
      </c>
      <c r="O10" s="1294"/>
      <c r="P10" s="1294"/>
      <c r="Q10" s="1294"/>
      <c r="R10" s="1294"/>
      <c r="S10" s="1294"/>
      <c r="T10" s="1294"/>
      <c r="U10" s="1294"/>
      <c r="V10" s="1295"/>
      <c r="W10" s="1287" t="s">
        <v>1055</v>
      </c>
      <c r="X10" s="1288"/>
      <c r="Y10" s="1288"/>
      <c r="Z10" s="1288"/>
      <c r="AA10" s="1288"/>
      <c r="AB10" s="1288"/>
      <c r="AC10" s="1288"/>
      <c r="AD10" s="1288"/>
      <c r="AE10" s="1289"/>
      <c r="AF10" s="1293" t="s">
        <v>1002</v>
      </c>
      <c r="AG10" s="1294"/>
      <c r="AH10" s="1294"/>
      <c r="AI10" s="1294"/>
      <c r="AJ10" s="1294"/>
      <c r="AK10" s="1294"/>
      <c r="AL10" s="1294"/>
      <c r="AM10" s="1294"/>
      <c r="AN10" s="1295"/>
      <c r="AW10" s="954"/>
      <c r="AY10" s="310"/>
      <c r="AZ10" s="310"/>
    </row>
    <row r="11" spans="2:55" ht="28.95" customHeight="1">
      <c r="C11" s="1284" t="s">
        <v>1076</v>
      </c>
      <c r="D11" s="1297" t="s">
        <v>821</v>
      </c>
      <c r="E11" s="1280" t="s">
        <v>822</v>
      </c>
      <c r="F11" s="1281"/>
      <c r="G11" s="1282"/>
      <c r="H11" s="1283" t="s">
        <v>1057</v>
      </c>
      <c r="I11" s="1285" t="str">
        <f>$I$9</f>
        <v>Ejecución 
Corte
31/03/2023</v>
      </c>
      <c r="J11" s="1283" t="s">
        <v>823</v>
      </c>
      <c r="K11" s="1283" t="s">
        <v>817</v>
      </c>
      <c r="L11" s="1283"/>
      <c r="M11" s="1283"/>
      <c r="N11" s="1280" t="s">
        <v>822</v>
      </c>
      <c r="O11" s="1281"/>
      <c r="P11" s="1282"/>
      <c r="Q11" s="1283" t="s">
        <v>1062</v>
      </c>
      <c r="R11" s="1285" t="str">
        <f>$R$9</f>
        <v>Ejecución 
Corte
30/06/2023</v>
      </c>
      <c r="S11" s="1283" t="s">
        <v>823</v>
      </c>
      <c r="T11" s="1283" t="s">
        <v>817</v>
      </c>
      <c r="U11" s="1283"/>
      <c r="V11" s="1283"/>
      <c r="W11" s="1280" t="s">
        <v>822</v>
      </c>
      <c r="X11" s="1281"/>
      <c r="Y11" s="1282"/>
      <c r="Z11" s="1283" t="s">
        <v>1063</v>
      </c>
      <c r="AA11" s="1285" t="s">
        <v>1059</v>
      </c>
      <c r="AB11" s="1283" t="s">
        <v>823</v>
      </c>
      <c r="AC11" s="1283" t="s">
        <v>817</v>
      </c>
      <c r="AD11" s="1283"/>
      <c r="AE11" s="1283"/>
      <c r="AF11" s="1280" t="s">
        <v>822</v>
      </c>
      <c r="AG11" s="1281"/>
      <c r="AH11" s="1282"/>
      <c r="AI11" s="1283" t="s">
        <v>1152</v>
      </c>
      <c r="AJ11" s="1285" t="str">
        <f>+AJ9</f>
        <v>Ejecución 
Corte
31/12/2023</v>
      </c>
      <c r="AK11" s="1283" t="s">
        <v>823</v>
      </c>
      <c r="AL11" s="1283" t="s">
        <v>817</v>
      </c>
      <c r="AM11" s="1283"/>
      <c r="AN11" s="1283"/>
      <c r="AO11" s="1296" t="s">
        <v>669</v>
      </c>
      <c r="AP11" s="1296"/>
      <c r="AQ11" s="1296"/>
      <c r="AR11" s="1296"/>
      <c r="AS11" s="1296"/>
      <c r="AT11" s="1296"/>
      <c r="AU11" s="1296"/>
      <c r="AV11" s="1296"/>
      <c r="AW11" s="1284" t="s">
        <v>842</v>
      </c>
    </row>
    <row r="12" spans="2:55" ht="55.95" customHeight="1">
      <c r="C12" s="1284"/>
      <c r="D12" s="1297"/>
      <c r="E12" s="907" t="str">
        <f>$E$9</f>
        <v>Año 2023</v>
      </c>
      <c r="F12" s="907" t="str">
        <f>+E10</f>
        <v>Primer Trimestre</v>
      </c>
      <c r="G12" s="908" t="str">
        <f>$G$9</f>
        <v>Acumulado
Corte 
31/03/2023</v>
      </c>
      <c r="H12" s="1284"/>
      <c r="I12" s="1286"/>
      <c r="J12" s="1284"/>
      <c r="K12" s="907" t="str">
        <f>+$D$6</f>
        <v>Segundo Trimestre</v>
      </c>
      <c r="L12" s="908" t="str">
        <f>$G$12</f>
        <v>Acumulado
Corte 
31/03/2023</v>
      </c>
      <c r="M12" s="909" t="s">
        <v>714</v>
      </c>
      <c r="N12" s="907" t="str">
        <f>$N$9</f>
        <v>Año 2023</v>
      </c>
      <c r="O12" s="907" t="str">
        <f>+N10</f>
        <v>Segundo Trimestre</v>
      </c>
      <c r="P12" s="908" t="str">
        <f>$P$9</f>
        <v>Acumulado
Corte 
30/06/2023</v>
      </c>
      <c r="Q12" s="1284"/>
      <c r="R12" s="1286"/>
      <c r="S12" s="1284"/>
      <c r="T12" s="907" t="str">
        <f>+O12</f>
        <v>Segundo Trimestre</v>
      </c>
      <c r="U12" s="908" t="str">
        <f>$P$12</f>
        <v>Acumulado
Corte 
30/06/2023</v>
      </c>
      <c r="V12" s="909" t="s">
        <v>714</v>
      </c>
      <c r="W12" s="907" t="s">
        <v>1064</v>
      </c>
      <c r="X12" s="907" t="str">
        <f>+W10</f>
        <v>Tercer Trimestre</v>
      </c>
      <c r="Y12" s="908" t="s">
        <v>1058</v>
      </c>
      <c r="Z12" s="1284"/>
      <c r="AA12" s="1286"/>
      <c r="AB12" s="1284"/>
      <c r="AC12" s="907" t="str">
        <f>+X12</f>
        <v>Tercer Trimestre</v>
      </c>
      <c r="AD12" s="908" t="str">
        <f>+Y12</f>
        <v>Acumulado Corte 
30/09/2022</v>
      </c>
      <c r="AE12" s="909" t="s">
        <v>714</v>
      </c>
      <c r="AF12" s="907" t="str">
        <f>+AF9</f>
        <v>Año 2023</v>
      </c>
      <c r="AG12" s="907" t="s">
        <v>1002</v>
      </c>
      <c r="AH12" s="908" t="str">
        <f>+AH9</f>
        <v>Acumulado
Corte 
31/12/2023</v>
      </c>
      <c r="AI12" s="1284"/>
      <c r="AJ12" s="1286"/>
      <c r="AK12" s="1284"/>
      <c r="AL12" s="907" t="str">
        <f>+AG12</f>
        <v>Cuarto Trimestre</v>
      </c>
      <c r="AM12" s="908" t="str">
        <f>+AH12</f>
        <v>Acumulado
Corte 
31/12/2023</v>
      </c>
      <c r="AN12" s="909" t="s">
        <v>714</v>
      </c>
      <c r="AO12" s="987" t="s">
        <v>824</v>
      </c>
      <c r="AP12" s="988"/>
      <c r="AQ12" s="989" t="s">
        <v>825</v>
      </c>
      <c r="AR12" s="990"/>
      <c r="AS12" s="990"/>
      <c r="AT12" s="991"/>
      <c r="AU12" s="992" t="s">
        <v>677</v>
      </c>
      <c r="AV12" s="993"/>
      <c r="AW12" s="1284"/>
    </row>
    <row r="13" spans="2:55" ht="71.400000000000006" customHeight="1">
      <c r="B13" s="328">
        <f>'[3]01 Direcc Estratégico POA 2020 '!R13</f>
        <v>1</v>
      </c>
      <c r="C13" s="330" t="str">
        <f>+'Rango indicadores'!D5</f>
        <v>01-RI-01</v>
      </c>
      <c r="D13" s="329" t="str">
        <f>+'Rango indicadores'!E5</f>
        <v xml:space="preserve">Porcentaje de acciones implementadas para la sostenibilidad y mejora del SGC </v>
      </c>
      <c r="E13" s="361">
        <f>+'Rango indicadores'!$Q$5</f>
        <v>1</v>
      </c>
      <c r="F13" s="361">
        <f>+'1.Informe Seguimiento POA 2023'!O55</f>
        <v>0.24000000000000002</v>
      </c>
      <c r="G13" s="361">
        <f>+'1.Informe Seguimiento POA 2023'!O55</f>
        <v>0.24000000000000002</v>
      </c>
      <c r="H13" s="361">
        <f>+'1.Informe Seguimiento POA 2023'!P55</f>
        <v>0.24000000000000002</v>
      </c>
      <c r="I13" s="361">
        <f>+'1.Informe Seguimiento POA 2023'!P55</f>
        <v>0.24000000000000002</v>
      </c>
      <c r="J13" s="361">
        <f>I13</f>
        <v>0.24000000000000002</v>
      </c>
      <c r="K13" s="332">
        <f t="shared" ref="K13:K16" si="0">IF(AND(F13&gt;0),H13/F13,"No programado")</f>
        <v>1</v>
      </c>
      <c r="L13" s="332">
        <f>IF(AND(G13&gt;0),J13/G13,"No programado")</f>
        <v>1</v>
      </c>
      <c r="M13" s="332">
        <f>IF(AND(E13&gt;0,$J13&gt;0),J13/$E13,0)</f>
        <v>0.24000000000000002</v>
      </c>
      <c r="N13" s="361">
        <f>+E13</f>
        <v>1</v>
      </c>
      <c r="O13" s="683">
        <f>+'1.Informe Seguimiento POA 2023'!Q55</f>
        <v>0.27</v>
      </c>
      <c r="P13" s="361">
        <f>+'1.Informe Seguimiento POA 2023'!O55+'1.Informe Seguimiento POA 2023'!Q55</f>
        <v>0.51</v>
      </c>
      <c r="Q13" s="683">
        <f>+'1.Informe Seguimiento POA 2023'!R55</f>
        <v>0.26890000000000003</v>
      </c>
      <c r="R13" s="361">
        <f>+'1.Informe Seguimiento POA 2023'!P55+'1.Informe Seguimiento POA 2023'!R55</f>
        <v>0.50890000000000002</v>
      </c>
      <c r="S13" s="361">
        <f>H13+Q13</f>
        <v>0.50890000000000002</v>
      </c>
      <c r="T13" s="332">
        <f t="shared" ref="T13:T16" si="1">IF(AND(O13&gt;0),Q13/O13,"No programado")</f>
        <v>0.99592592592592599</v>
      </c>
      <c r="U13" s="332">
        <f>IF(AND(P13&gt;0),S13/P13,"No programado")</f>
        <v>0.99784313725490204</v>
      </c>
      <c r="V13" s="332">
        <f>IF(AND(N13&gt;0,$S13&gt;0),S13/$N13,0)</f>
        <v>0.50890000000000002</v>
      </c>
      <c r="W13" s="361">
        <f t="shared" ref="W13:W15" si="2">+E13</f>
        <v>1</v>
      </c>
      <c r="X13" s="361">
        <f>+'1.Informe Seguimiento POA 2023'!S55</f>
        <v>0.27</v>
      </c>
      <c r="Y13" s="361">
        <f>+'1.Informe Seguimiento POA 2023'!O55+'1.Informe Seguimiento POA 2023'!Q55+'1.Informe Seguimiento POA 2023'!S55</f>
        <v>0.78</v>
      </c>
      <c r="Z13" s="361">
        <f>+'1.Informe Seguimiento POA 2023'!T55</f>
        <v>0</v>
      </c>
      <c r="AA13" s="361">
        <f>+'1.Informe Seguimiento POA 2023'!R55+'1.Informe Seguimiento POA 2023'!T55+'1.Informe Seguimiento POA 2023'!P55</f>
        <v>0.50890000000000002</v>
      </c>
      <c r="AB13" s="361">
        <f>H13+Q13+Z13</f>
        <v>0.50890000000000002</v>
      </c>
      <c r="AC13" s="332">
        <f t="shared" ref="AC13:AC16" si="3">IF(AND(X13&gt;0),Z13/X13,"No programado")</f>
        <v>0</v>
      </c>
      <c r="AD13" s="332">
        <f t="shared" ref="AD13:AD16" si="4">IF(AND(Y13&gt;0),AA13/Y13,"No programado")</f>
        <v>0.65243589743589747</v>
      </c>
      <c r="AE13" s="332">
        <f>IF(AND(W13&gt;0,$AB13&gt;0),AB13/$W13,0)</f>
        <v>0.50890000000000002</v>
      </c>
      <c r="AF13" s="361">
        <f>+W13</f>
        <v>1</v>
      </c>
      <c r="AG13" s="361">
        <f>+'1.Informe Seguimiento POA 2023'!U55</f>
        <v>0.22</v>
      </c>
      <c r="AH13" s="361">
        <f>+'1.Informe Seguimiento POA 2023'!O55+'1.Informe Seguimiento POA 2023'!Q55+'1.Informe Seguimiento POA 2023'!S55+'1.Informe Seguimiento POA 2023'!U55</f>
        <v>1</v>
      </c>
      <c r="AI13" s="683">
        <f>+'1.Informe Seguimiento POA 2023'!V55</f>
        <v>0</v>
      </c>
      <c r="AJ13" s="458">
        <f>+'1.Informe Seguimiento POA 2023'!P55+'1.Informe Seguimiento POA 2023'!R55+'1.Informe Seguimiento POA 2023'!T55+'1.Informe Seguimiento POA 2023'!V55</f>
        <v>0.50890000000000002</v>
      </c>
      <c r="AK13" s="457">
        <f>H13+Q13+Z13+AI13</f>
        <v>0.50890000000000002</v>
      </c>
      <c r="AL13" s="332">
        <f t="shared" ref="AL13:AM16" si="5">IF(AND(AG13&gt;0),AI13/AG13,"No programado")</f>
        <v>0</v>
      </c>
      <c r="AM13" s="332">
        <f>IF(AND(AH13&gt;0),AJ13/AH13,"No programado")</f>
        <v>0.50890000000000002</v>
      </c>
      <c r="AN13" s="332">
        <f>IF(AND(AF13&gt;0,$AK13&gt;0),AK13/$AF13,0)</f>
        <v>0.50890000000000002</v>
      </c>
      <c r="AO13" s="332" t="str">
        <f>+'Rango indicadores'!H5</f>
        <v>Mayor A:</v>
      </c>
      <c r="AP13" s="331">
        <f>+'Rango indicadores'!I5</f>
        <v>95</v>
      </c>
      <c r="AQ13" s="331" t="str">
        <f>+'Rango indicadores'!J5</f>
        <v>Desde (&gt;=):</v>
      </c>
      <c r="AR13" s="331">
        <f>+'Rango indicadores'!K5</f>
        <v>75</v>
      </c>
      <c r="AS13" s="331" t="str">
        <f>+'Rango indicadores'!L5</f>
        <v>Hasta (&lt;=):</v>
      </c>
      <c r="AT13" s="331">
        <f>+'Rango indicadores'!M5</f>
        <v>95</v>
      </c>
      <c r="AU13" s="331" t="str">
        <f>+'Rango indicadores'!N5</f>
        <v>Menor A:</v>
      </c>
      <c r="AV13" s="331">
        <f>+'Rango indicadores'!O5</f>
        <v>75</v>
      </c>
      <c r="AW13" s="421" t="s">
        <v>1175</v>
      </c>
      <c r="AY13" s="486"/>
      <c r="BA13" s="486"/>
      <c r="BC13" s="485"/>
    </row>
    <row r="14" spans="2:55" ht="72" customHeight="1">
      <c r="B14" s="328">
        <f>1+B13</f>
        <v>2</v>
      </c>
      <c r="C14" s="330" t="str">
        <f>+'Rango indicadores'!D6</f>
        <v>01-RI-02</v>
      </c>
      <c r="D14" s="329" t="str">
        <f>+'Rango indicadores'!E6</f>
        <v>Porcentaje de actividades implementadas para la sostenibilidad  y mejora del MIPG</v>
      </c>
      <c r="E14" s="361">
        <f>+'Rango indicadores'!Q6</f>
        <v>0.02</v>
      </c>
      <c r="F14" s="361">
        <f>+'1.Informe Seguimiento POA 2023'!O56</f>
        <v>5.0000000000000001E-3</v>
      </c>
      <c r="G14" s="361">
        <f>+'1.Informe Seguimiento POA 2023'!O56</f>
        <v>5.0000000000000001E-3</v>
      </c>
      <c r="H14" s="361">
        <f>+'1.Informe Seguimiento POA 2023'!P56</f>
        <v>5.0000000000000001E-3</v>
      </c>
      <c r="I14" s="361">
        <f>+'1.Informe Seguimiento POA 2023'!P56</f>
        <v>5.0000000000000001E-3</v>
      </c>
      <c r="J14" s="361">
        <f t="shared" ref="J14:J15" si="6">I14</f>
        <v>5.0000000000000001E-3</v>
      </c>
      <c r="K14" s="332">
        <f t="shared" si="0"/>
        <v>1</v>
      </c>
      <c r="L14" s="332">
        <f t="shared" ref="L14:L16" si="7">IF(AND(G14&gt;0),I14/G14,"No programado")</f>
        <v>1</v>
      </c>
      <c r="M14" s="332">
        <f t="shared" ref="M14:M16" si="8">IF(AND(E14&gt;0,$J14&gt;0),J14/$E14,0)</f>
        <v>0.25</v>
      </c>
      <c r="N14" s="361">
        <f t="shared" ref="N14:N16" si="9">+E14</f>
        <v>0.02</v>
      </c>
      <c r="O14" s="457">
        <f>+'1.Informe Seguimiento POA 2023'!Q56</f>
        <v>5.0000000000000001E-3</v>
      </c>
      <c r="P14" s="457">
        <f>+'1.Informe Seguimiento POA 2023'!O56+'1.Informe Seguimiento POA 2023'!Q56</f>
        <v>0.01</v>
      </c>
      <c r="Q14" s="457">
        <f>+'1.Informe Seguimiento POA 2023'!R56</f>
        <v>4.8999999999999998E-3</v>
      </c>
      <c r="R14" s="457">
        <f>+'1.Informe Seguimiento POA 2023'!P56+'1.Informe Seguimiento POA 2023'!R56</f>
        <v>9.8999999999999991E-3</v>
      </c>
      <c r="S14" s="457">
        <f t="shared" ref="S14:S16" si="10">H14+Q14</f>
        <v>9.8999999999999991E-3</v>
      </c>
      <c r="T14" s="332">
        <f t="shared" si="1"/>
        <v>0.98</v>
      </c>
      <c r="U14" s="332">
        <f t="shared" ref="U14:U16" si="11">IF(AND(P14&gt;0),R14/P14,"No programado")</f>
        <v>0.98999999999999988</v>
      </c>
      <c r="V14" s="332">
        <f t="shared" ref="V14:V16" si="12">IF(AND(N14&gt;0,$S14&gt;0),S14/$N14,0)</f>
        <v>0.49499999999999994</v>
      </c>
      <c r="W14" s="361">
        <f t="shared" si="2"/>
        <v>0.02</v>
      </c>
      <c r="X14" s="361">
        <f>+'1.Informe Seguimiento POA 2023'!S56</f>
        <v>6.0000000000000001E-3</v>
      </c>
      <c r="Y14" s="361">
        <f>+'1.Informe Seguimiento POA 2023'!O56+'1.Informe Seguimiento POA 2023'!Q56+'1.Informe Seguimiento POA 2023'!S56</f>
        <v>1.6E-2</v>
      </c>
      <c r="Z14" s="361">
        <f>+'1.Informe Seguimiento POA 2023'!T56</f>
        <v>0</v>
      </c>
      <c r="AA14" s="361">
        <f>+'1.Informe Seguimiento POA 2023'!R56+'1.Informe Seguimiento POA 2023'!T56+'1.Informe Seguimiento POA 2023'!P56</f>
        <v>9.8999999999999991E-3</v>
      </c>
      <c r="AB14" s="361">
        <f t="shared" ref="AB14:AB16" si="13">H14+Q14+Z14</f>
        <v>9.8999999999999991E-3</v>
      </c>
      <c r="AC14" s="332">
        <f t="shared" si="3"/>
        <v>0</v>
      </c>
      <c r="AD14" s="332">
        <f t="shared" si="4"/>
        <v>0.61874999999999991</v>
      </c>
      <c r="AE14" s="332">
        <f t="shared" ref="AE14:AE16" si="14">IF(AND(W14&gt;0,$AB14&gt;0),AB14/$W14,0)</f>
        <v>0.49499999999999994</v>
      </c>
      <c r="AF14" s="361">
        <f t="shared" ref="AF14:AF15" si="15">+W14</f>
        <v>0.02</v>
      </c>
      <c r="AG14" s="361">
        <f>+'1.Informe Seguimiento POA 2023'!U56</f>
        <v>4.0000000000000001E-3</v>
      </c>
      <c r="AH14" s="683">
        <f>+'1.Informe Seguimiento POA 2023'!O56+'1.Informe Seguimiento POA 2023'!Q56+'1.Informe Seguimiento POA 2023'!S56+'1.Informe Seguimiento POA 2023'!U56</f>
        <v>0.02</v>
      </c>
      <c r="AI14" s="361">
        <f>+'1.Informe Seguimiento POA 2023'!V56</f>
        <v>0</v>
      </c>
      <c r="AJ14" s="458">
        <f>+'1.Informe Seguimiento POA 2023'!P56+'1.Informe Seguimiento POA 2023'!R56+'1.Informe Seguimiento POA 2023'!T56+'1.Informe Seguimiento POA 2023'!V56</f>
        <v>9.8999999999999991E-3</v>
      </c>
      <c r="AK14" s="457">
        <f t="shared" ref="AK14:AK16" si="16">H14+Q14+Z14+AI14</f>
        <v>9.8999999999999991E-3</v>
      </c>
      <c r="AL14" s="332">
        <f t="shared" si="5"/>
        <v>0</v>
      </c>
      <c r="AM14" s="332">
        <f t="shared" si="5"/>
        <v>0.49499999999999994</v>
      </c>
      <c r="AN14" s="332">
        <f>IF(AND(AF14&gt;0,$AK14&gt;0),AK14/$AF14,0)</f>
        <v>0.49499999999999994</v>
      </c>
      <c r="AO14" s="332" t="str">
        <f>+'Rango indicadores'!H6</f>
        <v>Mayor A:</v>
      </c>
      <c r="AP14" s="331">
        <f>+'Rango indicadores'!I6</f>
        <v>95</v>
      </c>
      <c r="AQ14" s="331" t="str">
        <f>+'Rango indicadores'!J6</f>
        <v>Desde (&gt;=):</v>
      </c>
      <c r="AR14" s="331">
        <f>+'Rango indicadores'!K6</f>
        <v>75</v>
      </c>
      <c r="AS14" s="331" t="str">
        <f>+'Rango indicadores'!L6</f>
        <v>Hasta (&lt;=):</v>
      </c>
      <c r="AT14" s="331">
        <f>+'Rango indicadores'!M6</f>
        <v>95</v>
      </c>
      <c r="AU14" s="331" t="str">
        <f>+'Rango indicadores'!N6</f>
        <v>Menor A:</v>
      </c>
      <c r="AV14" s="331">
        <f>+'Rango indicadores'!O6</f>
        <v>75</v>
      </c>
      <c r="AW14" s="421" t="s">
        <v>1175</v>
      </c>
      <c r="AY14" s="486"/>
      <c r="BA14" s="486"/>
    </row>
    <row r="15" spans="2:55" ht="66">
      <c r="B15" s="328">
        <f>1+B14</f>
        <v>3</v>
      </c>
      <c r="C15" s="330" t="str">
        <f>+'Rango indicadores'!D7</f>
        <v>01-RI-03</v>
      </c>
      <c r="D15" s="329" t="str">
        <f>+'Rango indicadores'!E7</f>
        <v xml:space="preserve">Porcentaje de requisitos del  SGA implementados bajo los estándares de la norma ISO 14001 </v>
      </c>
      <c r="E15" s="361">
        <f>+'Rango indicadores'!Q7</f>
        <v>0.28999999999999998</v>
      </c>
      <c r="F15" s="361">
        <f>+'1.Informe Seguimiento POA 2023'!O57</f>
        <v>8.0600000000000005E-2</v>
      </c>
      <c r="G15" s="361">
        <f>+'1.Informe Seguimiento POA 2023'!O57</f>
        <v>8.0600000000000005E-2</v>
      </c>
      <c r="H15" s="361">
        <f>+'1.Informe Seguimiento POA 2023'!P57</f>
        <v>8.0600000000000005E-2</v>
      </c>
      <c r="I15" s="361">
        <f>+'1.Informe Seguimiento POA 2023'!P57</f>
        <v>8.0600000000000005E-2</v>
      </c>
      <c r="J15" s="361">
        <f t="shared" si="6"/>
        <v>8.0600000000000005E-2</v>
      </c>
      <c r="K15" s="332">
        <f t="shared" si="0"/>
        <v>1</v>
      </c>
      <c r="L15" s="332">
        <f t="shared" si="7"/>
        <v>1</v>
      </c>
      <c r="M15" s="332">
        <f t="shared" si="8"/>
        <v>0.27793103448275863</v>
      </c>
      <c r="N15" s="361">
        <f t="shared" si="9"/>
        <v>0.28999999999999998</v>
      </c>
      <c r="O15" s="361">
        <f>+'1.Informe Seguimiento POA 2023'!Q57</f>
        <v>0.1094</v>
      </c>
      <c r="P15" s="361">
        <f>+'1.Informe Seguimiento POA 2023'!O57+'1.Informe Seguimiento POA 2023'!Q57</f>
        <v>0.19</v>
      </c>
      <c r="Q15" s="361">
        <f>+'1.Informe Seguimiento POA 2023'!R57</f>
        <v>0.1094</v>
      </c>
      <c r="R15" s="361">
        <f>+'1.Informe Seguimiento POA 2023'!P57+'1.Informe Seguimiento POA 2023'!R57</f>
        <v>0.19</v>
      </c>
      <c r="S15" s="361">
        <f t="shared" si="10"/>
        <v>0.19</v>
      </c>
      <c r="T15" s="332">
        <f t="shared" si="1"/>
        <v>1</v>
      </c>
      <c r="U15" s="332">
        <f t="shared" si="11"/>
        <v>1</v>
      </c>
      <c r="V15" s="332">
        <f t="shared" si="12"/>
        <v>0.65517241379310354</v>
      </c>
      <c r="W15" s="361">
        <f t="shared" si="2"/>
        <v>0.28999999999999998</v>
      </c>
      <c r="X15" s="361">
        <f>+'1.Informe Seguimiento POA 2023'!S57</f>
        <v>4.5100000000000001E-2</v>
      </c>
      <c r="Y15" s="361">
        <f>+'1.Informe Seguimiento POA 2023'!O57+'1.Informe Seguimiento POA 2023'!Q57+'1.Informe Seguimiento POA 2023'!S57</f>
        <v>0.2351</v>
      </c>
      <c r="Z15" s="361">
        <f>+'1.Informe Seguimiento POA 2023'!T57</f>
        <v>0</v>
      </c>
      <c r="AA15" s="361">
        <f>+'1.Informe Seguimiento POA 2023'!R57+'1.Informe Seguimiento POA 2023'!T57+'1.Informe Seguimiento POA 2023'!P57</f>
        <v>0.19</v>
      </c>
      <c r="AB15" s="361">
        <f t="shared" si="13"/>
        <v>0.19</v>
      </c>
      <c r="AC15" s="332">
        <f t="shared" si="3"/>
        <v>0</v>
      </c>
      <c r="AD15" s="332">
        <f t="shared" si="4"/>
        <v>0.80816673755848578</v>
      </c>
      <c r="AE15" s="332">
        <f t="shared" si="14"/>
        <v>0.65517241379310354</v>
      </c>
      <c r="AF15" s="361">
        <f t="shared" si="15"/>
        <v>0.28999999999999998</v>
      </c>
      <c r="AG15" s="361">
        <f>+'1.Informe Seguimiento POA 2023'!U57</f>
        <v>5.4900000000000004E-2</v>
      </c>
      <c r="AH15" s="361">
        <f>+'1.Informe Seguimiento POA 2023'!O57+'1.Informe Seguimiento POA 2023'!Q57+'1.Informe Seguimiento POA 2023'!S57+'1.Informe Seguimiento POA 2023'!U57</f>
        <v>0.29000000000000004</v>
      </c>
      <c r="AI15" s="361">
        <f>+'1.Informe Seguimiento POA 2023'!V57</f>
        <v>0</v>
      </c>
      <c r="AJ15" s="458">
        <f>+'1.Informe Seguimiento POA 2023'!P57+'1.Informe Seguimiento POA 2023'!R57+'1.Informe Seguimiento POA 2023'!T57+'1.Informe Seguimiento POA 2023'!V57</f>
        <v>0.19</v>
      </c>
      <c r="AK15" s="457">
        <f t="shared" si="16"/>
        <v>0.19</v>
      </c>
      <c r="AL15" s="332">
        <f t="shared" si="5"/>
        <v>0</v>
      </c>
      <c r="AM15" s="332">
        <f t="shared" si="5"/>
        <v>0.65517241379310343</v>
      </c>
      <c r="AN15" s="332">
        <f>IF(AND(AF15&gt;0,$AK15&gt;0),AK15/$AF15,0)</f>
        <v>0.65517241379310354</v>
      </c>
      <c r="AO15" s="332" t="str">
        <f>+'Rango indicadores'!H7</f>
        <v>Mayor A:</v>
      </c>
      <c r="AP15" s="331">
        <f>+'Rango indicadores'!I7</f>
        <v>95</v>
      </c>
      <c r="AQ15" s="331" t="str">
        <f>+'Rango indicadores'!J7</f>
        <v>Desde (&gt;=):</v>
      </c>
      <c r="AR15" s="331">
        <f>+'Rango indicadores'!K7</f>
        <v>75</v>
      </c>
      <c r="AS15" s="331" t="str">
        <f>+'Rango indicadores'!L7</f>
        <v>Hasta (&lt;=):</v>
      </c>
      <c r="AT15" s="331">
        <f>+'Rango indicadores'!M7</f>
        <v>95</v>
      </c>
      <c r="AU15" s="331" t="str">
        <f>+'Rango indicadores'!N7</f>
        <v>Menor A:</v>
      </c>
      <c r="AV15" s="331">
        <f>+'Rango indicadores'!O7</f>
        <v>75</v>
      </c>
      <c r="AW15" s="421" t="s">
        <v>1176</v>
      </c>
      <c r="AY15" s="486"/>
      <c r="BA15" s="486"/>
    </row>
    <row r="16" spans="2:55" ht="66">
      <c r="B16" s="328">
        <f>1+B15</f>
        <v>4</v>
      </c>
      <c r="C16" s="330" t="str">
        <f>+'Rango indicadores'!D8</f>
        <v>01-RI-04</v>
      </c>
      <c r="D16" s="329" t="str">
        <f>+'Rango indicadores'!E8</f>
        <v>Acciones de monitoreo y revisión realizadas al PAAC</v>
      </c>
      <c r="E16" s="331">
        <f>+'Rango indicadores'!Q8</f>
        <v>3</v>
      </c>
      <c r="F16" s="331">
        <f>+'1.Informe Seguimiento POA 2023'!O58</f>
        <v>1</v>
      </c>
      <c r="G16" s="331">
        <f>+'1.Informe Seguimiento POA 2023'!O58</f>
        <v>1</v>
      </c>
      <c r="H16" s="331">
        <f>+'1.Informe Seguimiento POA 2023'!P58</f>
        <v>1</v>
      </c>
      <c r="I16" s="331">
        <f>+'1.Informe Seguimiento POA 2023'!P58</f>
        <v>1</v>
      </c>
      <c r="J16" s="331">
        <f>+I16</f>
        <v>1</v>
      </c>
      <c r="K16" s="332">
        <f t="shared" si="0"/>
        <v>1</v>
      </c>
      <c r="L16" s="332">
        <f t="shared" si="7"/>
        <v>1</v>
      </c>
      <c r="M16" s="332">
        <f t="shared" si="8"/>
        <v>0.33333333333333331</v>
      </c>
      <c r="N16" s="331">
        <f t="shared" si="9"/>
        <v>3</v>
      </c>
      <c r="O16" s="331">
        <f>+'1.Informe Seguimiento POA 2023'!Q58</f>
        <v>1</v>
      </c>
      <c r="P16" s="331">
        <f>+'1.Informe Seguimiento POA 2023'!O58+'1.Informe Seguimiento POA 2023'!Q58</f>
        <v>2</v>
      </c>
      <c r="Q16" s="331">
        <f>+'1.Informe Seguimiento POA 2023'!R58</f>
        <v>1</v>
      </c>
      <c r="R16" s="331">
        <f>+'1.Informe Seguimiento POA 2023'!P58+'1.Informe Seguimiento POA 2023'!R58</f>
        <v>2</v>
      </c>
      <c r="S16" s="331">
        <f t="shared" si="10"/>
        <v>2</v>
      </c>
      <c r="T16" s="332">
        <f t="shared" si="1"/>
        <v>1</v>
      </c>
      <c r="U16" s="332">
        <f t="shared" si="11"/>
        <v>1</v>
      </c>
      <c r="V16" s="332">
        <f t="shared" si="12"/>
        <v>0.66666666666666663</v>
      </c>
      <c r="W16" s="331">
        <f>N16</f>
        <v>3</v>
      </c>
      <c r="X16" s="331">
        <f>+'1.Informe Seguimiento POA 2023'!S58</f>
        <v>1</v>
      </c>
      <c r="Y16" s="331">
        <f>+'1.Informe Seguimiento POA 2023'!O58+'1.Informe Seguimiento POA 2023'!Q58+'1.Informe Seguimiento POA 2023'!S58</f>
        <v>3</v>
      </c>
      <c r="Z16" s="331">
        <f>+'1.Informe Seguimiento POA 2023'!T58</f>
        <v>0</v>
      </c>
      <c r="AA16" s="331">
        <f>+'1.Informe Seguimiento POA 2023'!R58+'1.Informe Seguimiento POA 2023'!T58+'1.Informe Seguimiento POA 2023'!P58</f>
        <v>2</v>
      </c>
      <c r="AB16" s="331">
        <f t="shared" si="13"/>
        <v>2</v>
      </c>
      <c r="AC16" s="332">
        <f t="shared" si="3"/>
        <v>0</v>
      </c>
      <c r="AD16" s="332">
        <f t="shared" si="4"/>
        <v>0.66666666666666663</v>
      </c>
      <c r="AE16" s="332">
        <f t="shared" si="14"/>
        <v>0.66666666666666663</v>
      </c>
      <c r="AF16" s="331">
        <f>+W16</f>
        <v>3</v>
      </c>
      <c r="AG16" s="331">
        <f>+'1.Informe Seguimiento POA 2023'!U58</f>
        <v>0</v>
      </c>
      <c r="AH16" s="331">
        <f>+'1.Informe Seguimiento POA 2023'!O58+'1.Informe Seguimiento POA 2023'!Q58+'1.Informe Seguimiento POA 2023'!S58+'1.Informe Seguimiento POA 2023'!U58</f>
        <v>3</v>
      </c>
      <c r="AI16" s="331">
        <f>+'1.Informe Seguimiento POA 2023'!V58</f>
        <v>0</v>
      </c>
      <c r="AJ16" s="331">
        <f>+'1.Informe Seguimiento POA 2023'!P58+'1.Informe Seguimiento POA 2023'!R58+'1.Informe Seguimiento POA 2023'!T58+'1.Informe Seguimiento POA 2023'!V58</f>
        <v>2</v>
      </c>
      <c r="AK16" s="331">
        <f t="shared" si="16"/>
        <v>2</v>
      </c>
      <c r="AL16" s="332" t="str">
        <f t="shared" si="5"/>
        <v>No programado</v>
      </c>
      <c r="AM16" s="332">
        <f t="shared" si="5"/>
        <v>0.66666666666666663</v>
      </c>
      <c r="AN16" s="332">
        <f>IF(AND(AF16&gt;0,$AK16&gt;0),AK16/$AF16,0)</f>
        <v>0.66666666666666663</v>
      </c>
      <c r="AO16" s="332" t="str">
        <f>+'Rango indicadores'!H8</f>
        <v>Mayor A:</v>
      </c>
      <c r="AP16" s="331">
        <f>+'Rango indicadores'!I8</f>
        <v>95</v>
      </c>
      <c r="AQ16" s="331" t="str">
        <f>+'Rango indicadores'!J8</f>
        <v>Desde (&gt;=):</v>
      </c>
      <c r="AR16" s="331">
        <f>+'Rango indicadores'!K8</f>
        <v>75</v>
      </c>
      <c r="AS16" s="331" t="str">
        <f>+'Rango indicadores'!L8</f>
        <v>Hasta (&lt;=):</v>
      </c>
      <c r="AT16" s="331">
        <f>+'Rango indicadores'!M8</f>
        <v>95</v>
      </c>
      <c r="AU16" s="331" t="str">
        <f>+'Rango indicadores'!N8</f>
        <v>Menor A:</v>
      </c>
      <c r="AV16" s="331">
        <f>+'Rango indicadores'!O8</f>
        <v>75</v>
      </c>
      <c r="AW16" s="421" t="s">
        <v>1176</v>
      </c>
      <c r="AY16" s="483"/>
      <c r="BA16" s="483"/>
    </row>
    <row r="17" spans="2:53" ht="15.6">
      <c r="C17" s="1319" t="s">
        <v>826</v>
      </c>
      <c r="D17" s="1320"/>
      <c r="E17" s="1320"/>
      <c r="F17" s="1320"/>
      <c r="G17" s="1320"/>
      <c r="H17" s="1320"/>
      <c r="I17" s="1320"/>
      <c r="J17" s="1320"/>
      <c r="K17" s="334">
        <f>IFERROR(AVERAGE(K13:K16),0)</f>
        <v>1</v>
      </c>
      <c r="L17" s="334">
        <f>IFERROR(AVERAGE(L13:L16),0)</f>
        <v>1</v>
      </c>
      <c r="M17" s="334">
        <f>IFERROR(AVERAGE(M13:M16),0)</f>
        <v>0.27531609195402296</v>
      </c>
      <c r="N17" s="754"/>
      <c r="O17" s="754"/>
      <c r="P17" s="754"/>
      <c r="Q17" s="754"/>
      <c r="R17" s="754"/>
      <c r="S17" s="754"/>
      <c r="T17" s="334">
        <f>IFERROR(AVERAGE(T13:T16),0)</f>
        <v>0.99398148148148147</v>
      </c>
      <c r="U17" s="334">
        <f>IFERROR(AVERAGE(U13:U16),0)</f>
        <v>0.99696078431372548</v>
      </c>
      <c r="V17" s="334">
        <f>IFERROR(AVERAGE(V13:V16),0)</f>
        <v>0.58143477011494249</v>
      </c>
      <c r="W17" s="754"/>
      <c r="X17" s="754"/>
      <c r="Y17" s="754"/>
      <c r="Z17" s="754"/>
      <c r="AA17" s="754"/>
      <c r="AB17" s="754"/>
      <c r="AC17" s="334">
        <f>IFERROR(AVERAGE(AC13:AC16),0)</f>
        <v>0</v>
      </c>
      <c r="AD17" s="334">
        <f>IFERROR(AVERAGE(AD13:AD16),0)</f>
        <v>0.68650482541526248</v>
      </c>
      <c r="AE17" s="334">
        <f>IFERROR(AVERAGE(AE13:AE16),0)</f>
        <v>0.58143477011494249</v>
      </c>
      <c r="AF17" s="754"/>
      <c r="AG17" s="754"/>
      <c r="AH17" s="754"/>
      <c r="AI17" s="754"/>
      <c r="AJ17" s="754"/>
      <c r="AK17" s="755"/>
      <c r="AL17" s="334">
        <f>IFERROR(AVERAGE(AL13:AL16),0)</f>
        <v>0</v>
      </c>
      <c r="AM17" s="334">
        <f>IFERROR(AVERAGE(AM13:AM16),0)</f>
        <v>0.58143477011494249</v>
      </c>
      <c r="AN17" s="334">
        <f>IFERROR(AVERAGE(AN13:AN16),0)</f>
        <v>0.58143477011494249</v>
      </c>
      <c r="AO17" s="323"/>
      <c r="AP17" s="323"/>
      <c r="AQ17" s="323"/>
      <c r="AR17" s="323"/>
      <c r="AS17" s="323"/>
      <c r="AT17" s="323"/>
      <c r="AU17" s="323"/>
      <c r="AV17" s="323"/>
      <c r="AW17" s="428"/>
    </row>
    <row r="18" spans="2:53" ht="24" customHeight="1" thickBot="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row>
    <row r="19" spans="2:53" ht="16.2" thickBot="1">
      <c r="C19" s="335" t="s">
        <v>827</v>
      </c>
      <c r="D19" s="358"/>
      <c r="E19" s="1290" t="s">
        <v>1053</v>
      </c>
      <c r="F19" s="1291"/>
      <c r="G19" s="1291"/>
      <c r="H19" s="1291"/>
      <c r="I19" s="1291"/>
      <c r="J19" s="1291"/>
      <c r="K19" s="1291"/>
      <c r="L19" s="1291"/>
      <c r="M19" s="1292"/>
      <c r="N19" s="1293" t="s">
        <v>1054</v>
      </c>
      <c r="O19" s="1294"/>
      <c r="P19" s="1294"/>
      <c r="Q19" s="1294"/>
      <c r="R19" s="1294"/>
      <c r="S19" s="1294"/>
      <c r="T19" s="1294"/>
      <c r="U19" s="1294"/>
      <c r="V19" s="1295"/>
      <c r="W19" s="1287" t="s">
        <v>1055</v>
      </c>
      <c r="X19" s="1288"/>
      <c r="Y19" s="1288"/>
      <c r="Z19" s="1288"/>
      <c r="AA19" s="1288"/>
      <c r="AB19" s="1288"/>
      <c r="AC19" s="1288"/>
      <c r="AD19" s="1288"/>
      <c r="AE19" s="1289"/>
      <c r="AF19" s="1293" t="s">
        <v>1002</v>
      </c>
      <c r="AG19" s="1294"/>
      <c r="AH19" s="1294"/>
      <c r="AI19" s="1294"/>
      <c r="AJ19" s="1294"/>
      <c r="AK19" s="1294"/>
      <c r="AL19" s="1294"/>
      <c r="AM19" s="1294"/>
      <c r="AN19" s="1295"/>
    </row>
    <row r="20" spans="2:53" ht="24" customHeight="1">
      <c r="C20" s="1284" t="str">
        <f>+$C$11</f>
        <v>Identificación del Indicador</v>
      </c>
      <c r="D20" s="1297" t="s">
        <v>821</v>
      </c>
      <c r="E20" s="1280" t="s">
        <v>822</v>
      </c>
      <c r="F20" s="1281"/>
      <c r="G20" s="1282"/>
      <c r="H20" s="1283" t="s">
        <v>1057</v>
      </c>
      <c r="I20" s="1285" t="str">
        <f>$I$9</f>
        <v>Ejecución 
Corte
31/03/2023</v>
      </c>
      <c r="J20" s="1283" t="s">
        <v>823</v>
      </c>
      <c r="K20" s="1283" t="s">
        <v>817</v>
      </c>
      <c r="L20" s="1283"/>
      <c r="M20" s="1283"/>
      <c r="N20" s="1280" t="s">
        <v>822</v>
      </c>
      <c r="O20" s="1281"/>
      <c r="P20" s="1282"/>
      <c r="Q20" s="1283" t="s">
        <v>1062</v>
      </c>
      <c r="R20" s="1285" t="str">
        <f>$R$9</f>
        <v>Ejecución 
Corte
30/06/2023</v>
      </c>
      <c r="S20" s="1283" t="s">
        <v>823</v>
      </c>
      <c r="T20" s="1283" t="s">
        <v>817</v>
      </c>
      <c r="U20" s="1283"/>
      <c r="V20" s="1283"/>
      <c r="W20" s="1280" t="s">
        <v>822</v>
      </c>
      <c r="X20" s="1281"/>
      <c r="Y20" s="1282"/>
      <c r="Z20" s="1283" t="s">
        <v>1063</v>
      </c>
      <c r="AA20" s="1285" t="s">
        <v>1059</v>
      </c>
      <c r="AB20" s="1283" t="s">
        <v>823</v>
      </c>
      <c r="AC20" s="1283" t="s">
        <v>817</v>
      </c>
      <c r="AD20" s="1283"/>
      <c r="AE20" s="1283"/>
      <c r="AF20" s="1280" t="s">
        <v>822</v>
      </c>
      <c r="AG20" s="1281"/>
      <c r="AH20" s="1282"/>
      <c r="AI20" s="1283" t="s">
        <v>1084</v>
      </c>
      <c r="AJ20" s="1285" t="s">
        <v>1085</v>
      </c>
      <c r="AK20" s="1283" t="s">
        <v>823</v>
      </c>
      <c r="AL20" s="1283" t="s">
        <v>817</v>
      </c>
      <c r="AM20" s="1283"/>
      <c r="AN20" s="1283"/>
      <c r="AO20" s="1296" t="s">
        <v>669</v>
      </c>
      <c r="AP20" s="1296"/>
      <c r="AQ20" s="1296"/>
      <c r="AR20" s="1296"/>
      <c r="AS20" s="1296"/>
      <c r="AT20" s="1296"/>
      <c r="AU20" s="1296"/>
      <c r="AV20" s="1296"/>
      <c r="AW20" s="1284" t="s">
        <v>842</v>
      </c>
    </row>
    <row r="21" spans="2:53" ht="50.25" customHeight="1">
      <c r="C21" s="1284"/>
      <c r="D21" s="1297"/>
      <c r="E21" s="907" t="str">
        <f>$E$9</f>
        <v>Año 2023</v>
      </c>
      <c r="F21" s="907" t="str">
        <f>+E19</f>
        <v>Primer Trimestre</v>
      </c>
      <c r="G21" s="908" t="str">
        <f>$G$9</f>
        <v>Acumulado
Corte 
31/03/2023</v>
      </c>
      <c r="H21" s="1284"/>
      <c r="I21" s="1286"/>
      <c r="J21" s="1284"/>
      <c r="K21" s="907" t="str">
        <f>+$D$6</f>
        <v>Segundo Trimestre</v>
      </c>
      <c r="L21" s="908" t="str">
        <f>$G$12</f>
        <v>Acumulado
Corte 
31/03/2023</v>
      </c>
      <c r="M21" s="909" t="s">
        <v>714</v>
      </c>
      <c r="N21" s="936" t="str">
        <f>$N$9</f>
        <v>Año 2023</v>
      </c>
      <c r="O21" s="907" t="str">
        <f>+N19</f>
        <v>Segundo Trimestre</v>
      </c>
      <c r="P21" s="951" t="str">
        <f>$P$9</f>
        <v>Acumulado
Corte 
30/06/2023</v>
      </c>
      <c r="Q21" s="1284"/>
      <c r="R21" s="1286"/>
      <c r="S21" s="1284"/>
      <c r="T21" s="950" t="str">
        <f>+O21</f>
        <v>Segundo Trimestre</v>
      </c>
      <c r="U21" s="951" t="str">
        <f>$P$12</f>
        <v>Acumulado
Corte 
30/06/2023</v>
      </c>
      <c r="V21" s="952" t="s">
        <v>714</v>
      </c>
      <c r="W21" s="907" t="s">
        <v>1064</v>
      </c>
      <c r="X21" s="907" t="str">
        <f>+W19</f>
        <v>Tercer Trimestre</v>
      </c>
      <c r="Y21" s="908" t="s">
        <v>1058</v>
      </c>
      <c r="Z21" s="1284"/>
      <c r="AA21" s="1286"/>
      <c r="AB21" s="1284"/>
      <c r="AC21" s="907" t="str">
        <f>+X21</f>
        <v>Tercer Trimestre</v>
      </c>
      <c r="AD21" s="908" t="str">
        <f>+Y21</f>
        <v>Acumulado Corte 
30/09/2022</v>
      </c>
      <c r="AE21" s="909" t="s">
        <v>714</v>
      </c>
      <c r="AF21" s="907" t="s">
        <v>1064</v>
      </c>
      <c r="AG21" s="907" t="s">
        <v>1083</v>
      </c>
      <c r="AH21" s="908" t="s">
        <v>1060</v>
      </c>
      <c r="AI21" s="1284"/>
      <c r="AJ21" s="1286"/>
      <c r="AK21" s="1284"/>
      <c r="AL21" s="907" t="str">
        <f>+AG21</f>
        <v>Cuarto Trimestre
31-12-2022</v>
      </c>
      <c r="AM21" s="908" t="str">
        <f>+AH21</f>
        <v>Acumulado Corte 
31/12/2022</v>
      </c>
      <c r="AN21" s="909" t="s">
        <v>714</v>
      </c>
      <c r="AO21" s="987" t="s">
        <v>824</v>
      </c>
      <c r="AP21" s="988"/>
      <c r="AQ21" s="989" t="s">
        <v>825</v>
      </c>
      <c r="AR21" s="990"/>
      <c r="AS21" s="990"/>
      <c r="AT21" s="991"/>
      <c r="AU21" s="992" t="s">
        <v>677</v>
      </c>
      <c r="AV21" s="993"/>
      <c r="AW21" s="1284"/>
    </row>
    <row r="22" spans="2:53" ht="59.4" customHeight="1">
      <c r="B22" s="328">
        <f>+B16+1</f>
        <v>5</v>
      </c>
      <c r="C22" s="330" t="str">
        <f>+'Rango indicadores'!D9</f>
        <v>02-RI-01</v>
      </c>
      <c r="D22" s="329" t="str">
        <f>+'Rango indicadores'!E9</f>
        <v>Proyectos de Investigación, Desarrollo e Innovación (I+D+I) elaborados</v>
      </c>
      <c r="E22" s="331">
        <f>+'Rango indicadores'!Q9</f>
        <v>1</v>
      </c>
      <c r="F22" s="331">
        <f>+'1.Informe Seguimiento POA 2023'!O96</f>
        <v>0</v>
      </c>
      <c r="G22" s="331">
        <f>+'1.Informe Seguimiento POA 2023'!O96</f>
        <v>0</v>
      </c>
      <c r="H22" s="331">
        <f>+'1.Informe Seguimiento POA 2023'!P96</f>
        <v>0</v>
      </c>
      <c r="I22" s="331">
        <f>+'1.Informe Seguimiento POA 2023'!P96</f>
        <v>0</v>
      </c>
      <c r="J22" s="331">
        <f>+I22</f>
        <v>0</v>
      </c>
      <c r="K22" s="337" t="str">
        <f>IF(AND(F22&gt;0),H22/F22,"No programado")</f>
        <v>No programado</v>
      </c>
      <c r="L22" s="337" t="str">
        <f>IF(AND(G22&gt;0),I22/G22,"No programado")</f>
        <v>No programado</v>
      </c>
      <c r="M22" s="332">
        <f t="shared" ref="M22:M25" si="17">IF(AND(E22&gt;0,$J22&gt;0),J22/$E22,0)</f>
        <v>0</v>
      </c>
      <c r="N22" s="331">
        <f t="shared" ref="N22" si="18">+E22</f>
        <v>1</v>
      </c>
      <c r="O22" s="331">
        <f>+'1.Informe Seguimiento POA 2023'!Q96</f>
        <v>0</v>
      </c>
      <c r="P22" s="331">
        <f>+'1.Informe Seguimiento POA 2023'!O96+'1.Informe Seguimiento POA 2023'!Q96</f>
        <v>0</v>
      </c>
      <c r="Q22" s="331">
        <f>+'1.Informe Seguimiento POA 2023'!R96</f>
        <v>0</v>
      </c>
      <c r="R22" s="331">
        <f>+'1.Informe Seguimiento POA 2023'!P96+'1.Informe Seguimiento POA 2023'!R96</f>
        <v>0</v>
      </c>
      <c r="S22" s="331">
        <f t="shared" ref="S22:S25" si="19">H22+Q22</f>
        <v>0</v>
      </c>
      <c r="T22" s="337" t="str">
        <f>IF(AND(O22&gt;0),Q22/O22,"No programado")</f>
        <v>No programado</v>
      </c>
      <c r="U22" s="337" t="str">
        <f>IF(AND(P22&gt;0),R22/P22,"No programado")</f>
        <v>No programado</v>
      </c>
      <c r="V22" s="332">
        <f>IF(AND(N22&gt;0,$S22&gt;0),S22/$N22,0)</f>
        <v>0</v>
      </c>
      <c r="W22" s="331">
        <f t="shared" ref="W22:W25" si="20">N22</f>
        <v>1</v>
      </c>
      <c r="X22" s="331">
        <f>+'1.Informe Seguimiento POA 2023'!S96</f>
        <v>0</v>
      </c>
      <c r="Y22" s="331">
        <f>+'1.Informe Seguimiento POA 2023'!O96+'1.Informe Seguimiento POA 2023'!Q96+'1.Informe Seguimiento POA 2023'!S96</f>
        <v>0</v>
      </c>
      <c r="Z22" s="331">
        <f>+'1.Informe Seguimiento POA 2023'!T96</f>
        <v>0</v>
      </c>
      <c r="AA22" s="331">
        <f>+'1.Informe Seguimiento POA 2023'!R96+'1.Informe Seguimiento POA 2023'!T96+'1.Informe Seguimiento POA 2023'!P96</f>
        <v>0</v>
      </c>
      <c r="AB22" s="331">
        <f t="shared" ref="AB22:AB25" si="21">H22+Q22+Z22</f>
        <v>0</v>
      </c>
      <c r="AC22" s="337" t="str">
        <f>IF(AND(X22&gt;0),Z22/X22,"No programado")</f>
        <v>No programado</v>
      </c>
      <c r="AD22" s="337" t="str">
        <f>IF(AND(Y22&gt;0),AA22/Y22,"No programado")</f>
        <v>No programado</v>
      </c>
      <c r="AE22" s="332">
        <f>IF(AND(W22&gt;0,$AB22&gt;0),AB22/$W22,0)</f>
        <v>0</v>
      </c>
      <c r="AF22" s="331">
        <f>+W22</f>
        <v>1</v>
      </c>
      <c r="AG22" s="331">
        <f>+'1.Informe Seguimiento POA 2023'!U96</f>
        <v>1</v>
      </c>
      <c r="AH22" s="331">
        <f>+'1.Informe Seguimiento POA 2023'!O96+'1.Informe Seguimiento POA 2023'!Q96+'1.Informe Seguimiento POA 2023'!S96+'1.Informe Seguimiento POA 2023'!U96</f>
        <v>1</v>
      </c>
      <c r="AI22" s="331">
        <f>+'1.Informe Seguimiento POA 2023'!V96</f>
        <v>0</v>
      </c>
      <c r="AJ22" s="331">
        <f>+'1.Informe Seguimiento POA 2023'!P96+'1.Informe Seguimiento POA 2023'!R96+'1.Informe Seguimiento POA 2023'!T96+'1.Informe Seguimiento POA 2023'!V96</f>
        <v>0</v>
      </c>
      <c r="AK22" s="331">
        <f t="shared" ref="AK22:AK25" si="22">H22+Q22+Z22+AI22</f>
        <v>0</v>
      </c>
      <c r="AL22" s="337">
        <f>IF(AND(AG22&gt;0),AI22/AG22,"No programado")</f>
        <v>0</v>
      </c>
      <c r="AM22" s="337">
        <f>IF(AND(AH22&gt;0),AJ22/AH22,"No programado")</f>
        <v>0</v>
      </c>
      <c r="AN22" s="332">
        <f>IF(AND(AF22&gt;0,$AK22&gt;0),AK22/$AF22,0)</f>
        <v>0</v>
      </c>
      <c r="AO22" s="319" t="str">
        <f>+'Rango indicadores'!H9</f>
        <v>Mayor A:</v>
      </c>
      <c r="AP22" s="331">
        <f>+'Rango indicadores'!I9</f>
        <v>95</v>
      </c>
      <c r="AQ22" s="319" t="str">
        <f>+'Rango indicadores'!J9</f>
        <v>Desde (&gt;=):</v>
      </c>
      <c r="AR22" s="331">
        <f>+'Rango indicadores'!K9</f>
        <v>75</v>
      </c>
      <c r="AS22" s="319" t="str">
        <f>+'Rango indicadores'!L9</f>
        <v>Hasta (&lt;=):</v>
      </c>
      <c r="AT22" s="331">
        <f>+'Rango indicadores'!M9</f>
        <v>95</v>
      </c>
      <c r="AU22" s="319" t="str">
        <f>+'Rango indicadores'!N9</f>
        <v>Menor A:</v>
      </c>
      <c r="AV22" s="331">
        <f>+'Rango indicadores'!O9</f>
        <v>75</v>
      </c>
      <c r="AW22" s="427" t="s">
        <v>1156</v>
      </c>
      <c r="BA22" s="483"/>
    </row>
    <row r="23" spans="2:53" ht="59.4" customHeight="1">
      <c r="B23" s="328">
        <f>+B22+1</f>
        <v>6</v>
      </c>
      <c r="C23" s="330" t="str">
        <f>+'Rango indicadores'!D10</f>
        <v>02-RI-04</v>
      </c>
      <c r="D23" s="329" t="str">
        <f>+'Rango indicadores'!E10</f>
        <v>Productos resultado de investigaciones, entregadas para la comunidad</v>
      </c>
      <c r="E23" s="331">
        <f>+'Rango indicadores'!Q10</f>
        <v>1</v>
      </c>
      <c r="F23" s="331">
        <f>+'1.Informe Seguimiento POA 2023'!O97</f>
        <v>0</v>
      </c>
      <c r="G23" s="331">
        <f>+'1.Informe Seguimiento POA 2023'!O97</f>
        <v>0</v>
      </c>
      <c r="H23" s="331">
        <f>+'1.Informe Seguimiento POA 2023'!P97</f>
        <v>0</v>
      </c>
      <c r="I23" s="331">
        <f>+'1.Informe Seguimiento POA 2023'!P97</f>
        <v>0</v>
      </c>
      <c r="J23" s="331">
        <f t="shared" ref="J23:J25" si="23">+I23</f>
        <v>0</v>
      </c>
      <c r="K23" s="337" t="str">
        <f>IF(AND(F23&gt;0),H23/F23,"No programado")</f>
        <v>No programado</v>
      </c>
      <c r="L23" s="337" t="str">
        <f>IF(AND(G23&gt;0),I23/G23,"No programado")</f>
        <v>No programado</v>
      </c>
      <c r="M23" s="332">
        <f t="shared" si="17"/>
        <v>0</v>
      </c>
      <c r="N23" s="331">
        <f t="shared" ref="N23:N25" si="24">+E23</f>
        <v>1</v>
      </c>
      <c r="O23" s="331">
        <f>+'1.Informe Seguimiento POA 2023'!Q97</f>
        <v>0</v>
      </c>
      <c r="P23" s="331">
        <f>+'1.Informe Seguimiento POA 2023'!O97+'1.Informe Seguimiento POA 2023'!Q97</f>
        <v>0</v>
      </c>
      <c r="Q23" s="331">
        <f>+'1.Informe Seguimiento POA 2023'!R97</f>
        <v>0</v>
      </c>
      <c r="R23" s="331">
        <f>+'1.Informe Seguimiento POA 2023'!P97+'1.Informe Seguimiento POA 2023'!R97</f>
        <v>0</v>
      </c>
      <c r="S23" s="331">
        <f t="shared" si="19"/>
        <v>0</v>
      </c>
      <c r="T23" s="337" t="str">
        <f>IF(AND(O23&gt;0),Q23/O23,"No programado")</f>
        <v>No programado</v>
      </c>
      <c r="U23" s="337" t="str">
        <f>IF(AND(P23&gt;0),R23/P23,"No programado")</f>
        <v>No programado</v>
      </c>
      <c r="V23" s="332">
        <f>IF(AND(N23&gt;0,$S23&gt;0),S23/$N23,0)</f>
        <v>0</v>
      </c>
      <c r="W23" s="331">
        <f t="shared" si="20"/>
        <v>1</v>
      </c>
      <c r="X23" s="331">
        <f>+'1.Informe Seguimiento POA 2023'!S97</f>
        <v>0</v>
      </c>
      <c r="Y23" s="331">
        <f>+'1.Informe Seguimiento POA 2023'!O97+'1.Informe Seguimiento POA 2023'!Q97+'1.Informe Seguimiento POA 2023'!S97</f>
        <v>0</v>
      </c>
      <c r="Z23" s="331">
        <f>+'1.Informe Seguimiento POA 2023'!T97</f>
        <v>0</v>
      </c>
      <c r="AA23" s="331">
        <f>+'1.Informe Seguimiento POA 2023'!R97+'1.Informe Seguimiento POA 2023'!T97+'1.Informe Seguimiento POA 2023'!P97</f>
        <v>0</v>
      </c>
      <c r="AB23" s="331">
        <f t="shared" si="21"/>
        <v>0</v>
      </c>
      <c r="AC23" s="337" t="str">
        <f t="shared" ref="AC23:AC24" si="25">IF(AND(X23&gt;0),Z23/X23,"No programado")</f>
        <v>No programado</v>
      </c>
      <c r="AD23" s="337" t="str">
        <f t="shared" ref="AD23:AD24" si="26">IF(AND(Y23&gt;0),AA23/Y23,"No programado")</f>
        <v>No programado</v>
      </c>
      <c r="AE23" s="332">
        <f t="shared" ref="AE23:AE25" si="27">IF(AND(W23&gt;0,$AB23&gt;0),AB23/$W23,0)</f>
        <v>0</v>
      </c>
      <c r="AF23" s="331">
        <f t="shared" ref="AF23:AF25" si="28">+W23</f>
        <v>1</v>
      </c>
      <c r="AG23" s="331">
        <f>+'1.Informe Seguimiento POA 2023'!U97</f>
        <v>1</v>
      </c>
      <c r="AH23" s="331">
        <f>+'1.Informe Seguimiento POA 2023'!O97+'1.Informe Seguimiento POA 2023'!Q97+'1.Informe Seguimiento POA 2023'!S97+'1.Informe Seguimiento POA 2023'!U97</f>
        <v>1</v>
      </c>
      <c r="AI23" s="331">
        <f>+'1.Informe Seguimiento POA 2023'!V97</f>
        <v>0</v>
      </c>
      <c r="AJ23" s="331">
        <f>+'1.Informe Seguimiento POA 2023'!P97+'1.Informe Seguimiento POA 2023'!R97+'1.Informe Seguimiento POA 2023'!T97+'1.Informe Seguimiento POA 2023'!V97</f>
        <v>0</v>
      </c>
      <c r="AK23" s="331">
        <f t="shared" si="22"/>
        <v>0</v>
      </c>
      <c r="AL23" s="337">
        <f>IF(AND(AG23&gt;0),AI23/AG23,"No programado")</f>
        <v>0</v>
      </c>
      <c r="AM23" s="337">
        <f>IF(AND(AH23&gt;0),AJ23/AH23,"No programado")</f>
        <v>0</v>
      </c>
      <c r="AN23" s="332">
        <f>IF(AND(AF23&gt;0,$AK23&gt;0),AK23/$AF23,0)</f>
        <v>0</v>
      </c>
      <c r="AO23" s="319" t="str">
        <f>+'Rango indicadores'!H10</f>
        <v>Mayor A:</v>
      </c>
      <c r="AP23" s="331">
        <f>+'Rango indicadores'!I10</f>
        <v>95</v>
      </c>
      <c r="AQ23" s="319" t="str">
        <f>+'Rango indicadores'!J10</f>
        <v>Desde (&gt;=):</v>
      </c>
      <c r="AR23" s="331">
        <f>+'Rango indicadores'!K10</f>
        <v>75</v>
      </c>
      <c r="AS23" s="319" t="str">
        <f>+'Rango indicadores'!L10</f>
        <v>Hasta (&lt;=):</v>
      </c>
      <c r="AT23" s="331">
        <f>+'Rango indicadores'!M10</f>
        <v>95</v>
      </c>
      <c r="AU23" s="319" t="str">
        <f>+'Rango indicadores'!N10</f>
        <v>Menor A:</v>
      </c>
      <c r="AV23" s="331">
        <f>+'Rango indicadores'!O10</f>
        <v>75</v>
      </c>
      <c r="AW23" s="427" t="s">
        <v>1156</v>
      </c>
      <c r="BA23" s="483"/>
    </row>
    <row r="24" spans="2:53" ht="66">
      <c r="B24" s="328">
        <f>+B23+1</f>
        <v>7</v>
      </c>
      <c r="C24" s="330" t="str">
        <f>+'Rango indicadores'!D11</f>
        <v>02-RI-02</v>
      </c>
      <c r="D24" s="329" t="str">
        <f>+'Rango indicadores'!E11</f>
        <v>Informes de investigación e innovación construidos</v>
      </c>
      <c r="E24" s="331">
        <f>+'Rango indicadores'!Q11</f>
        <v>3</v>
      </c>
      <c r="F24" s="331">
        <f>+'1.Informe Seguimiento POA 2023'!O98</f>
        <v>0</v>
      </c>
      <c r="G24" s="331">
        <f>+'1.Informe Seguimiento POA 2023'!O98</f>
        <v>0</v>
      </c>
      <c r="H24" s="331">
        <f>+'1.Informe Seguimiento POA 2023'!P98</f>
        <v>0</v>
      </c>
      <c r="I24" s="331">
        <f>+'1.Informe Seguimiento POA 2023'!P98</f>
        <v>0</v>
      </c>
      <c r="J24" s="331">
        <f t="shared" si="23"/>
        <v>0</v>
      </c>
      <c r="K24" s="337" t="str">
        <f>IF(AND(F24&gt;0),H24/F24,"No programado")</f>
        <v>No programado</v>
      </c>
      <c r="L24" s="337" t="str">
        <f t="shared" ref="L24:L25" si="29">IF(AND(G24&gt;0),I24/G24,"No programado")</f>
        <v>No programado</v>
      </c>
      <c r="M24" s="332">
        <f t="shared" si="17"/>
        <v>0</v>
      </c>
      <c r="N24" s="331">
        <f t="shared" si="24"/>
        <v>3</v>
      </c>
      <c r="O24" s="331">
        <f>+'1.Informe Seguimiento POA 2023'!Q98</f>
        <v>1</v>
      </c>
      <c r="P24" s="331">
        <f>+'1.Informe Seguimiento POA 2023'!O98+'1.Informe Seguimiento POA 2023'!Q98</f>
        <v>1</v>
      </c>
      <c r="Q24" s="331">
        <f>+'1.Informe Seguimiento POA 2023'!R98</f>
        <v>1</v>
      </c>
      <c r="R24" s="331">
        <f>+'1.Informe Seguimiento POA 2023'!P98+'1.Informe Seguimiento POA 2023'!R98</f>
        <v>1</v>
      </c>
      <c r="S24" s="331">
        <f t="shared" si="19"/>
        <v>1</v>
      </c>
      <c r="T24" s="337">
        <f t="shared" ref="T24:T25" si="30">IF(AND(O24&gt;0),Q24/O24,"No programado")</f>
        <v>1</v>
      </c>
      <c r="U24" s="337">
        <f t="shared" ref="U24:U25" si="31">IF(AND(P24&gt;0),R24/P24,"No programado")</f>
        <v>1</v>
      </c>
      <c r="V24" s="332">
        <f>IF(AND(N24&gt;0,$S24&gt;0),S24/$N24,0)</f>
        <v>0.33333333333333331</v>
      </c>
      <c r="W24" s="331">
        <f t="shared" si="20"/>
        <v>3</v>
      </c>
      <c r="X24" s="331">
        <f>+'1.Informe Seguimiento POA 2023'!S98</f>
        <v>1</v>
      </c>
      <c r="Y24" s="331">
        <f>+'1.Informe Seguimiento POA 2023'!O98+'1.Informe Seguimiento POA 2023'!Q98+'1.Informe Seguimiento POA 2023'!S98</f>
        <v>2</v>
      </c>
      <c r="Z24" s="331">
        <f>+'1.Informe Seguimiento POA 2023'!T98</f>
        <v>0</v>
      </c>
      <c r="AA24" s="331">
        <f>+'1.Informe Seguimiento POA 2023'!R98+'1.Informe Seguimiento POA 2023'!T98+'1.Informe Seguimiento POA 2023'!P98</f>
        <v>1</v>
      </c>
      <c r="AB24" s="331">
        <f t="shared" si="21"/>
        <v>1</v>
      </c>
      <c r="AC24" s="337">
        <f t="shared" si="25"/>
        <v>0</v>
      </c>
      <c r="AD24" s="337">
        <f t="shared" si="26"/>
        <v>0.5</v>
      </c>
      <c r="AE24" s="332">
        <f t="shared" si="27"/>
        <v>0.33333333333333331</v>
      </c>
      <c r="AF24" s="331">
        <f t="shared" si="28"/>
        <v>3</v>
      </c>
      <c r="AG24" s="331">
        <f>+'1.Informe Seguimiento POA 2023'!U98</f>
        <v>1</v>
      </c>
      <c r="AH24" s="331">
        <f>+'1.Informe Seguimiento POA 2023'!O98+'1.Informe Seguimiento POA 2023'!Q98+'1.Informe Seguimiento POA 2023'!S98+'1.Informe Seguimiento POA 2023'!U98</f>
        <v>3</v>
      </c>
      <c r="AI24" s="331">
        <f>+'1.Informe Seguimiento POA 2023'!V98</f>
        <v>0</v>
      </c>
      <c r="AJ24" s="331">
        <f>+'1.Informe Seguimiento POA 2023'!P98+'1.Informe Seguimiento POA 2023'!R98+'1.Informe Seguimiento POA 2023'!T98+'1.Informe Seguimiento POA 2023'!V98</f>
        <v>1</v>
      </c>
      <c r="AK24" s="331">
        <f t="shared" si="22"/>
        <v>1</v>
      </c>
      <c r="AL24" s="337">
        <f>IF(AND(AG24&gt;0),AI24/AG24,"No programado")</f>
        <v>0</v>
      </c>
      <c r="AM24" s="337">
        <f t="shared" ref="AM24:AM25" si="32">IF(AND(AH24&gt;0),AJ24/AH24,"No programado")</f>
        <v>0.33333333333333331</v>
      </c>
      <c r="AN24" s="332">
        <f>IF(AND(AF24&gt;0,$AK24&gt;0),AK24/$AF24,0)</f>
        <v>0.33333333333333331</v>
      </c>
      <c r="AO24" s="319" t="str">
        <f>+'Rango indicadores'!H11</f>
        <v>Mayor A:</v>
      </c>
      <c r="AP24" s="331">
        <f>+'Rango indicadores'!I11</f>
        <v>95</v>
      </c>
      <c r="AQ24" s="319" t="str">
        <f>+'Rango indicadores'!J11</f>
        <v>Desde (&gt;=):</v>
      </c>
      <c r="AR24" s="331">
        <f>+'Rango indicadores'!K11</f>
        <v>75</v>
      </c>
      <c r="AS24" s="319" t="str">
        <f>+'Rango indicadores'!L11</f>
        <v>Hasta (&lt;=):</v>
      </c>
      <c r="AT24" s="331">
        <f>+'Rango indicadores'!M11</f>
        <v>95</v>
      </c>
      <c r="AU24" s="319" t="str">
        <f>+'Rango indicadores'!N11</f>
        <v>Menor A:</v>
      </c>
      <c r="AV24" s="331">
        <f>+'Rango indicadores'!O11</f>
        <v>75</v>
      </c>
      <c r="AW24" s="421" t="s">
        <v>1176</v>
      </c>
      <c r="BA24" s="483"/>
    </row>
    <row r="25" spans="2:53" ht="80.400000000000006" customHeight="1">
      <c r="B25" s="328">
        <f>+B24+1</f>
        <v>8</v>
      </c>
      <c r="C25" s="330" t="str">
        <f>+'Rango indicadores'!D12</f>
        <v>02-RI-03</v>
      </c>
      <c r="D25" s="329" t="str">
        <f>+'Rango indicadores'!E12</f>
        <v>Actividades de apropiación social del conocimiento desarrolladas</v>
      </c>
      <c r="E25" s="331">
        <f>+'Rango indicadores'!Q12</f>
        <v>39</v>
      </c>
      <c r="F25" s="331">
        <f>+'1.Informe Seguimiento POA 2023'!O99</f>
        <v>7</v>
      </c>
      <c r="G25" s="331">
        <f>+'1.Informe Seguimiento POA 2023'!O99</f>
        <v>7</v>
      </c>
      <c r="H25" s="331">
        <f>+'1.Informe Seguimiento POA 2023'!P99</f>
        <v>7</v>
      </c>
      <c r="I25" s="331">
        <f>+'1.Informe Seguimiento POA 2023'!P99</f>
        <v>7</v>
      </c>
      <c r="J25" s="331">
        <f t="shared" si="23"/>
        <v>7</v>
      </c>
      <c r="K25" s="337">
        <f>IF(AND(F25&gt;0),H25/F25,"No programado")</f>
        <v>1</v>
      </c>
      <c r="L25" s="337">
        <f t="shared" si="29"/>
        <v>1</v>
      </c>
      <c r="M25" s="332">
        <f t="shared" si="17"/>
        <v>0.17948717948717949</v>
      </c>
      <c r="N25" s="331">
        <f t="shared" si="24"/>
        <v>39</v>
      </c>
      <c r="O25" s="331">
        <f>+'1.Informe Seguimiento POA 2023'!Q99</f>
        <v>12</v>
      </c>
      <c r="P25" s="331">
        <f>+'1.Informe Seguimiento POA 2023'!O99+'1.Informe Seguimiento POA 2023'!Q99</f>
        <v>19</v>
      </c>
      <c r="Q25" s="331">
        <f>+'1.Informe Seguimiento POA 2023'!R99</f>
        <v>12</v>
      </c>
      <c r="R25" s="331">
        <f>+'1.Informe Seguimiento POA 2023'!P99+'1.Informe Seguimiento POA 2023'!R99</f>
        <v>19</v>
      </c>
      <c r="S25" s="331">
        <f t="shared" si="19"/>
        <v>19</v>
      </c>
      <c r="T25" s="337">
        <f t="shared" si="30"/>
        <v>1</v>
      </c>
      <c r="U25" s="337">
        <f t="shared" si="31"/>
        <v>1</v>
      </c>
      <c r="V25" s="332">
        <f>IF(AND(N25&gt;0,$S25&gt;0),S25/$E25,0)</f>
        <v>0.48717948717948717</v>
      </c>
      <c r="W25" s="331">
        <f t="shared" si="20"/>
        <v>39</v>
      </c>
      <c r="X25" s="331">
        <f>+'1.Informe Seguimiento POA 2023'!S99</f>
        <v>12</v>
      </c>
      <c r="Y25" s="331">
        <f>+'1.Informe Seguimiento POA 2023'!O99+'1.Informe Seguimiento POA 2023'!Q99+'1.Informe Seguimiento POA 2023'!S99</f>
        <v>31</v>
      </c>
      <c r="Z25" s="331">
        <f>+'1.Informe Seguimiento POA 2023'!T99</f>
        <v>0</v>
      </c>
      <c r="AA25" s="331">
        <f>+'1.Informe Seguimiento POA 2023'!R99+'1.Informe Seguimiento POA 2023'!T99+'1.Informe Seguimiento POA 2023'!P99</f>
        <v>19</v>
      </c>
      <c r="AB25" s="331">
        <f t="shared" si="21"/>
        <v>19</v>
      </c>
      <c r="AC25" s="337">
        <f>IF(AND(X25&gt;0),Z25/X25,"No programado")</f>
        <v>0</v>
      </c>
      <c r="AD25" s="337">
        <f t="shared" ref="AD25" si="33">IF(AND(Y25&gt;0),AA25/Y25,"No programado")</f>
        <v>0.61290322580645162</v>
      </c>
      <c r="AE25" s="332">
        <f t="shared" si="27"/>
        <v>0.48717948717948717</v>
      </c>
      <c r="AF25" s="331">
        <f t="shared" si="28"/>
        <v>39</v>
      </c>
      <c r="AG25" s="331">
        <f>+'1.Informe Seguimiento POA 2023'!U99</f>
        <v>8</v>
      </c>
      <c r="AH25" s="331">
        <f>+'1.Informe Seguimiento POA 2023'!O99+'1.Informe Seguimiento POA 2023'!Q99+'1.Informe Seguimiento POA 2023'!S99+'1.Informe Seguimiento POA 2023'!U99</f>
        <v>39</v>
      </c>
      <c r="AI25" s="331">
        <f>+'1.Informe Seguimiento POA 2023'!V99</f>
        <v>0</v>
      </c>
      <c r="AJ25" s="331">
        <f>+'1.Informe Seguimiento POA 2023'!P99+'1.Informe Seguimiento POA 2023'!R99+'1.Informe Seguimiento POA 2023'!T99+'1.Informe Seguimiento POA 2023'!V99</f>
        <v>19</v>
      </c>
      <c r="AK25" s="331">
        <f t="shared" si="22"/>
        <v>19</v>
      </c>
      <c r="AL25" s="337">
        <f>IF(AND(AG25&gt;0),AI25/AG25,"No programado")</f>
        <v>0</v>
      </c>
      <c r="AM25" s="337">
        <f t="shared" si="32"/>
        <v>0.48717948717948717</v>
      </c>
      <c r="AN25" s="332">
        <f>IF(AND(AF25&gt;0,$AK25&gt;0),AK25/$AF25,0)</f>
        <v>0.48717948717948717</v>
      </c>
      <c r="AO25" s="319" t="str">
        <f>+'Rango indicadores'!H12</f>
        <v>Mayor A:</v>
      </c>
      <c r="AP25" s="331">
        <f>+'Rango indicadores'!I12</f>
        <v>95</v>
      </c>
      <c r="AQ25" s="319" t="str">
        <f>+'Rango indicadores'!J12</f>
        <v>Desde (&gt;=):</v>
      </c>
      <c r="AR25" s="331">
        <f>+'Rango indicadores'!K12</f>
        <v>75</v>
      </c>
      <c r="AS25" s="319" t="str">
        <f>+'Rango indicadores'!L12</f>
        <v>Hasta (&lt;=):</v>
      </c>
      <c r="AT25" s="331">
        <f>+'Rango indicadores'!M12</f>
        <v>95</v>
      </c>
      <c r="AU25" s="319" t="str">
        <f>+'Rango indicadores'!N12</f>
        <v>Menor A:</v>
      </c>
      <c r="AV25" s="331">
        <f>+'Rango indicadores'!O12</f>
        <v>75</v>
      </c>
      <c r="AW25" s="421" t="s">
        <v>1176</v>
      </c>
      <c r="BA25" s="484"/>
    </row>
    <row r="26" spans="2:53" ht="15.6">
      <c r="C26" s="1319" t="s">
        <v>826</v>
      </c>
      <c r="D26" s="1320"/>
      <c r="E26" s="1320"/>
      <c r="F26" s="1320"/>
      <c r="G26" s="1320"/>
      <c r="H26" s="1320"/>
      <c r="I26" s="1320"/>
      <c r="J26" s="1320"/>
      <c r="K26" s="334">
        <f>IFERROR(AVERAGE(K22:K25),0)</f>
        <v>1</v>
      </c>
      <c r="L26" s="334">
        <f>IFERROR(AVERAGE(L22:L25),0)</f>
        <v>1</v>
      </c>
      <c r="M26" s="334">
        <f>IFERROR(AVERAGE(M22:M25),0)</f>
        <v>4.4871794871794872E-2</v>
      </c>
      <c r="N26" s="754"/>
      <c r="O26" s="754"/>
      <c r="P26" s="754"/>
      <c r="Q26" s="754"/>
      <c r="R26" s="754"/>
      <c r="S26" s="754"/>
      <c r="T26" s="334">
        <f>IFERROR(AVERAGE(T22:T25),0)</f>
        <v>1</v>
      </c>
      <c r="U26" s="334">
        <f>IFERROR(AVERAGE(U22:U25),0)</f>
        <v>1</v>
      </c>
      <c r="V26" s="334">
        <f>IFERROR(AVERAGE(V22:V25),0)</f>
        <v>0.20512820512820512</v>
      </c>
      <c r="W26" s="754"/>
      <c r="X26" s="754"/>
      <c r="Y26" s="754"/>
      <c r="Z26" s="754"/>
      <c r="AA26" s="754"/>
      <c r="AB26" s="754"/>
      <c r="AC26" s="334">
        <f>IFERROR(AVERAGE(AC22:AC25),0)</f>
        <v>0</v>
      </c>
      <c r="AD26" s="334">
        <f>IFERROR(AVERAGE(AD22:AD25),0)</f>
        <v>0.55645161290322576</v>
      </c>
      <c r="AE26" s="334">
        <f>IFERROR(AVERAGE(AE22:AE25),0)</f>
        <v>0.20512820512820512</v>
      </c>
      <c r="AF26" s="754"/>
      <c r="AG26" s="754"/>
      <c r="AH26" s="754"/>
      <c r="AI26" s="754"/>
      <c r="AJ26" s="754"/>
      <c r="AK26" s="755"/>
      <c r="AL26" s="334">
        <f>IFERROR(AVERAGE(AL22:AL25),0)</f>
        <v>0</v>
      </c>
      <c r="AM26" s="334">
        <f>IFERROR(AVERAGE(AM22:AM25),0)</f>
        <v>0.20512820512820512</v>
      </c>
      <c r="AN26" s="334">
        <f>IFERROR(AVERAGE(AN22:AN25),0)</f>
        <v>0.20512820512820512</v>
      </c>
      <c r="AO26" s="323"/>
      <c r="AP26" s="323"/>
      <c r="AQ26" s="323"/>
      <c r="AR26" s="323"/>
      <c r="AS26" s="323"/>
      <c r="AT26" s="323"/>
      <c r="AU26" s="323"/>
      <c r="AV26" s="323"/>
      <c r="AW26" s="428"/>
    </row>
    <row r="27" spans="2:53" s="324" customFormat="1" ht="24" customHeight="1" thickBot="1">
      <c r="C27" s="338"/>
      <c r="D27" s="359"/>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26"/>
      <c r="AY27" s="310"/>
      <c r="AZ27" s="310"/>
    </row>
    <row r="28" spans="2:53" s="324" customFormat="1" ht="16.2" thickBot="1">
      <c r="C28" s="327" t="s">
        <v>828</v>
      </c>
      <c r="D28" s="357"/>
      <c r="E28" s="1290" t="s">
        <v>1053</v>
      </c>
      <c r="F28" s="1291"/>
      <c r="G28" s="1291"/>
      <c r="H28" s="1291"/>
      <c r="I28" s="1291"/>
      <c r="J28" s="1291"/>
      <c r="K28" s="1291"/>
      <c r="L28" s="1291"/>
      <c r="M28" s="1292"/>
      <c r="N28" s="1293" t="s">
        <v>1054</v>
      </c>
      <c r="O28" s="1294"/>
      <c r="P28" s="1294"/>
      <c r="Q28" s="1294"/>
      <c r="R28" s="1294"/>
      <c r="S28" s="1294"/>
      <c r="T28" s="1294"/>
      <c r="U28" s="1294"/>
      <c r="V28" s="1295"/>
      <c r="W28" s="1287" t="s">
        <v>1055</v>
      </c>
      <c r="X28" s="1288"/>
      <c r="Y28" s="1288"/>
      <c r="Z28" s="1288"/>
      <c r="AA28" s="1288"/>
      <c r="AB28" s="1288"/>
      <c r="AC28" s="1288"/>
      <c r="AD28" s="1288"/>
      <c r="AE28" s="1289"/>
      <c r="AF28" s="1293" t="s">
        <v>1002</v>
      </c>
      <c r="AG28" s="1294"/>
      <c r="AH28" s="1294"/>
      <c r="AI28" s="1294"/>
      <c r="AJ28" s="1294"/>
      <c r="AK28" s="1294"/>
      <c r="AL28" s="1294"/>
      <c r="AM28" s="1294"/>
      <c r="AN28" s="1295"/>
      <c r="AO28" s="338"/>
      <c r="AP28" s="338"/>
      <c r="AQ28" s="338"/>
      <c r="AR28" s="338"/>
      <c r="AS28" s="338"/>
      <c r="AT28" s="338"/>
      <c r="AU28" s="338"/>
      <c r="AV28" s="338"/>
      <c r="AW28" s="326"/>
      <c r="AY28" s="310"/>
      <c r="AZ28" s="310"/>
    </row>
    <row r="29" spans="2:53" ht="22.2" customHeight="1">
      <c r="C29" s="1284" t="str">
        <f>+$C$11</f>
        <v>Identificación del Indicador</v>
      </c>
      <c r="D29" s="1297" t="s">
        <v>821</v>
      </c>
      <c r="E29" s="1280" t="s">
        <v>822</v>
      </c>
      <c r="F29" s="1281"/>
      <c r="G29" s="1282"/>
      <c r="H29" s="1283" t="s">
        <v>1057</v>
      </c>
      <c r="I29" s="1285" t="str">
        <f>$I$9</f>
        <v>Ejecución 
Corte
31/03/2023</v>
      </c>
      <c r="J29" s="1283" t="s">
        <v>823</v>
      </c>
      <c r="K29" s="1283" t="s">
        <v>817</v>
      </c>
      <c r="L29" s="1283"/>
      <c r="M29" s="1283"/>
      <c r="N29" s="1280" t="s">
        <v>822</v>
      </c>
      <c r="O29" s="1281"/>
      <c r="P29" s="1282"/>
      <c r="Q29" s="1283" t="s">
        <v>1062</v>
      </c>
      <c r="R29" s="1285" t="str">
        <f>$R$9</f>
        <v>Ejecución 
Corte
30/06/2023</v>
      </c>
      <c r="S29" s="1283" t="s">
        <v>823</v>
      </c>
      <c r="T29" s="1283" t="s">
        <v>817</v>
      </c>
      <c r="U29" s="1283"/>
      <c r="V29" s="1283"/>
      <c r="W29" s="1280" t="s">
        <v>822</v>
      </c>
      <c r="X29" s="1281"/>
      <c r="Y29" s="1282"/>
      <c r="Z29" s="1283" t="s">
        <v>1063</v>
      </c>
      <c r="AA29" s="1285" t="s">
        <v>1059</v>
      </c>
      <c r="AB29" s="1283" t="s">
        <v>823</v>
      </c>
      <c r="AC29" s="1283" t="s">
        <v>817</v>
      </c>
      <c r="AD29" s="1283"/>
      <c r="AE29" s="1283"/>
      <c r="AF29" s="1280" t="s">
        <v>822</v>
      </c>
      <c r="AG29" s="1281"/>
      <c r="AH29" s="1282"/>
      <c r="AI29" s="1283" t="s">
        <v>1084</v>
      </c>
      <c r="AJ29" s="1285" t="s">
        <v>1085</v>
      </c>
      <c r="AK29" s="1283" t="s">
        <v>823</v>
      </c>
      <c r="AL29" s="1283" t="s">
        <v>817</v>
      </c>
      <c r="AM29" s="1283"/>
      <c r="AN29" s="1283"/>
      <c r="AO29" s="1296" t="s">
        <v>669</v>
      </c>
      <c r="AP29" s="1296"/>
      <c r="AQ29" s="1296"/>
      <c r="AR29" s="1296"/>
      <c r="AS29" s="1296"/>
      <c r="AT29" s="1296"/>
      <c r="AU29" s="1296"/>
      <c r="AV29" s="1296"/>
      <c r="AW29" s="1284" t="s">
        <v>842</v>
      </c>
    </row>
    <row r="30" spans="2:53" ht="53.4" customHeight="1">
      <c r="C30" s="1284"/>
      <c r="D30" s="1297"/>
      <c r="E30" s="907" t="str">
        <f>$E$9</f>
        <v>Año 2023</v>
      </c>
      <c r="F30" s="907" t="str">
        <f>+E28</f>
        <v>Primer Trimestre</v>
      </c>
      <c r="G30" s="908" t="str">
        <f>$G$9</f>
        <v>Acumulado
Corte 
31/03/2023</v>
      </c>
      <c r="H30" s="1284"/>
      <c r="I30" s="1286"/>
      <c r="J30" s="1284"/>
      <c r="K30" s="907" t="str">
        <f>+$D$6</f>
        <v>Segundo Trimestre</v>
      </c>
      <c r="L30" s="908" t="str">
        <f>$G$12</f>
        <v>Acumulado
Corte 
31/03/2023</v>
      </c>
      <c r="M30" s="909" t="s">
        <v>714</v>
      </c>
      <c r="N30" s="936" t="str">
        <f>$N$9</f>
        <v>Año 2023</v>
      </c>
      <c r="O30" s="907" t="str">
        <f>+N28</f>
        <v>Segundo Trimestre</v>
      </c>
      <c r="P30" s="951" t="str">
        <f>$P$9</f>
        <v>Acumulado
Corte 
30/06/2023</v>
      </c>
      <c r="Q30" s="1284"/>
      <c r="R30" s="1286"/>
      <c r="S30" s="1284"/>
      <c r="T30" s="950" t="str">
        <f>+O30</f>
        <v>Segundo Trimestre</v>
      </c>
      <c r="U30" s="951" t="str">
        <f>$P$12</f>
        <v>Acumulado
Corte 
30/06/2023</v>
      </c>
      <c r="V30" s="952" t="s">
        <v>714</v>
      </c>
      <c r="W30" s="907" t="s">
        <v>1064</v>
      </c>
      <c r="X30" s="907" t="str">
        <f>+W28</f>
        <v>Tercer Trimestre</v>
      </c>
      <c r="Y30" s="908" t="s">
        <v>1058</v>
      </c>
      <c r="Z30" s="1284"/>
      <c r="AA30" s="1286"/>
      <c r="AB30" s="1284"/>
      <c r="AC30" s="907" t="str">
        <f>+X30</f>
        <v>Tercer Trimestre</v>
      </c>
      <c r="AD30" s="908" t="str">
        <f>+Y30</f>
        <v>Acumulado Corte 
30/09/2022</v>
      </c>
      <c r="AE30" s="909" t="s">
        <v>714</v>
      </c>
      <c r="AF30" s="907" t="s">
        <v>1064</v>
      </c>
      <c r="AG30" s="907" t="s">
        <v>1083</v>
      </c>
      <c r="AH30" s="908" t="s">
        <v>1060</v>
      </c>
      <c r="AI30" s="1284"/>
      <c r="AJ30" s="1286"/>
      <c r="AK30" s="1284"/>
      <c r="AL30" s="907" t="str">
        <f>+AG30</f>
        <v>Cuarto Trimestre
31-12-2022</v>
      </c>
      <c r="AM30" s="908" t="str">
        <f>+AH30</f>
        <v>Acumulado Corte 
31/12/2022</v>
      </c>
      <c r="AN30" s="909" t="s">
        <v>714</v>
      </c>
      <c r="AO30" s="987" t="s">
        <v>824</v>
      </c>
      <c r="AP30" s="988"/>
      <c r="AQ30" s="989" t="s">
        <v>825</v>
      </c>
      <c r="AR30" s="990"/>
      <c r="AS30" s="990"/>
      <c r="AT30" s="991"/>
      <c r="AU30" s="992" t="s">
        <v>677</v>
      </c>
      <c r="AV30" s="993"/>
      <c r="AW30" s="1284"/>
    </row>
    <row r="31" spans="2:53" ht="73.95" customHeight="1">
      <c r="B31" s="328">
        <f>+B25+1</f>
        <v>9</v>
      </c>
      <c r="C31" s="329" t="str">
        <f>+'Rango indicadores'!D13</f>
        <v>03-RI-01</v>
      </c>
      <c r="D31" s="329" t="str">
        <f>+'Rango indicadores'!E13</f>
        <v>Porcentaje de proyectos implementados de acuerdo al plan de tecnologías de la Información</v>
      </c>
      <c r="E31" s="333">
        <f>+'Rango indicadores'!Q13</f>
        <v>0.25</v>
      </c>
      <c r="F31" s="361">
        <f>+'1.Informe Seguimiento POA 2023'!O48</f>
        <v>0.05</v>
      </c>
      <c r="G31" s="361">
        <f>+'1.Informe Seguimiento POA 2023'!O48</f>
        <v>0.05</v>
      </c>
      <c r="H31" s="361">
        <f>+'1.Informe Seguimiento POA 2023'!P48</f>
        <v>0.05</v>
      </c>
      <c r="I31" s="361">
        <f>+'1.Informe Seguimiento POA 2023'!P48</f>
        <v>0.05</v>
      </c>
      <c r="J31" s="361">
        <f>+I31</f>
        <v>0.05</v>
      </c>
      <c r="K31" s="339">
        <f t="shared" ref="K31:K37" si="34">IF(AND(F31&gt;0),H31/F31,"No programado")</f>
        <v>1</v>
      </c>
      <c r="L31" s="339">
        <f>IF(AND(G31&gt;0),I31/G31,"No programado")</f>
        <v>1</v>
      </c>
      <c r="M31" s="332">
        <f>IF(AND(E31&gt;0,$J31&gt;0),J31/$E31,0)</f>
        <v>0.2</v>
      </c>
      <c r="N31" s="361">
        <f t="shared" ref="N31" si="35">+E31</f>
        <v>0.25</v>
      </c>
      <c r="O31" s="361">
        <f>+'1.Informe Seguimiento POA 2023'!Q48</f>
        <v>7.0000000000000007E-2</v>
      </c>
      <c r="P31" s="361">
        <f>+'1.Informe Seguimiento POA 2023'!O48+'1.Informe Seguimiento POA 2023'!Q48</f>
        <v>0.12000000000000001</v>
      </c>
      <c r="Q31" s="361">
        <f>+'1.Informe Seguimiento POA 2023'!R48</f>
        <v>7.0000000000000007E-2</v>
      </c>
      <c r="R31" s="361">
        <f>+'1.Informe Seguimiento POA 2023'!P48+'1.Informe Seguimiento POA 2023'!R48</f>
        <v>0.12000000000000001</v>
      </c>
      <c r="S31" s="361">
        <f>H31+Q31</f>
        <v>0.12000000000000001</v>
      </c>
      <c r="T31" s="339">
        <f t="shared" ref="T31:T37" si="36">IF(AND(O31&gt;0),Q31/O31,"No programado")</f>
        <v>1</v>
      </c>
      <c r="U31" s="339">
        <f>IF(AND(P31&gt;0),R31/P31,"No programado")</f>
        <v>1</v>
      </c>
      <c r="V31" s="332">
        <f t="shared" ref="V31:V37" si="37">IF(AND(N31&gt;0,$S31&gt;0),S31/$N31,0)</f>
        <v>0.48000000000000004</v>
      </c>
      <c r="W31" s="361">
        <f t="shared" ref="W31" si="38">+E31</f>
        <v>0.25</v>
      </c>
      <c r="X31" s="361">
        <f>+'1.Informe Seguimiento POA 2023'!S48</f>
        <v>7.0000000000000007E-2</v>
      </c>
      <c r="Y31" s="361">
        <f>+'1.Informe Seguimiento POA 2023'!O48+'1.Informe Seguimiento POA 2023'!Q48+'1.Informe Seguimiento POA 2023'!S48</f>
        <v>0.19</v>
      </c>
      <c r="Z31" s="361">
        <f>+'1.Informe Seguimiento POA 2023'!T48</f>
        <v>0</v>
      </c>
      <c r="AA31" s="361">
        <f>+'1.Informe Seguimiento POA 2023'!R48+'1.Informe Seguimiento POA 2023'!T48+'1.Informe Seguimiento POA 2023'!P48</f>
        <v>0.12000000000000001</v>
      </c>
      <c r="AB31" s="361">
        <f t="shared" ref="AB31:AB37" si="39">H31+Q31+Z31</f>
        <v>0.12000000000000001</v>
      </c>
      <c r="AC31" s="339">
        <f t="shared" ref="AC31" si="40">IF(AND(X31&gt;0),Z31/X31,"No programado")</f>
        <v>0</v>
      </c>
      <c r="AD31" s="339">
        <f>IF(AND(Y31&gt;0),AA31/Y31,"No programado")</f>
        <v>0.63157894736842113</v>
      </c>
      <c r="AE31" s="332">
        <f t="shared" ref="AE31:AE37" si="41">IF(AND(W31&gt;0,$AB31&gt;0),AB31/$W31,0)</f>
        <v>0.48000000000000004</v>
      </c>
      <c r="AF31" s="333">
        <f>+W31</f>
        <v>0.25</v>
      </c>
      <c r="AG31" s="333">
        <f>+'1.Informe Seguimiento POA 2023'!U48</f>
        <v>0.06</v>
      </c>
      <c r="AH31" s="333">
        <f>+'1.Informe Seguimiento POA 2023'!O48+'1.Informe Seguimiento POA 2023'!Q48+'1.Informe Seguimiento POA 2023'!S48+'1.Informe Seguimiento POA 2023'!U48</f>
        <v>0.25</v>
      </c>
      <c r="AI31" s="333">
        <f>+'1.Informe Seguimiento POA 2023'!V48</f>
        <v>0</v>
      </c>
      <c r="AJ31" s="333">
        <f>+'1.Informe Seguimiento POA 2023'!P48+'1.Informe Seguimiento POA 2023'!R48+'1.Informe Seguimiento POA 2023'!T48+'1.Informe Seguimiento POA 2023'!V48</f>
        <v>0.12000000000000001</v>
      </c>
      <c r="AK31" s="457">
        <f>H31+Q31+Z31+AI31</f>
        <v>0.12000000000000001</v>
      </c>
      <c r="AL31" s="339">
        <f t="shared" ref="AL31:AM36" si="42">IF(AND(AG31&gt;0),AI31/AG31,"No programado")</f>
        <v>0</v>
      </c>
      <c r="AM31" s="339">
        <f>IF(AND(AH31&gt;0),AJ31/AH31,"No programado")</f>
        <v>0.48000000000000004</v>
      </c>
      <c r="AN31" s="332">
        <f t="shared" ref="AN31:AN37" si="43">IF(AND(AF31&gt;0,$AK31&gt;0),AK31/$AF31,0)</f>
        <v>0.48000000000000004</v>
      </c>
      <c r="AO31" s="336" t="str">
        <f>+'Rango indicadores'!H13</f>
        <v>Mayor A:</v>
      </c>
      <c r="AP31" s="331">
        <f>+'Rango indicadores'!I13</f>
        <v>95</v>
      </c>
      <c r="AQ31" s="331" t="str">
        <f>+'Rango indicadores'!J13</f>
        <v>Desde (&gt;=):</v>
      </c>
      <c r="AR31" s="331">
        <f>+'Rango indicadores'!K13</f>
        <v>75</v>
      </c>
      <c r="AS31" s="331" t="str">
        <f>+'Rango indicadores'!L13</f>
        <v>Hasta (&lt;=):</v>
      </c>
      <c r="AT31" s="331">
        <f>+'Rango indicadores'!M13</f>
        <v>95</v>
      </c>
      <c r="AU31" s="331" t="str">
        <f>+'Rango indicadores'!N13</f>
        <v>Menor A:</v>
      </c>
      <c r="AV31" s="331">
        <f>+'Rango indicadores'!O13</f>
        <v>75</v>
      </c>
      <c r="AW31" s="421" t="s">
        <v>1176</v>
      </c>
    </row>
    <row r="32" spans="2:53" ht="73.95" customHeight="1">
      <c r="B32" s="328">
        <f t="shared" ref="B32:B37" si="44">+B31+1</f>
        <v>10</v>
      </c>
      <c r="C32" s="329" t="str">
        <f>+'Rango indicadores'!D14</f>
        <v>03-RI-02</v>
      </c>
      <c r="D32" s="329" t="str">
        <f>+'Rango indicadores'!E14</f>
        <v>Porcentaje de actividades ejecutadas de acuerdo al plan de Seguridad de información</v>
      </c>
      <c r="E32" s="333">
        <f>+'Rango indicadores'!Q14</f>
        <v>0.25</v>
      </c>
      <c r="F32" s="361">
        <f>+'1.Informe Seguimiento POA 2023'!O49</f>
        <v>0.05</v>
      </c>
      <c r="G32" s="361">
        <f>+'1.Informe Seguimiento POA 2023'!O49</f>
        <v>0.05</v>
      </c>
      <c r="H32" s="361">
        <f>+'1.Informe Seguimiento POA 2023'!P49</f>
        <v>0.05</v>
      </c>
      <c r="I32" s="361">
        <f>+'1.Informe Seguimiento POA 2023'!P49</f>
        <v>0.05</v>
      </c>
      <c r="J32" s="361">
        <f t="shared" ref="J32:J37" si="45">+I32</f>
        <v>0.05</v>
      </c>
      <c r="K32" s="339">
        <f t="shared" si="34"/>
        <v>1</v>
      </c>
      <c r="L32" s="339">
        <f t="shared" ref="L32" si="46">IF(AND(G32&gt;0),I32/G32,"No programado")</f>
        <v>1</v>
      </c>
      <c r="M32" s="332">
        <f t="shared" ref="M32:M37" si="47">IF(AND(E32&gt;0,$J32&gt;0),J32/$E32,0)</f>
        <v>0.2</v>
      </c>
      <c r="N32" s="361">
        <f t="shared" ref="N32:N37" si="48">+E32</f>
        <v>0.25</v>
      </c>
      <c r="O32" s="361">
        <f>+'1.Informe Seguimiento POA 2023'!Q49</f>
        <v>7.0000000000000007E-2</v>
      </c>
      <c r="P32" s="361">
        <f>+'1.Informe Seguimiento POA 2023'!O49+'1.Informe Seguimiento POA 2023'!Q49</f>
        <v>0.12000000000000001</v>
      </c>
      <c r="Q32" s="361">
        <f>+'1.Informe Seguimiento POA 2023'!R49</f>
        <v>7.0000000000000007E-2</v>
      </c>
      <c r="R32" s="361">
        <f>+'1.Informe Seguimiento POA 2023'!P49+'1.Informe Seguimiento POA 2023'!R49</f>
        <v>0.12000000000000001</v>
      </c>
      <c r="S32" s="361">
        <f t="shared" ref="S32:S37" si="49">H32+Q32</f>
        <v>0.12000000000000001</v>
      </c>
      <c r="T32" s="339">
        <f t="shared" si="36"/>
        <v>1</v>
      </c>
      <c r="U32" s="339">
        <f t="shared" ref="U32" si="50">IF(AND(P32&gt;0),R32/P32,"No programado")</f>
        <v>1</v>
      </c>
      <c r="V32" s="332">
        <f t="shared" si="37"/>
        <v>0.48000000000000004</v>
      </c>
      <c r="W32" s="361">
        <f t="shared" ref="W32:W37" si="51">+E32</f>
        <v>0.25</v>
      </c>
      <c r="X32" s="361">
        <f>+'1.Informe Seguimiento POA 2023'!S49</f>
        <v>7.0000000000000007E-2</v>
      </c>
      <c r="Y32" s="361">
        <f>+'1.Informe Seguimiento POA 2023'!O49+'1.Informe Seguimiento POA 2023'!Q49+'1.Informe Seguimiento POA 2023'!S49</f>
        <v>0.19</v>
      </c>
      <c r="Z32" s="361">
        <f>+'1.Informe Seguimiento POA 2023'!T49</f>
        <v>0</v>
      </c>
      <c r="AA32" s="361">
        <f>+'1.Informe Seguimiento POA 2023'!R49+'1.Informe Seguimiento POA 2023'!T49+'1.Informe Seguimiento POA 2023'!P49</f>
        <v>0.12000000000000001</v>
      </c>
      <c r="AB32" s="361">
        <f t="shared" si="39"/>
        <v>0.12000000000000001</v>
      </c>
      <c r="AC32" s="339">
        <f t="shared" ref="AC32:AC37" si="52">IF(AND(X32&gt;0),Z32/X32,"No programado")</f>
        <v>0</v>
      </c>
      <c r="AD32" s="339">
        <f t="shared" ref="AD32:AD37" si="53">IF(AND(Y32&gt;0),AA32/Y32,"No programado")</f>
        <v>0.63157894736842113</v>
      </c>
      <c r="AE32" s="332">
        <f t="shared" si="41"/>
        <v>0.48000000000000004</v>
      </c>
      <c r="AF32" s="333">
        <f t="shared" ref="AF32:AF37" si="54">+W32</f>
        <v>0.25</v>
      </c>
      <c r="AG32" s="333">
        <f>+'1.Informe Seguimiento POA 2023'!U49</f>
        <v>0.06</v>
      </c>
      <c r="AH32" s="333">
        <f>+'1.Informe Seguimiento POA 2023'!O49+'1.Informe Seguimiento POA 2023'!Q49+'1.Informe Seguimiento POA 2023'!S49+'1.Informe Seguimiento POA 2023'!U49</f>
        <v>0.25</v>
      </c>
      <c r="AI32" s="333">
        <f>+'1.Informe Seguimiento POA 2023'!V49</f>
        <v>0</v>
      </c>
      <c r="AJ32" s="333">
        <f>+'1.Informe Seguimiento POA 2023'!P49+'1.Informe Seguimiento POA 2023'!R49+'1.Informe Seguimiento POA 2023'!T49+'1.Informe Seguimiento POA 2023'!V49</f>
        <v>0.12000000000000001</v>
      </c>
      <c r="AK32" s="457">
        <f t="shared" ref="AK32:AK37" si="55">H32+Q32+Z32+AI32</f>
        <v>0.12000000000000001</v>
      </c>
      <c r="AL32" s="339">
        <f t="shared" si="42"/>
        <v>0</v>
      </c>
      <c r="AM32" s="339">
        <f t="shared" si="42"/>
        <v>0.48000000000000004</v>
      </c>
      <c r="AN32" s="332">
        <f t="shared" si="43"/>
        <v>0.48000000000000004</v>
      </c>
      <c r="AO32" s="336" t="str">
        <f>+'Rango indicadores'!H14</f>
        <v>Mayor A:</v>
      </c>
      <c r="AP32" s="331">
        <f>+'Rango indicadores'!I14</f>
        <v>95</v>
      </c>
      <c r="AQ32" s="331" t="str">
        <f>+'Rango indicadores'!J14</f>
        <v>Desde (&gt;=):</v>
      </c>
      <c r="AR32" s="331">
        <f>+'Rango indicadores'!K14</f>
        <v>75</v>
      </c>
      <c r="AS32" s="331" t="str">
        <f>+'Rango indicadores'!L14</f>
        <v>Hasta (&lt;=):</v>
      </c>
      <c r="AT32" s="331">
        <f>+'Rango indicadores'!M14</f>
        <v>95</v>
      </c>
      <c r="AU32" s="331" t="str">
        <f>+'Rango indicadores'!N14</f>
        <v>Menor A:</v>
      </c>
      <c r="AV32" s="331">
        <f>+'Rango indicadores'!O14</f>
        <v>75</v>
      </c>
      <c r="AW32" s="421" t="s">
        <v>1176</v>
      </c>
      <c r="AX32" s="340"/>
      <c r="AY32" s="340"/>
      <c r="AZ32" s="340"/>
    </row>
    <row r="33" spans="2:54" ht="73.95" customHeight="1">
      <c r="B33" s="328">
        <f t="shared" si="44"/>
        <v>11</v>
      </c>
      <c r="C33" s="329" t="str">
        <f>+'Rango indicadores'!D15</f>
        <v>03-RI-03</v>
      </c>
      <c r="D33" s="329" t="str">
        <f>+'Rango indicadores'!E15</f>
        <v xml:space="preserve">Porcentaje de actividades ejecutadas  en la estrategia de servicios ciudadanos digitales </v>
      </c>
      <c r="E33" s="333">
        <f>+'Rango indicadores'!Q15</f>
        <v>0.25</v>
      </c>
      <c r="F33" s="361">
        <f>+'1.Informe Seguimiento POA 2023'!O50</f>
        <v>0.05</v>
      </c>
      <c r="G33" s="361">
        <f>+'1.Informe Seguimiento POA 2023'!O50</f>
        <v>0.05</v>
      </c>
      <c r="H33" s="361">
        <f>+'1.Informe Seguimiento POA 2023'!P50</f>
        <v>0.05</v>
      </c>
      <c r="I33" s="361">
        <f>+'1.Informe Seguimiento POA 2023'!P50</f>
        <v>0.05</v>
      </c>
      <c r="J33" s="361">
        <f t="shared" si="45"/>
        <v>0.05</v>
      </c>
      <c r="K33" s="339">
        <f t="shared" si="34"/>
        <v>1</v>
      </c>
      <c r="L33" s="339">
        <f>IF(AND(G33&gt;0),I33/G33,"No programado")</f>
        <v>1</v>
      </c>
      <c r="M33" s="332">
        <f t="shared" si="47"/>
        <v>0.2</v>
      </c>
      <c r="N33" s="361">
        <f t="shared" si="48"/>
        <v>0.25</v>
      </c>
      <c r="O33" s="361">
        <f>+'1.Informe Seguimiento POA 2023'!Q50</f>
        <v>7.0000000000000007E-2</v>
      </c>
      <c r="P33" s="361">
        <f>+'1.Informe Seguimiento POA 2023'!O50+'1.Informe Seguimiento POA 2023'!Q50</f>
        <v>0.12000000000000001</v>
      </c>
      <c r="Q33" s="361">
        <f>+'1.Informe Seguimiento POA 2023'!R50</f>
        <v>7.0000000000000007E-2</v>
      </c>
      <c r="R33" s="361">
        <f>+'1.Informe Seguimiento POA 2023'!P50+'1.Informe Seguimiento POA 2023'!R50</f>
        <v>0.12000000000000001</v>
      </c>
      <c r="S33" s="361">
        <f t="shared" si="49"/>
        <v>0.12000000000000001</v>
      </c>
      <c r="T33" s="339">
        <f t="shared" si="36"/>
        <v>1</v>
      </c>
      <c r="U33" s="339">
        <f>IF(AND(P33&gt;0),R33/P33,"No programado")</f>
        <v>1</v>
      </c>
      <c r="V33" s="332">
        <f t="shared" si="37"/>
        <v>0.48000000000000004</v>
      </c>
      <c r="W33" s="361">
        <f t="shared" si="51"/>
        <v>0.25</v>
      </c>
      <c r="X33" s="361">
        <f>+'1.Informe Seguimiento POA 2023'!S50</f>
        <v>7.0000000000000007E-2</v>
      </c>
      <c r="Y33" s="361">
        <f>+'1.Informe Seguimiento POA 2023'!O50+'1.Informe Seguimiento POA 2023'!Q50+'1.Informe Seguimiento POA 2023'!S50</f>
        <v>0.19</v>
      </c>
      <c r="Z33" s="361">
        <f>+'1.Informe Seguimiento POA 2023'!T50</f>
        <v>0</v>
      </c>
      <c r="AA33" s="361">
        <f>+'1.Informe Seguimiento POA 2023'!R50+'1.Informe Seguimiento POA 2023'!T50+'1.Informe Seguimiento POA 2023'!P50</f>
        <v>0.12000000000000001</v>
      </c>
      <c r="AB33" s="361">
        <f t="shared" si="39"/>
        <v>0.12000000000000001</v>
      </c>
      <c r="AC33" s="339">
        <f t="shared" si="52"/>
        <v>0</v>
      </c>
      <c r="AD33" s="339">
        <f t="shared" si="53"/>
        <v>0.63157894736842113</v>
      </c>
      <c r="AE33" s="332">
        <f t="shared" si="41"/>
        <v>0.48000000000000004</v>
      </c>
      <c r="AF33" s="333">
        <f t="shared" si="54"/>
        <v>0.25</v>
      </c>
      <c r="AG33" s="333">
        <f>+'1.Informe Seguimiento POA 2023'!U50</f>
        <v>0.06</v>
      </c>
      <c r="AH33" s="333">
        <f>+'1.Informe Seguimiento POA 2023'!O50+'1.Informe Seguimiento POA 2023'!Q50+'1.Informe Seguimiento POA 2023'!S50+'1.Informe Seguimiento POA 2023'!U50</f>
        <v>0.25</v>
      </c>
      <c r="AI33" s="333">
        <f>+'1.Informe Seguimiento POA 2023'!V50</f>
        <v>0</v>
      </c>
      <c r="AJ33" s="333">
        <f>+'1.Informe Seguimiento POA 2023'!P50+'1.Informe Seguimiento POA 2023'!R50+'1.Informe Seguimiento POA 2023'!T50+'1.Informe Seguimiento POA 2023'!V50</f>
        <v>0.12000000000000001</v>
      </c>
      <c r="AK33" s="457">
        <f t="shared" si="55"/>
        <v>0.12000000000000001</v>
      </c>
      <c r="AL33" s="339">
        <f t="shared" si="42"/>
        <v>0</v>
      </c>
      <c r="AM33" s="339">
        <f>IF(AND(AH33&gt;0),AJ33/AH33,"No programado")</f>
        <v>0.48000000000000004</v>
      </c>
      <c r="AN33" s="332">
        <f t="shared" si="43"/>
        <v>0.48000000000000004</v>
      </c>
      <c r="AO33" s="336" t="str">
        <f>+'Rango indicadores'!H15</f>
        <v>Mayor A:</v>
      </c>
      <c r="AP33" s="331">
        <f>+'Rango indicadores'!I15</f>
        <v>95</v>
      </c>
      <c r="AQ33" s="331" t="str">
        <f>+'Rango indicadores'!J15</f>
        <v>Desde (&gt;=):</v>
      </c>
      <c r="AR33" s="331">
        <f>+'Rango indicadores'!K15</f>
        <v>75</v>
      </c>
      <c r="AS33" s="331" t="str">
        <f>+'Rango indicadores'!L15</f>
        <v>Hasta (&lt;=):</v>
      </c>
      <c r="AT33" s="331">
        <f>+'Rango indicadores'!M15</f>
        <v>95</v>
      </c>
      <c r="AU33" s="331" t="str">
        <f>+'Rango indicadores'!N15</f>
        <v>Menor A:</v>
      </c>
      <c r="AV33" s="331">
        <f>+'Rango indicadores'!O15</f>
        <v>75</v>
      </c>
      <c r="AW33" s="421" t="s">
        <v>1176</v>
      </c>
    </row>
    <row r="34" spans="2:54" ht="129" customHeight="1">
      <c r="B34" s="328">
        <f t="shared" si="44"/>
        <v>12</v>
      </c>
      <c r="C34" s="329" t="str">
        <f>+'Rango indicadores'!D16</f>
        <v>03-RI-04</v>
      </c>
      <c r="D34" s="329" t="str">
        <f>+'Rango indicadores'!E16</f>
        <v>Porcentaje de lineamientos adoptados  en la estrategia de gestión de datos</v>
      </c>
      <c r="E34" s="333">
        <f>+'Rango indicadores'!Q16</f>
        <v>0.25</v>
      </c>
      <c r="F34" s="361">
        <f>+'1.Informe Seguimiento POA 2023'!O51</f>
        <v>0.05</v>
      </c>
      <c r="G34" s="361">
        <f>+'1.Informe Seguimiento POA 2023'!O51</f>
        <v>0.05</v>
      </c>
      <c r="H34" s="361">
        <f>+'1.Informe Seguimiento POA 2023'!P51</f>
        <v>0.03</v>
      </c>
      <c r="I34" s="361">
        <f>+'1.Informe Seguimiento POA 2023'!P51</f>
        <v>0.03</v>
      </c>
      <c r="J34" s="361">
        <f t="shared" si="45"/>
        <v>0.03</v>
      </c>
      <c r="K34" s="339">
        <f t="shared" si="34"/>
        <v>0.6</v>
      </c>
      <c r="L34" s="339">
        <f>IF(AND(G34&gt;0),I34/G34,"No programado")</f>
        <v>0.6</v>
      </c>
      <c r="M34" s="332">
        <f t="shared" si="47"/>
        <v>0.12</v>
      </c>
      <c r="N34" s="361">
        <f t="shared" si="48"/>
        <v>0.25</v>
      </c>
      <c r="O34" s="361">
        <f>+'1.Informe Seguimiento POA 2023'!Q51</f>
        <v>7.0000000000000007E-2</v>
      </c>
      <c r="P34" s="361">
        <f>+'1.Informe Seguimiento POA 2023'!O51+'1.Informe Seguimiento POA 2023'!Q51</f>
        <v>0.12000000000000001</v>
      </c>
      <c r="Q34" s="361">
        <f>+'1.Informe Seguimiento POA 2023'!R51</f>
        <v>7.0000000000000007E-2</v>
      </c>
      <c r="R34" s="361">
        <f>+'1.Informe Seguimiento POA 2023'!P51+'1.Informe Seguimiento POA 2023'!R51</f>
        <v>0.1</v>
      </c>
      <c r="S34" s="361">
        <f t="shared" si="49"/>
        <v>0.1</v>
      </c>
      <c r="T34" s="339">
        <f t="shared" si="36"/>
        <v>1</v>
      </c>
      <c r="U34" s="339">
        <f>IF(AND(P34&gt;0),R34/P34,"No programado")</f>
        <v>0.83333333333333326</v>
      </c>
      <c r="V34" s="332">
        <f t="shared" si="37"/>
        <v>0.4</v>
      </c>
      <c r="W34" s="361">
        <f t="shared" si="51"/>
        <v>0.25</v>
      </c>
      <c r="X34" s="361">
        <f>+'1.Informe Seguimiento POA 2023'!S51</f>
        <v>7.0000000000000007E-2</v>
      </c>
      <c r="Y34" s="361">
        <f>+'1.Informe Seguimiento POA 2023'!O51+'1.Informe Seguimiento POA 2023'!Q51+'1.Informe Seguimiento POA 2023'!S51</f>
        <v>0.19</v>
      </c>
      <c r="Z34" s="361">
        <f>+'1.Informe Seguimiento POA 2023'!T51</f>
        <v>0</v>
      </c>
      <c r="AA34" s="361">
        <f>+'1.Informe Seguimiento POA 2023'!R51+'1.Informe Seguimiento POA 2023'!T51+'1.Informe Seguimiento POA 2023'!P51</f>
        <v>0.1</v>
      </c>
      <c r="AB34" s="361">
        <f t="shared" si="39"/>
        <v>0.1</v>
      </c>
      <c r="AC34" s="339">
        <f t="shared" si="52"/>
        <v>0</v>
      </c>
      <c r="AD34" s="339">
        <f t="shared" si="53"/>
        <v>0.52631578947368418</v>
      </c>
      <c r="AE34" s="332">
        <f t="shared" si="41"/>
        <v>0.4</v>
      </c>
      <c r="AF34" s="333">
        <f t="shared" si="54"/>
        <v>0.25</v>
      </c>
      <c r="AG34" s="333">
        <f>+'1.Informe Seguimiento POA 2023'!U51</f>
        <v>0.06</v>
      </c>
      <c r="AH34" s="333">
        <f>+'1.Informe Seguimiento POA 2023'!O51+'1.Informe Seguimiento POA 2023'!Q51+'1.Informe Seguimiento POA 2023'!S51+'1.Informe Seguimiento POA 2023'!U51</f>
        <v>0.25</v>
      </c>
      <c r="AI34" s="333">
        <f>+'1.Informe Seguimiento POA 2023'!V51</f>
        <v>0</v>
      </c>
      <c r="AJ34" s="333">
        <f>+'1.Informe Seguimiento POA 2023'!P51+'1.Informe Seguimiento POA 2023'!R51+'1.Informe Seguimiento POA 2023'!T51+'1.Informe Seguimiento POA 2023'!V51</f>
        <v>0.1</v>
      </c>
      <c r="AK34" s="457">
        <f t="shared" si="55"/>
        <v>0.1</v>
      </c>
      <c r="AL34" s="339">
        <f t="shared" si="42"/>
        <v>0</v>
      </c>
      <c r="AM34" s="339">
        <f>IF(AND(AH34&gt;0),AJ34/AH34,"No programado")</f>
        <v>0.4</v>
      </c>
      <c r="AN34" s="332">
        <f t="shared" si="43"/>
        <v>0.4</v>
      </c>
      <c r="AO34" s="336" t="str">
        <f>+'Rango indicadores'!H16</f>
        <v>Mayor A:</v>
      </c>
      <c r="AP34" s="331">
        <f>+'Rango indicadores'!I16</f>
        <v>95</v>
      </c>
      <c r="AQ34" s="331" t="str">
        <f>+'Rango indicadores'!J16</f>
        <v>Desde (&gt;=):</v>
      </c>
      <c r="AR34" s="331">
        <f>+'Rango indicadores'!K16</f>
        <v>75</v>
      </c>
      <c r="AS34" s="331" t="str">
        <f>+'Rango indicadores'!L16</f>
        <v>Hasta (&lt;=):</v>
      </c>
      <c r="AT34" s="331">
        <f>+'Rango indicadores'!M16</f>
        <v>95</v>
      </c>
      <c r="AU34" s="331" t="str">
        <f>+'Rango indicadores'!N16</f>
        <v>Menor A:</v>
      </c>
      <c r="AV34" s="331">
        <f>+'Rango indicadores'!O16</f>
        <v>75</v>
      </c>
      <c r="AW34" s="421" t="s">
        <v>1177</v>
      </c>
      <c r="BB34" s="340"/>
    </row>
    <row r="35" spans="2:54" ht="75" customHeight="1">
      <c r="B35" s="328">
        <f t="shared" si="44"/>
        <v>13</v>
      </c>
      <c r="C35" s="329" t="str">
        <f>+'Rango indicadores'!D17</f>
        <v>03-RI-05</v>
      </c>
      <c r="D35" s="329" t="str">
        <f>+'Rango indicadores'!E17</f>
        <v>Cantidad de requerimientos prioritarios desarrollados para los sistemas información</v>
      </c>
      <c r="E35" s="333">
        <f>+'Rango indicadores'!Q17</f>
        <v>0.25</v>
      </c>
      <c r="F35" s="361">
        <f>+'1.Informe Seguimiento POA 2023'!O52</f>
        <v>0.05</v>
      </c>
      <c r="G35" s="361">
        <f>+'1.Informe Seguimiento POA 2023'!O52</f>
        <v>0.05</v>
      </c>
      <c r="H35" s="361">
        <f>+'1.Informe Seguimiento POA 2023'!P52</f>
        <v>0.05</v>
      </c>
      <c r="I35" s="361">
        <f>+'1.Informe Seguimiento POA 2023'!P52</f>
        <v>0.05</v>
      </c>
      <c r="J35" s="361">
        <f t="shared" si="45"/>
        <v>0.05</v>
      </c>
      <c r="K35" s="339">
        <f t="shared" si="34"/>
        <v>1</v>
      </c>
      <c r="L35" s="339">
        <f>IF(AND(G35&gt;0),I35/G35,"No programado")</f>
        <v>1</v>
      </c>
      <c r="M35" s="332">
        <f t="shared" si="47"/>
        <v>0.2</v>
      </c>
      <c r="N35" s="361">
        <f t="shared" si="48"/>
        <v>0.25</v>
      </c>
      <c r="O35" s="361">
        <f>+'1.Informe Seguimiento POA 2023'!Q52</f>
        <v>7.0000000000000007E-2</v>
      </c>
      <c r="P35" s="361">
        <f>+'1.Informe Seguimiento POA 2023'!O52+'1.Informe Seguimiento POA 2023'!Q52</f>
        <v>0.12000000000000001</v>
      </c>
      <c r="Q35" s="361">
        <f>+'1.Informe Seguimiento POA 2023'!R52</f>
        <v>7.0000000000000007E-2</v>
      </c>
      <c r="R35" s="361">
        <f>+'1.Informe Seguimiento POA 2023'!P52+'1.Informe Seguimiento POA 2023'!R52</f>
        <v>0.12000000000000001</v>
      </c>
      <c r="S35" s="361">
        <f t="shared" si="49"/>
        <v>0.12000000000000001</v>
      </c>
      <c r="T35" s="339">
        <f t="shared" si="36"/>
        <v>1</v>
      </c>
      <c r="U35" s="339">
        <f>IF(AND(P35&gt;0),R35/P35,"No programado")</f>
        <v>1</v>
      </c>
      <c r="V35" s="332">
        <f t="shared" si="37"/>
        <v>0.48000000000000004</v>
      </c>
      <c r="W35" s="361">
        <f t="shared" si="51"/>
        <v>0.25</v>
      </c>
      <c r="X35" s="361">
        <f>+'1.Informe Seguimiento POA 2023'!S52</f>
        <v>7.0000000000000007E-2</v>
      </c>
      <c r="Y35" s="361">
        <f>+'1.Informe Seguimiento POA 2023'!O52+'1.Informe Seguimiento POA 2023'!Q52+'1.Informe Seguimiento POA 2023'!S52</f>
        <v>0.19</v>
      </c>
      <c r="Z35" s="361">
        <f>+'1.Informe Seguimiento POA 2023'!T52</f>
        <v>0</v>
      </c>
      <c r="AA35" s="361">
        <f>+'1.Informe Seguimiento POA 2023'!R52+'1.Informe Seguimiento POA 2023'!T52+'1.Informe Seguimiento POA 2023'!P52</f>
        <v>0.12000000000000001</v>
      </c>
      <c r="AB35" s="361">
        <f t="shared" si="39"/>
        <v>0.12000000000000001</v>
      </c>
      <c r="AC35" s="339">
        <f t="shared" si="52"/>
        <v>0</v>
      </c>
      <c r="AD35" s="339">
        <f t="shared" si="53"/>
        <v>0.63157894736842113</v>
      </c>
      <c r="AE35" s="332">
        <f t="shared" si="41"/>
        <v>0.48000000000000004</v>
      </c>
      <c r="AF35" s="333">
        <f t="shared" si="54"/>
        <v>0.25</v>
      </c>
      <c r="AG35" s="333">
        <f>+'1.Informe Seguimiento POA 2023'!U52</f>
        <v>0.06</v>
      </c>
      <c r="AH35" s="333">
        <f>+'1.Informe Seguimiento POA 2023'!O52+'1.Informe Seguimiento POA 2023'!Q52+'1.Informe Seguimiento POA 2023'!S52+'1.Informe Seguimiento POA 2023'!U52</f>
        <v>0.25</v>
      </c>
      <c r="AI35" s="333">
        <f>+'1.Informe Seguimiento POA 2023'!V52</f>
        <v>0</v>
      </c>
      <c r="AJ35" s="333">
        <f>+'1.Informe Seguimiento POA 2023'!P52+'1.Informe Seguimiento POA 2023'!R52+'1.Informe Seguimiento POA 2023'!T52+'1.Informe Seguimiento POA 2023'!V52</f>
        <v>0.12000000000000001</v>
      </c>
      <c r="AK35" s="457">
        <f t="shared" si="55"/>
        <v>0.12000000000000001</v>
      </c>
      <c r="AL35" s="339">
        <f t="shared" si="42"/>
        <v>0</v>
      </c>
      <c r="AM35" s="339">
        <f>IF(AND(AH35&gt;0),AJ35/AH35,"No programado")</f>
        <v>0.48000000000000004</v>
      </c>
      <c r="AN35" s="332">
        <f t="shared" si="43"/>
        <v>0.48000000000000004</v>
      </c>
      <c r="AO35" s="336" t="str">
        <f>+'Rango indicadores'!H17</f>
        <v>Mayor A:</v>
      </c>
      <c r="AP35" s="331">
        <f>+'Rango indicadores'!I17</f>
        <v>95</v>
      </c>
      <c r="AQ35" s="331" t="str">
        <f>+'Rango indicadores'!J17</f>
        <v>Desde (&gt;=):</v>
      </c>
      <c r="AR35" s="331">
        <f>+'Rango indicadores'!K17</f>
        <v>75</v>
      </c>
      <c r="AS35" s="331" t="str">
        <f>+'Rango indicadores'!L17</f>
        <v>Hasta (&lt;=):</v>
      </c>
      <c r="AT35" s="331">
        <f>+'Rango indicadores'!M17</f>
        <v>95</v>
      </c>
      <c r="AU35" s="331" t="str">
        <f>+'Rango indicadores'!N17</f>
        <v>Menor A:</v>
      </c>
      <c r="AV35" s="331">
        <f>+'Rango indicadores'!O17</f>
        <v>75</v>
      </c>
      <c r="AW35" s="421" t="s">
        <v>1176</v>
      </c>
    </row>
    <row r="36" spans="2:54" ht="75" customHeight="1">
      <c r="B36" s="328">
        <f t="shared" si="44"/>
        <v>14</v>
      </c>
      <c r="C36" s="329" t="str">
        <f>+'Rango indicadores'!D18</f>
        <v>03-RI-06</v>
      </c>
      <c r="D36" s="329" t="str">
        <f>+'Rango indicadores'!E18</f>
        <v>Porcentaje de actividades ejecutadas del plan de uso y apropiación</v>
      </c>
      <c r="E36" s="333">
        <f>+'Rango indicadores'!Q18</f>
        <v>0.25</v>
      </c>
      <c r="F36" s="361">
        <f>+'1.Informe Seguimiento POA 2023'!O53</f>
        <v>0.05</v>
      </c>
      <c r="G36" s="361">
        <f>+'1.Informe Seguimiento POA 2023'!O53</f>
        <v>0.05</v>
      </c>
      <c r="H36" s="361">
        <f>+'1.Informe Seguimiento POA 2023'!P53</f>
        <v>0.05</v>
      </c>
      <c r="I36" s="361">
        <f>+'1.Informe Seguimiento POA 2023'!P53</f>
        <v>0.05</v>
      </c>
      <c r="J36" s="361">
        <f t="shared" si="45"/>
        <v>0.05</v>
      </c>
      <c r="K36" s="339">
        <f t="shared" si="34"/>
        <v>1</v>
      </c>
      <c r="L36" s="339">
        <f>IF(AND(G36&gt;0),I36/G36,"No programado")</f>
        <v>1</v>
      </c>
      <c r="M36" s="332">
        <f t="shared" si="47"/>
        <v>0.2</v>
      </c>
      <c r="N36" s="361">
        <f t="shared" si="48"/>
        <v>0.25</v>
      </c>
      <c r="O36" s="361">
        <f>+'1.Informe Seguimiento POA 2023'!Q53</f>
        <v>7.0000000000000007E-2</v>
      </c>
      <c r="P36" s="361">
        <f>+'1.Informe Seguimiento POA 2023'!O53+'1.Informe Seguimiento POA 2023'!Q53</f>
        <v>0.12000000000000001</v>
      </c>
      <c r="Q36" s="361">
        <f>+'1.Informe Seguimiento POA 2023'!R53</f>
        <v>7.0000000000000007E-2</v>
      </c>
      <c r="R36" s="361">
        <f>+'1.Informe Seguimiento POA 2023'!P53+'1.Informe Seguimiento POA 2023'!R53</f>
        <v>0.12000000000000001</v>
      </c>
      <c r="S36" s="361">
        <f t="shared" si="49"/>
        <v>0.12000000000000001</v>
      </c>
      <c r="T36" s="339">
        <f t="shared" si="36"/>
        <v>1</v>
      </c>
      <c r="U36" s="339">
        <f>IF(AND(P36&gt;0),R36/P36,"No programado")</f>
        <v>1</v>
      </c>
      <c r="V36" s="332">
        <f t="shared" si="37"/>
        <v>0.48000000000000004</v>
      </c>
      <c r="W36" s="361">
        <f t="shared" si="51"/>
        <v>0.25</v>
      </c>
      <c r="X36" s="361">
        <f>+'1.Informe Seguimiento POA 2023'!S53</f>
        <v>7.0000000000000007E-2</v>
      </c>
      <c r="Y36" s="361">
        <f>+'1.Informe Seguimiento POA 2023'!O53+'1.Informe Seguimiento POA 2023'!Q53+'1.Informe Seguimiento POA 2023'!S53</f>
        <v>0.19</v>
      </c>
      <c r="Z36" s="361">
        <f>+'1.Informe Seguimiento POA 2023'!T53</f>
        <v>0</v>
      </c>
      <c r="AA36" s="361">
        <f>+'1.Informe Seguimiento POA 2023'!R53+'1.Informe Seguimiento POA 2023'!T53+'1.Informe Seguimiento POA 2023'!P53</f>
        <v>0.12000000000000001</v>
      </c>
      <c r="AB36" s="361">
        <f t="shared" si="39"/>
        <v>0.12000000000000001</v>
      </c>
      <c r="AC36" s="339">
        <f t="shared" si="52"/>
        <v>0</v>
      </c>
      <c r="AD36" s="339">
        <f t="shared" si="53"/>
        <v>0.63157894736842113</v>
      </c>
      <c r="AE36" s="332">
        <f t="shared" si="41"/>
        <v>0.48000000000000004</v>
      </c>
      <c r="AF36" s="333">
        <f t="shared" si="54"/>
        <v>0.25</v>
      </c>
      <c r="AG36" s="333">
        <f>+'1.Informe Seguimiento POA 2023'!U53</f>
        <v>0.06</v>
      </c>
      <c r="AH36" s="333">
        <f>+'1.Informe Seguimiento POA 2023'!O53+'1.Informe Seguimiento POA 2023'!Q53+'1.Informe Seguimiento POA 2023'!S53+'1.Informe Seguimiento POA 2023'!U53</f>
        <v>0.25</v>
      </c>
      <c r="AI36" s="333">
        <f>+'1.Informe Seguimiento POA 2023'!V53</f>
        <v>0</v>
      </c>
      <c r="AJ36" s="333">
        <f>+'1.Informe Seguimiento POA 2023'!P53+'1.Informe Seguimiento POA 2023'!R53+'1.Informe Seguimiento POA 2023'!T53+'1.Informe Seguimiento POA 2023'!V53</f>
        <v>0.12000000000000001</v>
      </c>
      <c r="AK36" s="457">
        <f t="shared" si="55"/>
        <v>0.12000000000000001</v>
      </c>
      <c r="AL36" s="339">
        <f t="shared" si="42"/>
        <v>0</v>
      </c>
      <c r="AM36" s="339">
        <f>IF(AND(AH36&gt;0),AJ36/AH36,"No programado")</f>
        <v>0.48000000000000004</v>
      </c>
      <c r="AN36" s="332">
        <f t="shared" si="43"/>
        <v>0.48000000000000004</v>
      </c>
      <c r="AO36" s="336" t="str">
        <f>+'Rango indicadores'!H18</f>
        <v>Mayor A:</v>
      </c>
      <c r="AP36" s="331">
        <f>+'Rango indicadores'!I18</f>
        <v>95</v>
      </c>
      <c r="AQ36" s="331" t="str">
        <f>+'Rango indicadores'!J18</f>
        <v>Desde (&gt;=):</v>
      </c>
      <c r="AR36" s="331">
        <f>+'Rango indicadores'!K18</f>
        <v>75</v>
      </c>
      <c r="AS36" s="331" t="str">
        <f>+'Rango indicadores'!L18</f>
        <v>Hasta (&lt;=):</v>
      </c>
      <c r="AT36" s="331">
        <f>+'Rango indicadores'!M18</f>
        <v>95</v>
      </c>
      <c r="AU36" s="331" t="str">
        <f>+'Rango indicadores'!N18</f>
        <v>Menor A:</v>
      </c>
      <c r="AV36" s="331">
        <f>+'Rango indicadores'!O18</f>
        <v>75</v>
      </c>
      <c r="AW36" s="421" t="s">
        <v>1176</v>
      </c>
    </row>
    <row r="37" spans="2:54" ht="75" customHeight="1">
      <c r="B37" s="328">
        <f t="shared" si="44"/>
        <v>15</v>
      </c>
      <c r="C37" s="329" t="str">
        <f>+'Rango indicadores'!D19</f>
        <v>03-RI-07</v>
      </c>
      <c r="D37" s="329" t="str">
        <f>+'Rango indicadores'!E19</f>
        <v>Porcentaje de actividades ejecutadas de la hoja de ruta de optimización tecnológica</v>
      </c>
      <c r="E37" s="333">
        <f>+'Rango indicadores'!Q19</f>
        <v>0.25</v>
      </c>
      <c r="F37" s="361">
        <f>+'1.Informe Seguimiento POA 2023'!O54</f>
        <v>0.05</v>
      </c>
      <c r="G37" s="361">
        <f>+'1.Informe Seguimiento POA 2023'!O54</f>
        <v>0.05</v>
      </c>
      <c r="H37" s="361">
        <f>+'1.Informe Seguimiento POA 2023'!P54</f>
        <v>0.05</v>
      </c>
      <c r="I37" s="361">
        <f>+'1.Informe Seguimiento POA 2023'!P54</f>
        <v>0.05</v>
      </c>
      <c r="J37" s="361">
        <f t="shared" si="45"/>
        <v>0.05</v>
      </c>
      <c r="K37" s="339">
        <f t="shared" si="34"/>
        <v>1</v>
      </c>
      <c r="L37" s="339">
        <f>IF(AND(G37&gt;0),I37/G37,"No programado")</f>
        <v>1</v>
      </c>
      <c r="M37" s="332">
        <f t="shared" si="47"/>
        <v>0.2</v>
      </c>
      <c r="N37" s="361">
        <f t="shared" si="48"/>
        <v>0.25</v>
      </c>
      <c r="O37" s="361">
        <f>+'1.Informe Seguimiento POA 2023'!Q54</f>
        <v>7.0000000000000007E-2</v>
      </c>
      <c r="P37" s="361">
        <f>+'1.Informe Seguimiento POA 2023'!O54+'1.Informe Seguimiento POA 2023'!Q54</f>
        <v>0.12000000000000001</v>
      </c>
      <c r="Q37" s="361">
        <f>+'1.Informe Seguimiento POA 2023'!R54</f>
        <v>7.0000000000000007E-2</v>
      </c>
      <c r="R37" s="361">
        <f>+'1.Informe Seguimiento POA 2023'!P54+'1.Informe Seguimiento POA 2023'!R54</f>
        <v>0.12000000000000001</v>
      </c>
      <c r="S37" s="361">
        <f t="shared" si="49"/>
        <v>0.12000000000000001</v>
      </c>
      <c r="T37" s="339">
        <f t="shared" si="36"/>
        <v>1</v>
      </c>
      <c r="U37" s="339">
        <f>IF(AND(P37&gt;0),R37/P37,"No programado")</f>
        <v>1</v>
      </c>
      <c r="V37" s="332">
        <f t="shared" si="37"/>
        <v>0.48000000000000004</v>
      </c>
      <c r="W37" s="361">
        <f t="shared" si="51"/>
        <v>0.25</v>
      </c>
      <c r="X37" s="361">
        <f>+'1.Informe Seguimiento POA 2023'!S54</f>
        <v>7.0000000000000007E-2</v>
      </c>
      <c r="Y37" s="361">
        <f>+'1.Informe Seguimiento POA 2023'!O54+'1.Informe Seguimiento POA 2023'!Q54+'1.Informe Seguimiento POA 2023'!S54</f>
        <v>0.19</v>
      </c>
      <c r="Z37" s="361">
        <f>+'1.Informe Seguimiento POA 2023'!T54</f>
        <v>0</v>
      </c>
      <c r="AA37" s="361">
        <f>+'1.Informe Seguimiento POA 2023'!R54+'1.Informe Seguimiento POA 2023'!T54+'1.Informe Seguimiento POA 2023'!P54</f>
        <v>0.12000000000000001</v>
      </c>
      <c r="AB37" s="361">
        <f t="shared" si="39"/>
        <v>0.12000000000000001</v>
      </c>
      <c r="AC37" s="339">
        <f t="shared" si="52"/>
        <v>0</v>
      </c>
      <c r="AD37" s="339">
        <f t="shared" si="53"/>
        <v>0.63157894736842113</v>
      </c>
      <c r="AE37" s="332">
        <f t="shared" si="41"/>
        <v>0.48000000000000004</v>
      </c>
      <c r="AF37" s="333">
        <f t="shared" si="54"/>
        <v>0.25</v>
      </c>
      <c r="AG37" s="333">
        <f>+'1.Informe Seguimiento POA 2023'!U54</f>
        <v>0.06</v>
      </c>
      <c r="AH37" s="333">
        <f>+'1.Informe Seguimiento POA 2023'!O54+'1.Informe Seguimiento POA 2023'!Q54+'1.Informe Seguimiento POA 2023'!S54+'1.Informe Seguimiento POA 2023'!U54</f>
        <v>0.25</v>
      </c>
      <c r="AI37" s="333">
        <f>+'1.Informe Seguimiento POA 2023'!V54</f>
        <v>0</v>
      </c>
      <c r="AJ37" s="333">
        <f>+'1.Informe Seguimiento POA 2023'!P54+'1.Informe Seguimiento POA 2023'!R54+'1.Informe Seguimiento POA 2023'!T54+'1.Informe Seguimiento POA 2023'!V54</f>
        <v>0.12000000000000001</v>
      </c>
      <c r="AK37" s="457">
        <f t="shared" si="55"/>
        <v>0.12000000000000001</v>
      </c>
      <c r="AL37" s="339">
        <f t="shared" ref="AL37" si="56">IF(AND(AG37&gt;0),AI37/AG37,"No programado")</f>
        <v>0</v>
      </c>
      <c r="AM37" s="339">
        <f>IF(AND(AH37&gt;0),AJ37/AH37,"No programado")</f>
        <v>0.48000000000000004</v>
      </c>
      <c r="AN37" s="332">
        <f t="shared" si="43"/>
        <v>0.48000000000000004</v>
      </c>
      <c r="AO37" s="336" t="str">
        <f>+'Rango indicadores'!H19</f>
        <v>Mayor A:</v>
      </c>
      <c r="AP37" s="331">
        <f>+'Rango indicadores'!I19</f>
        <v>95</v>
      </c>
      <c r="AQ37" s="331" t="str">
        <f>+'Rango indicadores'!J19</f>
        <v>Desde (&gt;=):</v>
      </c>
      <c r="AR37" s="331">
        <f>+'Rango indicadores'!K19</f>
        <v>75</v>
      </c>
      <c r="AS37" s="331" t="str">
        <f>+'Rango indicadores'!L19</f>
        <v>Hasta (&lt;=):</v>
      </c>
      <c r="AT37" s="331">
        <f>+'Rango indicadores'!M19</f>
        <v>95</v>
      </c>
      <c r="AU37" s="331" t="str">
        <f>+'Rango indicadores'!N19</f>
        <v>Menor A:</v>
      </c>
      <c r="AV37" s="331">
        <f>+'Rango indicadores'!O19</f>
        <v>75</v>
      </c>
      <c r="AW37" s="421" t="s">
        <v>1176</v>
      </c>
    </row>
    <row r="38" spans="2:54" ht="15.6">
      <c r="C38" s="1319" t="s">
        <v>826</v>
      </c>
      <c r="D38" s="1320"/>
      <c r="E38" s="1320"/>
      <c r="F38" s="1320"/>
      <c r="G38" s="1320"/>
      <c r="H38" s="1320"/>
      <c r="I38" s="1320"/>
      <c r="J38" s="1320"/>
      <c r="K38" s="334">
        <f>IFERROR(AVERAGE(K31:K37),0)</f>
        <v>0.94285714285714284</v>
      </c>
      <c r="L38" s="334">
        <f>IFERROR(AVERAGE(L31:L37),0)</f>
        <v>0.94285714285714284</v>
      </c>
      <c r="M38" s="334">
        <f>IFERROR(AVERAGE(M31:M37),0)</f>
        <v>0.18857142857142858</v>
      </c>
      <c r="N38" s="754"/>
      <c r="O38" s="754"/>
      <c r="P38" s="754"/>
      <c r="Q38" s="754"/>
      <c r="R38" s="754"/>
      <c r="S38" s="754"/>
      <c r="T38" s="334">
        <f>IFERROR(AVERAGE(T31:T37),0)</f>
        <v>1</v>
      </c>
      <c r="U38" s="334">
        <f t="shared" ref="U38" si="57">IFERROR(AVERAGE(U31:U37),0)</f>
        <v>0.97619047619047616</v>
      </c>
      <c r="V38" s="334">
        <f>IFERROR(AVERAGE(V31:V37),0)</f>
        <v>0.46857142857142858</v>
      </c>
      <c r="W38" s="754"/>
      <c r="X38" s="754"/>
      <c r="Y38" s="754"/>
      <c r="Z38" s="754"/>
      <c r="AA38" s="754"/>
      <c r="AB38" s="754"/>
      <c r="AC38" s="334">
        <f>IFERROR(AVERAGE(AC31:AC37),0)</f>
        <v>0</v>
      </c>
      <c r="AD38" s="334">
        <f t="shared" ref="AD38" si="58">IFERROR(AVERAGE(AD31:AD37),0)</f>
        <v>0.61654135338345861</v>
      </c>
      <c r="AE38" s="334">
        <f>IFERROR(AVERAGE(AE31:AE37),0)</f>
        <v>0.46857142857142858</v>
      </c>
      <c r="AF38" s="754"/>
      <c r="AG38" s="754"/>
      <c r="AH38" s="754"/>
      <c r="AI38" s="754"/>
      <c r="AJ38" s="754"/>
      <c r="AK38" s="755"/>
      <c r="AL38" s="334">
        <f>IFERROR(AVERAGE(AL31:AL37),0)</f>
        <v>0</v>
      </c>
      <c r="AM38" s="334">
        <f t="shared" ref="AM38" si="59">IFERROR(AVERAGE(AM31:AM37),0)</f>
        <v>0.46857142857142858</v>
      </c>
      <c r="AN38" s="334">
        <f>IFERROR(AVERAGE(AN31:AN37),0)</f>
        <v>0.46857142857142858</v>
      </c>
      <c r="AO38" s="323"/>
      <c r="AP38" s="323"/>
      <c r="AQ38" s="323"/>
      <c r="AR38" s="323"/>
      <c r="AS38" s="323"/>
      <c r="AT38" s="323"/>
      <c r="AU38" s="323"/>
      <c r="AV38" s="323"/>
      <c r="AW38" s="428"/>
    </row>
    <row r="39" spans="2:54" s="324" customFormat="1" ht="24" customHeight="1" thickBot="1">
      <c r="D39" s="326"/>
      <c r="AW39" s="326"/>
      <c r="AY39" s="310"/>
      <c r="AZ39" s="310"/>
    </row>
    <row r="40" spans="2:54" s="324" customFormat="1" ht="16.2" thickBot="1">
      <c r="C40" s="327" t="s">
        <v>829</v>
      </c>
      <c r="D40" s="357"/>
      <c r="E40" s="1290" t="s">
        <v>1053</v>
      </c>
      <c r="F40" s="1291"/>
      <c r="G40" s="1291"/>
      <c r="H40" s="1291"/>
      <c r="I40" s="1291"/>
      <c r="J40" s="1291"/>
      <c r="K40" s="1291"/>
      <c r="L40" s="1291"/>
      <c r="M40" s="1292"/>
      <c r="N40" s="1293" t="s">
        <v>1054</v>
      </c>
      <c r="O40" s="1294"/>
      <c r="P40" s="1294"/>
      <c r="Q40" s="1294"/>
      <c r="R40" s="1294"/>
      <c r="S40" s="1294"/>
      <c r="T40" s="1294"/>
      <c r="U40" s="1294"/>
      <c r="V40" s="1295"/>
      <c r="W40" s="1287" t="s">
        <v>1055</v>
      </c>
      <c r="X40" s="1288"/>
      <c r="Y40" s="1288"/>
      <c r="Z40" s="1288"/>
      <c r="AA40" s="1288"/>
      <c r="AB40" s="1288"/>
      <c r="AC40" s="1288"/>
      <c r="AD40" s="1288"/>
      <c r="AE40" s="1289"/>
      <c r="AF40" s="1293" t="s">
        <v>1002</v>
      </c>
      <c r="AG40" s="1294"/>
      <c r="AH40" s="1294"/>
      <c r="AI40" s="1294"/>
      <c r="AJ40" s="1294"/>
      <c r="AK40" s="1294"/>
      <c r="AL40" s="1294"/>
      <c r="AM40" s="1294"/>
      <c r="AN40" s="1295"/>
      <c r="AW40" s="326"/>
      <c r="AY40" s="310"/>
      <c r="AZ40" s="310"/>
    </row>
    <row r="41" spans="2:54" ht="34.5" customHeight="1">
      <c r="C41" s="1284" t="str">
        <f>+$C$11</f>
        <v>Identificación del Indicador</v>
      </c>
      <c r="D41" s="1297" t="s">
        <v>821</v>
      </c>
      <c r="E41" s="1280" t="s">
        <v>822</v>
      </c>
      <c r="F41" s="1281"/>
      <c r="G41" s="1282"/>
      <c r="H41" s="1283" t="s">
        <v>1057</v>
      </c>
      <c r="I41" s="1285" t="str">
        <f>$I$9</f>
        <v>Ejecución 
Corte
31/03/2023</v>
      </c>
      <c r="J41" s="1283" t="s">
        <v>823</v>
      </c>
      <c r="K41" s="1283" t="s">
        <v>817</v>
      </c>
      <c r="L41" s="1283"/>
      <c r="M41" s="1283"/>
      <c r="N41" s="1280" t="s">
        <v>822</v>
      </c>
      <c r="O41" s="1281"/>
      <c r="P41" s="1282"/>
      <c r="Q41" s="1283" t="s">
        <v>1062</v>
      </c>
      <c r="R41" s="1285" t="str">
        <f>$R$9</f>
        <v>Ejecución 
Corte
30/06/2023</v>
      </c>
      <c r="S41" s="1283" t="s">
        <v>823</v>
      </c>
      <c r="T41" s="1283" t="s">
        <v>817</v>
      </c>
      <c r="U41" s="1283"/>
      <c r="V41" s="1283"/>
      <c r="W41" s="1280" t="s">
        <v>822</v>
      </c>
      <c r="X41" s="1281"/>
      <c r="Y41" s="1282"/>
      <c r="Z41" s="1283" t="s">
        <v>1063</v>
      </c>
      <c r="AA41" s="1285" t="s">
        <v>1059</v>
      </c>
      <c r="AB41" s="1283" t="s">
        <v>823</v>
      </c>
      <c r="AC41" s="1283" t="s">
        <v>817</v>
      </c>
      <c r="AD41" s="1283"/>
      <c r="AE41" s="1283"/>
      <c r="AF41" s="1280" t="s">
        <v>822</v>
      </c>
      <c r="AG41" s="1281"/>
      <c r="AH41" s="1282"/>
      <c r="AI41" s="1283" t="s">
        <v>1084</v>
      </c>
      <c r="AJ41" s="1285" t="s">
        <v>1085</v>
      </c>
      <c r="AK41" s="1283" t="s">
        <v>823</v>
      </c>
      <c r="AL41" s="1283" t="s">
        <v>817</v>
      </c>
      <c r="AM41" s="1283"/>
      <c r="AN41" s="1283"/>
      <c r="AO41" s="1296" t="s">
        <v>669</v>
      </c>
      <c r="AP41" s="1296"/>
      <c r="AQ41" s="1296"/>
      <c r="AR41" s="1296"/>
      <c r="AS41" s="1296"/>
      <c r="AT41" s="1296"/>
      <c r="AU41" s="1296"/>
      <c r="AV41" s="1296"/>
      <c r="AW41" s="1284" t="s">
        <v>842</v>
      </c>
    </row>
    <row r="42" spans="2:54" ht="47.4" customHeight="1">
      <c r="C42" s="1284"/>
      <c r="D42" s="1297"/>
      <c r="E42" s="907" t="str">
        <f>$E$9</f>
        <v>Año 2023</v>
      </c>
      <c r="F42" s="907" t="str">
        <f>+E40</f>
        <v>Primer Trimestre</v>
      </c>
      <c r="G42" s="908" t="str">
        <f>$G$9</f>
        <v>Acumulado
Corte 
31/03/2023</v>
      </c>
      <c r="H42" s="1284"/>
      <c r="I42" s="1286"/>
      <c r="J42" s="1284"/>
      <c r="K42" s="907" t="str">
        <f>+$D$6</f>
        <v>Segundo Trimestre</v>
      </c>
      <c r="L42" s="908" t="str">
        <f>$G$12</f>
        <v>Acumulado
Corte 
31/03/2023</v>
      </c>
      <c r="M42" s="909" t="s">
        <v>714</v>
      </c>
      <c r="N42" s="936" t="str">
        <f>$N$9</f>
        <v>Año 2023</v>
      </c>
      <c r="O42" s="907" t="str">
        <f>+N40</f>
        <v>Segundo Trimestre</v>
      </c>
      <c r="P42" s="951" t="str">
        <f>$P$9</f>
        <v>Acumulado
Corte 
30/06/2023</v>
      </c>
      <c r="Q42" s="1284"/>
      <c r="R42" s="1286"/>
      <c r="S42" s="1284"/>
      <c r="T42" s="950" t="str">
        <f>+O42</f>
        <v>Segundo Trimestre</v>
      </c>
      <c r="U42" s="951" t="str">
        <f>$P$12</f>
        <v>Acumulado
Corte 
30/06/2023</v>
      </c>
      <c r="V42" s="952" t="s">
        <v>714</v>
      </c>
      <c r="W42" s="907" t="s">
        <v>1064</v>
      </c>
      <c r="X42" s="907" t="str">
        <f>+W40</f>
        <v>Tercer Trimestre</v>
      </c>
      <c r="Y42" s="908" t="s">
        <v>1058</v>
      </c>
      <c r="Z42" s="1284"/>
      <c r="AA42" s="1286"/>
      <c r="AB42" s="1284"/>
      <c r="AC42" s="907" t="str">
        <f>+X42</f>
        <v>Tercer Trimestre</v>
      </c>
      <c r="AD42" s="908" t="str">
        <f>+Y42</f>
        <v>Acumulado Corte 
30/09/2022</v>
      </c>
      <c r="AE42" s="909" t="s">
        <v>714</v>
      </c>
      <c r="AF42" s="907" t="s">
        <v>1064</v>
      </c>
      <c r="AG42" s="907" t="s">
        <v>1083</v>
      </c>
      <c r="AH42" s="908" t="s">
        <v>1060</v>
      </c>
      <c r="AI42" s="1284"/>
      <c r="AJ42" s="1286"/>
      <c r="AK42" s="1284"/>
      <c r="AL42" s="907" t="str">
        <f>+AG42</f>
        <v>Cuarto Trimestre
31-12-2022</v>
      </c>
      <c r="AM42" s="908" t="str">
        <f>+AH42</f>
        <v>Acumulado Corte 
31/12/2022</v>
      </c>
      <c r="AN42" s="909" t="s">
        <v>714</v>
      </c>
      <c r="AO42" s="987" t="s">
        <v>824</v>
      </c>
      <c r="AP42" s="988"/>
      <c r="AQ42" s="989" t="s">
        <v>825</v>
      </c>
      <c r="AR42" s="990"/>
      <c r="AS42" s="990"/>
      <c r="AT42" s="991"/>
      <c r="AU42" s="992" t="s">
        <v>677</v>
      </c>
      <c r="AV42" s="993"/>
      <c r="AW42" s="1284"/>
    </row>
    <row r="43" spans="2:54" ht="76.95" customHeight="1">
      <c r="B43" s="328">
        <f>1+B37</f>
        <v>16</v>
      </c>
      <c r="C43" s="329" t="str">
        <f>+'Rango indicadores'!D20</f>
        <v>04-RI-01</v>
      </c>
      <c r="D43" s="329" t="str">
        <f>+'Rango indicadores'!E20</f>
        <v>Productos de comunicación externa desarrollados</v>
      </c>
      <c r="E43" s="333">
        <f>+'Rango indicadores'!Q20</f>
        <v>1</v>
      </c>
      <c r="F43" s="333">
        <f>+'1.Informe Seguimiento POA 2023'!O93</f>
        <v>1</v>
      </c>
      <c r="G43" s="333">
        <f>IFERROR(AVERAGE('1.Informe Seguimiento POA 2023'!O93),0)</f>
        <v>1</v>
      </c>
      <c r="H43" s="333">
        <f>+'1.Informe Seguimiento POA 2023'!P93</f>
        <v>1</v>
      </c>
      <c r="I43" s="333">
        <f>IFERROR(AVERAGE('1.Informe Seguimiento POA 2023'!P93),0)</f>
        <v>1</v>
      </c>
      <c r="J43" s="333">
        <f>+I43</f>
        <v>1</v>
      </c>
      <c r="K43" s="365">
        <f>IF(AND(F43&gt;0),H43/F43,"No programado")</f>
        <v>1</v>
      </c>
      <c r="L43" s="365">
        <f>IF(AND(G43&gt;0),I43/G43,"No programado")</f>
        <v>1</v>
      </c>
      <c r="M43" s="332">
        <f>IF(AND(E43&gt;0,$J43&gt;0),J43/$E43,0)*0.25</f>
        <v>0.25</v>
      </c>
      <c r="N43" s="333">
        <f>+E43</f>
        <v>1</v>
      </c>
      <c r="O43" s="333">
        <f>+'1.Informe Seguimiento POA 2023'!Q93</f>
        <v>1</v>
      </c>
      <c r="P43" s="333">
        <f>IFERROR(AVERAGE('1.Informe Seguimiento POA 2023'!O93,'1.Informe Seguimiento POA 2023'!Q93),0)</f>
        <v>1</v>
      </c>
      <c r="Q43" s="333">
        <f>+'1.Informe Seguimiento POA 2023'!R93</f>
        <v>1</v>
      </c>
      <c r="R43" s="333">
        <f>IFERROR(AVERAGE('1.Informe Seguimiento POA 2023'!P93,'1.Informe Seguimiento POA 2023'!R93),0)</f>
        <v>1</v>
      </c>
      <c r="S43" s="333">
        <f>IFERROR(IF(OR($N43="",$N43=0),0,ROUNDDOWN(AVERAGE($H43,Q43),3)),0)</f>
        <v>1</v>
      </c>
      <c r="T43" s="365">
        <f>IF(AND(O43&gt;0),Q43/O43,"No programado")</f>
        <v>1</v>
      </c>
      <c r="U43" s="365">
        <f>IF(AND(P43&gt;0),R43/P43,"No programado")</f>
        <v>1</v>
      </c>
      <c r="V43" s="332">
        <f>IF(AND(N43&gt;0,$S43&gt;0),S43/$N43,0)*0.5</f>
        <v>0.5</v>
      </c>
      <c r="W43" s="333">
        <f>+N43</f>
        <v>1</v>
      </c>
      <c r="X43" s="333">
        <f>+'1.Informe Seguimiento POA 2023'!S93</f>
        <v>1</v>
      </c>
      <c r="Y43" s="333">
        <f>IFERROR(AVERAGE('1.Informe Seguimiento POA 2023'!O93,'1.Informe Seguimiento POA 2023'!Q93,'1.Informe Seguimiento POA 2023'!S93),0)</f>
        <v>1</v>
      </c>
      <c r="Z43" s="333">
        <f>+'1.Informe Seguimiento POA 2023'!T93</f>
        <v>0</v>
      </c>
      <c r="AA43" s="333">
        <f>IFERROR(AVERAGE('1.Informe Seguimiento POA 2023'!R93,'1.Informe Seguimiento POA 2023'!P93,'1.Informe Seguimiento POA 2023'!T93),0)</f>
        <v>0.66666666666666663</v>
      </c>
      <c r="AB43" s="333">
        <f>IFERROR(IF(OR($W43="",$W43=0),0,ROUNDDOWN(AVERAGE($H43,Q43,Z43),3)),0)</f>
        <v>0.66600000000000004</v>
      </c>
      <c r="AC43" s="365">
        <f>IF(AND(X43&gt;0),Z43/X43,"No programado")</f>
        <v>0</v>
      </c>
      <c r="AD43" s="365">
        <f>IF(AND(Y43&gt;0),AA43/Y43,"No programado")</f>
        <v>0.66666666666666663</v>
      </c>
      <c r="AE43" s="332">
        <f>IF(AND(W43&gt;0,$AB43&gt;0),AB43/$W43,0)*0.75</f>
        <v>0.49950000000000006</v>
      </c>
      <c r="AF43" s="333">
        <f>+W43</f>
        <v>1</v>
      </c>
      <c r="AG43" s="333">
        <f>+'1.Informe Seguimiento POA 2023'!U93</f>
        <v>1</v>
      </c>
      <c r="AH43" s="333">
        <f>IFERROR(AVERAGE('1.Informe Seguimiento POA 2023'!O93,'1.Informe Seguimiento POA 2023'!Q93,'1.Informe Seguimiento POA 2023'!S93,'1.Informe Seguimiento POA 2023'!U93),0)</f>
        <v>1</v>
      </c>
      <c r="AI43" s="333">
        <f>+'1.Informe Seguimiento POA 2023'!V93</f>
        <v>0</v>
      </c>
      <c r="AJ43" s="333">
        <f>IFERROR(AVERAGE('1.Informe Seguimiento POA 2023'!P93,'1.Informe Seguimiento POA 2023'!R93,'1.Informe Seguimiento POA 2023'!T93,'1.Informe Seguimiento POA 2023'!V93),0)</f>
        <v>0.5</v>
      </c>
      <c r="AK43" s="333">
        <f>IFERROR(IF(OR($AF43="",$AF43=0),0,ROUNDDOWN(AVERAGE($H43,Q43,Z43,AI43),3)),0)</f>
        <v>0.5</v>
      </c>
      <c r="AL43" s="365">
        <f>IF(AND(AG43&gt;0),AI43/AG43,"No programado")</f>
        <v>0</v>
      </c>
      <c r="AM43" s="365">
        <f>IF(AND(AH43&gt;0),AJ43/AH43,"No programado")</f>
        <v>0.5</v>
      </c>
      <c r="AN43" s="332">
        <f>IF(AND(AF43&gt;0,$AK43&gt;0),AK43/$AF43,0)</f>
        <v>0.5</v>
      </c>
      <c r="AO43" s="336" t="str">
        <f>+'Rango indicadores'!H20</f>
        <v>Mayor A:</v>
      </c>
      <c r="AP43" s="331">
        <f>+'Rango indicadores'!I20</f>
        <v>95</v>
      </c>
      <c r="AQ43" s="331" t="str">
        <f>+'Rango indicadores'!J20</f>
        <v>Desde (&gt;=):</v>
      </c>
      <c r="AR43" s="331">
        <f>+'Rango indicadores'!K20</f>
        <v>75</v>
      </c>
      <c r="AS43" s="331" t="str">
        <f>+'Rango indicadores'!L20</f>
        <v>Hasta (&lt;=):</v>
      </c>
      <c r="AT43" s="331">
        <f>+'Rango indicadores'!M20</f>
        <v>95</v>
      </c>
      <c r="AU43" s="331" t="str">
        <f>+'Rango indicadores'!N20</f>
        <v>Menor A:</v>
      </c>
      <c r="AV43" s="331">
        <f>+'Rango indicadores'!O20</f>
        <v>75</v>
      </c>
      <c r="AW43" s="421" t="s">
        <v>1176</v>
      </c>
    </row>
    <row r="44" spans="2:54" ht="76.95" customHeight="1">
      <c r="B44" s="328">
        <f>+B43+1</f>
        <v>17</v>
      </c>
      <c r="C44" s="329" t="str">
        <f>+'Rango indicadores'!D21</f>
        <v>04-RI-02</v>
      </c>
      <c r="D44" s="329" t="str">
        <f>+'Rango indicadores'!E21</f>
        <v>Productos  de comunicación interna
desarrollados</v>
      </c>
      <c r="E44" s="333">
        <f>+'Rango indicadores'!Q21</f>
        <v>1</v>
      </c>
      <c r="F44" s="333">
        <f>+'1.Informe Seguimiento POA 2023'!O94</f>
        <v>1</v>
      </c>
      <c r="G44" s="333">
        <f>IFERROR(AVERAGE('1.Informe Seguimiento POA 2023'!O94),0)</f>
        <v>1</v>
      </c>
      <c r="H44" s="333">
        <f>+'1.Informe Seguimiento POA 2023'!P94</f>
        <v>1</v>
      </c>
      <c r="I44" s="333">
        <f>IFERROR(AVERAGE('1.Informe Seguimiento POA 2023'!P94),0)</f>
        <v>1</v>
      </c>
      <c r="J44" s="333">
        <f>+I44</f>
        <v>1</v>
      </c>
      <c r="K44" s="365">
        <f>IF(AND(F44&gt;0),H44/F44,"No programado")</f>
        <v>1</v>
      </c>
      <c r="L44" s="365">
        <f t="shared" ref="L44" si="60">IF(AND(G44&gt;0),I44/G44,"No programado")</f>
        <v>1</v>
      </c>
      <c r="M44" s="332">
        <f>IF(AND(E44&gt;0,$J44&gt;0),J44/$E44,0)*0.25</f>
        <v>0.25</v>
      </c>
      <c r="N44" s="333">
        <f>+E44</f>
        <v>1</v>
      </c>
      <c r="O44" s="333">
        <f>+'1.Informe Seguimiento POA 2023'!Q94</f>
        <v>1</v>
      </c>
      <c r="P44" s="333">
        <f>IFERROR(AVERAGE('1.Informe Seguimiento POA 2023'!O94,'1.Informe Seguimiento POA 2023'!Q94),0)</f>
        <v>1</v>
      </c>
      <c r="Q44" s="333">
        <f>+'1.Informe Seguimiento POA 2023'!R94</f>
        <v>1</v>
      </c>
      <c r="R44" s="333">
        <f>IFERROR(AVERAGE('1.Informe Seguimiento POA 2023'!P94,'1.Informe Seguimiento POA 2023'!R94),0)</f>
        <v>1</v>
      </c>
      <c r="S44" s="333">
        <f>IFERROR(IF(OR($N44="",$N44=0),0,ROUNDDOWN(AVERAGE($H44,Q44),3)),0)</f>
        <v>1</v>
      </c>
      <c r="T44" s="365">
        <f>IF(AND(O44&gt;0),Q44/O44,"No programado")</f>
        <v>1</v>
      </c>
      <c r="U44" s="365">
        <f t="shared" ref="U44" si="61">IF(AND(P44&gt;0),R44/P44,"No programado")</f>
        <v>1</v>
      </c>
      <c r="V44" s="332">
        <f>IF(AND(N44&gt;0,$S44&gt;0),S44/$N44,0)*0.5</f>
        <v>0.5</v>
      </c>
      <c r="W44" s="333">
        <f>+N44</f>
        <v>1</v>
      </c>
      <c r="X44" s="333">
        <f>+'1.Informe Seguimiento POA 2023'!S94</f>
        <v>1</v>
      </c>
      <c r="Y44" s="333">
        <f>IFERROR(AVERAGE('1.Informe Seguimiento POA 2023'!O94,'1.Informe Seguimiento POA 2023'!Q94,'1.Informe Seguimiento POA 2023'!S94),0)</f>
        <v>1</v>
      </c>
      <c r="Z44" s="333">
        <f>+'1.Informe Seguimiento POA 2023'!T94</f>
        <v>0</v>
      </c>
      <c r="AA44" s="333">
        <f>IFERROR(AVERAGE('1.Informe Seguimiento POA 2023'!R94,'1.Informe Seguimiento POA 2023'!P94,'1.Informe Seguimiento POA 2023'!T94),0)</f>
        <v>0.66666666666666663</v>
      </c>
      <c r="AB44" s="333">
        <f>IFERROR(IF(OR($W44="",$W44=0),0,ROUNDDOWN(AVERAGE($H44,Q44,Z44),3)),0)</f>
        <v>0.66600000000000004</v>
      </c>
      <c r="AC44" s="365">
        <f>IF(AND(X44&gt;0),Z44/X44,"No programado")</f>
        <v>0</v>
      </c>
      <c r="AD44" s="365">
        <f t="shared" ref="AD44" si="62">IF(AND(Y44&gt;0),AA44/Y44,"No programado")</f>
        <v>0.66666666666666663</v>
      </c>
      <c r="AE44" s="332">
        <f>IF(AND(W44&gt;0,$AB44&gt;0),AB44/$W44,0)*0.75</f>
        <v>0.49950000000000006</v>
      </c>
      <c r="AF44" s="333">
        <f>+W44</f>
        <v>1</v>
      </c>
      <c r="AG44" s="333">
        <f>+'1.Informe Seguimiento POA 2023'!U94</f>
        <v>1</v>
      </c>
      <c r="AH44" s="333">
        <f>IFERROR(AVERAGE('1.Informe Seguimiento POA 2023'!O94,'1.Informe Seguimiento POA 2023'!Q94,'1.Informe Seguimiento POA 2023'!S94,'1.Informe Seguimiento POA 2023'!U94),0)</f>
        <v>1</v>
      </c>
      <c r="AI44" s="333">
        <f>+'1.Informe Seguimiento POA 2023'!V94</f>
        <v>0</v>
      </c>
      <c r="AJ44" s="333">
        <f>IFERROR(AVERAGE('1.Informe Seguimiento POA 2023'!P94,'1.Informe Seguimiento POA 2023'!R94,'1.Informe Seguimiento POA 2023'!T94,'1.Informe Seguimiento POA 2023'!V94),0)</f>
        <v>0.5</v>
      </c>
      <c r="AK44" s="333">
        <f>IFERROR(IF(OR($AF44="",$AF44=0),0,ROUNDDOWN(AVERAGE($H44,Q44,Z44,AI44),3)),0)</f>
        <v>0.5</v>
      </c>
      <c r="AL44" s="365">
        <f>IF(AND(AG44&gt;0),AI44/AG44,"No programado")</f>
        <v>0</v>
      </c>
      <c r="AM44" s="365">
        <f t="shared" ref="AM44" si="63">IF(AND(AH44&gt;0),AJ44/AH44,"No programado")</f>
        <v>0.5</v>
      </c>
      <c r="AN44" s="332">
        <f>IF(AND(AF44&gt;0,$AK44&gt;0),AK44/$AF44,0)</f>
        <v>0.5</v>
      </c>
      <c r="AO44" s="336" t="str">
        <f>+'Rango indicadores'!H21</f>
        <v>Mayor A:</v>
      </c>
      <c r="AP44" s="331">
        <f>+'Rango indicadores'!I21</f>
        <v>95</v>
      </c>
      <c r="AQ44" s="331" t="str">
        <f>+'Rango indicadores'!J21</f>
        <v>Desde (&gt;=):</v>
      </c>
      <c r="AR44" s="331">
        <f>+'Rango indicadores'!K21</f>
        <v>75</v>
      </c>
      <c r="AS44" s="331" t="str">
        <f>+'Rango indicadores'!L21</f>
        <v>Hasta (&lt;=):</v>
      </c>
      <c r="AT44" s="331">
        <f>+'Rango indicadores'!M21</f>
        <v>95</v>
      </c>
      <c r="AU44" s="331" t="str">
        <f>+'Rango indicadores'!N21</f>
        <v>Menor A:</v>
      </c>
      <c r="AV44" s="331">
        <f>+'Rango indicadores'!O21</f>
        <v>75</v>
      </c>
      <c r="AW44" s="421" t="s">
        <v>1176</v>
      </c>
    </row>
    <row r="45" spans="2:54" ht="15.6">
      <c r="C45" s="1319" t="s">
        <v>826</v>
      </c>
      <c r="D45" s="1320"/>
      <c r="E45" s="1320"/>
      <c r="F45" s="1320"/>
      <c r="G45" s="1320"/>
      <c r="H45" s="1320"/>
      <c r="I45" s="1320"/>
      <c r="J45" s="1320"/>
      <c r="K45" s="334">
        <f>IFERROR(AVERAGE(K43:K44),0)</f>
        <v>1</v>
      </c>
      <c r="L45" s="334">
        <f>IFERROR(AVERAGE(L43:L44),0)</f>
        <v>1</v>
      </c>
      <c r="M45" s="334">
        <f>IFERROR(AVERAGE(M43:M44),0)</f>
        <v>0.25</v>
      </c>
      <c r="N45" s="754"/>
      <c r="O45" s="754"/>
      <c r="P45" s="754"/>
      <c r="Q45" s="754"/>
      <c r="R45" s="754"/>
      <c r="S45" s="754"/>
      <c r="T45" s="334">
        <f>IFERROR(AVERAGE(T43:T44),0)</f>
        <v>1</v>
      </c>
      <c r="U45" s="334">
        <f>IFERROR(AVERAGE(U43:U44),0)</f>
        <v>1</v>
      </c>
      <c r="V45" s="334">
        <f>IFERROR(AVERAGE(V43:V44),0)</f>
        <v>0.5</v>
      </c>
      <c r="W45" s="754"/>
      <c r="X45" s="754"/>
      <c r="Y45" s="754"/>
      <c r="Z45" s="754"/>
      <c r="AA45" s="754"/>
      <c r="AB45" s="754"/>
      <c r="AC45" s="334">
        <f>IFERROR(AVERAGE(AC43:AC44),0)</f>
        <v>0</v>
      </c>
      <c r="AD45" s="334">
        <f>IFERROR(AVERAGE(AD43:AD44),0)</f>
        <v>0.66666666666666663</v>
      </c>
      <c r="AE45" s="334">
        <f>IFERROR(AVERAGE(AE43:AE44),0)</f>
        <v>0.49950000000000006</v>
      </c>
      <c r="AF45" s="754"/>
      <c r="AG45" s="754"/>
      <c r="AH45" s="754"/>
      <c r="AI45" s="754"/>
      <c r="AJ45" s="754"/>
      <c r="AK45" s="755"/>
      <c r="AL45" s="334">
        <f>IFERROR(AVERAGE(AL43:AL44),0)</f>
        <v>0</v>
      </c>
      <c r="AM45" s="334">
        <f>IFERROR(AVERAGE(AM43:AM44),0)</f>
        <v>0.5</v>
      </c>
      <c r="AN45" s="334">
        <f>IFERROR(AVERAGE(AN43:AN44),0)</f>
        <v>0.5</v>
      </c>
      <c r="AO45" s="341"/>
      <c r="AP45" s="341"/>
      <c r="AQ45" s="341"/>
      <c r="AR45" s="341"/>
      <c r="AS45" s="341"/>
      <c r="AT45" s="341"/>
      <c r="AU45" s="341"/>
      <c r="AV45" s="341"/>
      <c r="AW45" s="428"/>
    </row>
    <row r="46" spans="2:54" s="324" customFormat="1" ht="24" customHeight="1" thickBot="1">
      <c r="D46" s="326"/>
      <c r="AW46" s="326"/>
      <c r="AY46" s="310"/>
      <c r="AZ46" s="310"/>
    </row>
    <row r="47" spans="2:54" s="324" customFormat="1" ht="16.2" thickBot="1">
      <c r="C47" s="327" t="s">
        <v>830</v>
      </c>
      <c r="D47" s="357"/>
      <c r="E47" s="1290" t="s">
        <v>1053</v>
      </c>
      <c r="F47" s="1291"/>
      <c r="G47" s="1291"/>
      <c r="H47" s="1291"/>
      <c r="I47" s="1291"/>
      <c r="J47" s="1291"/>
      <c r="K47" s="1291"/>
      <c r="L47" s="1291"/>
      <c r="M47" s="1292"/>
      <c r="N47" s="1293" t="s">
        <v>1054</v>
      </c>
      <c r="O47" s="1294"/>
      <c r="P47" s="1294"/>
      <c r="Q47" s="1294"/>
      <c r="R47" s="1294"/>
      <c r="S47" s="1294"/>
      <c r="T47" s="1294"/>
      <c r="U47" s="1294"/>
      <c r="V47" s="1295"/>
      <c r="W47" s="1287" t="s">
        <v>1055</v>
      </c>
      <c r="X47" s="1288"/>
      <c r="Y47" s="1288"/>
      <c r="Z47" s="1288"/>
      <c r="AA47" s="1288"/>
      <c r="AB47" s="1288"/>
      <c r="AC47" s="1288"/>
      <c r="AD47" s="1288"/>
      <c r="AE47" s="1289"/>
      <c r="AF47" s="1293" t="s">
        <v>1002</v>
      </c>
      <c r="AG47" s="1294"/>
      <c r="AH47" s="1294"/>
      <c r="AI47" s="1294"/>
      <c r="AJ47" s="1294"/>
      <c r="AK47" s="1294"/>
      <c r="AL47" s="1294"/>
      <c r="AM47" s="1294"/>
      <c r="AN47" s="1295"/>
      <c r="AW47" s="326"/>
      <c r="AY47" s="310"/>
      <c r="AZ47" s="310"/>
    </row>
    <row r="48" spans="2:54" ht="28.2" customHeight="1">
      <c r="C48" s="1284" t="str">
        <f>+$C$11</f>
        <v>Identificación del Indicador</v>
      </c>
      <c r="D48" s="1297" t="s">
        <v>821</v>
      </c>
      <c r="E48" s="1280" t="s">
        <v>822</v>
      </c>
      <c r="F48" s="1281"/>
      <c r="G48" s="1282"/>
      <c r="H48" s="1283" t="s">
        <v>1057</v>
      </c>
      <c r="I48" s="1285" t="str">
        <f>$I$9</f>
        <v>Ejecución 
Corte
31/03/2023</v>
      </c>
      <c r="J48" s="1283" t="s">
        <v>823</v>
      </c>
      <c r="K48" s="1283" t="s">
        <v>817</v>
      </c>
      <c r="L48" s="1283"/>
      <c r="M48" s="1283"/>
      <c r="N48" s="1280" t="s">
        <v>822</v>
      </c>
      <c r="O48" s="1281"/>
      <c r="P48" s="1282"/>
      <c r="Q48" s="1283" t="s">
        <v>1062</v>
      </c>
      <c r="R48" s="1285" t="str">
        <f>$R$9</f>
        <v>Ejecución 
Corte
30/06/2023</v>
      </c>
      <c r="S48" s="1283" t="s">
        <v>823</v>
      </c>
      <c r="T48" s="1283" t="s">
        <v>817</v>
      </c>
      <c r="U48" s="1283"/>
      <c r="V48" s="1283"/>
      <c r="W48" s="1280" t="s">
        <v>822</v>
      </c>
      <c r="X48" s="1281"/>
      <c r="Y48" s="1282"/>
      <c r="Z48" s="1283" t="s">
        <v>1063</v>
      </c>
      <c r="AA48" s="1285" t="s">
        <v>1059</v>
      </c>
      <c r="AB48" s="1283" t="s">
        <v>823</v>
      </c>
      <c r="AC48" s="1283" t="s">
        <v>817</v>
      </c>
      <c r="AD48" s="1283"/>
      <c r="AE48" s="1283"/>
      <c r="AF48" s="1280" t="s">
        <v>822</v>
      </c>
      <c r="AG48" s="1281"/>
      <c r="AH48" s="1282"/>
      <c r="AI48" s="1283" t="s">
        <v>1084</v>
      </c>
      <c r="AJ48" s="1285" t="s">
        <v>1085</v>
      </c>
      <c r="AK48" s="1283" t="s">
        <v>823</v>
      </c>
      <c r="AL48" s="1283" t="s">
        <v>817</v>
      </c>
      <c r="AM48" s="1283"/>
      <c r="AN48" s="1283"/>
      <c r="AO48" s="1296" t="s">
        <v>669</v>
      </c>
      <c r="AP48" s="1296"/>
      <c r="AQ48" s="1296"/>
      <c r="AR48" s="1296"/>
      <c r="AS48" s="1296"/>
      <c r="AT48" s="1296"/>
      <c r="AU48" s="1296"/>
      <c r="AV48" s="1296"/>
      <c r="AW48" s="1284" t="s">
        <v>842</v>
      </c>
    </row>
    <row r="49" spans="2:53" ht="46.2" customHeight="1">
      <c r="C49" s="1284"/>
      <c r="D49" s="1297"/>
      <c r="E49" s="907" t="str">
        <f>$E$9</f>
        <v>Año 2023</v>
      </c>
      <c r="F49" s="907" t="str">
        <f>+E47</f>
        <v>Primer Trimestre</v>
      </c>
      <c r="G49" s="908" t="str">
        <f>$G$9</f>
        <v>Acumulado
Corte 
31/03/2023</v>
      </c>
      <c r="H49" s="1284"/>
      <c r="I49" s="1286"/>
      <c r="J49" s="1284"/>
      <c r="K49" s="907" t="str">
        <f>+$D$6</f>
        <v>Segundo Trimestre</v>
      </c>
      <c r="L49" s="908" t="str">
        <f>$G$12</f>
        <v>Acumulado
Corte 
31/03/2023</v>
      </c>
      <c r="M49" s="909" t="s">
        <v>714</v>
      </c>
      <c r="N49" s="936" t="str">
        <f>$N$9</f>
        <v>Año 2023</v>
      </c>
      <c r="O49" s="907" t="str">
        <f>+N47</f>
        <v>Segundo Trimestre</v>
      </c>
      <c r="P49" s="951" t="str">
        <f>$P$9</f>
        <v>Acumulado
Corte 
30/06/2023</v>
      </c>
      <c r="Q49" s="1284"/>
      <c r="R49" s="1286"/>
      <c r="S49" s="1284"/>
      <c r="T49" s="950" t="str">
        <f>+O49</f>
        <v>Segundo Trimestre</v>
      </c>
      <c r="U49" s="951" t="str">
        <f>$P$12</f>
        <v>Acumulado
Corte 
30/06/2023</v>
      </c>
      <c r="V49" s="952" t="s">
        <v>714</v>
      </c>
      <c r="W49" s="907" t="s">
        <v>1064</v>
      </c>
      <c r="X49" s="907" t="str">
        <f>+W47</f>
        <v>Tercer Trimestre</v>
      </c>
      <c r="Y49" s="908" t="s">
        <v>1058</v>
      </c>
      <c r="Z49" s="1284"/>
      <c r="AA49" s="1286"/>
      <c r="AB49" s="1284"/>
      <c r="AC49" s="907" t="str">
        <f>+X49</f>
        <v>Tercer Trimestre</v>
      </c>
      <c r="AD49" s="908" t="str">
        <f>+Y49</f>
        <v>Acumulado Corte 
30/09/2022</v>
      </c>
      <c r="AE49" s="909" t="s">
        <v>714</v>
      </c>
      <c r="AF49" s="907" t="s">
        <v>1064</v>
      </c>
      <c r="AG49" s="907" t="s">
        <v>1083</v>
      </c>
      <c r="AH49" s="908" t="s">
        <v>1060</v>
      </c>
      <c r="AI49" s="1284"/>
      <c r="AJ49" s="1286"/>
      <c r="AK49" s="1284"/>
      <c r="AL49" s="907" t="str">
        <f>+AG49</f>
        <v>Cuarto Trimestre
31-12-2022</v>
      </c>
      <c r="AM49" s="908" t="str">
        <f>+AH49</f>
        <v>Acumulado Corte 
31/12/2022</v>
      </c>
      <c r="AN49" s="909" t="s">
        <v>714</v>
      </c>
      <c r="AO49" s="987" t="s">
        <v>824</v>
      </c>
      <c r="AP49" s="988"/>
      <c r="AQ49" s="989" t="s">
        <v>825</v>
      </c>
      <c r="AR49" s="990"/>
      <c r="AS49" s="990"/>
      <c r="AT49" s="991"/>
      <c r="AU49" s="992" t="s">
        <v>677</v>
      </c>
      <c r="AV49" s="993"/>
      <c r="AW49" s="1284"/>
    </row>
    <row r="50" spans="2:53" ht="94.2" customHeight="1">
      <c r="B50" s="328">
        <f>+B44+1</f>
        <v>18</v>
      </c>
      <c r="C50" s="329" t="str">
        <f>+'Rango indicadores'!D83</f>
        <v>14-RI-01</v>
      </c>
      <c r="D50" s="329" t="str">
        <f>+'Rango indicadores'!E83</f>
        <v>Porcentaje de Percepción de los usuarios en calificación excelente y bueno incrementado</v>
      </c>
      <c r="E50" s="333">
        <f>+'Rango indicadores'!Q83</f>
        <v>0.9</v>
      </c>
      <c r="F50" s="361">
        <f>+'1.Informe Seguimiento POA 2023'!O59</f>
        <v>0.9</v>
      </c>
      <c r="G50" s="361">
        <f>+'1.Informe Seguimiento POA 2023'!O59</f>
        <v>0.9</v>
      </c>
      <c r="H50" s="683">
        <f>+'1.Informe Seguimiento POA 2023'!P59</f>
        <v>0.97499999999999998</v>
      </c>
      <c r="I50" s="683">
        <f>+'1.Informe Seguimiento POA 2023'!P59</f>
        <v>0.97499999999999998</v>
      </c>
      <c r="J50" s="683">
        <f>+I50</f>
        <v>0.97499999999999998</v>
      </c>
      <c r="K50" s="319">
        <f>IF(AND(F50&gt;0),H50/F50,"No programado")</f>
        <v>1.0833333333333333</v>
      </c>
      <c r="L50" s="319">
        <f>IF(AND(G50&gt;0),I50/G50,"No programado")</f>
        <v>1.0833333333333333</v>
      </c>
      <c r="M50" s="332">
        <f>IF(AND(E50&gt;0,$J50&gt;0),J50/$E50,0)*0.25</f>
        <v>0.27083333333333331</v>
      </c>
      <c r="N50" s="333">
        <f>+E50</f>
        <v>0.9</v>
      </c>
      <c r="O50" s="333">
        <f>+'1.Informe Seguimiento POA 2023'!Q59</f>
        <v>0</v>
      </c>
      <c r="P50" s="333">
        <f>+'1.Informe Seguimiento POA 2023'!O59</f>
        <v>0.9</v>
      </c>
      <c r="Q50" s="333">
        <f>+'1.Informe Seguimiento POA 2023'!R59</f>
        <v>0</v>
      </c>
      <c r="R50" s="361">
        <f>+'1.Informe Seguimiento POA 2023'!P59</f>
        <v>0.97499999999999998</v>
      </c>
      <c r="S50" s="361">
        <f>J50</f>
        <v>0.97499999999999998</v>
      </c>
      <c r="T50" s="319" t="str">
        <f>IF(AND(O50&gt;0),Q50/O50,"No programado")</f>
        <v>No programado</v>
      </c>
      <c r="U50" s="319">
        <f>IF(AND(P50&gt;0),R50/P50,"No programado")</f>
        <v>1.0833333333333333</v>
      </c>
      <c r="V50" s="332">
        <f>IF(AND(N50&gt;0,$S50&gt;0),S50/$N50,0)*0.5</f>
        <v>0.54166666666666663</v>
      </c>
      <c r="W50" s="333">
        <f>+N50</f>
        <v>0.9</v>
      </c>
      <c r="X50" s="333">
        <f>+'1.Informe Seguimiento POA 2023'!S59</f>
        <v>0.9</v>
      </c>
      <c r="Y50" s="333">
        <f>IFERROR(AVERAGE('1.Informe Seguimiento POA 2023'!O59,'1.Informe Seguimiento POA 2023'!S59),0)</f>
        <v>0.9</v>
      </c>
      <c r="Z50" s="333">
        <f>+'1.Informe Seguimiento POA 2023'!T59</f>
        <v>0</v>
      </c>
      <c r="AA50" s="803">
        <f>IFERROR(AVERAGE('1.Informe Seguimiento POA 2023'!P59,'1.Informe Seguimiento POA 2023'!T59),0)</f>
        <v>0.48749999999999999</v>
      </c>
      <c r="AB50" s="803">
        <f>IFERROR(IF(OR($W50="",$W50=0),0,ROUNDDOWN(AVERAGE($H50,Z50),3)),0)</f>
        <v>0.48699999999999999</v>
      </c>
      <c r="AC50" s="319">
        <f>IF(AND(X50&gt;0),Z50/X50,"No programado")</f>
        <v>0</v>
      </c>
      <c r="AD50" s="319">
        <f>IF(AND(Y50&gt;0),AA50/Y50,"No programado")</f>
        <v>0.54166666666666663</v>
      </c>
      <c r="AE50" s="332">
        <f>IF(AND(W50&gt;0,$AB50&gt;0),AB50/$W50,0)</f>
        <v>0.5411111111111111</v>
      </c>
      <c r="AF50" s="333">
        <f>+W50</f>
        <v>0.9</v>
      </c>
      <c r="AG50" s="333">
        <f>+'1.Informe Seguimiento POA 2023'!U59</f>
        <v>0</v>
      </c>
      <c r="AH50" s="333">
        <f>+'1.Informe Seguimiento POA 2023'!S59</f>
        <v>0.9</v>
      </c>
      <c r="AI50" s="333">
        <f>+'1.Informe Seguimiento POA 2023'!V59</f>
        <v>0</v>
      </c>
      <c r="AJ50" s="333">
        <f>+'1.Informe Seguimiento POA 2023'!T59</f>
        <v>0</v>
      </c>
      <c r="AK50" s="333">
        <f>+AB50</f>
        <v>0.48699999999999999</v>
      </c>
      <c r="AL50" s="319" t="str">
        <f>IF(AND(AG50&gt;0),AI50/AG50,"No programado")</f>
        <v>No programado</v>
      </c>
      <c r="AM50" s="319">
        <f>IF(AND(AH50&gt;0),AJ50/AH50,"No programado")</f>
        <v>0</v>
      </c>
      <c r="AN50" s="332">
        <f>IF(AND(AF50&gt;0,$AK50&gt;0),AK50/$AF50,0)</f>
        <v>0.5411111111111111</v>
      </c>
      <c r="AO50" s="342" t="str">
        <f>+'Rango indicadores'!H83</f>
        <v>Mayor A:</v>
      </c>
      <c r="AP50" s="331">
        <f>+'Rango indicadores'!I83</f>
        <v>95</v>
      </c>
      <c r="AQ50" s="331" t="str">
        <f>+'Rango indicadores'!J83</f>
        <v>Desde (&gt;=):</v>
      </c>
      <c r="AR50" s="331">
        <f>+'Rango indicadores'!K83</f>
        <v>75</v>
      </c>
      <c r="AS50" s="331" t="str">
        <f>+'Rango indicadores'!L83</f>
        <v>Hasta (&lt;=):</v>
      </c>
      <c r="AT50" s="331">
        <f>+'Rango indicadores'!M83</f>
        <v>95</v>
      </c>
      <c r="AU50" s="331" t="str">
        <f>+'Rango indicadores'!N83</f>
        <v>Menor A:</v>
      </c>
      <c r="AV50" s="331">
        <f>+'Rango indicadores'!O83</f>
        <v>75</v>
      </c>
      <c r="AW50" s="427" t="s">
        <v>1180</v>
      </c>
    </row>
    <row r="51" spans="2:53" ht="59.4" customHeight="1">
      <c r="B51" s="328">
        <f>+B50+1</f>
        <v>19</v>
      </c>
      <c r="C51" s="329" t="str">
        <f>+'Rango indicadores'!D84</f>
        <v>14-RI-02</v>
      </c>
      <c r="D51" s="329" t="str">
        <f>+'Rango indicadores'!E84</f>
        <v>Lineamientos implementados</v>
      </c>
      <c r="E51" s="331">
        <f>+'Rango indicadores'!Q84</f>
        <v>1</v>
      </c>
      <c r="F51" s="331">
        <f>+'1.Informe Seguimiento POA 2023'!O60</f>
        <v>0</v>
      </c>
      <c r="G51" s="331">
        <f>+'1.Informe Seguimiento POA 2023'!O60</f>
        <v>0</v>
      </c>
      <c r="H51" s="331">
        <f>+'1.Informe Seguimiento POA 2023'!P60</f>
        <v>0</v>
      </c>
      <c r="I51" s="331">
        <f>+'1.Informe Seguimiento POA 2023'!P60</f>
        <v>0</v>
      </c>
      <c r="J51" s="331">
        <f t="shared" ref="J51:J52" si="64">+I51</f>
        <v>0</v>
      </c>
      <c r="K51" s="347" t="str">
        <f>IF(AND(F51&gt;0),H51/F51,"No programado")</f>
        <v>No programado</v>
      </c>
      <c r="L51" s="347" t="str">
        <f t="shared" ref="L51:L52" si="65">IF(AND(G51&gt;0),I51/G51,"No programado")</f>
        <v>No programado</v>
      </c>
      <c r="M51" s="332">
        <f t="shared" ref="M51:M52" si="66">IF(AND(E51&gt;0,$J51&gt;0),J51/$E51,0)</f>
        <v>0</v>
      </c>
      <c r="N51" s="331">
        <f>+E51</f>
        <v>1</v>
      </c>
      <c r="O51" s="331">
        <f>+'1.Informe Seguimiento POA 2023'!Q60</f>
        <v>1</v>
      </c>
      <c r="P51" s="331">
        <f>+'1.Informe Seguimiento POA 2023'!O60+'1.Informe Seguimiento POA 2023'!Q60</f>
        <v>1</v>
      </c>
      <c r="Q51" s="331">
        <f>'1.Informe Seguimiento POA 2023'!R60</f>
        <v>1</v>
      </c>
      <c r="R51" s="331">
        <f>+'1.Informe Seguimiento POA 2023'!P60+'1.Informe Seguimiento POA 2023'!R60</f>
        <v>1</v>
      </c>
      <c r="S51" s="331">
        <f>H51+Q51</f>
        <v>1</v>
      </c>
      <c r="T51" s="347">
        <f>IF(AND(O51&gt;0),Q51/O51,"No programado")</f>
        <v>1</v>
      </c>
      <c r="U51" s="347">
        <f t="shared" ref="U51:U52" si="67">IF(AND(P51&gt;0),R51/P51,"No programado")</f>
        <v>1</v>
      </c>
      <c r="V51" s="332">
        <f>IF(AND(N51&gt;0,$S51&gt;0),S51/$N51,0)</f>
        <v>1</v>
      </c>
      <c r="W51" s="331">
        <f>+N51</f>
        <v>1</v>
      </c>
      <c r="X51" s="331">
        <f>+'1.Informe Seguimiento POA 2023'!S60</f>
        <v>0</v>
      </c>
      <c r="Y51" s="331">
        <f>+'1.Informe Seguimiento POA 2023'!O60+'1.Informe Seguimiento POA 2023'!Q60+'1.Informe Seguimiento POA 2023'!S60</f>
        <v>1</v>
      </c>
      <c r="Z51" s="331">
        <f>+'1.Informe Seguimiento POA 2023'!T60</f>
        <v>0</v>
      </c>
      <c r="AA51" s="331">
        <f>+'1.Informe Seguimiento POA 2023'!R60+'1.Informe Seguimiento POA 2023'!T60+'1.Informe Seguimiento POA 2023'!P60</f>
        <v>1</v>
      </c>
      <c r="AB51" s="331">
        <f>H51+Q51+Z51</f>
        <v>1</v>
      </c>
      <c r="AC51" s="347" t="str">
        <f>IF(AND(X51&gt;0),Z51/X51,"No programado")</f>
        <v>No programado</v>
      </c>
      <c r="AD51" s="347">
        <f t="shared" ref="AD51:AD52" si="68">IF(AND(Y51&gt;0),AA51/Y51,"No programado")</f>
        <v>1</v>
      </c>
      <c r="AE51" s="332">
        <f>IF(AND(W51&gt;0,$AB51&gt;0),AB51/$W51,0)</f>
        <v>1</v>
      </c>
      <c r="AF51" s="331">
        <f>+W51</f>
        <v>1</v>
      </c>
      <c r="AG51" s="331">
        <f>+'1.Informe Seguimiento POA 2023'!U60</f>
        <v>0</v>
      </c>
      <c r="AH51" s="331">
        <f>+'1.Informe Seguimiento POA 2023'!O60+'1.Informe Seguimiento POA 2023'!Q60+'1.Informe Seguimiento POA 2023'!S60+'1.Informe Seguimiento POA 2023'!U60</f>
        <v>1</v>
      </c>
      <c r="AI51" s="331">
        <f>+'1.Informe Seguimiento POA 2023'!V60</f>
        <v>0</v>
      </c>
      <c r="AJ51" s="331">
        <f>+'1.Informe Seguimiento POA 2023'!P60+'1.Informe Seguimiento POA 2023'!R60+'1.Informe Seguimiento POA 2023'!T60+'1.Informe Seguimiento POA 2023'!V60</f>
        <v>1</v>
      </c>
      <c r="AK51" s="331">
        <f>H51+Q51+Z51+AI51</f>
        <v>1</v>
      </c>
      <c r="AL51" s="347" t="str">
        <f>IF(AND(AG51&gt;0),AI51/AG51,"No programado")</f>
        <v>No programado</v>
      </c>
      <c r="AM51" s="347">
        <f t="shared" ref="AM51:AM52" si="69">IF(AND(AH51&gt;0),AJ51/AH51,"No programado")</f>
        <v>1</v>
      </c>
      <c r="AN51" s="332">
        <f>IF(AND(AF51&gt;0,$AK51&gt;0),AK51/$AF51,0)</f>
        <v>1</v>
      </c>
      <c r="AO51" s="342" t="str">
        <f>+'Rango indicadores'!H84</f>
        <v>Mayor A:</v>
      </c>
      <c r="AP51" s="331">
        <f>+'Rango indicadores'!I84</f>
        <v>95</v>
      </c>
      <c r="AQ51" s="331" t="str">
        <f>+'Rango indicadores'!J84</f>
        <v>Desde (&gt;=):</v>
      </c>
      <c r="AR51" s="331">
        <f>+'Rango indicadores'!K84</f>
        <v>75</v>
      </c>
      <c r="AS51" s="331" t="str">
        <f>+'Rango indicadores'!L84</f>
        <v>Hasta (&lt;=):</v>
      </c>
      <c r="AT51" s="331">
        <f>+'Rango indicadores'!M84</f>
        <v>95</v>
      </c>
      <c r="AU51" s="331" t="str">
        <f>+'Rango indicadores'!N84</f>
        <v>Menor A:</v>
      </c>
      <c r="AV51" s="331">
        <f>+'Rango indicadores'!O84</f>
        <v>75</v>
      </c>
      <c r="AW51" s="421" t="s">
        <v>1179</v>
      </c>
    </row>
    <row r="52" spans="2:53" ht="71.400000000000006" customHeight="1">
      <c r="B52" s="328">
        <f>+B51+1</f>
        <v>20</v>
      </c>
      <c r="C52" s="329" t="str">
        <f>+'Rango indicadores'!D85</f>
        <v>14-RI-03</v>
      </c>
      <c r="D52" s="329" t="str">
        <f>+'Rango indicadores'!E85</f>
        <v>Acuerdos interinstitucionales gestionados</v>
      </c>
      <c r="E52" s="331">
        <f>+'Rango indicadores'!Q85</f>
        <v>1</v>
      </c>
      <c r="F52" s="331">
        <f>+'1.Informe Seguimiento POA 2023'!O95</f>
        <v>0</v>
      </c>
      <c r="G52" s="331">
        <f>+'1.Informe Seguimiento POA 2023'!O95</f>
        <v>0</v>
      </c>
      <c r="H52" s="331">
        <f>+'1.Informe Seguimiento POA 2023'!P95</f>
        <v>0</v>
      </c>
      <c r="I52" s="331">
        <f>+'1.Informe Seguimiento POA 2023'!P95</f>
        <v>0</v>
      </c>
      <c r="J52" s="331">
        <f t="shared" si="64"/>
        <v>0</v>
      </c>
      <c r="K52" s="347" t="str">
        <f>IF(AND(F52&gt;0),H52/F52,"No programado")</f>
        <v>No programado</v>
      </c>
      <c r="L52" s="347" t="str">
        <f t="shared" si="65"/>
        <v>No programado</v>
      </c>
      <c r="M52" s="332">
        <f t="shared" si="66"/>
        <v>0</v>
      </c>
      <c r="N52" s="331">
        <f>+E52</f>
        <v>1</v>
      </c>
      <c r="O52" s="331">
        <f>+'1.Informe Seguimiento POA 2023'!Q95</f>
        <v>0</v>
      </c>
      <c r="P52" s="331">
        <f>+'1.Informe Seguimiento POA 2023'!O95+'1.Informe Seguimiento POA 2023'!Q95</f>
        <v>0</v>
      </c>
      <c r="Q52" s="331">
        <f>'1.Informe Seguimiento POA 2023'!R95</f>
        <v>0</v>
      </c>
      <c r="R52" s="331">
        <f>+'1.Informe Seguimiento POA 2023'!P95+'1.Informe Seguimiento POA 2023'!R95</f>
        <v>0</v>
      </c>
      <c r="S52" s="331">
        <f>H52+Q52</f>
        <v>0</v>
      </c>
      <c r="T52" s="347" t="str">
        <f>IF(AND(O52&gt;0),Q52/O52,"No programado")</f>
        <v>No programado</v>
      </c>
      <c r="U52" s="347" t="str">
        <f t="shared" si="67"/>
        <v>No programado</v>
      </c>
      <c r="V52" s="332">
        <f>IF(AND(N52&gt;0,$S52&gt;0),S52/$N52,0)</f>
        <v>0</v>
      </c>
      <c r="W52" s="331">
        <f>+N52</f>
        <v>1</v>
      </c>
      <c r="X52" s="331">
        <f>+'1.Informe Seguimiento POA 2023'!S95</f>
        <v>0</v>
      </c>
      <c r="Y52" s="331">
        <f>+'1.Informe Seguimiento POA 2023'!O95+'1.Informe Seguimiento POA 2023'!Q95+'1.Informe Seguimiento POA 2023'!S95</f>
        <v>0</v>
      </c>
      <c r="Z52" s="331">
        <f>+'1.Informe Seguimiento POA 2023'!T95</f>
        <v>0</v>
      </c>
      <c r="AA52" s="331">
        <f>+'1.Informe Seguimiento POA 2023'!R95+'1.Informe Seguimiento POA 2023'!T95+'1.Informe Seguimiento POA 2023'!P95</f>
        <v>0</v>
      </c>
      <c r="AB52" s="331">
        <f>H52+Q52+Z52</f>
        <v>0</v>
      </c>
      <c r="AC52" s="347" t="str">
        <f>IF(AND(X52&gt;0),Z52/X52,"No programado")</f>
        <v>No programado</v>
      </c>
      <c r="AD52" s="347" t="str">
        <f t="shared" si="68"/>
        <v>No programado</v>
      </c>
      <c r="AE52" s="332">
        <f>IF(AND(W52&gt;0,$AB52&gt;0),AB52/$W52,0)</f>
        <v>0</v>
      </c>
      <c r="AF52" s="331">
        <f>+W52</f>
        <v>1</v>
      </c>
      <c r="AG52" s="331">
        <f>+'1.Informe Seguimiento POA 2023'!U95</f>
        <v>1</v>
      </c>
      <c r="AH52" s="331">
        <f>+'1.Informe Seguimiento POA 2023'!O95+'1.Informe Seguimiento POA 2023'!Q95+'1.Informe Seguimiento POA 2023'!S95+'1.Informe Seguimiento POA 2023'!U95</f>
        <v>1</v>
      </c>
      <c r="AI52" s="331">
        <f>+'1.Informe Seguimiento POA 2023'!V95</f>
        <v>0</v>
      </c>
      <c r="AJ52" s="331">
        <f>+'1.Informe Seguimiento POA 2023'!P95+'1.Informe Seguimiento POA 2023'!R95+'1.Informe Seguimiento POA 2023'!T95+'1.Informe Seguimiento POA 2023'!V95</f>
        <v>0</v>
      </c>
      <c r="AK52" s="331">
        <f>H52+Q52+Z52+AI52</f>
        <v>0</v>
      </c>
      <c r="AL52" s="347">
        <f>IF(AND(AG52&gt;0),AI52/AG52,"No programado")</f>
        <v>0</v>
      </c>
      <c r="AM52" s="347">
        <f t="shared" si="69"/>
        <v>0</v>
      </c>
      <c r="AN52" s="332">
        <f>IF(AND(AF52&gt;0,$AK52&gt;0),AK52/$AF52,0)</f>
        <v>0</v>
      </c>
      <c r="AO52" s="342" t="str">
        <f>+'Rango indicadores'!H85</f>
        <v>Mayor A:</v>
      </c>
      <c r="AP52" s="331">
        <f>+'Rango indicadores'!I85</f>
        <v>95</v>
      </c>
      <c r="AQ52" s="331" t="str">
        <f>+'Rango indicadores'!J85</f>
        <v>Desde (&gt;=):</v>
      </c>
      <c r="AR52" s="331">
        <f>+'Rango indicadores'!K85</f>
        <v>75</v>
      </c>
      <c r="AS52" s="331" t="str">
        <f>+'Rango indicadores'!L85</f>
        <v>Hasta (&lt;=):</v>
      </c>
      <c r="AT52" s="331">
        <f>+'Rango indicadores'!M85</f>
        <v>95</v>
      </c>
      <c r="AU52" s="331" t="str">
        <f>+'Rango indicadores'!N85</f>
        <v>Menor A:</v>
      </c>
      <c r="AV52" s="331">
        <f>+'Rango indicadores'!O85</f>
        <v>75</v>
      </c>
      <c r="AW52" s="427" t="s">
        <v>1178</v>
      </c>
    </row>
    <row r="53" spans="2:53" ht="15.6">
      <c r="C53" s="1319" t="s">
        <v>826</v>
      </c>
      <c r="D53" s="1320"/>
      <c r="E53" s="1320"/>
      <c r="F53" s="1320"/>
      <c r="G53" s="1320"/>
      <c r="H53" s="1320"/>
      <c r="I53" s="1320"/>
      <c r="J53" s="1320"/>
      <c r="K53" s="334">
        <f t="shared" ref="K53:L53" si="70">IFERROR(AVERAGE(K50:K52),0)</f>
        <v>1.0833333333333333</v>
      </c>
      <c r="L53" s="334">
        <f t="shared" si="70"/>
        <v>1.0833333333333333</v>
      </c>
      <c r="M53" s="334">
        <f>IFERROR(AVERAGE(M50:M52),0)</f>
        <v>9.0277777777777776E-2</v>
      </c>
      <c r="N53" s="754"/>
      <c r="O53" s="754"/>
      <c r="P53" s="754"/>
      <c r="Q53" s="754"/>
      <c r="R53" s="754"/>
      <c r="S53" s="754"/>
      <c r="T53" s="334">
        <f t="shared" ref="T53:U53" si="71">IFERROR(AVERAGE(T50:T52),0)</f>
        <v>1</v>
      </c>
      <c r="U53" s="334">
        <f t="shared" si="71"/>
        <v>1.0416666666666665</v>
      </c>
      <c r="V53" s="334">
        <f>IFERROR(AVERAGE(V50:V51),0)</f>
        <v>0.77083333333333326</v>
      </c>
      <c r="W53" s="754"/>
      <c r="X53" s="754"/>
      <c r="Y53" s="754"/>
      <c r="Z53" s="754"/>
      <c r="AA53" s="754"/>
      <c r="AB53" s="754"/>
      <c r="AC53" s="334">
        <f t="shared" ref="AC53:AD53" si="72">IFERROR(AVERAGE(AC50:AC52),0)</f>
        <v>0</v>
      </c>
      <c r="AD53" s="334">
        <f t="shared" si="72"/>
        <v>0.77083333333333326</v>
      </c>
      <c r="AE53" s="334">
        <f>IFERROR(AVERAGE(AE50:AE52),0)</f>
        <v>0.51370370370370366</v>
      </c>
      <c r="AF53" s="754"/>
      <c r="AG53" s="754"/>
      <c r="AH53" s="754"/>
      <c r="AI53" s="754"/>
      <c r="AJ53" s="754"/>
      <c r="AK53" s="755"/>
      <c r="AL53" s="334">
        <f t="shared" ref="AL53:AM53" si="73">IFERROR(AVERAGE(AL50:AL52),0)</f>
        <v>0</v>
      </c>
      <c r="AM53" s="334">
        <f t="shared" si="73"/>
        <v>0.33333333333333331</v>
      </c>
      <c r="AN53" s="334">
        <f>IFERROR(AVERAGE(AN50:AN52),0)</f>
        <v>0.51370370370370366</v>
      </c>
      <c r="AO53" s="341"/>
      <c r="AP53" s="341"/>
      <c r="AQ53" s="341"/>
      <c r="AR53" s="341"/>
      <c r="AS53" s="341"/>
      <c r="AT53" s="341"/>
      <c r="AU53" s="341"/>
      <c r="AV53" s="341"/>
      <c r="AW53" s="428"/>
    </row>
    <row r="54" spans="2:53" s="324" customFormat="1" ht="23.4" customHeight="1" thickBot="1">
      <c r="D54" s="326"/>
      <c r="AW54" s="326"/>
      <c r="AY54" s="310"/>
      <c r="AZ54" s="310"/>
    </row>
    <row r="55" spans="2:53" s="324" customFormat="1" ht="16.2" thickBot="1">
      <c r="C55" s="327" t="s">
        <v>831</v>
      </c>
      <c r="D55" s="357"/>
      <c r="E55" s="1290" t="s">
        <v>1053</v>
      </c>
      <c r="F55" s="1291"/>
      <c r="G55" s="1291"/>
      <c r="H55" s="1291"/>
      <c r="I55" s="1291"/>
      <c r="J55" s="1291"/>
      <c r="K55" s="1291"/>
      <c r="L55" s="1291"/>
      <c r="M55" s="1292"/>
      <c r="N55" s="1293" t="s">
        <v>1054</v>
      </c>
      <c r="O55" s="1294"/>
      <c r="P55" s="1294"/>
      <c r="Q55" s="1294"/>
      <c r="R55" s="1294"/>
      <c r="S55" s="1294"/>
      <c r="T55" s="1294"/>
      <c r="U55" s="1294"/>
      <c r="V55" s="1295"/>
      <c r="W55" s="1287" t="s">
        <v>1055</v>
      </c>
      <c r="X55" s="1288"/>
      <c r="Y55" s="1288"/>
      <c r="Z55" s="1288"/>
      <c r="AA55" s="1288"/>
      <c r="AB55" s="1288"/>
      <c r="AC55" s="1288"/>
      <c r="AD55" s="1288"/>
      <c r="AE55" s="1289"/>
      <c r="AF55" s="1293" t="s">
        <v>1002</v>
      </c>
      <c r="AG55" s="1294"/>
      <c r="AH55" s="1294"/>
      <c r="AI55" s="1294"/>
      <c r="AJ55" s="1294"/>
      <c r="AK55" s="1294"/>
      <c r="AL55" s="1294"/>
      <c r="AM55" s="1294"/>
      <c r="AN55" s="1295"/>
      <c r="AW55" s="326"/>
      <c r="AY55" s="310"/>
      <c r="AZ55" s="310"/>
    </row>
    <row r="56" spans="2:53" ht="27" customHeight="1">
      <c r="C56" s="1284" t="str">
        <f>+$C$11</f>
        <v>Identificación del Indicador</v>
      </c>
      <c r="D56" s="1297" t="s">
        <v>821</v>
      </c>
      <c r="E56" s="1280" t="s">
        <v>822</v>
      </c>
      <c r="F56" s="1281"/>
      <c r="G56" s="1282"/>
      <c r="H56" s="1283" t="s">
        <v>1057</v>
      </c>
      <c r="I56" s="1285" t="str">
        <f>$I$9</f>
        <v>Ejecución 
Corte
31/03/2023</v>
      </c>
      <c r="J56" s="1283" t="s">
        <v>823</v>
      </c>
      <c r="K56" s="1283" t="s">
        <v>817</v>
      </c>
      <c r="L56" s="1283"/>
      <c r="M56" s="1283"/>
      <c r="N56" s="1280" t="s">
        <v>822</v>
      </c>
      <c r="O56" s="1281"/>
      <c r="P56" s="1282"/>
      <c r="Q56" s="1283" t="s">
        <v>1062</v>
      </c>
      <c r="R56" s="1285" t="str">
        <f>$R$9</f>
        <v>Ejecución 
Corte
30/06/2023</v>
      </c>
      <c r="S56" s="1283" t="s">
        <v>823</v>
      </c>
      <c r="T56" s="1283" t="s">
        <v>817</v>
      </c>
      <c r="U56" s="1283"/>
      <c r="V56" s="1283"/>
      <c r="W56" s="1280" t="s">
        <v>822</v>
      </c>
      <c r="X56" s="1281"/>
      <c r="Y56" s="1282"/>
      <c r="Z56" s="1283" t="s">
        <v>1063</v>
      </c>
      <c r="AA56" s="1285" t="s">
        <v>1059</v>
      </c>
      <c r="AB56" s="1283" t="s">
        <v>823</v>
      </c>
      <c r="AC56" s="1283" t="s">
        <v>817</v>
      </c>
      <c r="AD56" s="1283"/>
      <c r="AE56" s="1283"/>
      <c r="AF56" s="1280" t="s">
        <v>822</v>
      </c>
      <c r="AG56" s="1281"/>
      <c r="AH56" s="1282"/>
      <c r="AI56" s="1283" t="s">
        <v>1084</v>
      </c>
      <c r="AJ56" s="1285" t="s">
        <v>1085</v>
      </c>
      <c r="AK56" s="1283" t="s">
        <v>823</v>
      </c>
      <c r="AL56" s="1283" t="s">
        <v>817</v>
      </c>
      <c r="AM56" s="1283"/>
      <c r="AN56" s="1283"/>
      <c r="AO56" s="1296" t="s">
        <v>669</v>
      </c>
      <c r="AP56" s="1296"/>
      <c r="AQ56" s="1296"/>
      <c r="AR56" s="1296"/>
      <c r="AS56" s="1296"/>
      <c r="AT56" s="1296"/>
      <c r="AU56" s="1296"/>
      <c r="AV56" s="1296"/>
      <c r="AW56" s="1284" t="s">
        <v>842</v>
      </c>
    </row>
    <row r="57" spans="2:53" ht="53.4" customHeight="1">
      <c r="C57" s="1284"/>
      <c r="D57" s="1297"/>
      <c r="E57" s="907" t="str">
        <f>$E$9</f>
        <v>Año 2023</v>
      </c>
      <c r="F57" s="907" t="str">
        <f>+E55</f>
        <v>Primer Trimestre</v>
      </c>
      <c r="G57" s="908" t="str">
        <f>$G$9</f>
        <v>Acumulado
Corte 
31/03/2023</v>
      </c>
      <c r="H57" s="1284"/>
      <c r="I57" s="1286"/>
      <c r="J57" s="1284"/>
      <c r="K57" s="907" t="str">
        <f>+$D$6</f>
        <v>Segundo Trimestre</v>
      </c>
      <c r="L57" s="908" t="str">
        <f>$G$12</f>
        <v>Acumulado
Corte 
31/03/2023</v>
      </c>
      <c r="M57" s="909" t="s">
        <v>714</v>
      </c>
      <c r="N57" s="936" t="str">
        <f>$N$9</f>
        <v>Año 2023</v>
      </c>
      <c r="O57" s="907" t="str">
        <f>+N55</f>
        <v>Segundo Trimestre</v>
      </c>
      <c r="P57" s="951" t="str">
        <f>$P$9</f>
        <v>Acumulado
Corte 
30/06/2023</v>
      </c>
      <c r="Q57" s="1284"/>
      <c r="R57" s="1286"/>
      <c r="S57" s="1284"/>
      <c r="T57" s="950" t="str">
        <f>+O57</f>
        <v>Segundo Trimestre</v>
      </c>
      <c r="U57" s="951" t="str">
        <f>$P$12</f>
        <v>Acumulado
Corte 
30/06/2023</v>
      </c>
      <c r="V57" s="952" t="s">
        <v>714</v>
      </c>
      <c r="W57" s="907" t="s">
        <v>1064</v>
      </c>
      <c r="X57" s="907" t="str">
        <f>+W55</f>
        <v>Tercer Trimestre</v>
      </c>
      <c r="Y57" s="908" t="s">
        <v>1058</v>
      </c>
      <c r="Z57" s="1284"/>
      <c r="AA57" s="1286"/>
      <c r="AB57" s="1284"/>
      <c r="AC57" s="907" t="str">
        <f>+X57</f>
        <v>Tercer Trimestre</v>
      </c>
      <c r="AD57" s="908" t="str">
        <f>+Y57</f>
        <v>Acumulado Corte 
30/09/2022</v>
      </c>
      <c r="AE57" s="909" t="s">
        <v>714</v>
      </c>
      <c r="AF57" s="907" t="s">
        <v>1064</v>
      </c>
      <c r="AG57" s="907" t="s">
        <v>1083</v>
      </c>
      <c r="AH57" s="908" t="s">
        <v>1060</v>
      </c>
      <c r="AI57" s="1284"/>
      <c r="AJ57" s="1286"/>
      <c r="AK57" s="1284"/>
      <c r="AL57" s="907" t="str">
        <f>+AG57</f>
        <v>Cuarto Trimestre
31-12-2022</v>
      </c>
      <c r="AM57" s="908" t="str">
        <f>+AH57</f>
        <v>Acumulado Corte 
31/12/2022</v>
      </c>
      <c r="AN57" s="909" t="s">
        <v>714</v>
      </c>
      <c r="AO57" s="987" t="s">
        <v>824</v>
      </c>
      <c r="AP57" s="988"/>
      <c r="AQ57" s="989" t="s">
        <v>825</v>
      </c>
      <c r="AR57" s="990"/>
      <c r="AS57" s="990"/>
      <c r="AT57" s="991"/>
      <c r="AU57" s="992" t="s">
        <v>677</v>
      </c>
      <c r="AV57" s="993"/>
      <c r="AW57" s="1284"/>
    </row>
    <row r="58" spans="2:53" ht="228" customHeight="1">
      <c r="B58" s="328">
        <f>+B52+1</f>
        <v>21</v>
      </c>
      <c r="C58" s="329" t="str">
        <f>+'Rango indicadores'!D22</f>
        <v>05-RI-01</v>
      </c>
      <c r="D58" s="329" t="str">
        <f>+'Rango indicadores'!E22</f>
        <v>Intervenciones realizadas en defensa de los derechos</v>
      </c>
      <c r="E58" s="343">
        <f>+'Rango indicadores'!Q22</f>
        <v>114746</v>
      </c>
      <c r="F58" s="343">
        <f>'1.Informe Seguimiento POA 2023'!O13</f>
        <v>27678</v>
      </c>
      <c r="G58" s="343">
        <f>'1.Informe Seguimiento POA 2023'!O13</f>
        <v>27678</v>
      </c>
      <c r="H58" s="343">
        <f>'1.Informe Seguimiento POA 2023'!P13</f>
        <v>35504</v>
      </c>
      <c r="I58" s="343">
        <f>'1.Informe Seguimiento POA 2023'!P13</f>
        <v>35504</v>
      </c>
      <c r="J58" s="343">
        <f>I58</f>
        <v>35504</v>
      </c>
      <c r="K58" s="332">
        <f t="shared" ref="K58:K77" si="74">IF(AND(F58&gt;0),H58/F58,"No programado")</f>
        <v>1.2827516439049065</v>
      </c>
      <c r="L58" s="332">
        <f>IF(AND(G58&gt;0),I58/G58,"No programado")</f>
        <v>1.2827516439049065</v>
      </c>
      <c r="M58" s="332">
        <f t="shared" ref="M58:M77" si="75">IF(AND(E58&gt;0,$J58&gt;0),J58/$E58,0)</f>
        <v>0.30941383577641052</v>
      </c>
      <c r="N58" s="343">
        <f>+E58</f>
        <v>114746</v>
      </c>
      <c r="O58" s="331">
        <f>+'1.Informe Seguimiento POA 2023'!Q13</f>
        <v>30819</v>
      </c>
      <c r="P58" s="343">
        <f>F58+O58</f>
        <v>58497</v>
      </c>
      <c r="Q58" s="331">
        <f>'1.Informe Seguimiento POA 2023'!R13</f>
        <v>31739</v>
      </c>
      <c r="R58" s="331">
        <f>+'1.Informe Seguimiento POA 2023'!P13+'1.Informe Seguimiento POA 2023'!R13</f>
        <v>67243</v>
      </c>
      <c r="S58" s="343">
        <f>H58+Q58</f>
        <v>67243</v>
      </c>
      <c r="T58" s="332">
        <f t="shared" ref="T58:T77" si="76">IF(AND(O58&gt;0),Q58/O58,"No programado")</f>
        <v>1.0298517148512281</v>
      </c>
      <c r="U58" s="332">
        <f>IF(AND(P58&gt;0),R58/P58,"No programado")</f>
        <v>1.1495119407832881</v>
      </c>
      <c r="V58" s="332">
        <f t="shared" ref="V58:V63" si="77">IF(AND(N58&gt;0,$S58&gt;0),S58/$N58,0)</f>
        <v>0.58601607027695957</v>
      </c>
      <c r="W58" s="343">
        <f>+N58</f>
        <v>114746</v>
      </c>
      <c r="X58" s="331">
        <f>+'1.Informe Seguimiento POA 2023'!S13</f>
        <v>29500</v>
      </c>
      <c r="Y58" s="331">
        <f>+'1.Informe Seguimiento POA 2023'!O13+'1.Informe Seguimiento POA 2023'!Q13+'1.Informe Seguimiento POA 2023'!S13</f>
        <v>87997</v>
      </c>
      <c r="Z58" s="331">
        <f>+'1.Informe Seguimiento POA 2023'!T13</f>
        <v>0</v>
      </c>
      <c r="AA58" s="331">
        <f>+'1.Informe Seguimiento POA 2023'!R13+'1.Informe Seguimiento POA 2023'!T13+'1.Informe Seguimiento POA 2023'!P13</f>
        <v>67243</v>
      </c>
      <c r="AB58" s="331">
        <f>H58+Q58+Z58</f>
        <v>67243</v>
      </c>
      <c r="AC58" s="332">
        <f t="shared" ref="AC58:AC77" si="78">IF(AND(X58&gt;0),Z58/X58,"No programado")</f>
        <v>0</v>
      </c>
      <c r="AD58" s="332">
        <f>IF(AND(Y58&gt;0),AA58/Y58,"No programado")</f>
        <v>0.76415105060399791</v>
      </c>
      <c r="AE58" s="332">
        <f t="shared" ref="AE58:AE63" si="79">IF(AND(W58&gt;0,$AB58&gt;0),AB58/$W58,0)</f>
        <v>0.58601607027695957</v>
      </c>
      <c r="AF58" s="343">
        <f>+W58</f>
        <v>114746</v>
      </c>
      <c r="AG58" s="343">
        <f>+'1.Informe Seguimiento POA 2023'!U13</f>
        <v>26749</v>
      </c>
      <c r="AH58" s="343">
        <f>+'1.Informe Seguimiento POA 2023'!O13+'1.Informe Seguimiento POA 2023'!Q13+'1.Informe Seguimiento POA 2023'!S13+'1.Informe Seguimiento POA 2023'!U13</f>
        <v>114746</v>
      </c>
      <c r="AI58" s="343">
        <f>+'1.Informe Seguimiento POA 2023'!V13</f>
        <v>0</v>
      </c>
      <c r="AJ58" s="343">
        <f>+'1.Informe Seguimiento POA 2023'!P13+'1.Informe Seguimiento POA 2023'!R13+'1.Informe Seguimiento POA 2023'!T13+'1.Informe Seguimiento POA 2023'!V13</f>
        <v>67243</v>
      </c>
      <c r="AK58" s="343">
        <f>H58+Q58+Z58+AI58</f>
        <v>67243</v>
      </c>
      <c r="AL58" s="332">
        <f t="shared" ref="AL58:AL77" si="80">IF(AND(AG58&gt;0),AI58/AG58,"No programado")</f>
        <v>0</v>
      </c>
      <c r="AM58" s="332">
        <f>IF(AND(AH58&gt;0),AJ58/AH58,"No programado")</f>
        <v>0.58601607027695957</v>
      </c>
      <c r="AN58" s="332">
        <f t="shared" ref="AN58:AN63" si="81">IF(AND(AF58&gt;0,$AK58&gt;0),AK58/$AF58,0)</f>
        <v>0.58601607027695957</v>
      </c>
      <c r="AO58" s="336" t="str">
        <f>+'Rango indicadores'!H22</f>
        <v>Mayor A:</v>
      </c>
      <c r="AP58" s="331">
        <f>+'Rango indicadores'!I22</f>
        <v>95</v>
      </c>
      <c r="AQ58" s="331" t="str">
        <f>+'Rango indicadores'!J22</f>
        <v>Desde (&gt;=):</v>
      </c>
      <c r="AR58" s="331">
        <f>+'Rango indicadores'!K22</f>
        <v>75</v>
      </c>
      <c r="AS58" s="331" t="str">
        <f>+'Rango indicadores'!L22</f>
        <v>Hasta (&lt;=):</v>
      </c>
      <c r="AT58" s="331">
        <f>+'Rango indicadores'!M22</f>
        <v>95</v>
      </c>
      <c r="AU58" s="331" t="str">
        <f>+'Rango indicadores'!N22</f>
        <v>Menor A:</v>
      </c>
      <c r="AV58" s="331">
        <f>+'Rango indicadores'!O22</f>
        <v>75</v>
      </c>
      <c r="AW58" s="421" t="s">
        <v>1181</v>
      </c>
      <c r="AX58" s="979"/>
      <c r="AY58" s="979"/>
      <c r="AZ58" s="483"/>
      <c r="BA58" s="483"/>
    </row>
    <row r="59" spans="2:53" ht="264" customHeight="1">
      <c r="B59" s="328">
        <f t="shared" ref="B59:B64" si="82">+B58+1</f>
        <v>22</v>
      </c>
      <c r="C59" s="329" t="str">
        <f>+'Rango indicadores'!D23</f>
        <v>05-RI-02</v>
      </c>
      <c r="D59" s="329" t="str">
        <f>+'Rango indicadores'!E23</f>
        <v>Personas orientadas en garantía de derechos</v>
      </c>
      <c r="E59" s="343">
        <f>+'Rango indicadores'!Q23</f>
        <v>101508</v>
      </c>
      <c r="F59" s="343">
        <f>'1.Informe Seguimiento POA 2023'!O14</f>
        <v>22597</v>
      </c>
      <c r="G59" s="343">
        <f>'1.Informe Seguimiento POA 2023'!O14</f>
        <v>22597</v>
      </c>
      <c r="H59" s="343">
        <f>'1.Informe Seguimiento POA 2023'!P14</f>
        <v>28592</v>
      </c>
      <c r="I59" s="343">
        <f>'1.Informe Seguimiento POA 2023'!P14</f>
        <v>28592</v>
      </c>
      <c r="J59" s="343">
        <f t="shared" ref="J59:J63" si="83">I59</f>
        <v>28592</v>
      </c>
      <c r="K59" s="332">
        <f t="shared" si="74"/>
        <v>1.2653007036332256</v>
      </c>
      <c r="L59" s="332">
        <f>IF(AND(G59&gt;0),I59/G59,"No programado")</f>
        <v>1.2653007036332256</v>
      </c>
      <c r="M59" s="332">
        <f t="shared" si="75"/>
        <v>0.28167238050202942</v>
      </c>
      <c r="N59" s="343">
        <f t="shared" ref="N59:N77" si="84">+E59</f>
        <v>101508</v>
      </c>
      <c r="O59" s="331">
        <f>+'1.Informe Seguimiento POA 2023'!Q14</f>
        <v>27765</v>
      </c>
      <c r="P59" s="343">
        <f t="shared" ref="P59:P77" si="85">F59+O59</f>
        <v>50362</v>
      </c>
      <c r="Q59" s="331">
        <f>'1.Informe Seguimiento POA 2023'!R14</f>
        <v>31929</v>
      </c>
      <c r="R59" s="331">
        <f>+'1.Informe Seguimiento POA 2023'!P14+'1.Informe Seguimiento POA 2023'!R14</f>
        <v>60521</v>
      </c>
      <c r="S59" s="343">
        <f t="shared" ref="S59:S77" si="86">H59+Q59</f>
        <v>60521</v>
      </c>
      <c r="T59" s="332">
        <f t="shared" si="76"/>
        <v>1.1499729875742841</v>
      </c>
      <c r="U59" s="332">
        <f>IF(AND(P59&gt;0),R59/P59,"No programado")</f>
        <v>1.201719550454708</v>
      </c>
      <c r="V59" s="332">
        <f t="shared" si="77"/>
        <v>0.59621901722031756</v>
      </c>
      <c r="W59" s="343">
        <f t="shared" ref="W59:W77" si="87">+N59</f>
        <v>101508</v>
      </c>
      <c r="X59" s="331">
        <f>+'1.Informe Seguimiento POA 2023'!S14</f>
        <v>28298</v>
      </c>
      <c r="Y59" s="331">
        <f>+'1.Informe Seguimiento POA 2023'!O14+'1.Informe Seguimiento POA 2023'!Q14+'1.Informe Seguimiento POA 2023'!S14</f>
        <v>78660</v>
      </c>
      <c r="Z59" s="331">
        <f>+'1.Informe Seguimiento POA 2023'!T14</f>
        <v>0</v>
      </c>
      <c r="AA59" s="331">
        <f>+'1.Informe Seguimiento POA 2023'!R14+'1.Informe Seguimiento POA 2023'!T14+'1.Informe Seguimiento POA 2023'!P14</f>
        <v>60521</v>
      </c>
      <c r="AB59" s="331">
        <f t="shared" ref="AB59:AB77" si="88">H59+Q59+Z59</f>
        <v>60521</v>
      </c>
      <c r="AC59" s="332">
        <f t="shared" si="78"/>
        <v>0</v>
      </c>
      <c r="AD59" s="332">
        <f>IF(AND(Y59&gt;0),AA59/Y59,"No programado")</f>
        <v>0.76939994914823295</v>
      </c>
      <c r="AE59" s="332">
        <f t="shared" si="79"/>
        <v>0.59621901722031756</v>
      </c>
      <c r="AF59" s="343">
        <f t="shared" ref="AF59:AF77" si="89">+W59</f>
        <v>101508</v>
      </c>
      <c r="AG59" s="343">
        <f>+'1.Informe Seguimiento POA 2023'!U14</f>
        <v>22848</v>
      </c>
      <c r="AH59" s="343">
        <f>+'1.Informe Seguimiento POA 2023'!O14+'1.Informe Seguimiento POA 2023'!Q14+'1.Informe Seguimiento POA 2023'!S14+'1.Informe Seguimiento POA 2023'!U14</f>
        <v>101508</v>
      </c>
      <c r="AI59" s="343">
        <f>+'1.Informe Seguimiento POA 2023'!V14</f>
        <v>0</v>
      </c>
      <c r="AJ59" s="343">
        <f>+'1.Informe Seguimiento POA 2023'!P14+'1.Informe Seguimiento POA 2023'!R14+'1.Informe Seguimiento POA 2023'!T14+'1.Informe Seguimiento POA 2023'!V14</f>
        <v>60521</v>
      </c>
      <c r="AK59" s="343">
        <f t="shared" ref="AK59:AK77" si="90">H59+Q59+Z59+AI59</f>
        <v>60521</v>
      </c>
      <c r="AL59" s="332">
        <f t="shared" si="80"/>
        <v>0</v>
      </c>
      <c r="AM59" s="332">
        <f>IF(AND(AH59&gt;0),AJ59/AH59,"No programado")</f>
        <v>0.59621901722031756</v>
      </c>
      <c r="AN59" s="332">
        <f t="shared" si="81"/>
        <v>0.59621901722031756</v>
      </c>
      <c r="AO59" s="336" t="str">
        <f>+'Rango indicadores'!H23</f>
        <v>Mayor A:</v>
      </c>
      <c r="AP59" s="331">
        <f>+'Rango indicadores'!I23</f>
        <v>95</v>
      </c>
      <c r="AQ59" s="331" t="str">
        <f>+'Rango indicadores'!J23</f>
        <v>Desde (&gt;=):</v>
      </c>
      <c r="AR59" s="331">
        <f>+'Rango indicadores'!K23</f>
        <v>75</v>
      </c>
      <c r="AS59" s="331" t="str">
        <f>+'Rango indicadores'!L23</f>
        <v>Hasta (&lt;=):</v>
      </c>
      <c r="AT59" s="331">
        <f>+'Rango indicadores'!M23</f>
        <v>95</v>
      </c>
      <c r="AU59" s="331" t="str">
        <f>+'Rango indicadores'!N23</f>
        <v>Menor A:</v>
      </c>
      <c r="AV59" s="331">
        <f>+'Rango indicadores'!O23</f>
        <v>75</v>
      </c>
      <c r="AW59" s="421" t="s">
        <v>1182</v>
      </c>
      <c r="AX59" s="979"/>
      <c r="AY59" s="979"/>
      <c r="AZ59" s="483"/>
      <c r="BA59" s="483"/>
    </row>
    <row r="60" spans="2:53" ht="265.8" customHeight="1">
      <c r="B60" s="362">
        <f t="shared" si="82"/>
        <v>23</v>
      </c>
      <c r="C60" s="329" t="str">
        <f>+'Rango indicadores'!D24</f>
        <v>05-RI-03</v>
      </c>
      <c r="D60" s="329" t="str">
        <f>+'Rango indicadores'!E24</f>
        <v>Personas asistidas en garantía de derechos</v>
      </c>
      <c r="E60" s="343">
        <f>+'Rango indicadores'!Q24</f>
        <v>33521</v>
      </c>
      <c r="F60" s="343">
        <f>'1.Informe Seguimiento POA 2023'!O15</f>
        <v>8374</v>
      </c>
      <c r="G60" s="343">
        <f>'1.Informe Seguimiento POA 2023'!O15</f>
        <v>8374</v>
      </c>
      <c r="H60" s="343">
        <f>'1.Informe Seguimiento POA 2023'!P15</f>
        <v>9857</v>
      </c>
      <c r="I60" s="343">
        <f>'1.Informe Seguimiento POA 2023'!P15</f>
        <v>9857</v>
      </c>
      <c r="J60" s="343">
        <f t="shared" si="83"/>
        <v>9857</v>
      </c>
      <c r="K60" s="332">
        <f t="shared" si="74"/>
        <v>1.1770957726295677</v>
      </c>
      <c r="L60" s="332">
        <f>IF(AND(G60&gt;0),I60/G60,"No programado")</f>
        <v>1.1770957726295677</v>
      </c>
      <c r="M60" s="332">
        <f t="shared" si="75"/>
        <v>0.29405447331523521</v>
      </c>
      <c r="N60" s="343">
        <f t="shared" si="84"/>
        <v>33521</v>
      </c>
      <c r="O60" s="331">
        <f>+'1.Informe Seguimiento POA 2023'!Q15</f>
        <v>9237</v>
      </c>
      <c r="P60" s="343">
        <f t="shared" si="85"/>
        <v>17611</v>
      </c>
      <c r="Q60" s="331">
        <f>'1.Informe Seguimiento POA 2023'!R15</f>
        <v>10828</v>
      </c>
      <c r="R60" s="331">
        <f>+'1.Informe Seguimiento POA 2023'!P15+'1.Informe Seguimiento POA 2023'!R15</f>
        <v>20685</v>
      </c>
      <c r="S60" s="343">
        <f t="shared" si="86"/>
        <v>20685</v>
      </c>
      <c r="T60" s="332">
        <f t="shared" si="76"/>
        <v>1.1722420699361265</v>
      </c>
      <c r="U60" s="332">
        <f>IF(AND(P60&gt;0),R60/P60,"No programado")</f>
        <v>1.1745499971608653</v>
      </c>
      <c r="V60" s="332">
        <f t="shared" si="77"/>
        <v>0.61707586289191851</v>
      </c>
      <c r="W60" s="343">
        <f t="shared" si="87"/>
        <v>33521</v>
      </c>
      <c r="X60" s="331">
        <f>+'1.Informe Seguimiento POA 2023'!S15</f>
        <v>9559</v>
      </c>
      <c r="Y60" s="331">
        <f>+'1.Informe Seguimiento POA 2023'!O15+'1.Informe Seguimiento POA 2023'!Q15+'1.Informe Seguimiento POA 2023'!S15</f>
        <v>27170</v>
      </c>
      <c r="Z60" s="331">
        <f>+'1.Informe Seguimiento POA 2023'!T15</f>
        <v>0</v>
      </c>
      <c r="AA60" s="331">
        <f>+'1.Informe Seguimiento POA 2023'!R15+'1.Informe Seguimiento POA 2023'!T15+'1.Informe Seguimiento POA 2023'!P15</f>
        <v>20685</v>
      </c>
      <c r="AB60" s="331">
        <f t="shared" si="88"/>
        <v>20685</v>
      </c>
      <c r="AC60" s="332">
        <f t="shared" si="78"/>
        <v>0</v>
      </c>
      <c r="AD60" s="332">
        <f>IF(AND(Y60&gt;0),AA60/Y60,"No programado")</f>
        <v>0.76131762973868233</v>
      </c>
      <c r="AE60" s="332">
        <f t="shared" si="79"/>
        <v>0.61707586289191851</v>
      </c>
      <c r="AF60" s="343">
        <f t="shared" si="89"/>
        <v>33521</v>
      </c>
      <c r="AG60" s="343">
        <f>+'1.Informe Seguimiento POA 2023'!U15</f>
        <v>6351</v>
      </c>
      <c r="AH60" s="343">
        <f>+'1.Informe Seguimiento POA 2023'!O15+'1.Informe Seguimiento POA 2023'!Q15+'1.Informe Seguimiento POA 2023'!S15+'1.Informe Seguimiento POA 2023'!U15</f>
        <v>33521</v>
      </c>
      <c r="AI60" s="343">
        <f>+'1.Informe Seguimiento POA 2023'!V15</f>
        <v>0</v>
      </c>
      <c r="AJ60" s="343">
        <f>+'1.Informe Seguimiento POA 2023'!P15+'1.Informe Seguimiento POA 2023'!R15+'1.Informe Seguimiento POA 2023'!T15+'1.Informe Seguimiento POA 2023'!V15</f>
        <v>20685</v>
      </c>
      <c r="AK60" s="343">
        <f t="shared" si="90"/>
        <v>20685</v>
      </c>
      <c r="AL60" s="332">
        <f t="shared" si="80"/>
        <v>0</v>
      </c>
      <c r="AM60" s="332">
        <f>IF(AND(AH60&gt;0),AJ60/AH60,"No programado")</f>
        <v>0.61707586289191851</v>
      </c>
      <c r="AN60" s="332">
        <f t="shared" si="81"/>
        <v>0.61707586289191851</v>
      </c>
      <c r="AO60" s="336" t="str">
        <f>+'Rango indicadores'!H24</f>
        <v>Mayor A:</v>
      </c>
      <c r="AP60" s="331">
        <f>+'Rango indicadores'!I24</f>
        <v>95</v>
      </c>
      <c r="AQ60" s="331" t="str">
        <f>+'Rango indicadores'!J24</f>
        <v>Desde (&gt;=):</v>
      </c>
      <c r="AR60" s="331">
        <f>+'Rango indicadores'!K24</f>
        <v>75</v>
      </c>
      <c r="AS60" s="331" t="str">
        <f>+'Rango indicadores'!L24</f>
        <v>Hasta (&lt;=):</v>
      </c>
      <c r="AT60" s="331">
        <f>+'Rango indicadores'!M24</f>
        <v>95</v>
      </c>
      <c r="AU60" s="331" t="str">
        <f>+'Rango indicadores'!N24</f>
        <v>Menor A:</v>
      </c>
      <c r="AV60" s="331">
        <f>+'Rango indicadores'!O24</f>
        <v>75</v>
      </c>
      <c r="AW60" s="421" t="s">
        <v>1184</v>
      </c>
      <c r="AX60" s="979"/>
      <c r="AY60" s="979"/>
      <c r="AZ60" s="483">
        <f t="shared" ref="AZ60:AZ77" si="91">+Y60-AA60</f>
        <v>6485</v>
      </c>
      <c r="BA60" s="344"/>
    </row>
    <row r="61" spans="2:53" ht="171" customHeight="1">
      <c r="B61" s="328">
        <f t="shared" si="82"/>
        <v>24</v>
      </c>
      <c r="C61" s="329" t="str">
        <f>+'Rango indicadores'!D25</f>
        <v>05-RI-04</v>
      </c>
      <c r="D61" s="329" t="str">
        <f>+'Rango indicadores'!E25</f>
        <v>Personas asistidas en Mecanismos Alternativos de Solución de Conflictos</v>
      </c>
      <c r="E61" s="343">
        <f>+'Rango indicadores'!Q25</f>
        <v>9681</v>
      </c>
      <c r="F61" s="343">
        <f>'1.Informe Seguimiento POA 2023'!O16</f>
        <v>1596</v>
      </c>
      <c r="G61" s="343">
        <f>'1.Informe Seguimiento POA 2023'!O16</f>
        <v>1596</v>
      </c>
      <c r="H61" s="343">
        <f>'1.Informe Seguimiento POA 2023'!P16</f>
        <v>2984</v>
      </c>
      <c r="I61" s="343">
        <f>'1.Informe Seguimiento POA 2023'!P16</f>
        <v>2984</v>
      </c>
      <c r="J61" s="343">
        <f t="shared" si="83"/>
        <v>2984</v>
      </c>
      <c r="K61" s="332">
        <f t="shared" si="74"/>
        <v>1.8696741854636592</v>
      </c>
      <c r="L61" s="332">
        <f t="shared" ref="L61:L63" si="92">IF(AND(G61&gt;0),I61/G61,"No programado")</f>
        <v>1.8696741854636592</v>
      </c>
      <c r="M61" s="332">
        <f t="shared" si="75"/>
        <v>0.30823262059704576</v>
      </c>
      <c r="N61" s="343">
        <f t="shared" si="84"/>
        <v>9681</v>
      </c>
      <c r="O61" s="331">
        <f>+'1.Informe Seguimiento POA 2023'!Q16</f>
        <v>1894</v>
      </c>
      <c r="P61" s="343">
        <f t="shared" si="85"/>
        <v>3490</v>
      </c>
      <c r="Q61" s="331">
        <f>'1.Informe Seguimiento POA 2023'!R16</f>
        <v>3692</v>
      </c>
      <c r="R61" s="331">
        <f>+'1.Informe Seguimiento POA 2023'!P16+'1.Informe Seguimiento POA 2023'!R16</f>
        <v>6676</v>
      </c>
      <c r="S61" s="343">
        <f t="shared" si="86"/>
        <v>6676</v>
      </c>
      <c r="T61" s="332">
        <f t="shared" si="76"/>
        <v>1.9493136219640972</v>
      </c>
      <c r="U61" s="332">
        <f t="shared" ref="U61:U63" si="93">IF(AND(P61&gt;0),R61/P61,"No programado")</f>
        <v>1.9128939828080229</v>
      </c>
      <c r="V61" s="332">
        <f t="shared" si="77"/>
        <v>0.6895981820059911</v>
      </c>
      <c r="W61" s="343">
        <f t="shared" si="87"/>
        <v>9681</v>
      </c>
      <c r="X61" s="331">
        <f>+'1.Informe Seguimiento POA 2023'!S16</f>
        <v>3096</v>
      </c>
      <c r="Y61" s="331">
        <f>+'1.Informe Seguimiento POA 2023'!O16+'1.Informe Seguimiento POA 2023'!Q16+'1.Informe Seguimiento POA 2023'!S16</f>
        <v>6586</v>
      </c>
      <c r="Z61" s="331">
        <f>+'1.Informe Seguimiento POA 2023'!T16</f>
        <v>0</v>
      </c>
      <c r="AA61" s="331">
        <f>+'1.Informe Seguimiento POA 2023'!R16+'1.Informe Seguimiento POA 2023'!T16+'1.Informe Seguimiento POA 2023'!P16</f>
        <v>6676</v>
      </c>
      <c r="AB61" s="331">
        <f t="shared" si="88"/>
        <v>6676</v>
      </c>
      <c r="AC61" s="332">
        <f t="shared" si="78"/>
        <v>0</v>
      </c>
      <c r="AD61" s="332">
        <f t="shared" ref="AD61:AD63" si="94">IF(AND(Y61&gt;0),AA61/Y61,"No programado")</f>
        <v>1.0136653507440023</v>
      </c>
      <c r="AE61" s="332">
        <f t="shared" si="79"/>
        <v>0.6895981820059911</v>
      </c>
      <c r="AF61" s="343">
        <f t="shared" si="89"/>
        <v>9681</v>
      </c>
      <c r="AG61" s="343">
        <f>+'1.Informe Seguimiento POA 2023'!U16</f>
        <v>3095</v>
      </c>
      <c r="AH61" s="343">
        <f>+'1.Informe Seguimiento POA 2023'!O16+'1.Informe Seguimiento POA 2023'!Q16+'1.Informe Seguimiento POA 2023'!S16+'1.Informe Seguimiento POA 2023'!U16</f>
        <v>9681</v>
      </c>
      <c r="AI61" s="343">
        <f>+'1.Informe Seguimiento POA 2023'!V16</f>
        <v>0</v>
      </c>
      <c r="AJ61" s="343">
        <f>+'1.Informe Seguimiento POA 2023'!P16+'1.Informe Seguimiento POA 2023'!R16+'1.Informe Seguimiento POA 2023'!T16+'1.Informe Seguimiento POA 2023'!V16</f>
        <v>6676</v>
      </c>
      <c r="AK61" s="343">
        <f t="shared" si="90"/>
        <v>6676</v>
      </c>
      <c r="AL61" s="332">
        <f t="shared" si="80"/>
        <v>0</v>
      </c>
      <c r="AM61" s="332">
        <f t="shared" ref="AM61:AM63" si="95">IF(AND(AH61&gt;0),AJ61/AH61,"No programado")</f>
        <v>0.6895981820059911</v>
      </c>
      <c r="AN61" s="332">
        <f t="shared" si="81"/>
        <v>0.6895981820059911</v>
      </c>
      <c r="AO61" s="336" t="str">
        <f>+'Rango indicadores'!H25</f>
        <v>Mayor A:</v>
      </c>
      <c r="AP61" s="331">
        <f>+'Rango indicadores'!I25</f>
        <v>95</v>
      </c>
      <c r="AQ61" s="331" t="str">
        <f>+'Rango indicadores'!J25</f>
        <v>Desde (&gt;=):</v>
      </c>
      <c r="AR61" s="331">
        <f>+'Rango indicadores'!K25</f>
        <v>75</v>
      </c>
      <c r="AS61" s="331" t="str">
        <f>+'Rango indicadores'!L25</f>
        <v>Hasta (&lt;=):</v>
      </c>
      <c r="AT61" s="331">
        <f>+'Rango indicadores'!M25</f>
        <v>95</v>
      </c>
      <c r="AU61" s="331" t="str">
        <f>+'Rango indicadores'!N25</f>
        <v>Menor A:</v>
      </c>
      <c r="AV61" s="331">
        <f>+'Rango indicadores'!O25</f>
        <v>75</v>
      </c>
      <c r="AW61" s="427" t="s">
        <v>1190</v>
      </c>
      <c r="AX61" s="979"/>
      <c r="AY61" s="979"/>
      <c r="AZ61" s="483">
        <f t="shared" si="91"/>
        <v>-90</v>
      </c>
      <c r="BA61" s="344"/>
    </row>
    <row r="62" spans="2:53" ht="263.39999999999998" customHeight="1">
      <c r="B62" s="362">
        <f t="shared" si="82"/>
        <v>25</v>
      </c>
      <c r="C62" s="329" t="str">
        <f>+'Rango indicadores'!D26</f>
        <v>05-RI-05</v>
      </c>
      <c r="D62" s="329" t="str">
        <f>+'Rango indicadores'!E26</f>
        <v>Peticiones o requerimientos ciudadanos atendidos en garantía de derechos</v>
      </c>
      <c r="E62" s="343">
        <f>+'Rango indicadores'!Q26</f>
        <v>19470</v>
      </c>
      <c r="F62" s="343">
        <f>'1.Informe Seguimiento POA 2023'!O17</f>
        <v>4607</v>
      </c>
      <c r="G62" s="343">
        <f>'1.Informe Seguimiento POA 2023'!O17</f>
        <v>4607</v>
      </c>
      <c r="H62" s="343">
        <f>'1.Informe Seguimiento POA 2023'!P17</f>
        <v>6041</v>
      </c>
      <c r="I62" s="343">
        <f>'1.Informe Seguimiento POA 2023'!P17</f>
        <v>6041</v>
      </c>
      <c r="J62" s="343">
        <f t="shared" si="83"/>
        <v>6041</v>
      </c>
      <c r="K62" s="332">
        <f t="shared" si="74"/>
        <v>1.3112654655958325</v>
      </c>
      <c r="L62" s="332">
        <f t="shared" si="92"/>
        <v>1.3112654655958325</v>
      </c>
      <c r="M62" s="332">
        <f t="shared" si="75"/>
        <v>0.31027221366204416</v>
      </c>
      <c r="N62" s="343">
        <f t="shared" si="84"/>
        <v>19470</v>
      </c>
      <c r="O62" s="331">
        <f>+'1.Informe Seguimiento POA 2023'!Q17</f>
        <v>5458</v>
      </c>
      <c r="P62" s="343">
        <f t="shared" si="85"/>
        <v>10065</v>
      </c>
      <c r="Q62" s="331">
        <f>'1.Informe Seguimiento POA 2023'!R17</f>
        <v>7617</v>
      </c>
      <c r="R62" s="331">
        <f>+'1.Informe Seguimiento POA 2023'!P17+'1.Informe Seguimiento POA 2023'!R17</f>
        <v>13658</v>
      </c>
      <c r="S62" s="343">
        <f t="shared" si="86"/>
        <v>13658</v>
      </c>
      <c r="T62" s="332">
        <f t="shared" si="76"/>
        <v>1.3955661414437524</v>
      </c>
      <c r="U62" s="332">
        <f t="shared" si="93"/>
        <v>1.3569796323894685</v>
      </c>
      <c r="V62" s="332">
        <f t="shared" si="77"/>
        <v>0.70148947098099645</v>
      </c>
      <c r="W62" s="343">
        <f t="shared" si="87"/>
        <v>19470</v>
      </c>
      <c r="X62" s="331">
        <f>+'1.Informe Seguimiento POA 2023'!S17</f>
        <v>5458</v>
      </c>
      <c r="Y62" s="331">
        <f>+'1.Informe Seguimiento POA 2023'!O17+'1.Informe Seguimiento POA 2023'!Q17+'1.Informe Seguimiento POA 2023'!S17</f>
        <v>15523</v>
      </c>
      <c r="Z62" s="331">
        <f>+'1.Informe Seguimiento POA 2023'!T17</f>
        <v>0</v>
      </c>
      <c r="AA62" s="331">
        <f>+'1.Informe Seguimiento POA 2023'!R17+'1.Informe Seguimiento POA 2023'!T17+'1.Informe Seguimiento POA 2023'!P17</f>
        <v>13658</v>
      </c>
      <c r="AB62" s="331">
        <f t="shared" si="88"/>
        <v>13658</v>
      </c>
      <c r="AC62" s="332">
        <f t="shared" si="78"/>
        <v>0</v>
      </c>
      <c r="AD62" s="332">
        <f t="shared" si="94"/>
        <v>0.8798556979965213</v>
      </c>
      <c r="AE62" s="332">
        <f t="shared" si="79"/>
        <v>0.70148947098099645</v>
      </c>
      <c r="AF62" s="343">
        <f t="shared" si="89"/>
        <v>19470</v>
      </c>
      <c r="AG62" s="343">
        <f>+'1.Informe Seguimiento POA 2023'!U17</f>
        <v>3947</v>
      </c>
      <c r="AH62" s="343">
        <f>+'1.Informe Seguimiento POA 2023'!O17+'1.Informe Seguimiento POA 2023'!Q17+'1.Informe Seguimiento POA 2023'!S17+'1.Informe Seguimiento POA 2023'!U17</f>
        <v>19470</v>
      </c>
      <c r="AI62" s="343">
        <f>+'1.Informe Seguimiento POA 2023'!V17</f>
        <v>0</v>
      </c>
      <c r="AJ62" s="343">
        <f>+'1.Informe Seguimiento POA 2023'!P17+'1.Informe Seguimiento POA 2023'!R17+'1.Informe Seguimiento POA 2023'!T17+'1.Informe Seguimiento POA 2023'!V17</f>
        <v>13658</v>
      </c>
      <c r="AK62" s="343">
        <f t="shared" si="90"/>
        <v>13658</v>
      </c>
      <c r="AL62" s="332">
        <f t="shared" si="80"/>
        <v>0</v>
      </c>
      <c r="AM62" s="332">
        <f t="shared" si="95"/>
        <v>0.70148947098099645</v>
      </c>
      <c r="AN62" s="332">
        <f t="shared" si="81"/>
        <v>0.70148947098099645</v>
      </c>
      <c r="AO62" s="336" t="str">
        <f>+'Rango indicadores'!H26</f>
        <v>Mayor A:</v>
      </c>
      <c r="AP62" s="331">
        <f>+'Rango indicadores'!I26</f>
        <v>95</v>
      </c>
      <c r="AQ62" s="331" t="str">
        <f>+'Rango indicadores'!J26</f>
        <v>Desde (&gt;=):</v>
      </c>
      <c r="AR62" s="331">
        <f>+'Rango indicadores'!K26</f>
        <v>75</v>
      </c>
      <c r="AS62" s="331" t="str">
        <f>+'Rango indicadores'!L26</f>
        <v>Hasta (&lt;=):</v>
      </c>
      <c r="AT62" s="331">
        <f>+'Rango indicadores'!M26</f>
        <v>95</v>
      </c>
      <c r="AU62" s="331" t="str">
        <f>+'Rango indicadores'!N26</f>
        <v>Menor A:</v>
      </c>
      <c r="AV62" s="331">
        <f>+'Rango indicadores'!O26</f>
        <v>75</v>
      </c>
      <c r="AW62" s="421" t="s">
        <v>1191</v>
      </c>
      <c r="AX62" s="979"/>
      <c r="AY62" s="979"/>
      <c r="AZ62" s="483"/>
      <c r="BA62" s="344"/>
    </row>
    <row r="63" spans="2:53" ht="87" customHeight="1">
      <c r="B63" s="328">
        <f t="shared" si="82"/>
        <v>26</v>
      </c>
      <c r="C63" s="329" t="str">
        <f>+'Rango indicadores'!D27</f>
        <v>05-RI-06</v>
      </c>
      <c r="D63" s="329" t="str">
        <f>+'Rango indicadores'!E27</f>
        <v>Espacios de mejora y transferencia de conocimiento realizados</v>
      </c>
      <c r="E63" s="343">
        <f>+'Rango indicadores'!Q27</f>
        <v>20</v>
      </c>
      <c r="F63" s="343">
        <f>'1.Informe Seguimiento POA 2023'!O18</f>
        <v>0</v>
      </c>
      <c r="G63" s="343">
        <f>'1.Informe Seguimiento POA 2023'!O18</f>
        <v>0</v>
      </c>
      <c r="H63" s="343">
        <f>'1.Informe Seguimiento POA 2023'!P18</f>
        <v>2</v>
      </c>
      <c r="I63" s="343">
        <f>'1.Informe Seguimiento POA 2023'!P18</f>
        <v>2</v>
      </c>
      <c r="J63" s="343">
        <f t="shared" si="83"/>
        <v>2</v>
      </c>
      <c r="K63" s="345" t="str">
        <f t="shared" si="74"/>
        <v>No programado</v>
      </c>
      <c r="L63" s="345" t="str">
        <f t="shared" si="92"/>
        <v>No programado</v>
      </c>
      <c r="M63" s="332">
        <f t="shared" si="75"/>
        <v>0.1</v>
      </c>
      <c r="N63" s="343">
        <f t="shared" si="84"/>
        <v>20</v>
      </c>
      <c r="O63" s="331">
        <f>+'1.Informe Seguimiento POA 2023'!Q18</f>
        <v>7</v>
      </c>
      <c r="P63" s="343">
        <f t="shared" si="85"/>
        <v>7</v>
      </c>
      <c r="Q63" s="331">
        <f>'1.Informe Seguimiento POA 2023'!R18</f>
        <v>5</v>
      </c>
      <c r="R63" s="331">
        <f>+'1.Informe Seguimiento POA 2023'!P18+'1.Informe Seguimiento POA 2023'!R18</f>
        <v>7</v>
      </c>
      <c r="S63" s="343">
        <f t="shared" si="86"/>
        <v>7</v>
      </c>
      <c r="T63" s="345">
        <f t="shared" si="76"/>
        <v>0.7142857142857143</v>
      </c>
      <c r="U63" s="345">
        <f t="shared" si="93"/>
        <v>1</v>
      </c>
      <c r="V63" s="332">
        <f t="shared" si="77"/>
        <v>0.35</v>
      </c>
      <c r="W63" s="343">
        <f t="shared" si="87"/>
        <v>20</v>
      </c>
      <c r="X63" s="331">
        <f>+'1.Informe Seguimiento POA 2023'!S18</f>
        <v>9</v>
      </c>
      <c r="Y63" s="331">
        <f>+'1.Informe Seguimiento POA 2023'!O18+'1.Informe Seguimiento POA 2023'!Q18+'1.Informe Seguimiento POA 2023'!S18</f>
        <v>16</v>
      </c>
      <c r="Z63" s="331">
        <f>+'1.Informe Seguimiento POA 2023'!T18</f>
        <v>0</v>
      </c>
      <c r="AA63" s="331">
        <f>+'1.Informe Seguimiento POA 2023'!R18+'1.Informe Seguimiento POA 2023'!T18+'1.Informe Seguimiento POA 2023'!P18</f>
        <v>7</v>
      </c>
      <c r="AB63" s="331">
        <f t="shared" si="88"/>
        <v>7</v>
      </c>
      <c r="AC63" s="345">
        <f t="shared" si="78"/>
        <v>0</v>
      </c>
      <c r="AD63" s="345">
        <f t="shared" si="94"/>
        <v>0.4375</v>
      </c>
      <c r="AE63" s="332">
        <f t="shared" si="79"/>
        <v>0.35</v>
      </c>
      <c r="AF63" s="343">
        <f t="shared" si="89"/>
        <v>20</v>
      </c>
      <c r="AG63" s="343">
        <f>+'1.Informe Seguimiento POA 2023'!U18</f>
        <v>4</v>
      </c>
      <c r="AH63" s="343">
        <f>+'1.Informe Seguimiento POA 2023'!O18+'1.Informe Seguimiento POA 2023'!Q18+'1.Informe Seguimiento POA 2023'!S18+'1.Informe Seguimiento POA 2023'!U18</f>
        <v>20</v>
      </c>
      <c r="AI63" s="343">
        <f>+'1.Informe Seguimiento POA 2023'!V18</f>
        <v>0</v>
      </c>
      <c r="AJ63" s="343">
        <f>+'1.Informe Seguimiento POA 2023'!P18+'1.Informe Seguimiento POA 2023'!R18+'1.Informe Seguimiento POA 2023'!T18+'1.Informe Seguimiento POA 2023'!V18</f>
        <v>7</v>
      </c>
      <c r="AK63" s="343">
        <f t="shared" si="90"/>
        <v>7</v>
      </c>
      <c r="AL63" s="345">
        <f t="shared" si="80"/>
        <v>0</v>
      </c>
      <c r="AM63" s="345">
        <f t="shared" si="95"/>
        <v>0.35</v>
      </c>
      <c r="AN63" s="332">
        <f t="shared" si="81"/>
        <v>0.35</v>
      </c>
      <c r="AO63" s="336" t="str">
        <f>+'Rango indicadores'!H27</f>
        <v>Mayor A:</v>
      </c>
      <c r="AP63" s="331">
        <f>+'Rango indicadores'!I27</f>
        <v>95</v>
      </c>
      <c r="AQ63" s="331" t="str">
        <f>+'Rango indicadores'!J27</f>
        <v>Desde (&gt;=):</v>
      </c>
      <c r="AR63" s="331">
        <f>+'Rango indicadores'!K27</f>
        <v>75</v>
      </c>
      <c r="AS63" s="331" t="str">
        <f>+'Rango indicadores'!L27</f>
        <v>Hasta (&lt;=):</v>
      </c>
      <c r="AT63" s="331">
        <f>+'Rango indicadores'!M27</f>
        <v>95</v>
      </c>
      <c r="AU63" s="331" t="str">
        <f>+'Rango indicadores'!N27</f>
        <v>Menor A:</v>
      </c>
      <c r="AV63" s="331">
        <f>+'Rango indicadores'!O27</f>
        <v>75</v>
      </c>
      <c r="AW63" s="421" t="s">
        <v>1183</v>
      </c>
      <c r="AX63" s="979"/>
      <c r="AY63" s="979"/>
      <c r="AZ63" s="483">
        <f t="shared" si="91"/>
        <v>9</v>
      </c>
      <c r="BA63" s="344"/>
    </row>
    <row r="64" spans="2:53" ht="148.19999999999999" customHeight="1">
      <c r="B64" s="328">
        <f t="shared" si="82"/>
        <v>27</v>
      </c>
      <c r="C64" s="329" t="str">
        <f>+'Rango indicadores'!D28</f>
        <v>05-RI-07</v>
      </c>
      <c r="D64" s="329" t="str">
        <f>+'Rango indicadores'!E28</f>
        <v>Porcentaje de Acciones de Tutela, Desacatos e Impugnaciones Entregadas en un Termino Menor a Cinco (5) Días Hábiles</v>
      </c>
      <c r="E64" s="343" t="str">
        <f>+'Rango indicadores'!Q28</f>
        <v>&gt;=95%</v>
      </c>
      <c r="F64" s="361">
        <f>'1.Informe Seguimiento POA 2023'!O19</f>
        <v>0.94999999999999984</v>
      </c>
      <c r="G64" s="361">
        <f>'1.Informe Seguimiento POA 2023'!O19</f>
        <v>0.94999999999999984</v>
      </c>
      <c r="H64" s="683">
        <f>'1.Informe Seguimiento POA 2023'!P19</f>
        <v>1</v>
      </c>
      <c r="I64" s="683">
        <f>'1.Informe Seguimiento POA 2023'!P19</f>
        <v>1</v>
      </c>
      <c r="J64" s="683">
        <f t="shared" ref="J64:J65" si="96">I64</f>
        <v>1</v>
      </c>
      <c r="K64" s="332">
        <f t="shared" si="74"/>
        <v>1.0526315789473686</v>
      </c>
      <c r="L64" s="332">
        <f>(IF(AND(G64&gt;0),I64/G64,"No programado"))</f>
        <v>1.0526315789473686</v>
      </c>
      <c r="M64" s="332">
        <f>IF(AND(E64&gt;0,$J64&gt;0),J64/95%,0)*0.25</f>
        <v>0.26315789473684209</v>
      </c>
      <c r="N64" s="343" t="str">
        <f t="shared" si="84"/>
        <v>&gt;=95%</v>
      </c>
      <c r="O64" s="683">
        <f>+'1.Informe Seguimiento POA 2023'!Q19</f>
        <v>0.94999999999999984</v>
      </c>
      <c r="P64" s="753">
        <f>IFERROR(AVERAGE(F64,O64),0)</f>
        <v>0.94999999999999984</v>
      </c>
      <c r="Q64" s="683">
        <f>'1.Informe Seguimiento POA 2023'!R19</f>
        <v>1</v>
      </c>
      <c r="R64" s="333">
        <f>IFERROR(AVERAGE('1.Informe Seguimiento POA 2023'!P19,'1.Informe Seguimiento POA 2023'!R19),0)</f>
        <v>1</v>
      </c>
      <c r="S64" s="333">
        <f>IFERROR(IF(OR($N64="",$N64=0),0,ROUNDDOWN(AVERAGE($H64,Q64),3)),0)</f>
        <v>1</v>
      </c>
      <c r="T64" s="332">
        <f t="shared" si="76"/>
        <v>1.0526315789473686</v>
      </c>
      <c r="U64" s="332">
        <f>(IF(AND(P64&gt;0),R64/P64,"No programado"))</f>
        <v>1.0526315789473686</v>
      </c>
      <c r="V64" s="332">
        <f>IF(AND(N64&gt;0,$S64&gt;0),S64/95%,0)*0.5</f>
        <v>0.52631578947368418</v>
      </c>
      <c r="W64" s="343" t="str">
        <f t="shared" si="87"/>
        <v>&gt;=95%</v>
      </c>
      <c r="X64" s="361">
        <f>+'1.Informe Seguimiento POA 2023'!S19</f>
        <v>0.94999999999999984</v>
      </c>
      <c r="Y64" s="333">
        <f>IFERROR(AVERAGE('1.Informe Seguimiento POA 2023'!O19,'1.Informe Seguimiento POA 2023'!Q19,,'1.Informe Seguimiento POA 2023'!S19),0)</f>
        <v>0.71249999999999991</v>
      </c>
      <c r="Z64" s="333">
        <f>+'1.Informe Seguimiento POA 2023'!T19</f>
        <v>0</v>
      </c>
      <c r="AA64" s="333">
        <f>IFERROR(AVERAGE('1.Informe Seguimiento POA 2023'!R19,'1.Informe Seguimiento POA 2023'!P19,'1.Informe Seguimiento POA 2023'!T19),0)</f>
        <v>0.66666666666666663</v>
      </c>
      <c r="AB64" s="333">
        <f>IFERROR(IF(OR($W64="",$W64=0),0,ROUNDDOWN(AVERAGE($H64,Q64,Z64),3)),0)</f>
        <v>0.66600000000000004</v>
      </c>
      <c r="AC64" s="332">
        <f t="shared" si="78"/>
        <v>0</v>
      </c>
      <c r="AD64" s="332">
        <f>(IF(AND(Y64&gt;0),AA64/Y64,"No programado"))</f>
        <v>0.9356725146198831</v>
      </c>
      <c r="AE64" s="332">
        <f>IF(AND(W64&gt;0,$AB64&gt;0),AB64/95%,0)*0.75</f>
        <v>0.52578947368421058</v>
      </c>
      <c r="AF64" s="343" t="str">
        <f t="shared" si="89"/>
        <v>&gt;=95%</v>
      </c>
      <c r="AG64" s="422">
        <f>'1.Informe Seguimiento POA 2023'!U19</f>
        <v>0.94999999999999984</v>
      </c>
      <c r="AH64" s="422">
        <f>IFERROR(AVERAGE('1.Informe Seguimiento POA 2023'!O19,'1.Informe Seguimiento POA 2023'!Q19,'1.Informe Seguimiento POA 2023'!S19,'1.Informe Seguimiento POA 2023'!U19),0)</f>
        <v>0.94999999999999984</v>
      </c>
      <c r="AI64" s="422">
        <f>+'1.Informe Seguimiento POA 2023'!V19</f>
        <v>0</v>
      </c>
      <c r="AJ64" s="422">
        <f>IFERROR(AVERAGE('1.Informe Seguimiento POA 2023'!P19,'1.Informe Seguimiento POA 2023'!R19,'1.Informe Seguimiento POA 2023'!T19,'1.Informe Seguimiento POA 2023'!V19),0)</f>
        <v>0.5</v>
      </c>
      <c r="AK64" s="422">
        <f>IFERROR(IF(OR($AF64="",$AF64=0),0,ROUNDDOWN(AVERAGE($H64,Q64,Z64,AI64),3)),0)</f>
        <v>0.5</v>
      </c>
      <c r="AL64" s="332">
        <f t="shared" si="80"/>
        <v>0</v>
      </c>
      <c r="AM64" s="332">
        <f>(IF(AND(AH64&gt;0),AJ64/AH64,"No programado"))</f>
        <v>0.52631578947368429</v>
      </c>
      <c r="AN64" s="332">
        <f>IF(AND(AF64&gt;0,$AK64&gt;0),AK64/95%,0)*1</f>
        <v>0.52631578947368418</v>
      </c>
      <c r="AO64" s="336" t="str">
        <f>+'Rango indicadores'!H28</f>
        <v>Mayor A:</v>
      </c>
      <c r="AP64" s="331">
        <f>+'Rango indicadores'!I28</f>
        <v>95</v>
      </c>
      <c r="AQ64" s="331" t="str">
        <f>+'Rango indicadores'!J28</f>
        <v>Desde (&gt;=):</v>
      </c>
      <c r="AR64" s="331">
        <f>+'Rango indicadores'!K28</f>
        <v>75</v>
      </c>
      <c r="AS64" s="331" t="str">
        <f>+'Rango indicadores'!L28</f>
        <v>Hasta (&lt;=):</v>
      </c>
      <c r="AT64" s="331">
        <f>+'Rango indicadores'!M28</f>
        <v>95</v>
      </c>
      <c r="AU64" s="331" t="str">
        <f>+'Rango indicadores'!N28</f>
        <v>Menor A:</v>
      </c>
      <c r="AV64" s="331">
        <f>+'Rango indicadores'!O28</f>
        <v>75</v>
      </c>
      <c r="AW64" s="421" t="s">
        <v>1186</v>
      </c>
      <c r="AX64" s="979"/>
      <c r="AY64" s="979"/>
      <c r="AZ64" s="483"/>
      <c r="BA64" s="344"/>
    </row>
    <row r="65" spans="2:53" ht="130.19999999999999" customHeight="1">
      <c r="B65" s="328">
        <f t="shared" ref="B65:B77" si="97">+B64+1</f>
        <v>28</v>
      </c>
      <c r="C65" s="329" t="str">
        <f>+'Rango indicadores'!D29</f>
        <v>05-RI-08</v>
      </c>
      <c r="D65" s="329" t="str">
        <f>+'Rango indicadores'!E29</f>
        <v>Audiencias Publicas Realizadas con Asistencia del Ministerio Público</v>
      </c>
      <c r="E65" s="343">
        <f>+'Rango indicadores'!Q29</f>
        <v>6500</v>
      </c>
      <c r="F65" s="343">
        <f>'1.Informe Seguimiento POA 2023'!O20</f>
        <v>1300</v>
      </c>
      <c r="G65" s="343">
        <f>'1.Informe Seguimiento POA 2023'!O20</f>
        <v>1300</v>
      </c>
      <c r="H65" s="343">
        <f>'1.Informe Seguimiento POA 2023'!P20</f>
        <v>1879</v>
      </c>
      <c r="I65" s="343">
        <f>'1.Informe Seguimiento POA 2023'!P20</f>
        <v>1879</v>
      </c>
      <c r="J65" s="343">
        <f t="shared" si="96"/>
        <v>1879</v>
      </c>
      <c r="K65" s="332">
        <f t="shared" si="74"/>
        <v>1.4453846153846155</v>
      </c>
      <c r="L65" s="332">
        <f t="shared" ref="L65:L77" si="98">IF(AND(G65&gt;0),I65/G65,"No programado")</f>
        <v>1.4453846153846155</v>
      </c>
      <c r="M65" s="332">
        <f t="shared" si="75"/>
        <v>0.28907692307692306</v>
      </c>
      <c r="N65" s="343">
        <f t="shared" si="84"/>
        <v>6500</v>
      </c>
      <c r="O65" s="331">
        <f>+'1.Informe Seguimiento POA 2023'!Q20</f>
        <v>1950</v>
      </c>
      <c r="P65" s="343">
        <f t="shared" si="85"/>
        <v>3250</v>
      </c>
      <c r="Q65" s="331">
        <f>'1.Informe Seguimiento POA 2023'!R20</f>
        <v>1980</v>
      </c>
      <c r="R65" s="331">
        <f>+'1.Informe Seguimiento POA 2023'!P20+'1.Informe Seguimiento POA 2023'!R20</f>
        <v>3859</v>
      </c>
      <c r="S65" s="343">
        <f t="shared" si="86"/>
        <v>3859</v>
      </c>
      <c r="T65" s="332">
        <f t="shared" si="76"/>
        <v>1.0153846153846153</v>
      </c>
      <c r="U65" s="332">
        <f t="shared" ref="U65:U77" si="99">IF(AND(P65&gt;0),R65/P65,"No programado")</f>
        <v>1.1873846153846155</v>
      </c>
      <c r="V65" s="332">
        <f>IF(AND(N65&gt;0,$S65&gt;0),S65/$N65,0)</f>
        <v>0.59369230769230774</v>
      </c>
      <c r="W65" s="343">
        <f t="shared" si="87"/>
        <v>6500</v>
      </c>
      <c r="X65" s="331">
        <f>+'1.Informe Seguimiento POA 2023'!S20</f>
        <v>1950</v>
      </c>
      <c r="Y65" s="331">
        <f>+'1.Informe Seguimiento POA 2023'!O20+'1.Informe Seguimiento POA 2023'!Q20+'1.Informe Seguimiento POA 2023'!S20</f>
        <v>5200</v>
      </c>
      <c r="Z65" s="331">
        <f>+'1.Informe Seguimiento POA 2023'!T20</f>
        <v>0</v>
      </c>
      <c r="AA65" s="331">
        <f>+'1.Informe Seguimiento POA 2023'!R20+'1.Informe Seguimiento POA 2023'!T20+'1.Informe Seguimiento POA 2023'!P20</f>
        <v>3859</v>
      </c>
      <c r="AB65" s="331">
        <f t="shared" si="88"/>
        <v>3859</v>
      </c>
      <c r="AC65" s="332">
        <f t="shared" si="78"/>
        <v>0</v>
      </c>
      <c r="AD65" s="332">
        <f t="shared" ref="AD65:AD77" si="100">IF(AND(Y65&gt;0),AA65/Y65,"No programado")</f>
        <v>0.74211538461538462</v>
      </c>
      <c r="AE65" s="332">
        <f>IF(AND(W65&gt;0,$AB65&gt;0),AB65/$W65,0)</f>
        <v>0.59369230769230774</v>
      </c>
      <c r="AF65" s="343">
        <f t="shared" si="89"/>
        <v>6500</v>
      </c>
      <c r="AG65" s="343">
        <f>+'1.Informe Seguimiento POA 2023'!U20</f>
        <v>1300</v>
      </c>
      <c r="AH65" s="343">
        <f>+'1.Informe Seguimiento POA 2023'!O20+'1.Informe Seguimiento POA 2023'!Q20+'1.Informe Seguimiento POA 2023'!S20+'1.Informe Seguimiento POA 2023'!U20</f>
        <v>6500</v>
      </c>
      <c r="AI65" s="343">
        <f>+'1.Informe Seguimiento POA 2023'!V20</f>
        <v>0</v>
      </c>
      <c r="AJ65" s="343">
        <f>+'1.Informe Seguimiento POA 2023'!P20+'1.Informe Seguimiento POA 2023'!R20+'1.Informe Seguimiento POA 2023'!T20+'1.Informe Seguimiento POA 2023'!V20</f>
        <v>3859</v>
      </c>
      <c r="AK65" s="343">
        <f t="shared" si="90"/>
        <v>3859</v>
      </c>
      <c r="AL65" s="332">
        <f t="shared" si="80"/>
        <v>0</v>
      </c>
      <c r="AM65" s="332">
        <f t="shared" ref="AM65:AM77" si="101">IF(AND(AH65&gt;0),AJ65/AH65,"No programado")</f>
        <v>0.59369230769230774</v>
      </c>
      <c r="AN65" s="332">
        <f>IF(AND(AF65&gt;0,$AK65&gt;0),AK65/$AF65,0)</f>
        <v>0.59369230769230774</v>
      </c>
      <c r="AO65" s="336" t="str">
        <f>+'Rango indicadores'!H29</f>
        <v>Mayor A:</v>
      </c>
      <c r="AP65" s="331">
        <f>+'Rango indicadores'!I29</f>
        <v>95</v>
      </c>
      <c r="AQ65" s="331" t="str">
        <f>+'Rango indicadores'!J29</f>
        <v>Desde (&gt;=):</v>
      </c>
      <c r="AR65" s="331">
        <f>+'Rango indicadores'!K29</f>
        <v>75</v>
      </c>
      <c r="AS65" s="331" t="str">
        <f>+'Rango indicadores'!L29</f>
        <v>Hasta (&lt;=):</v>
      </c>
      <c r="AT65" s="331">
        <f>+'Rango indicadores'!M29</f>
        <v>95</v>
      </c>
      <c r="AU65" s="331" t="str">
        <f>+'Rango indicadores'!N29</f>
        <v>Menor A:</v>
      </c>
      <c r="AV65" s="331">
        <f>+'Rango indicadores'!O29</f>
        <v>75</v>
      </c>
      <c r="AW65" s="421" t="s">
        <v>1185</v>
      </c>
      <c r="AX65" s="979"/>
      <c r="AY65" s="979"/>
      <c r="AZ65" s="483"/>
    </row>
    <row r="66" spans="2:53" ht="154.80000000000001" customHeight="1">
      <c r="B66" s="328">
        <f t="shared" si="97"/>
        <v>29</v>
      </c>
      <c r="C66" s="329" t="str">
        <f>+'Rango indicadores'!D30</f>
        <v>05-RI-09</v>
      </c>
      <c r="D66" s="329" t="str">
        <f>+'Rango indicadores'!E30</f>
        <v>Intervenciones realizadas oportunamente para evitar la caducidad y perdida de fuerza ejecutoria (Impulsos procesales)</v>
      </c>
      <c r="E66" s="343">
        <f>+'Rango indicadores'!Q30</f>
        <v>2000</v>
      </c>
      <c r="F66" s="343">
        <f>'1.Informe Seguimiento POA 2023'!O21</f>
        <v>400</v>
      </c>
      <c r="G66" s="343">
        <f>'1.Informe Seguimiento POA 2023'!O21</f>
        <v>400</v>
      </c>
      <c r="H66" s="343">
        <f>'1.Informe Seguimiento POA 2023'!P21</f>
        <v>407</v>
      </c>
      <c r="I66" s="343">
        <f>'1.Informe Seguimiento POA 2023'!P21</f>
        <v>407</v>
      </c>
      <c r="J66" s="343">
        <f t="shared" ref="J66:J67" si="102">I66</f>
        <v>407</v>
      </c>
      <c r="K66" s="332">
        <f t="shared" si="74"/>
        <v>1.0175000000000001</v>
      </c>
      <c r="L66" s="332">
        <f t="shared" si="98"/>
        <v>1.0175000000000001</v>
      </c>
      <c r="M66" s="332">
        <f t="shared" si="75"/>
        <v>0.20349999999999999</v>
      </c>
      <c r="N66" s="343">
        <f t="shared" si="84"/>
        <v>2000</v>
      </c>
      <c r="O66" s="331">
        <f>+'1.Informe Seguimiento POA 2023'!Q21</f>
        <v>600</v>
      </c>
      <c r="P66" s="343">
        <f t="shared" si="85"/>
        <v>1000</v>
      </c>
      <c r="Q66" s="331">
        <f>'1.Informe Seguimiento POA 2023'!R21</f>
        <v>571</v>
      </c>
      <c r="R66" s="331">
        <f>+'1.Informe Seguimiento POA 2023'!P21+'1.Informe Seguimiento POA 2023'!R21</f>
        <v>978</v>
      </c>
      <c r="S66" s="343">
        <f t="shared" si="86"/>
        <v>978</v>
      </c>
      <c r="T66" s="332">
        <f t="shared" si="76"/>
        <v>0.95166666666666666</v>
      </c>
      <c r="U66" s="332">
        <f t="shared" si="99"/>
        <v>0.97799999999999998</v>
      </c>
      <c r="V66" s="332">
        <f>IF(AND(N66&gt;0,$S66&gt;0),S66/$N66,0)</f>
        <v>0.48899999999999999</v>
      </c>
      <c r="W66" s="343">
        <f t="shared" si="87"/>
        <v>2000</v>
      </c>
      <c r="X66" s="331">
        <f>+'1.Informe Seguimiento POA 2023'!S21</f>
        <v>600</v>
      </c>
      <c r="Y66" s="331">
        <f>+'1.Informe Seguimiento POA 2023'!O21+'1.Informe Seguimiento POA 2023'!Q21+'1.Informe Seguimiento POA 2023'!S21</f>
        <v>1600</v>
      </c>
      <c r="Z66" s="331">
        <f>+'1.Informe Seguimiento POA 2023'!T21</f>
        <v>0</v>
      </c>
      <c r="AA66" s="331">
        <f>+'1.Informe Seguimiento POA 2023'!R21+'1.Informe Seguimiento POA 2023'!T21+'1.Informe Seguimiento POA 2023'!P21</f>
        <v>978</v>
      </c>
      <c r="AB66" s="331">
        <f t="shared" si="88"/>
        <v>978</v>
      </c>
      <c r="AC66" s="332">
        <f t="shared" si="78"/>
        <v>0</v>
      </c>
      <c r="AD66" s="332">
        <f t="shared" si="100"/>
        <v>0.61124999999999996</v>
      </c>
      <c r="AE66" s="332">
        <f>IF(AND(W66&gt;0,$AB66&gt;0),AB66/$W66,0)</f>
        <v>0.48899999999999999</v>
      </c>
      <c r="AF66" s="343">
        <f t="shared" si="89"/>
        <v>2000</v>
      </c>
      <c r="AG66" s="343">
        <f>+'1.Informe Seguimiento POA 2023'!U21</f>
        <v>400</v>
      </c>
      <c r="AH66" s="343">
        <f>+'1.Informe Seguimiento POA 2023'!O21+'1.Informe Seguimiento POA 2023'!Q21+'1.Informe Seguimiento POA 2023'!S21+'1.Informe Seguimiento POA 2023'!U21</f>
        <v>2000</v>
      </c>
      <c r="AI66" s="343">
        <f>+'1.Informe Seguimiento POA 2023'!V21</f>
        <v>0</v>
      </c>
      <c r="AJ66" s="343">
        <f>+'1.Informe Seguimiento POA 2023'!P21+'1.Informe Seguimiento POA 2023'!R21+'1.Informe Seguimiento POA 2023'!T21+'1.Informe Seguimiento POA 2023'!V21</f>
        <v>978</v>
      </c>
      <c r="AK66" s="343">
        <f t="shared" si="90"/>
        <v>978</v>
      </c>
      <c r="AL66" s="332">
        <f t="shared" si="80"/>
        <v>0</v>
      </c>
      <c r="AM66" s="332">
        <f t="shared" si="101"/>
        <v>0.48899999999999999</v>
      </c>
      <c r="AN66" s="332">
        <f>IF(AND(AF66&gt;0,$AK66&gt;0),AK66/$AF66,0)</f>
        <v>0.48899999999999999</v>
      </c>
      <c r="AO66" s="336" t="str">
        <f>+'Rango indicadores'!H30</f>
        <v>Mayor A:</v>
      </c>
      <c r="AP66" s="331">
        <f>+'Rango indicadores'!I30</f>
        <v>95</v>
      </c>
      <c r="AQ66" s="331" t="str">
        <f>+'Rango indicadores'!J30</f>
        <v>Desde (&gt;=):</v>
      </c>
      <c r="AR66" s="331">
        <f>+'Rango indicadores'!K30</f>
        <v>75</v>
      </c>
      <c r="AS66" s="331" t="str">
        <f>+'Rango indicadores'!L30</f>
        <v>Hasta (&lt;=):</v>
      </c>
      <c r="AT66" s="331">
        <f>+'Rango indicadores'!M30</f>
        <v>95</v>
      </c>
      <c r="AU66" s="331" t="str">
        <f>+'Rango indicadores'!N30</f>
        <v>Menor A:</v>
      </c>
      <c r="AV66" s="331">
        <f>+'Rango indicadores'!O30</f>
        <v>75</v>
      </c>
      <c r="AW66" s="421" t="s">
        <v>1188</v>
      </c>
      <c r="AX66" s="979"/>
      <c r="AY66" s="979"/>
      <c r="AZ66" s="483"/>
    </row>
    <row r="67" spans="2:53" ht="171" customHeight="1">
      <c r="B67" s="328">
        <f t="shared" si="97"/>
        <v>30</v>
      </c>
      <c r="C67" s="329" t="str">
        <f>+'Rango indicadores'!D31</f>
        <v>05-RI-10</v>
      </c>
      <c r="D67" s="329" t="str">
        <f>+'Rango indicadores'!E31</f>
        <v>Expedientes con impulso procesal para la gestión de multas</v>
      </c>
      <c r="E67" s="343">
        <f>+'Rango indicadores'!Q31</f>
        <v>300</v>
      </c>
      <c r="F67" s="343">
        <f>'1.Informe Seguimiento POA 2023'!O22</f>
        <v>60</v>
      </c>
      <c r="G67" s="343">
        <f>'1.Informe Seguimiento POA 2023'!O22</f>
        <v>60</v>
      </c>
      <c r="H67" s="343">
        <f>'1.Informe Seguimiento POA 2023'!P22</f>
        <v>72</v>
      </c>
      <c r="I67" s="343">
        <f>'1.Informe Seguimiento POA 2023'!P22</f>
        <v>72</v>
      </c>
      <c r="J67" s="343">
        <f t="shared" si="102"/>
        <v>72</v>
      </c>
      <c r="K67" s="332">
        <f t="shared" si="74"/>
        <v>1.2</v>
      </c>
      <c r="L67" s="332">
        <f t="shared" si="98"/>
        <v>1.2</v>
      </c>
      <c r="M67" s="332">
        <f t="shared" si="75"/>
        <v>0.24</v>
      </c>
      <c r="N67" s="343">
        <f t="shared" si="84"/>
        <v>300</v>
      </c>
      <c r="O67" s="331">
        <f>+'1.Informe Seguimiento POA 2023'!Q22</f>
        <v>90</v>
      </c>
      <c r="P67" s="343">
        <f t="shared" si="85"/>
        <v>150</v>
      </c>
      <c r="Q67" s="331">
        <f>'1.Informe Seguimiento POA 2023'!R22</f>
        <v>99</v>
      </c>
      <c r="R67" s="331">
        <f>+'1.Informe Seguimiento POA 2023'!P22+'1.Informe Seguimiento POA 2023'!R22</f>
        <v>171</v>
      </c>
      <c r="S67" s="343">
        <f t="shared" si="86"/>
        <v>171</v>
      </c>
      <c r="T67" s="332">
        <f t="shared" si="76"/>
        <v>1.1000000000000001</v>
      </c>
      <c r="U67" s="332">
        <f t="shared" si="99"/>
        <v>1.1399999999999999</v>
      </c>
      <c r="V67" s="332">
        <f>IF(AND(N67&gt;0,$S67&gt;0),S67/$N67,0)</f>
        <v>0.56999999999999995</v>
      </c>
      <c r="W67" s="343">
        <f t="shared" si="87"/>
        <v>300</v>
      </c>
      <c r="X67" s="331">
        <f>+'1.Informe Seguimiento POA 2023'!S22</f>
        <v>90</v>
      </c>
      <c r="Y67" s="331">
        <f>+'1.Informe Seguimiento POA 2023'!O22+'1.Informe Seguimiento POA 2023'!Q22+'1.Informe Seguimiento POA 2023'!S22</f>
        <v>240</v>
      </c>
      <c r="Z67" s="331">
        <f>+'1.Informe Seguimiento POA 2023'!T22</f>
        <v>0</v>
      </c>
      <c r="AA67" s="331">
        <f>+'1.Informe Seguimiento POA 2023'!R22+'1.Informe Seguimiento POA 2023'!T22+'1.Informe Seguimiento POA 2023'!P22</f>
        <v>171</v>
      </c>
      <c r="AB67" s="331">
        <f t="shared" si="88"/>
        <v>171</v>
      </c>
      <c r="AC67" s="332">
        <f t="shared" si="78"/>
        <v>0</v>
      </c>
      <c r="AD67" s="332">
        <f t="shared" si="100"/>
        <v>0.71250000000000002</v>
      </c>
      <c r="AE67" s="332">
        <f>IF(AND(W67&gt;0,$AB67&gt;0),AB67/$W67,0)</f>
        <v>0.56999999999999995</v>
      </c>
      <c r="AF67" s="343">
        <f t="shared" si="89"/>
        <v>300</v>
      </c>
      <c r="AG67" s="343">
        <f>+'1.Informe Seguimiento POA 2023'!U22</f>
        <v>60</v>
      </c>
      <c r="AH67" s="343">
        <f>+'1.Informe Seguimiento POA 2023'!O22+'1.Informe Seguimiento POA 2023'!Q22+'1.Informe Seguimiento POA 2023'!S22+'1.Informe Seguimiento POA 2023'!U22</f>
        <v>300</v>
      </c>
      <c r="AI67" s="343">
        <f>+'1.Informe Seguimiento POA 2023'!V22</f>
        <v>0</v>
      </c>
      <c r="AJ67" s="343">
        <f>+'1.Informe Seguimiento POA 2023'!P22+'1.Informe Seguimiento POA 2023'!R22+'1.Informe Seguimiento POA 2023'!T22+'1.Informe Seguimiento POA 2023'!V22</f>
        <v>171</v>
      </c>
      <c r="AK67" s="343">
        <f t="shared" si="90"/>
        <v>171</v>
      </c>
      <c r="AL67" s="332">
        <f t="shared" si="80"/>
        <v>0</v>
      </c>
      <c r="AM67" s="332">
        <f t="shared" si="101"/>
        <v>0.56999999999999995</v>
      </c>
      <c r="AN67" s="332">
        <f>IF(AND(AF67&gt;0,$AK67&gt;0),AK67/$AF67,0)</f>
        <v>0.56999999999999995</v>
      </c>
      <c r="AO67" s="336" t="str">
        <f>+'Rango indicadores'!H31</f>
        <v>Mayor A:</v>
      </c>
      <c r="AP67" s="331">
        <f>+'Rango indicadores'!I31</f>
        <v>95</v>
      </c>
      <c r="AQ67" s="331" t="str">
        <f>+'Rango indicadores'!J31</f>
        <v>Desde (&gt;=):</v>
      </c>
      <c r="AR67" s="331">
        <f>+'Rango indicadores'!K31</f>
        <v>75</v>
      </c>
      <c r="AS67" s="331" t="str">
        <f>+'Rango indicadores'!L31</f>
        <v>Hasta (&lt;=):</v>
      </c>
      <c r="AT67" s="331">
        <f>+'Rango indicadores'!M31</f>
        <v>95</v>
      </c>
      <c r="AU67" s="331" t="str">
        <f>+'Rango indicadores'!N31</f>
        <v>Menor A:</v>
      </c>
      <c r="AV67" s="331">
        <f>+'Rango indicadores'!O31</f>
        <v>75</v>
      </c>
      <c r="AW67" s="421" t="s">
        <v>1187</v>
      </c>
      <c r="AX67" s="979"/>
      <c r="AY67" s="979"/>
      <c r="AZ67" s="483">
        <f t="shared" si="91"/>
        <v>69</v>
      </c>
    </row>
    <row r="68" spans="2:53" ht="55.5" customHeight="1">
      <c r="B68" s="328">
        <f t="shared" si="97"/>
        <v>31</v>
      </c>
      <c r="C68" s="329" t="str">
        <f>+'Rango indicadores'!D32</f>
        <v>05-RI-11</v>
      </c>
      <c r="D68" s="329" t="str">
        <f>+'Rango indicadores'!E32</f>
        <v>Estados de vulneración establecidos</v>
      </c>
      <c r="E68" s="903">
        <f>+'Rango indicadores'!Q32</f>
        <v>20</v>
      </c>
      <c r="F68" s="343">
        <f>'1.Informe Seguimiento POA 2023'!O23</f>
        <v>0</v>
      </c>
      <c r="G68" s="343">
        <f>'1.Informe Seguimiento POA 2023'!O23</f>
        <v>0</v>
      </c>
      <c r="H68" s="343">
        <f>'1.Informe Seguimiento POA 2023'!P23</f>
        <v>0</v>
      </c>
      <c r="I68" s="343">
        <f>'1.Informe Seguimiento POA 2023'!P23</f>
        <v>0</v>
      </c>
      <c r="J68" s="343">
        <f t="shared" ref="J68:J72" si="103">I68</f>
        <v>0</v>
      </c>
      <c r="K68" s="345" t="str">
        <f t="shared" si="74"/>
        <v>No programado</v>
      </c>
      <c r="L68" s="345" t="str">
        <f t="shared" si="98"/>
        <v>No programado</v>
      </c>
      <c r="M68" s="345" t="str">
        <f>IF(AND(E68&gt;0,$J68&gt;0),J68/$E68,"No programado")</f>
        <v>No programado</v>
      </c>
      <c r="N68" s="343">
        <f t="shared" si="84"/>
        <v>20</v>
      </c>
      <c r="O68" s="331">
        <f>+'1.Informe Seguimiento POA 2023'!Q23</f>
        <v>0</v>
      </c>
      <c r="P68" s="343">
        <f t="shared" si="85"/>
        <v>0</v>
      </c>
      <c r="Q68" s="331">
        <f>'1.Informe Seguimiento POA 2023'!R23</f>
        <v>0</v>
      </c>
      <c r="R68" s="331">
        <f>+'1.Informe Seguimiento POA 2023'!P23+'1.Informe Seguimiento POA 2023'!R23</f>
        <v>0</v>
      </c>
      <c r="S68" s="343">
        <f t="shared" si="86"/>
        <v>0</v>
      </c>
      <c r="T68" s="345" t="str">
        <f t="shared" si="76"/>
        <v>No programado</v>
      </c>
      <c r="U68" s="345" t="str">
        <f t="shared" si="99"/>
        <v>No programado</v>
      </c>
      <c r="V68" s="345" t="str">
        <f>IF(AND(N68&gt;0,$S68&gt;0),S68/$N68,"No programado")</f>
        <v>No programado</v>
      </c>
      <c r="W68" s="343">
        <f t="shared" si="87"/>
        <v>20</v>
      </c>
      <c r="X68" s="331">
        <f>+'1.Informe Seguimiento POA 2023'!S23</f>
        <v>0</v>
      </c>
      <c r="Y68" s="331">
        <f>+'1.Informe Seguimiento POA 2023'!O23+'1.Informe Seguimiento POA 2023'!Q23+'1.Informe Seguimiento POA 2023'!S23</f>
        <v>0</v>
      </c>
      <c r="Z68" s="331">
        <f>+'1.Informe Seguimiento POA 2023'!T23</f>
        <v>0</v>
      </c>
      <c r="AA68" s="331">
        <f>+'1.Informe Seguimiento POA 2023'!R23+'1.Informe Seguimiento POA 2023'!T23+'1.Informe Seguimiento POA 2023'!P23</f>
        <v>0</v>
      </c>
      <c r="AB68" s="331">
        <f t="shared" si="88"/>
        <v>0</v>
      </c>
      <c r="AC68" s="345" t="str">
        <f t="shared" si="78"/>
        <v>No programado</v>
      </c>
      <c r="AD68" s="345" t="str">
        <f t="shared" si="100"/>
        <v>No programado</v>
      </c>
      <c r="AE68" s="345" t="str">
        <f>IF(AND(W68&gt;0,$AB68&gt;0),AB68/$W68,"No programado")</f>
        <v>No programado</v>
      </c>
      <c r="AF68" s="343">
        <f t="shared" si="89"/>
        <v>20</v>
      </c>
      <c r="AG68" s="343">
        <f>+'1.Informe Seguimiento POA 2023'!U23</f>
        <v>20</v>
      </c>
      <c r="AH68" s="343">
        <f>+'1.Informe Seguimiento POA 2023'!O23+'1.Informe Seguimiento POA 2023'!Q23+'1.Informe Seguimiento POA 2023'!S23+'1.Informe Seguimiento POA 2023'!U23</f>
        <v>20</v>
      </c>
      <c r="AI68" s="343">
        <f>+'1.Informe Seguimiento POA 2023'!V23</f>
        <v>0</v>
      </c>
      <c r="AJ68" s="343">
        <f>+'1.Informe Seguimiento POA 2023'!P23+'1.Informe Seguimiento POA 2023'!R23+'1.Informe Seguimiento POA 2023'!T23+'1.Informe Seguimiento POA 2023'!V23</f>
        <v>0</v>
      </c>
      <c r="AK68" s="343">
        <f t="shared" si="90"/>
        <v>0</v>
      </c>
      <c r="AL68" s="345">
        <f t="shared" si="80"/>
        <v>0</v>
      </c>
      <c r="AM68" s="345">
        <f t="shared" si="101"/>
        <v>0</v>
      </c>
      <c r="AN68" s="345" t="str">
        <f>IF(AND(AF68&gt;0,$AK68&gt;0),AK68/$AF68,"No programado")</f>
        <v>No programado</v>
      </c>
      <c r="AO68" s="336" t="str">
        <f>+'Rango indicadores'!H32</f>
        <v>Mayor A:</v>
      </c>
      <c r="AP68" s="331">
        <f>+'Rango indicadores'!I32</f>
        <v>95</v>
      </c>
      <c r="AQ68" s="331" t="str">
        <f>+'Rango indicadores'!J32</f>
        <v>Desde (&gt;=):</v>
      </c>
      <c r="AR68" s="331">
        <f>+'Rango indicadores'!K32</f>
        <v>75</v>
      </c>
      <c r="AS68" s="331" t="str">
        <f>+'Rango indicadores'!L32</f>
        <v>Hasta (&lt;=):</v>
      </c>
      <c r="AT68" s="331">
        <f>+'Rango indicadores'!M32</f>
        <v>95</v>
      </c>
      <c r="AU68" s="331" t="str">
        <f>+'Rango indicadores'!N32</f>
        <v>Menor A:</v>
      </c>
      <c r="AV68" s="331">
        <f>+'Rango indicadores'!O32</f>
        <v>75</v>
      </c>
      <c r="AW68" s="911" t="s">
        <v>1161</v>
      </c>
      <c r="AX68" s="979"/>
      <c r="AY68" s="979"/>
      <c r="AZ68" s="483"/>
      <c r="BA68" s="344"/>
    </row>
    <row r="69" spans="2:53" ht="263.39999999999998" customHeight="1">
      <c r="B69" s="328">
        <f t="shared" si="97"/>
        <v>32</v>
      </c>
      <c r="C69" s="329" t="str">
        <f>+'Rango indicadores'!D33</f>
        <v>05-RI-12</v>
      </c>
      <c r="D69" s="329" t="str">
        <f>+'Rango indicadores'!E33</f>
        <v>Personas sensibilizadas en el Distrito Capital</v>
      </c>
      <c r="E69" s="343">
        <f>+'Rango indicadores'!Q33</f>
        <v>78131</v>
      </c>
      <c r="F69" s="343">
        <f>'1.Informe Seguimiento POA 2023'!O24</f>
        <v>12130</v>
      </c>
      <c r="G69" s="343">
        <f>'1.Informe Seguimiento POA 2023'!O24</f>
        <v>12130</v>
      </c>
      <c r="H69" s="343">
        <f>'1.Informe Seguimiento POA 2023'!P24</f>
        <v>17431</v>
      </c>
      <c r="I69" s="343">
        <f>'1.Informe Seguimiento POA 2023'!P24</f>
        <v>17431</v>
      </c>
      <c r="J69" s="343">
        <f t="shared" si="103"/>
        <v>17431</v>
      </c>
      <c r="K69" s="332">
        <f t="shared" si="74"/>
        <v>1.4370156636438582</v>
      </c>
      <c r="L69" s="332">
        <f t="shared" si="98"/>
        <v>1.4370156636438582</v>
      </c>
      <c r="M69" s="332">
        <f t="shared" si="75"/>
        <v>0.22309966594565536</v>
      </c>
      <c r="N69" s="343">
        <f t="shared" si="84"/>
        <v>78131</v>
      </c>
      <c r="O69" s="331">
        <f>+'1.Informe Seguimiento POA 2023'!Q24</f>
        <v>23258</v>
      </c>
      <c r="P69" s="343">
        <f t="shared" si="85"/>
        <v>35388</v>
      </c>
      <c r="Q69" s="331">
        <f>'1.Informe Seguimiento POA 2023'!R24</f>
        <v>25433</v>
      </c>
      <c r="R69" s="331">
        <f>+'1.Informe Seguimiento POA 2023'!P24+'1.Informe Seguimiento POA 2023'!R24</f>
        <v>42864</v>
      </c>
      <c r="S69" s="343">
        <f t="shared" si="86"/>
        <v>42864</v>
      </c>
      <c r="T69" s="332">
        <f t="shared" si="76"/>
        <v>1.0935162094763091</v>
      </c>
      <c r="U69" s="332">
        <f t="shared" si="99"/>
        <v>1.211258053577484</v>
      </c>
      <c r="V69" s="332">
        <f t="shared" ref="V69:V77" si="104">IF(AND(N69&gt;0,$S69&gt;0),S69/$N69,0)</f>
        <v>0.54861706620931516</v>
      </c>
      <c r="W69" s="343">
        <f t="shared" si="87"/>
        <v>78131</v>
      </c>
      <c r="X69" s="331">
        <f>+'1.Informe Seguimiento POA 2023'!S24</f>
        <v>25340</v>
      </c>
      <c r="Y69" s="331">
        <f>+'1.Informe Seguimiento POA 2023'!O24+'1.Informe Seguimiento POA 2023'!Q24+'1.Informe Seguimiento POA 2023'!S24</f>
        <v>60728</v>
      </c>
      <c r="Z69" s="331">
        <f>+'1.Informe Seguimiento POA 2023'!T24</f>
        <v>0</v>
      </c>
      <c r="AA69" s="331">
        <f>+'1.Informe Seguimiento POA 2023'!R24+'1.Informe Seguimiento POA 2023'!T24+'1.Informe Seguimiento POA 2023'!P24</f>
        <v>42864</v>
      </c>
      <c r="AB69" s="331">
        <f t="shared" si="88"/>
        <v>42864</v>
      </c>
      <c r="AC69" s="332">
        <f t="shared" si="78"/>
        <v>0</v>
      </c>
      <c r="AD69" s="332">
        <f t="shared" si="100"/>
        <v>0.70583585825319461</v>
      </c>
      <c r="AE69" s="332">
        <f t="shared" ref="AE69:AE77" si="105">IF(AND(W69&gt;0,$AB69&gt;0),AB69/$W69,0)</f>
        <v>0.54861706620931516</v>
      </c>
      <c r="AF69" s="343">
        <f t="shared" si="89"/>
        <v>78131</v>
      </c>
      <c r="AG69" s="343">
        <f>+'1.Informe Seguimiento POA 2023'!U24</f>
        <v>17403</v>
      </c>
      <c r="AH69" s="343">
        <f>+'1.Informe Seguimiento POA 2023'!O24+'1.Informe Seguimiento POA 2023'!Q24+'1.Informe Seguimiento POA 2023'!S24+'1.Informe Seguimiento POA 2023'!U24</f>
        <v>78131</v>
      </c>
      <c r="AI69" s="343">
        <f>+'1.Informe Seguimiento POA 2023'!V24</f>
        <v>0</v>
      </c>
      <c r="AJ69" s="343">
        <f>+'1.Informe Seguimiento POA 2023'!P24+'1.Informe Seguimiento POA 2023'!R24+'1.Informe Seguimiento POA 2023'!T24+'1.Informe Seguimiento POA 2023'!V24</f>
        <v>42864</v>
      </c>
      <c r="AK69" s="343">
        <f t="shared" si="90"/>
        <v>42864</v>
      </c>
      <c r="AL69" s="332">
        <f t="shared" si="80"/>
        <v>0</v>
      </c>
      <c r="AM69" s="332">
        <f t="shared" si="101"/>
        <v>0.54861706620931516</v>
      </c>
      <c r="AN69" s="332">
        <f t="shared" ref="AN69:AN77" si="106">IF(AND(AF69&gt;0,$AK69&gt;0),AK69/$AF69,0)</f>
        <v>0.54861706620931516</v>
      </c>
      <c r="AO69" s="336" t="str">
        <f>+'Rango indicadores'!H33</f>
        <v>Mayor A:</v>
      </c>
      <c r="AP69" s="331">
        <f>+'Rango indicadores'!I33</f>
        <v>95</v>
      </c>
      <c r="AQ69" s="331" t="str">
        <f>+'Rango indicadores'!J33</f>
        <v>Desde (&gt;=):</v>
      </c>
      <c r="AR69" s="331">
        <f>+'Rango indicadores'!K33</f>
        <v>75</v>
      </c>
      <c r="AS69" s="331" t="str">
        <f>+'Rango indicadores'!L33</f>
        <v>Hasta (&lt;=):</v>
      </c>
      <c r="AT69" s="331">
        <f>+'Rango indicadores'!M33</f>
        <v>95</v>
      </c>
      <c r="AU69" s="331" t="str">
        <f>+'Rango indicadores'!N33</f>
        <v>Menor A:</v>
      </c>
      <c r="AV69" s="331">
        <f>+'Rango indicadores'!O33</f>
        <v>75</v>
      </c>
      <c r="AW69" s="421" t="s">
        <v>1192</v>
      </c>
      <c r="AX69" s="979"/>
      <c r="AY69" s="979"/>
      <c r="AZ69" s="483">
        <f t="shared" si="91"/>
        <v>17864</v>
      </c>
      <c r="BA69" s="344"/>
    </row>
    <row r="70" spans="2:53" ht="276.60000000000002" customHeight="1">
      <c r="B70" s="328">
        <f t="shared" si="97"/>
        <v>33</v>
      </c>
      <c r="C70" s="329" t="str">
        <f>+'Rango indicadores'!D34</f>
        <v>05-RI-13</v>
      </c>
      <c r="D70" s="329" t="str">
        <f>+'Rango indicadores'!E34</f>
        <v>Acciones en favor de las víctimas del conflicto armado interno adelantadas</v>
      </c>
      <c r="E70" s="343">
        <f>+'Rango indicadores'!Q34</f>
        <v>7188</v>
      </c>
      <c r="F70" s="343">
        <f>'1.Informe Seguimiento POA 2023'!O25</f>
        <v>1338</v>
      </c>
      <c r="G70" s="343">
        <f>'1.Informe Seguimiento POA 2023'!O25</f>
        <v>1338</v>
      </c>
      <c r="H70" s="343">
        <f>'1.Informe Seguimiento POA 2023'!P25</f>
        <v>2015</v>
      </c>
      <c r="I70" s="343">
        <f>'1.Informe Seguimiento POA 2023'!P25</f>
        <v>2015</v>
      </c>
      <c r="J70" s="343">
        <f t="shared" si="103"/>
        <v>2015</v>
      </c>
      <c r="K70" s="332">
        <f t="shared" si="74"/>
        <v>1.5059790732436473</v>
      </c>
      <c r="L70" s="332">
        <f t="shared" si="98"/>
        <v>1.5059790732436473</v>
      </c>
      <c r="M70" s="332">
        <f t="shared" si="75"/>
        <v>0.28032832498608795</v>
      </c>
      <c r="N70" s="343">
        <f t="shared" si="84"/>
        <v>7188</v>
      </c>
      <c r="O70" s="331">
        <f>+'1.Informe Seguimiento POA 2023'!Q25</f>
        <v>2168</v>
      </c>
      <c r="P70" s="343">
        <f t="shared" si="85"/>
        <v>3506</v>
      </c>
      <c r="Q70" s="331">
        <f>'1.Informe Seguimiento POA 2023'!R25</f>
        <v>2566</v>
      </c>
      <c r="R70" s="331">
        <f>+'1.Informe Seguimiento POA 2023'!P25+'1.Informe Seguimiento POA 2023'!R25</f>
        <v>4581</v>
      </c>
      <c r="S70" s="343">
        <f t="shared" si="86"/>
        <v>4581</v>
      </c>
      <c r="T70" s="332">
        <f t="shared" si="76"/>
        <v>1.1835793357933579</v>
      </c>
      <c r="U70" s="332">
        <f t="shared" si="99"/>
        <v>1.3066172276098118</v>
      </c>
      <c r="V70" s="332">
        <f t="shared" si="104"/>
        <v>0.63731218697829717</v>
      </c>
      <c r="W70" s="343">
        <f t="shared" si="87"/>
        <v>7188</v>
      </c>
      <c r="X70" s="331">
        <f>+'1.Informe Seguimiento POA 2023'!S25</f>
        <v>2088</v>
      </c>
      <c r="Y70" s="331">
        <f>+'1.Informe Seguimiento POA 2023'!O25+'1.Informe Seguimiento POA 2023'!Q25+'1.Informe Seguimiento POA 2023'!S25</f>
        <v>5594</v>
      </c>
      <c r="Z70" s="331">
        <f>+'1.Informe Seguimiento POA 2023'!T25</f>
        <v>0</v>
      </c>
      <c r="AA70" s="331">
        <f>+'1.Informe Seguimiento POA 2023'!R25+'1.Informe Seguimiento POA 2023'!T25+'1.Informe Seguimiento POA 2023'!P25</f>
        <v>4581</v>
      </c>
      <c r="AB70" s="331">
        <f t="shared" si="88"/>
        <v>4581</v>
      </c>
      <c r="AC70" s="332">
        <f t="shared" si="78"/>
        <v>0</v>
      </c>
      <c r="AD70" s="332">
        <f t="shared" si="100"/>
        <v>0.81891312120128712</v>
      </c>
      <c r="AE70" s="332">
        <f t="shared" si="105"/>
        <v>0.63731218697829717</v>
      </c>
      <c r="AF70" s="343">
        <f t="shared" si="89"/>
        <v>7188</v>
      </c>
      <c r="AG70" s="343">
        <f>+'1.Informe Seguimiento POA 2023'!U25</f>
        <v>1594</v>
      </c>
      <c r="AH70" s="343">
        <f>+'1.Informe Seguimiento POA 2023'!O25+'1.Informe Seguimiento POA 2023'!Q25+'1.Informe Seguimiento POA 2023'!S25+'1.Informe Seguimiento POA 2023'!U25</f>
        <v>7188</v>
      </c>
      <c r="AI70" s="343">
        <f>+'1.Informe Seguimiento POA 2023'!V25</f>
        <v>0</v>
      </c>
      <c r="AJ70" s="343">
        <f>+'1.Informe Seguimiento POA 2023'!P25+'1.Informe Seguimiento POA 2023'!R25+'1.Informe Seguimiento POA 2023'!T25+'1.Informe Seguimiento POA 2023'!V25</f>
        <v>4581</v>
      </c>
      <c r="AK70" s="343">
        <f t="shared" si="90"/>
        <v>4581</v>
      </c>
      <c r="AL70" s="332">
        <f t="shared" si="80"/>
        <v>0</v>
      </c>
      <c r="AM70" s="332">
        <f t="shared" si="101"/>
        <v>0.63731218697829717</v>
      </c>
      <c r="AN70" s="332">
        <f t="shared" si="106"/>
        <v>0.63731218697829717</v>
      </c>
      <c r="AO70" s="336" t="str">
        <f>+'Rango indicadores'!H34</f>
        <v>Mayor A:</v>
      </c>
      <c r="AP70" s="331">
        <f>+'Rango indicadores'!I34</f>
        <v>95</v>
      </c>
      <c r="AQ70" s="331" t="str">
        <f>+'Rango indicadores'!J34</f>
        <v>Desde (&gt;=):</v>
      </c>
      <c r="AR70" s="331">
        <f>+'Rango indicadores'!K34</f>
        <v>75</v>
      </c>
      <c r="AS70" s="331" t="str">
        <f>+'Rango indicadores'!L34</f>
        <v>Hasta (&lt;=):</v>
      </c>
      <c r="AT70" s="331">
        <f>+'Rango indicadores'!M34</f>
        <v>95</v>
      </c>
      <c r="AU70" s="331" t="str">
        <f>+'Rango indicadores'!N34</f>
        <v>Menor A:</v>
      </c>
      <c r="AV70" s="331">
        <f>+'Rango indicadores'!O34</f>
        <v>75</v>
      </c>
      <c r="AW70" s="421" t="s">
        <v>1193</v>
      </c>
      <c r="AX70" s="979"/>
      <c r="AY70" s="979"/>
      <c r="AZ70" s="483">
        <f t="shared" si="91"/>
        <v>1013</v>
      </c>
      <c r="BA70" s="344"/>
    </row>
    <row r="71" spans="2:53" ht="277.2" customHeight="1">
      <c r="B71" s="328">
        <f t="shared" si="97"/>
        <v>34</v>
      </c>
      <c r="C71" s="329" t="str">
        <f>+'Rango indicadores'!D35</f>
        <v>05-RI-14</v>
      </c>
      <c r="D71" s="329" t="str">
        <f>+'Rango indicadores'!E35</f>
        <v>Acciones constitucionales elaboradas para prevenir vulneración de derechos</v>
      </c>
      <c r="E71" s="343">
        <f>+'Rango indicadores'!Q35</f>
        <v>5832</v>
      </c>
      <c r="F71" s="343">
        <f>'1.Informe Seguimiento POA 2023'!O26</f>
        <v>1307</v>
      </c>
      <c r="G71" s="343">
        <f>'1.Informe Seguimiento POA 2023'!O26</f>
        <v>1307</v>
      </c>
      <c r="H71" s="343">
        <f>'1.Informe Seguimiento POA 2023'!P26</f>
        <v>2040</v>
      </c>
      <c r="I71" s="343">
        <f>'1.Informe Seguimiento POA 2023'!P26</f>
        <v>2040</v>
      </c>
      <c r="J71" s="343">
        <f t="shared" si="103"/>
        <v>2040</v>
      </c>
      <c r="K71" s="332">
        <f t="shared" si="74"/>
        <v>1.5608263198163734</v>
      </c>
      <c r="L71" s="332">
        <f t="shared" si="98"/>
        <v>1.5608263198163734</v>
      </c>
      <c r="M71" s="332">
        <f t="shared" si="75"/>
        <v>0.34979423868312759</v>
      </c>
      <c r="N71" s="343">
        <f t="shared" si="84"/>
        <v>5832</v>
      </c>
      <c r="O71" s="331">
        <f>+'1.Informe Seguimiento POA 2023'!Q26</f>
        <v>1545</v>
      </c>
      <c r="P71" s="343">
        <f t="shared" si="85"/>
        <v>2852</v>
      </c>
      <c r="Q71" s="331">
        <f>'1.Informe Seguimiento POA 2023'!R26</f>
        <v>2544</v>
      </c>
      <c r="R71" s="331">
        <f>+'1.Informe Seguimiento POA 2023'!P26+'1.Informe Seguimiento POA 2023'!R26</f>
        <v>4584</v>
      </c>
      <c r="S71" s="343">
        <f t="shared" si="86"/>
        <v>4584</v>
      </c>
      <c r="T71" s="332">
        <f t="shared" si="76"/>
        <v>1.6466019417475728</v>
      </c>
      <c r="U71" s="332">
        <f t="shared" si="99"/>
        <v>1.6072931276297335</v>
      </c>
      <c r="V71" s="332">
        <f t="shared" si="104"/>
        <v>0.78600823045267487</v>
      </c>
      <c r="W71" s="343">
        <f t="shared" si="87"/>
        <v>5832</v>
      </c>
      <c r="X71" s="331">
        <f>+'1.Informe Seguimiento POA 2023'!S26</f>
        <v>1565</v>
      </c>
      <c r="Y71" s="331">
        <f>+'1.Informe Seguimiento POA 2023'!O26+'1.Informe Seguimiento POA 2023'!Q26+'1.Informe Seguimiento POA 2023'!S26</f>
        <v>4417</v>
      </c>
      <c r="Z71" s="331">
        <f>+'1.Informe Seguimiento POA 2023'!T26</f>
        <v>0</v>
      </c>
      <c r="AA71" s="331">
        <f>+'1.Informe Seguimiento POA 2023'!R26+'1.Informe Seguimiento POA 2023'!T26+'1.Informe Seguimiento POA 2023'!P26</f>
        <v>4584</v>
      </c>
      <c r="AB71" s="331">
        <f t="shared" si="88"/>
        <v>4584</v>
      </c>
      <c r="AC71" s="332">
        <f t="shared" si="78"/>
        <v>0</v>
      </c>
      <c r="AD71" s="332">
        <f t="shared" si="100"/>
        <v>1.0378084672854879</v>
      </c>
      <c r="AE71" s="332">
        <f t="shared" si="105"/>
        <v>0.78600823045267487</v>
      </c>
      <c r="AF71" s="343">
        <f t="shared" si="89"/>
        <v>5832</v>
      </c>
      <c r="AG71" s="343">
        <f>+'1.Informe Seguimiento POA 2023'!U26</f>
        <v>1415</v>
      </c>
      <c r="AH71" s="343">
        <f>+'1.Informe Seguimiento POA 2023'!O26+'1.Informe Seguimiento POA 2023'!Q26+'1.Informe Seguimiento POA 2023'!S26+'1.Informe Seguimiento POA 2023'!U26</f>
        <v>5832</v>
      </c>
      <c r="AI71" s="343">
        <f>+'1.Informe Seguimiento POA 2023'!V26</f>
        <v>0</v>
      </c>
      <c r="AJ71" s="343">
        <f>+'1.Informe Seguimiento POA 2023'!P26+'1.Informe Seguimiento POA 2023'!R26+'1.Informe Seguimiento POA 2023'!T26+'1.Informe Seguimiento POA 2023'!V26</f>
        <v>4584</v>
      </c>
      <c r="AK71" s="343">
        <f t="shared" si="90"/>
        <v>4584</v>
      </c>
      <c r="AL71" s="332">
        <f t="shared" si="80"/>
        <v>0</v>
      </c>
      <c r="AM71" s="332">
        <f t="shared" si="101"/>
        <v>0.78600823045267487</v>
      </c>
      <c r="AN71" s="332">
        <f t="shared" si="106"/>
        <v>0.78600823045267487</v>
      </c>
      <c r="AO71" s="336" t="str">
        <f>+'Rango indicadores'!H35</f>
        <v>Mayor A:</v>
      </c>
      <c r="AP71" s="331">
        <f>+'Rango indicadores'!I35</f>
        <v>95</v>
      </c>
      <c r="AQ71" s="331" t="str">
        <f>+'Rango indicadores'!J35</f>
        <v>Desde (&gt;=):</v>
      </c>
      <c r="AR71" s="331">
        <f>+'Rango indicadores'!K35</f>
        <v>75</v>
      </c>
      <c r="AS71" s="331" t="str">
        <f>+'Rango indicadores'!L35</f>
        <v>Hasta (&lt;=):</v>
      </c>
      <c r="AT71" s="331">
        <f>+'Rango indicadores'!M35</f>
        <v>95</v>
      </c>
      <c r="AU71" s="331" t="str">
        <f>+'Rango indicadores'!N35</f>
        <v>Menor A:</v>
      </c>
      <c r="AV71" s="331">
        <f>+'Rango indicadores'!O35</f>
        <v>75</v>
      </c>
      <c r="AW71" s="421" t="s">
        <v>1194</v>
      </c>
      <c r="AX71" s="979"/>
      <c r="AY71" s="979"/>
      <c r="AZ71" s="483">
        <f t="shared" si="91"/>
        <v>-167</v>
      </c>
      <c r="BA71" s="344"/>
    </row>
    <row r="72" spans="2:53" ht="172.8" customHeight="1">
      <c r="B72" s="328">
        <f t="shared" si="97"/>
        <v>35</v>
      </c>
      <c r="C72" s="329" t="str">
        <f>+'Rango indicadores'!D36</f>
        <v>05-RI-15</v>
      </c>
      <c r="D72" s="329" t="str">
        <f>+'Rango indicadores'!E36</f>
        <v>Verificaciones de cumplimiento realizadas por el Ministerio Público a las medidas de protección impuestas por las Comisarías de Familia</v>
      </c>
      <c r="E72" s="343">
        <f>+'Rango indicadores'!Q36</f>
        <v>814</v>
      </c>
      <c r="F72" s="343">
        <f>'1.Informe Seguimiento POA 2023'!O27</f>
        <v>142</v>
      </c>
      <c r="G72" s="343">
        <f>'1.Informe Seguimiento POA 2023'!O27</f>
        <v>142</v>
      </c>
      <c r="H72" s="343">
        <f>'1.Informe Seguimiento POA 2023'!P27</f>
        <v>175</v>
      </c>
      <c r="I72" s="343">
        <f>'1.Informe Seguimiento POA 2023'!P27</f>
        <v>175</v>
      </c>
      <c r="J72" s="343">
        <f t="shared" si="103"/>
        <v>175</v>
      </c>
      <c r="K72" s="332">
        <f t="shared" si="74"/>
        <v>1.232394366197183</v>
      </c>
      <c r="L72" s="332">
        <f t="shared" si="98"/>
        <v>1.232394366197183</v>
      </c>
      <c r="M72" s="332">
        <f t="shared" si="75"/>
        <v>0.21498771498771499</v>
      </c>
      <c r="N72" s="343">
        <f t="shared" si="84"/>
        <v>814</v>
      </c>
      <c r="O72" s="331">
        <f>+'1.Informe Seguimiento POA 2023'!Q27</f>
        <v>276</v>
      </c>
      <c r="P72" s="343">
        <f t="shared" si="85"/>
        <v>418</v>
      </c>
      <c r="Q72" s="331">
        <f>'1.Informe Seguimiento POA 2023'!R27</f>
        <v>156</v>
      </c>
      <c r="R72" s="331">
        <f>+'1.Informe Seguimiento POA 2023'!P27+'1.Informe Seguimiento POA 2023'!R27</f>
        <v>331</v>
      </c>
      <c r="S72" s="343">
        <f t="shared" si="86"/>
        <v>331</v>
      </c>
      <c r="T72" s="332">
        <f t="shared" si="76"/>
        <v>0.56521739130434778</v>
      </c>
      <c r="U72" s="332">
        <f t="shared" si="99"/>
        <v>0.79186602870813394</v>
      </c>
      <c r="V72" s="332">
        <f t="shared" si="104"/>
        <v>0.40663390663390664</v>
      </c>
      <c r="W72" s="343">
        <f t="shared" si="87"/>
        <v>814</v>
      </c>
      <c r="X72" s="331">
        <f>+'1.Informe Seguimiento POA 2023'!S27</f>
        <v>245</v>
      </c>
      <c r="Y72" s="331">
        <f>+'1.Informe Seguimiento POA 2023'!O27+'1.Informe Seguimiento POA 2023'!Q27+'1.Informe Seguimiento POA 2023'!S27</f>
        <v>663</v>
      </c>
      <c r="Z72" s="331">
        <f>+'1.Informe Seguimiento POA 2023'!T27</f>
        <v>0</v>
      </c>
      <c r="AA72" s="331">
        <f>+'1.Informe Seguimiento POA 2023'!R27+'1.Informe Seguimiento POA 2023'!T27+'1.Informe Seguimiento POA 2023'!P27</f>
        <v>331</v>
      </c>
      <c r="AB72" s="331">
        <f t="shared" si="88"/>
        <v>331</v>
      </c>
      <c r="AC72" s="332">
        <f t="shared" si="78"/>
        <v>0</v>
      </c>
      <c r="AD72" s="332">
        <f t="shared" si="100"/>
        <v>0.49924585218702866</v>
      </c>
      <c r="AE72" s="332">
        <f t="shared" si="105"/>
        <v>0.40663390663390664</v>
      </c>
      <c r="AF72" s="343">
        <f t="shared" si="89"/>
        <v>814</v>
      </c>
      <c r="AG72" s="343">
        <f>+'1.Informe Seguimiento POA 2023'!U27</f>
        <v>151</v>
      </c>
      <c r="AH72" s="343">
        <f>+'1.Informe Seguimiento POA 2023'!O27+'1.Informe Seguimiento POA 2023'!Q27+'1.Informe Seguimiento POA 2023'!S27+'1.Informe Seguimiento POA 2023'!U27</f>
        <v>814</v>
      </c>
      <c r="AI72" s="343">
        <f>+'1.Informe Seguimiento POA 2023'!V27</f>
        <v>0</v>
      </c>
      <c r="AJ72" s="343">
        <f>+'1.Informe Seguimiento POA 2023'!P27+'1.Informe Seguimiento POA 2023'!R27+'1.Informe Seguimiento POA 2023'!T27+'1.Informe Seguimiento POA 2023'!V27</f>
        <v>331</v>
      </c>
      <c r="AK72" s="343">
        <f t="shared" si="90"/>
        <v>331</v>
      </c>
      <c r="AL72" s="332">
        <f t="shared" si="80"/>
        <v>0</v>
      </c>
      <c r="AM72" s="332">
        <f t="shared" si="101"/>
        <v>0.40663390663390664</v>
      </c>
      <c r="AN72" s="332">
        <f t="shared" si="106"/>
        <v>0.40663390663390664</v>
      </c>
      <c r="AO72" s="336" t="str">
        <f>+'Rango indicadores'!H36</f>
        <v>Mayor A:</v>
      </c>
      <c r="AP72" s="331">
        <f>+'Rango indicadores'!I36</f>
        <v>95</v>
      </c>
      <c r="AQ72" s="331" t="str">
        <f>+'Rango indicadores'!J36</f>
        <v>Desde (&gt;=):</v>
      </c>
      <c r="AR72" s="331">
        <f>+'Rango indicadores'!K36</f>
        <v>75</v>
      </c>
      <c r="AS72" s="331" t="str">
        <f>+'Rango indicadores'!L36</f>
        <v>Hasta (&lt;=):</v>
      </c>
      <c r="AT72" s="331">
        <f>+'Rango indicadores'!M36</f>
        <v>95</v>
      </c>
      <c r="AU72" s="331" t="str">
        <f>+'Rango indicadores'!N36</f>
        <v>Menor A:</v>
      </c>
      <c r="AV72" s="331">
        <f>+'Rango indicadores'!O36</f>
        <v>75</v>
      </c>
      <c r="AW72" s="427" t="s">
        <v>1189</v>
      </c>
      <c r="AX72" s="979"/>
      <c r="AY72" s="979"/>
      <c r="AZ72" s="483">
        <f t="shared" si="91"/>
        <v>332</v>
      </c>
      <c r="BA72" s="344"/>
    </row>
    <row r="73" spans="2:53" ht="266.39999999999998" customHeight="1">
      <c r="B73" s="328">
        <f t="shared" si="97"/>
        <v>36</v>
      </c>
      <c r="C73" s="329" t="str">
        <f>+'Rango indicadores'!D37</f>
        <v>05-RI-16</v>
      </c>
      <c r="D73" s="329" t="str">
        <f>+'Rango indicadores'!E37</f>
        <v>Espacios Interinstitucionales con participación</v>
      </c>
      <c r="E73" s="343">
        <f>+'Rango indicadores'!Q37</f>
        <v>2405</v>
      </c>
      <c r="F73" s="343">
        <f>'1.Informe Seguimiento POA 2023'!O28</f>
        <v>544</v>
      </c>
      <c r="G73" s="343">
        <f>'1.Informe Seguimiento POA 2023'!O28</f>
        <v>544</v>
      </c>
      <c r="H73" s="343">
        <f>'1.Informe Seguimiento POA 2023'!P28</f>
        <v>483</v>
      </c>
      <c r="I73" s="343">
        <f>'1.Informe Seguimiento POA 2023'!P28</f>
        <v>483</v>
      </c>
      <c r="J73" s="343">
        <f t="shared" ref="J73:J77" si="107">I73</f>
        <v>483</v>
      </c>
      <c r="K73" s="332">
        <f t="shared" si="74"/>
        <v>0.88786764705882348</v>
      </c>
      <c r="L73" s="332">
        <f t="shared" si="98"/>
        <v>0.88786764705882348</v>
      </c>
      <c r="M73" s="332">
        <f t="shared" si="75"/>
        <v>0.20083160083160084</v>
      </c>
      <c r="N73" s="343">
        <f t="shared" si="84"/>
        <v>2405</v>
      </c>
      <c r="O73" s="331">
        <f>+'1.Informe Seguimiento POA 2023'!Q28</f>
        <v>652</v>
      </c>
      <c r="P73" s="343">
        <f t="shared" si="85"/>
        <v>1196</v>
      </c>
      <c r="Q73" s="331">
        <f>'1.Informe Seguimiento POA 2023'!R28</f>
        <v>828</v>
      </c>
      <c r="R73" s="331">
        <f>+'1.Informe Seguimiento POA 2023'!P28+'1.Informe Seguimiento POA 2023'!R28</f>
        <v>1311</v>
      </c>
      <c r="S73" s="343">
        <f t="shared" si="86"/>
        <v>1311</v>
      </c>
      <c r="T73" s="332">
        <f t="shared" si="76"/>
        <v>1.2699386503067485</v>
      </c>
      <c r="U73" s="332">
        <f t="shared" si="99"/>
        <v>1.0961538461538463</v>
      </c>
      <c r="V73" s="332">
        <f t="shared" si="104"/>
        <v>0.54511434511434509</v>
      </c>
      <c r="W73" s="343">
        <f t="shared" si="87"/>
        <v>2405</v>
      </c>
      <c r="X73" s="331">
        <f>+'1.Informe Seguimiento POA 2023'!S28</f>
        <v>657</v>
      </c>
      <c r="Y73" s="331">
        <f>+'1.Informe Seguimiento POA 2023'!O28+'1.Informe Seguimiento POA 2023'!Q28+'1.Informe Seguimiento POA 2023'!S28</f>
        <v>1853</v>
      </c>
      <c r="Z73" s="331">
        <f>+'1.Informe Seguimiento POA 2023'!T28</f>
        <v>0</v>
      </c>
      <c r="AA73" s="331">
        <f>+'1.Informe Seguimiento POA 2023'!R28+'1.Informe Seguimiento POA 2023'!T28+'1.Informe Seguimiento POA 2023'!P28</f>
        <v>1311</v>
      </c>
      <c r="AB73" s="331">
        <f t="shared" si="88"/>
        <v>1311</v>
      </c>
      <c r="AC73" s="332">
        <f t="shared" si="78"/>
        <v>0</v>
      </c>
      <c r="AD73" s="332">
        <f t="shared" si="100"/>
        <v>0.70750134916351859</v>
      </c>
      <c r="AE73" s="332">
        <f t="shared" si="105"/>
        <v>0.54511434511434509</v>
      </c>
      <c r="AF73" s="343">
        <f t="shared" si="89"/>
        <v>2405</v>
      </c>
      <c r="AG73" s="343">
        <f>+'1.Informe Seguimiento POA 2023'!U28</f>
        <v>552</v>
      </c>
      <c r="AH73" s="343">
        <f>+'1.Informe Seguimiento POA 2023'!O28+'1.Informe Seguimiento POA 2023'!Q28+'1.Informe Seguimiento POA 2023'!S28+'1.Informe Seguimiento POA 2023'!U28</f>
        <v>2405</v>
      </c>
      <c r="AI73" s="343">
        <f>+'1.Informe Seguimiento POA 2023'!V28</f>
        <v>0</v>
      </c>
      <c r="AJ73" s="343">
        <f>+'1.Informe Seguimiento POA 2023'!P28+'1.Informe Seguimiento POA 2023'!R28+'1.Informe Seguimiento POA 2023'!T28+'1.Informe Seguimiento POA 2023'!V28</f>
        <v>1311</v>
      </c>
      <c r="AK73" s="343">
        <f t="shared" si="90"/>
        <v>1311</v>
      </c>
      <c r="AL73" s="332">
        <f t="shared" si="80"/>
        <v>0</v>
      </c>
      <c r="AM73" s="332">
        <f t="shared" si="101"/>
        <v>0.54511434511434509</v>
      </c>
      <c r="AN73" s="332">
        <f t="shared" si="106"/>
        <v>0.54511434511434509</v>
      </c>
      <c r="AO73" s="336" t="str">
        <f>+'Rango indicadores'!H37</f>
        <v>Mayor A:</v>
      </c>
      <c r="AP73" s="331">
        <f>+'Rango indicadores'!I37</f>
        <v>95</v>
      </c>
      <c r="AQ73" s="331" t="str">
        <f>+'Rango indicadores'!J37</f>
        <v>Desde (&gt;=):</v>
      </c>
      <c r="AR73" s="331">
        <f>+'Rango indicadores'!K37</f>
        <v>75</v>
      </c>
      <c r="AS73" s="331" t="str">
        <f>+'Rango indicadores'!L37</f>
        <v>Hasta (&lt;=):</v>
      </c>
      <c r="AT73" s="331">
        <f>+'Rango indicadores'!M37</f>
        <v>95</v>
      </c>
      <c r="AU73" s="331" t="str">
        <f>+'Rango indicadores'!N37</f>
        <v>Menor A:</v>
      </c>
      <c r="AV73" s="331">
        <f>+'Rango indicadores'!O37</f>
        <v>75</v>
      </c>
      <c r="AW73" s="421" t="s">
        <v>1195</v>
      </c>
      <c r="AX73" s="979"/>
      <c r="AY73" s="979"/>
      <c r="AZ73" s="483">
        <f t="shared" si="91"/>
        <v>542</v>
      </c>
      <c r="BA73" s="344"/>
    </row>
    <row r="74" spans="2:53" ht="107.4" customHeight="1">
      <c r="B74" s="328">
        <f t="shared" si="97"/>
        <v>37</v>
      </c>
      <c r="C74" s="329" t="str">
        <f>+'Rango indicadores'!D38</f>
        <v>05-RI-17</v>
      </c>
      <c r="D74" s="329" t="str">
        <f>+'Rango indicadores'!E38</f>
        <v>Seguimientos a la Amenaza y Vulneración de los Derechos, realizados</v>
      </c>
      <c r="E74" s="343">
        <f>+'Rango indicadores'!Q38</f>
        <v>236</v>
      </c>
      <c r="F74" s="343">
        <f>'1.Informe Seguimiento POA 2023'!O29</f>
        <v>44</v>
      </c>
      <c r="G74" s="343">
        <f>'1.Informe Seguimiento POA 2023'!O29</f>
        <v>44</v>
      </c>
      <c r="H74" s="343">
        <f>'1.Informe Seguimiento POA 2023'!P29</f>
        <v>50</v>
      </c>
      <c r="I74" s="343">
        <f>'1.Informe Seguimiento POA 2023'!P29</f>
        <v>50</v>
      </c>
      <c r="J74" s="343">
        <f t="shared" si="107"/>
        <v>50</v>
      </c>
      <c r="K74" s="332">
        <f t="shared" si="74"/>
        <v>1.1363636363636365</v>
      </c>
      <c r="L74" s="332">
        <f t="shared" si="98"/>
        <v>1.1363636363636365</v>
      </c>
      <c r="M74" s="332">
        <f t="shared" si="75"/>
        <v>0.21186440677966101</v>
      </c>
      <c r="N74" s="343">
        <f t="shared" si="84"/>
        <v>236</v>
      </c>
      <c r="O74" s="331">
        <f>+'1.Informe Seguimiento POA 2023'!Q29</f>
        <v>76</v>
      </c>
      <c r="P74" s="343">
        <f t="shared" si="85"/>
        <v>120</v>
      </c>
      <c r="Q74" s="331">
        <f>'1.Informe Seguimiento POA 2023'!R29</f>
        <v>82</v>
      </c>
      <c r="R74" s="331">
        <f>+'1.Informe Seguimiento POA 2023'!P29+'1.Informe Seguimiento POA 2023'!R29</f>
        <v>132</v>
      </c>
      <c r="S74" s="343">
        <f t="shared" si="86"/>
        <v>132</v>
      </c>
      <c r="T74" s="332">
        <f t="shared" si="76"/>
        <v>1.0789473684210527</v>
      </c>
      <c r="U74" s="332">
        <f t="shared" si="99"/>
        <v>1.1000000000000001</v>
      </c>
      <c r="V74" s="332">
        <f t="shared" si="104"/>
        <v>0.55932203389830504</v>
      </c>
      <c r="W74" s="343">
        <f t="shared" si="87"/>
        <v>236</v>
      </c>
      <c r="X74" s="331">
        <f>+'1.Informe Seguimiento POA 2023'!S29</f>
        <v>69</v>
      </c>
      <c r="Y74" s="331">
        <f>+'1.Informe Seguimiento POA 2023'!O29+'1.Informe Seguimiento POA 2023'!Q29+'1.Informe Seguimiento POA 2023'!S29</f>
        <v>189</v>
      </c>
      <c r="Z74" s="331">
        <f>+'1.Informe Seguimiento POA 2023'!T29</f>
        <v>0</v>
      </c>
      <c r="AA74" s="331">
        <f>+'1.Informe Seguimiento POA 2023'!R29+'1.Informe Seguimiento POA 2023'!T29+'1.Informe Seguimiento POA 2023'!P29</f>
        <v>132</v>
      </c>
      <c r="AB74" s="331">
        <f t="shared" si="88"/>
        <v>132</v>
      </c>
      <c r="AC74" s="332">
        <f t="shared" si="78"/>
        <v>0</v>
      </c>
      <c r="AD74" s="332">
        <f t="shared" si="100"/>
        <v>0.69841269841269837</v>
      </c>
      <c r="AE74" s="332">
        <f t="shared" si="105"/>
        <v>0.55932203389830504</v>
      </c>
      <c r="AF74" s="343">
        <f t="shared" si="89"/>
        <v>236</v>
      </c>
      <c r="AG74" s="343">
        <f>+'1.Informe Seguimiento POA 2023'!U29</f>
        <v>47</v>
      </c>
      <c r="AH74" s="343">
        <f>+'1.Informe Seguimiento POA 2023'!O29+'1.Informe Seguimiento POA 2023'!Q29+'1.Informe Seguimiento POA 2023'!S29+'1.Informe Seguimiento POA 2023'!U29</f>
        <v>236</v>
      </c>
      <c r="AI74" s="343">
        <f>+'1.Informe Seguimiento POA 2023'!V29</f>
        <v>0</v>
      </c>
      <c r="AJ74" s="343">
        <f>+'1.Informe Seguimiento POA 2023'!P29+'1.Informe Seguimiento POA 2023'!R29+'1.Informe Seguimiento POA 2023'!T29+'1.Informe Seguimiento POA 2023'!V29</f>
        <v>132</v>
      </c>
      <c r="AK74" s="343">
        <f t="shared" si="90"/>
        <v>132</v>
      </c>
      <c r="AL74" s="332">
        <f t="shared" si="80"/>
        <v>0</v>
      </c>
      <c r="AM74" s="332">
        <f t="shared" si="101"/>
        <v>0.55932203389830504</v>
      </c>
      <c r="AN74" s="332">
        <f t="shared" si="106"/>
        <v>0.55932203389830504</v>
      </c>
      <c r="AO74" s="336" t="str">
        <f>+'Rango indicadores'!H38</f>
        <v>Mayor A:</v>
      </c>
      <c r="AP74" s="331">
        <f>+'Rango indicadores'!I38</f>
        <v>95</v>
      </c>
      <c r="AQ74" s="331" t="str">
        <f>+'Rango indicadores'!J38</f>
        <v>Desde (&gt;=):</v>
      </c>
      <c r="AR74" s="331">
        <f>+'Rango indicadores'!K38</f>
        <v>75</v>
      </c>
      <c r="AS74" s="331" t="str">
        <f>+'Rango indicadores'!L38</f>
        <v>Hasta (&lt;=):</v>
      </c>
      <c r="AT74" s="331">
        <f>+'Rango indicadores'!M38</f>
        <v>95</v>
      </c>
      <c r="AU74" s="331" t="str">
        <f>+'Rango indicadores'!N38</f>
        <v>Menor A:</v>
      </c>
      <c r="AV74" s="331">
        <f>+'Rango indicadores'!O38</f>
        <v>75</v>
      </c>
      <c r="AW74" s="421" t="s">
        <v>1176</v>
      </c>
      <c r="AX74" s="979"/>
      <c r="AY74" s="979"/>
      <c r="AZ74" s="483">
        <f t="shared" si="91"/>
        <v>57</v>
      </c>
      <c r="BA74" s="344"/>
    </row>
    <row r="75" spans="2:53" ht="229.8" customHeight="1">
      <c r="B75" s="328">
        <f t="shared" si="97"/>
        <v>38</v>
      </c>
      <c r="C75" s="329" t="str">
        <f>+'Rango indicadores'!D39</f>
        <v>05-RI-18</v>
      </c>
      <c r="D75" s="329" t="str">
        <f>+'Rango indicadores'!E39</f>
        <v>Actividades de acercamiento de la Entidad a la comunidad realizadas</v>
      </c>
      <c r="E75" s="343">
        <f>+'Rango indicadores'!Q39</f>
        <v>8</v>
      </c>
      <c r="F75" s="343">
        <f>'1.Informe Seguimiento POA 2023'!O30</f>
        <v>0</v>
      </c>
      <c r="G75" s="343">
        <f>'1.Informe Seguimiento POA 2023'!O30</f>
        <v>0</v>
      </c>
      <c r="H75" s="343">
        <f>'1.Informe Seguimiento POA 2023'!P30</f>
        <v>0.4</v>
      </c>
      <c r="I75" s="343">
        <f>'1.Informe Seguimiento POA 2023'!P30</f>
        <v>0.4</v>
      </c>
      <c r="J75" s="343">
        <f t="shared" si="107"/>
        <v>0.4</v>
      </c>
      <c r="K75" s="345" t="str">
        <f t="shared" si="74"/>
        <v>No programado</v>
      </c>
      <c r="L75" s="345" t="str">
        <f t="shared" si="98"/>
        <v>No programado</v>
      </c>
      <c r="M75" s="332">
        <f t="shared" si="75"/>
        <v>0.05</v>
      </c>
      <c r="N75" s="343">
        <f t="shared" si="84"/>
        <v>8</v>
      </c>
      <c r="O75" s="331">
        <f>+'1.Informe Seguimiento POA 2023'!Q30</f>
        <v>2</v>
      </c>
      <c r="P75" s="343">
        <f t="shared" si="85"/>
        <v>2</v>
      </c>
      <c r="Q75" s="331">
        <f>'1.Informe Seguimiento POA 2023'!R30</f>
        <v>6.4</v>
      </c>
      <c r="R75" s="331">
        <f>+'1.Informe Seguimiento POA 2023'!P30+'1.Informe Seguimiento POA 2023'!R30</f>
        <v>6.8000000000000007</v>
      </c>
      <c r="S75" s="343">
        <f t="shared" si="86"/>
        <v>6.8000000000000007</v>
      </c>
      <c r="T75" s="345">
        <f t="shared" si="76"/>
        <v>3.2</v>
      </c>
      <c r="U75" s="345">
        <f t="shared" si="99"/>
        <v>3.4000000000000004</v>
      </c>
      <c r="V75" s="332">
        <f t="shared" si="104"/>
        <v>0.85000000000000009</v>
      </c>
      <c r="W75" s="343">
        <f t="shared" si="87"/>
        <v>8</v>
      </c>
      <c r="X75" s="331">
        <f>+'1.Informe Seguimiento POA 2023'!S30</f>
        <v>5.6</v>
      </c>
      <c r="Y75" s="331">
        <f>+'1.Informe Seguimiento POA 2023'!O30+'1.Informe Seguimiento POA 2023'!Q30+'1.Informe Seguimiento POA 2023'!S30</f>
        <v>7.6</v>
      </c>
      <c r="Z75" s="331">
        <f>+'1.Informe Seguimiento POA 2023'!T30</f>
        <v>0</v>
      </c>
      <c r="AA75" s="331">
        <f>+'1.Informe Seguimiento POA 2023'!R30+'1.Informe Seguimiento POA 2023'!T30+'1.Informe Seguimiento POA 2023'!P30</f>
        <v>6.8000000000000007</v>
      </c>
      <c r="AB75" s="331">
        <f t="shared" si="88"/>
        <v>6.8000000000000007</v>
      </c>
      <c r="AC75" s="345">
        <f t="shared" si="78"/>
        <v>0</v>
      </c>
      <c r="AD75" s="345">
        <f t="shared" si="100"/>
        <v>0.89473684210526327</v>
      </c>
      <c r="AE75" s="332">
        <f t="shared" si="105"/>
        <v>0.85000000000000009</v>
      </c>
      <c r="AF75" s="343">
        <f t="shared" si="89"/>
        <v>8</v>
      </c>
      <c r="AG75" s="343">
        <f>+'1.Informe Seguimiento POA 2023'!U30</f>
        <v>0.4</v>
      </c>
      <c r="AH75" s="343">
        <f>+'1.Informe Seguimiento POA 2023'!O30+'1.Informe Seguimiento POA 2023'!Q30+'1.Informe Seguimiento POA 2023'!S30+'1.Informe Seguimiento POA 2023'!U30</f>
        <v>8</v>
      </c>
      <c r="AI75" s="343">
        <f>+'1.Informe Seguimiento POA 2023'!V30</f>
        <v>0</v>
      </c>
      <c r="AJ75" s="343">
        <f>+'1.Informe Seguimiento POA 2023'!P30+'1.Informe Seguimiento POA 2023'!R30+'1.Informe Seguimiento POA 2023'!T30+'1.Informe Seguimiento POA 2023'!V30</f>
        <v>6.8000000000000007</v>
      </c>
      <c r="AK75" s="343">
        <f t="shared" si="90"/>
        <v>6.8000000000000007</v>
      </c>
      <c r="AL75" s="345">
        <f t="shared" si="80"/>
        <v>0</v>
      </c>
      <c r="AM75" s="345">
        <f t="shared" si="101"/>
        <v>0.85000000000000009</v>
      </c>
      <c r="AN75" s="332">
        <f t="shared" si="106"/>
        <v>0.85000000000000009</v>
      </c>
      <c r="AO75" s="336" t="str">
        <f>+'Rango indicadores'!H39</f>
        <v>Mayor A:</v>
      </c>
      <c r="AP75" s="331">
        <f>+'Rango indicadores'!I39</f>
        <v>95</v>
      </c>
      <c r="AQ75" s="331" t="str">
        <f>+'Rango indicadores'!J39</f>
        <v>Desde (&gt;=):</v>
      </c>
      <c r="AR75" s="331">
        <f>+'Rango indicadores'!K39</f>
        <v>75</v>
      </c>
      <c r="AS75" s="331" t="str">
        <f>+'Rango indicadores'!L39</f>
        <v>Hasta (&lt;=):</v>
      </c>
      <c r="AT75" s="331">
        <f>+'Rango indicadores'!M39</f>
        <v>95</v>
      </c>
      <c r="AU75" s="331" t="str">
        <f>+'Rango indicadores'!N39</f>
        <v>Menor A:</v>
      </c>
      <c r="AV75" s="331">
        <f>+'Rango indicadores'!O39</f>
        <v>75</v>
      </c>
      <c r="AW75" s="421" t="s">
        <v>1196</v>
      </c>
      <c r="AX75" s="979"/>
      <c r="AY75" s="979"/>
      <c r="AZ75" s="483">
        <f t="shared" si="91"/>
        <v>0.79999999999999893</v>
      </c>
      <c r="BA75" s="344"/>
    </row>
    <row r="76" spans="2:53" ht="87" customHeight="1">
      <c r="B76" s="328">
        <f t="shared" si="97"/>
        <v>39</v>
      </c>
      <c r="C76" s="329" t="str">
        <f>+'Rango indicadores'!D40</f>
        <v>05-RI-19</v>
      </c>
      <c r="D76" s="329" t="str">
        <f>+'Rango indicadores'!E40</f>
        <v>Acciones realizadas para incrementar la cobertura de los servicios</v>
      </c>
      <c r="E76" s="343">
        <f>+'Rango indicadores'!Q40</f>
        <v>3</v>
      </c>
      <c r="F76" s="343">
        <f>'1.Informe Seguimiento POA 2023'!O31</f>
        <v>0</v>
      </c>
      <c r="G76" s="343">
        <f>'1.Informe Seguimiento POA 2023'!O31</f>
        <v>0</v>
      </c>
      <c r="H76" s="343">
        <f>'1.Informe Seguimiento POA 2023'!P31</f>
        <v>0</v>
      </c>
      <c r="I76" s="343">
        <f>'1.Informe Seguimiento POA 2023'!P31</f>
        <v>0</v>
      </c>
      <c r="J76" s="343">
        <f t="shared" si="107"/>
        <v>0</v>
      </c>
      <c r="K76" s="345" t="str">
        <f t="shared" si="74"/>
        <v>No programado</v>
      </c>
      <c r="L76" s="345" t="str">
        <f t="shared" si="98"/>
        <v>No programado</v>
      </c>
      <c r="M76" s="332">
        <f t="shared" si="75"/>
        <v>0</v>
      </c>
      <c r="N76" s="343">
        <f t="shared" si="84"/>
        <v>3</v>
      </c>
      <c r="O76" s="331">
        <f>+'1.Informe Seguimiento POA 2023'!Q31</f>
        <v>1</v>
      </c>
      <c r="P76" s="343">
        <f t="shared" si="85"/>
        <v>1</v>
      </c>
      <c r="Q76" s="331">
        <f>'1.Informe Seguimiento POA 2023'!R31</f>
        <v>1</v>
      </c>
      <c r="R76" s="331">
        <f>+'1.Informe Seguimiento POA 2023'!P31+'1.Informe Seguimiento POA 2023'!R31</f>
        <v>1</v>
      </c>
      <c r="S76" s="343">
        <f t="shared" si="86"/>
        <v>1</v>
      </c>
      <c r="T76" s="345">
        <f t="shared" si="76"/>
        <v>1</v>
      </c>
      <c r="U76" s="345">
        <f t="shared" si="99"/>
        <v>1</v>
      </c>
      <c r="V76" s="332">
        <f t="shared" si="104"/>
        <v>0.33333333333333331</v>
      </c>
      <c r="W76" s="343">
        <f t="shared" si="87"/>
        <v>3</v>
      </c>
      <c r="X76" s="331">
        <f>+'1.Informe Seguimiento POA 2023'!S31</f>
        <v>0</v>
      </c>
      <c r="Y76" s="331">
        <f>+'1.Informe Seguimiento POA 2023'!O31+'1.Informe Seguimiento POA 2023'!Q31+'1.Informe Seguimiento POA 2023'!S31</f>
        <v>1</v>
      </c>
      <c r="Z76" s="331">
        <f>+'1.Informe Seguimiento POA 2023'!T31</f>
        <v>0</v>
      </c>
      <c r="AA76" s="331">
        <f>+'1.Informe Seguimiento POA 2023'!R31+'1.Informe Seguimiento POA 2023'!T31+'1.Informe Seguimiento POA 2023'!P31</f>
        <v>1</v>
      </c>
      <c r="AB76" s="331">
        <f t="shared" si="88"/>
        <v>1</v>
      </c>
      <c r="AC76" s="345" t="str">
        <f t="shared" si="78"/>
        <v>No programado</v>
      </c>
      <c r="AD76" s="345">
        <f t="shared" si="100"/>
        <v>1</v>
      </c>
      <c r="AE76" s="332">
        <f t="shared" si="105"/>
        <v>0.33333333333333331</v>
      </c>
      <c r="AF76" s="343">
        <f t="shared" si="89"/>
        <v>3</v>
      </c>
      <c r="AG76" s="343">
        <f>+'1.Informe Seguimiento POA 2023'!U31</f>
        <v>2</v>
      </c>
      <c r="AH76" s="343">
        <f>+'1.Informe Seguimiento POA 2023'!O31+'1.Informe Seguimiento POA 2023'!Q31+'1.Informe Seguimiento POA 2023'!S31+'1.Informe Seguimiento POA 2023'!U31</f>
        <v>3</v>
      </c>
      <c r="AI76" s="343">
        <f>+'1.Informe Seguimiento POA 2023'!V31</f>
        <v>0</v>
      </c>
      <c r="AJ76" s="343">
        <f>+'1.Informe Seguimiento POA 2023'!P31+'1.Informe Seguimiento POA 2023'!R31+'1.Informe Seguimiento POA 2023'!T31+'1.Informe Seguimiento POA 2023'!V31</f>
        <v>1</v>
      </c>
      <c r="AK76" s="343">
        <f t="shared" si="90"/>
        <v>1</v>
      </c>
      <c r="AL76" s="345">
        <f t="shared" si="80"/>
        <v>0</v>
      </c>
      <c r="AM76" s="345">
        <f t="shared" si="101"/>
        <v>0.33333333333333331</v>
      </c>
      <c r="AN76" s="332">
        <f t="shared" si="106"/>
        <v>0.33333333333333331</v>
      </c>
      <c r="AO76" s="336" t="str">
        <f>+'Rango indicadores'!H40</f>
        <v>Mayor A:</v>
      </c>
      <c r="AP76" s="331">
        <f>+'Rango indicadores'!I40</f>
        <v>95</v>
      </c>
      <c r="AQ76" s="331" t="str">
        <f>+'Rango indicadores'!J40</f>
        <v>Desde (&gt;=):</v>
      </c>
      <c r="AR76" s="331">
        <f>+'Rango indicadores'!K40</f>
        <v>75</v>
      </c>
      <c r="AS76" s="331" t="str">
        <f>+'Rango indicadores'!L40</f>
        <v>Hasta (&lt;=):</v>
      </c>
      <c r="AT76" s="331">
        <f>+'Rango indicadores'!M40</f>
        <v>95</v>
      </c>
      <c r="AU76" s="331" t="str">
        <f>+'Rango indicadores'!N40</f>
        <v>Menor A:</v>
      </c>
      <c r="AV76" s="331">
        <f>+'Rango indicadores'!O40</f>
        <v>75</v>
      </c>
      <c r="AW76" s="421" t="s">
        <v>1176</v>
      </c>
      <c r="AX76" s="979"/>
      <c r="AY76" s="979"/>
      <c r="AZ76" s="483">
        <f t="shared" si="91"/>
        <v>0</v>
      </c>
      <c r="BA76" s="344"/>
    </row>
    <row r="77" spans="2:53" ht="81" customHeight="1">
      <c r="B77" s="328">
        <f t="shared" si="97"/>
        <v>40</v>
      </c>
      <c r="C77" s="329" t="str">
        <f>+'Rango indicadores'!D41</f>
        <v>05-RI-20</v>
      </c>
      <c r="D77" s="329" t="str">
        <f>+'Rango indicadores'!E41</f>
        <v>Herramientas de promoción y prevención a infracciones del Derecho Internacional Humanitario implementadas</v>
      </c>
      <c r="E77" s="343">
        <f>+'Rango indicadores'!Q41</f>
        <v>1</v>
      </c>
      <c r="F77" s="343">
        <f>'1.Informe Seguimiento POA 2023'!O32</f>
        <v>0</v>
      </c>
      <c r="G77" s="343">
        <f>'1.Informe Seguimiento POA 2023'!O32</f>
        <v>0</v>
      </c>
      <c r="H77" s="343">
        <f>'1.Informe Seguimiento POA 2023'!P32</f>
        <v>0</v>
      </c>
      <c r="I77" s="343">
        <f>'1.Informe Seguimiento POA 2023'!P32</f>
        <v>0</v>
      </c>
      <c r="J77" s="343">
        <f t="shared" si="107"/>
        <v>0</v>
      </c>
      <c r="K77" s="345" t="str">
        <f t="shared" si="74"/>
        <v>No programado</v>
      </c>
      <c r="L77" s="345" t="str">
        <f t="shared" si="98"/>
        <v>No programado</v>
      </c>
      <c r="M77" s="332">
        <f t="shared" si="75"/>
        <v>0</v>
      </c>
      <c r="N77" s="343">
        <f t="shared" si="84"/>
        <v>1</v>
      </c>
      <c r="O77" s="331">
        <f>+'1.Informe Seguimiento POA 2023'!Q32</f>
        <v>0</v>
      </c>
      <c r="P77" s="343">
        <f t="shared" si="85"/>
        <v>0</v>
      </c>
      <c r="Q77" s="331">
        <f>'1.Informe Seguimiento POA 2023'!R32</f>
        <v>0</v>
      </c>
      <c r="R77" s="331">
        <f>+'1.Informe Seguimiento POA 2023'!P32+'1.Informe Seguimiento POA 2023'!R32</f>
        <v>0</v>
      </c>
      <c r="S77" s="343">
        <f t="shared" si="86"/>
        <v>0</v>
      </c>
      <c r="T77" s="345" t="str">
        <f t="shared" si="76"/>
        <v>No programado</v>
      </c>
      <c r="U77" s="345" t="str">
        <f t="shared" si="99"/>
        <v>No programado</v>
      </c>
      <c r="V77" s="332">
        <f t="shared" si="104"/>
        <v>0</v>
      </c>
      <c r="W77" s="343">
        <f t="shared" si="87"/>
        <v>1</v>
      </c>
      <c r="X77" s="331">
        <f>+'1.Informe Seguimiento POA 2023'!S32</f>
        <v>0</v>
      </c>
      <c r="Y77" s="331">
        <f>+'1.Informe Seguimiento POA 2023'!O32+'1.Informe Seguimiento POA 2023'!Q32+'1.Informe Seguimiento POA 2023'!S32</f>
        <v>0</v>
      </c>
      <c r="Z77" s="331">
        <f>+'1.Informe Seguimiento POA 2023'!T32</f>
        <v>0</v>
      </c>
      <c r="AA77" s="331">
        <f>+'1.Informe Seguimiento POA 2023'!R32+'1.Informe Seguimiento POA 2023'!T32+'1.Informe Seguimiento POA 2023'!P32</f>
        <v>0</v>
      </c>
      <c r="AB77" s="331">
        <f t="shared" si="88"/>
        <v>0</v>
      </c>
      <c r="AC77" s="345" t="str">
        <f t="shared" si="78"/>
        <v>No programado</v>
      </c>
      <c r="AD77" s="345" t="str">
        <f t="shared" si="100"/>
        <v>No programado</v>
      </c>
      <c r="AE77" s="332">
        <f t="shared" si="105"/>
        <v>0</v>
      </c>
      <c r="AF77" s="343">
        <f t="shared" si="89"/>
        <v>1</v>
      </c>
      <c r="AG77" s="343">
        <f>+'1.Informe Seguimiento POA 2023'!U32</f>
        <v>1</v>
      </c>
      <c r="AH77" s="343">
        <f>+'1.Informe Seguimiento POA 2023'!O32+'1.Informe Seguimiento POA 2023'!Q32+'1.Informe Seguimiento POA 2023'!S32+'1.Informe Seguimiento POA 2023'!U32</f>
        <v>1</v>
      </c>
      <c r="AI77" s="343">
        <f>+'1.Informe Seguimiento POA 2023'!V32</f>
        <v>0</v>
      </c>
      <c r="AJ77" s="343">
        <f>+'1.Informe Seguimiento POA 2023'!P32+'1.Informe Seguimiento POA 2023'!R32+'1.Informe Seguimiento POA 2023'!T32+'1.Informe Seguimiento POA 2023'!V32</f>
        <v>0</v>
      </c>
      <c r="AK77" s="343">
        <f t="shared" si="90"/>
        <v>0</v>
      </c>
      <c r="AL77" s="345">
        <f t="shared" si="80"/>
        <v>0</v>
      </c>
      <c r="AM77" s="345">
        <f t="shared" si="101"/>
        <v>0</v>
      </c>
      <c r="AN77" s="332">
        <f t="shared" si="106"/>
        <v>0</v>
      </c>
      <c r="AO77" s="336" t="str">
        <f>+'Rango indicadores'!H41</f>
        <v>Mayor A:</v>
      </c>
      <c r="AP77" s="331">
        <f>+'Rango indicadores'!I41</f>
        <v>95</v>
      </c>
      <c r="AQ77" s="331" t="str">
        <f>+'Rango indicadores'!J41</f>
        <v>Desde (&gt;=):</v>
      </c>
      <c r="AR77" s="331">
        <f>+'Rango indicadores'!K41</f>
        <v>75</v>
      </c>
      <c r="AS77" s="331" t="str">
        <f>+'Rango indicadores'!L41</f>
        <v>Hasta (&lt;=):</v>
      </c>
      <c r="AT77" s="331">
        <f>+'Rango indicadores'!M41</f>
        <v>95</v>
      </c>
      <c r="AU77" s="331" t="str">
        <f>+'Rango indicadores'!N41</f>
        <v>Menor A:</v>
      </c>
      <c r="AV77" s="331">
        <f>+'Rango indicadores'!O41</f>
        <v>75</v>
      </c>
      <c r="AW77" s="427" t="s">
        <v>1160</v>
      </c>
      <c r="AX77" s="979"/>
      <c r="AY77" s="979"/>
      <c r="AZ77" s="483">
        <f t="shared" si="91"/>
        <v>0</v>
      </c>
      <c r="BA77" s="344"/>
    </row>
    <row r="78" spans="2:53" ht="15.6">
      <c r="C78" s="1319" t="s">
        <v>826</v>
      </c>
      <c r="D78" s="1320"/>
      <c r="E78" s="1320"/>
      <c r="F78" s="1320"/>
      <c r="G78" s="1320"/>
      <c r="H78" s="1320"/>
      <c r="I78" s="1320"/>
      <c r="J78" s="1320"/>
      <c r="K78" s="334">
        <f>IFERROR(AVERAGE(K58:K77),0)</f>
        <v>1.2921367114588465</v>
      </c>
      <c r="L78" s="334">
        <f>IFERROR(AVERAGE(L58:L77),0)</f>
        <v>1.2921367114588465</v>
      </c>
      <c r="M78" s="334">
        <f>IFERROR(AVERAGE(M58:M77),0)</f>
        <v>0.21738348915159889</v>
      </c>
      <c r="N78" s="754"/>
      <c r="O78" s="754"/>
      <c r="P78" s="754"/>
      <c r="Q78" s="754"/>
      <c r="R78" s="754"/>
      <c r="S78" s="754"/>
      <c r="T78" s="334">
        <f>IFERROR(AVERAGE(T58:T77),0)</f>
        <v>1.2538175560057356</v>
      </c>
      <c r="U78" s="334">
        <f>IFERROR(AVERAGE(U58:U77),0)</f>
        <v>1.3148255323115197</v>
      </c>
      <c r="V78" s="334">
        <f>IFERROR(AVERAGE(V58:V77),0)</f>
        <v>0.54661830542959755</v>
      </c>
      <c r="W78" s="754"/>
      <c r="X78" s="754"/>
      <c r="Y78" s="754"/>
      <c r="Z78" s="754"/>
      <c r="AA78" s="754"/>
      <c r="AB78" s="754"/>
      <c r="AC78" s="334">
        <f>IFERROR(AVERAGE(AC58:AC77),0)</f>
        <v>0</v>
      </c>
      <c r="AD78" s="334">
        <f>IFERROR(AVERAGE(AD58:AD77),0)</f>
        <v>0.77721565367084355</v>
      </c>
      <c r="AE78" s="334">
        <f>IFERROR(AVERAGE(AE58:AE77),0)</f>
        <v>0.54659060459857256</v>
      </c>
      <c r="AF78" s="754"/>
      <c r="AG78" s="754"/>
      <c r="AH78" s="754"/>
      <c r="AI78" s="754"/>
      <c r="AJ78" s="754"/>
      <c r="AK78" s="755"/>
      <c r="AL78" s="334">
        <f>IFERROR(AVERAGE(AL58:AL77),0)</f>
        <v>0</v>
      </c>
      <c r="AM78" s="334">
        <f>IFERROR(AVERAGE(AM58:AM77),0)</f>
        <v>0.51928739015811765</v>
      </c>
      <c r="AN78" s="334">
        <f>IFERROR(AVERAGE(AN58:AN77),0)</f>
        <v>0.54661830542959755</v>
      </c>
      <c r="AO78" s="341"/>
      <c r="AP78" s="341"/>
      <c r="AQ78" s="341"/>
      <c r="AR78" s="341"/>
      <c r="AS78" s="341"/>
      <c r="AT78" s="341"/>
      <c r="AU78" s="341"/>
      <c r="AV78" s="341"/>
      <c r="AW78" s="428"/>
      <c r="AX78" s="980"/>
      <c r="AY78" s="980"/>
    </row>
    <row r="79" spans="2:53" s="324" customFormat="1" ht="24" customHeight="1" thickBot="1">
      <c r="D79" s="326"/>
      <c r="AW79" s="326"/>
      <c r="AX79" s="981"/>
      <c r="AY79" s="980"/>
      <c r="AZ79" s="310"/>
    </row>
    <row r="80" spans="2:53" s="324" customFormat="1" ht="16.2" thickBot="1">
      <c r="C80" s="327" t="s">
        <v>832</v>
      </c>
      <c r="D80" s="357"/>
      <c r="E80" s="1290" t="s">
        <v>1053</v>
      </c>
      <c r="F80" s="1291"/>
      <c r="G80" s="1291"/>
      <c r="H80" s="1291"/>
      <c r="I80" s="1291"/>
      <c r="J80" s="1291"/>
      <c r="K80" s="1291"/>
      <c r="L80" s="1291"/>
      <c r="M80" s="1292"/>
      <c r="N80" s="1293" t="s">
        <v>1054</v>
      </c>
      <c r="O80" s="1294"/>
      <c r="P80" s="1294"/>
      <c r="Q80" s="1294"/>
      <c r="R80" s="1294"/>
      <c r="S80" s="1294"/>
      <c r="T80" s="1294"/>
      <c r="U80" s="1294"/>
      <c r="V80" s="1295"/>
      <c r="W80" s="1287" t="s">
        <v>1055</v>
      </c>
      <c r="X80" s="1288"/>
      <c r="Y80" s="1288"/>
      <c r="Z80" s="1288"/>
      <c r="AA80" s="1288"/>
      <c r="AB80" s="1288"/>
      <c r="AC80" s="1288"/>
      <c r="AD80" s="1288"/>
      <c r="AE80" s="1289"/>
      <c r="AF80" s="1293" t="s">
        <v>1002</v>
      </c>
      <c r="AG80" s="1294"/>
      <c r="AH80" s="1294"/>
      <c r="AI80" s="1294"/>
      <c r="AJ80" s="1294"/>
      <c r="AK80" s="1294"/>
      <c r="AL80" s="1294"/>
      <c r="AM80" s="1294"/>
      <c r="AN80" s="1295"/>
      <c r="AW80" s="326"/>
      <c r="AX80" s="981"/>
      <c r="AY80" s="980"/>
      <c r="AZ80" s="310"/>
    </row>
    <row r="81" spans="2:53" ht="22.2" customHeight="1">
      <c r="C81" s="1284" t="str">
        <f>+$C$11</f>
        <v>Identificación del Indicador</v>
      </c>
      <c r="D81" s="1297" t="s">
        <v>821</v>
      </c>
      <c r="E81" s="1280" t="s">
        <v>822</v>
      </c>
      <c r="F81" s="1281"/>
      <c r="G81" s="1282"/>
      <c r="H81" s="1283" t="s">
        <v>1057</v>
      </c>
      <c r="I81" s="1285" t="str">
        <f>$I$9</f>
        <v>Ejecución 
Corte
31/03/2023</v>
      </c>
      <c r="J81" s="1283" t="s">
        <v>823</v>
      </c>
      <c r="K81" s="1283" t="s">
        <v>817</v>
      </c>
      <c r="L81" s="1283"/>
      <c r="M81" s="1283"/>
      <c r="N81" s="1280" t="s">
        <v>822</v>
      </c>
      <c r="O81" s="1281"/>
      <c r="P81" s="1282"/>
      <c r="Q81" s="1283" t="s">
        <v>1062</v>
      </c>
      <c r="R81" s="1285" t="str">
        <f>$R$9</f>
        <v>Ejecución 
Corte
30/06/2023</v>
      </c>
      <c r="S81" s="1283" t="s">
        <v>823</v>
      </c>
      <c r="T81" s="1283" t="s">
        <v>817</v>
      </c>
      <c r="U81" s="1283"/>
      <c r="V81" s="1283"/>
      <c r="W81" s="1280" t="s">
        <v>822</v>
      </c>
      <c r="X81" s="1281"/>
      <c r="Y81" s="1282"/>
      <c r="Z81" s="1283" t="s">
        <v>1063</v>
      </c>
      <c r="AA81" s="1285" t="s">
        <v>1059</v>
      </c>
      <c r="AB81" s="1283" t="s">
        <v>823</v>
      </c>
      <c r="AC81" s="1283" t="s">
        <v>817</v>
      </c>
      <c r="AD81" s="1283"/>
      <c r="AE81" s="1283"/>
      <c r="AF81" s="1280" t="s">
        <v>822</v>
      </c>
      <c r="AG81" s="1281"/>
      <c r="AH81" s="1282"/>
      <c r="AI81" s="1283" t="s">
        <v>1084</v>
      </c>
      <c r="AJ81" s="1285" t="s">
        <v>1085</v>
      </c>
      <c r="AK81" s="1283" t="s">
        <v>823</v>
      </c>
      <c r="AL81" s="1283" t="s">
        <v>817</v>
      </c>
      <c r="AM81" s="1283"/>
      <c r="AN81" s="1283"/>
      <c r="AO81" s="1296" t="s">
        <v>669</v>
      </c>
      <c r="AP81" s="1296"/>
      <c r="AQ81" s="1296"/>
      <c r="AR81" s="1296"/>
      <c r="AS81" s="1296"/>
      <c r="AT81" s="1296"/>
      <c r="AU81" s="1296"/>
      <c r="AV81" s="1296"/>
      <c r="AW81" s="1284" t="s">
        <v>842</v>
      </c>
      <c r="AX81" s="980"/>
      <c r="AY81" s="980"/>
    </row>
    <row r="82" spans="2:53" ht="65.25" customHeight="1">
      <c r="C82" s="1284"/>
      <c r="D82" s="1297"/>
      <c r="E82" s="907" t="str">
        <f>$E$9</f>
        <v>Año 2023</v>
      </c>
      <c r="F82" s="907" t="str">
        <f>+E80</f>
        <v>Primer Trimestre</v>
      </c>
      <c r="G82" s="908" t="str">
        <f>$G$9</f>
        <v>Acumulado
Corte 
31/03/2023</v>
      </c>
      <c r="H82" s="1284"/>
      <c r="I82" s="1286"/>
      <c r="J82" s="1284"/>
      <c r="K82" s="907" t="str">
        <f>+$D$6</f>
        <v>Segundo Trimestre</v>
      </c>
      <c r="L82" s="908" t="str">
        <f>$G$12</f>
        <v>Acumulado
Corte 
31/03/2023</v>
      </c>
      <c r="M82" s="909" t="s">
        <v>714</v>
      </c>
      <c r="N82" s="936" t="str">
        <f>$N$9</f>
        <v>Año 2023</v>
      </c>
      <c r="O82" s="907" t="str">
        <f>+N80</f>
        <v>Segundo Trimestre</v>
      </c>
      <c r="P82" s="951" t="str">
        <f>$P$9</f>
        <v>Acumulado
Corte 
30/06/2023</v>
      </c>
      <c r="Q82" s="1284"/>
      <c r="R82" s="1286"/>
      <c r="S82" s="1284"/>
      <c r="T82" s="950" t="str">
        <f>+O82</f>
        <v>Segundo Trimestre</v>
      </c>
      <c r="U82" s="951" t="str">
        <f>$P$12</f>
        <v>Acumulado
Corte 
30/06/2023</v>
      </c>
      <c r="V82" s="952" t="s">
        <v>714</v>
      </c>
      <c r="W82" s="907" t="s">
        <v>1064</v>
      </c>
      <c r="X82" s="907" t="str">
        <f>+W80</f>
        <v>Tercer Trimestre</v>
      </c>
      <c r="Y82" s="908" t="s">
        <v>1058</v>
      </c>
      <c r="Z82" s="1284"/>
      <c r="AA82" s="1286"/>
      <c r="AB82" s="1284"/>
      <c r="AC82" s="907" t="str">
        <f>+X82</f>
        <v>Tercer Trimestre</v>
      </c>
      <c r="AD82" s="908" t="str">
        <f>+Y82</f>
        <v>Acumulado Corte 
30/09/2022</v>
      </c>
      <c r="AE82" s="909" t="s">
        <v>714</v>
      </c>
      <c r="AF82" s="907" t="s">
        <v>1064</v>
      </c>
      <c r="AG82" s="907" t="s">
        <v>1083</v>
      </c>
      <c r="AH82" s="908" t="s">
        <v>1060</v>
      </c>
      <c r="AI82" s="1284"/>
      <c r="AJ82" s="1286"/>
      <c r="AK82" s="1284"/>
      <c r="AL82" s="907" t="str">
        <f>+AG82</f>
        <v>Cuarto Trimestre
31-12-2022</v>
      </c>
      <c r="AM82" s="908" t="str">
        <f>+AH82</f>
        <v>Acumulado Corte 
31/12/2022</v>
      </c>
      <c r="AN82" s="909" t="s">
        <v>714</v>
      </c>
      <c r="AO82" s="987" t="s">
        <v>824</v>
      </c>
      <c r="AP82" s="988"/>
      <c r="AQ82" s="989" t="s">
        <v>825</v>
      </c>
      <c r="AR82" s="990"/>
      <c r="AS82" s="990"/>
      <c r="AT82" s="991"/>
      <c r="AU82" s="992" t="s">
        <v>677</v>
      </c>
      <c r="AV82" s="993"/>
      <c r="AW82" s="1284"/>
      <c r="AX82" s="980"/>
      <c r="AY82" s="980"/>
    </row>
    <row r="83" spans="2:53" ht="223.2" customHeight="1">
      <c r="B83" s="328">
        <f>B77+1</f>
        <v>41</v>
      </c>
      <c r="C83" s="329" t="str">
        <f>+'Rango indicadores'!D42</f>
        <v>06-RI-01</v>
      </c>
      <c r="D83" s="329" t="str">
        <f>+'Rango indicadores'!E42</f>
        <v>Informes realizados en temas específicos.</v>
      </c>
      <c r="E83" s="343">
        <f>+'Rango indicadores'!Q42</f>
        <v>6</v>
      </c>
      <c r="F83" s="343">
        <f>'1.Informe Seguimiento POA 2023'!O33</f>
        <v>0</v>
      </c>
      <c r="G83" s="343">
        <f>'1.Informe Seguimiento POA 2023'!O33</f>
        <v>0</v>
      </c>
      <c r="H83" s="343">
        <f>'1.Informe Seguimiento POA 2023'!P33</f>
        <v>0</v>
      </c>
      <c r="I83" s="343">
        <f>'1.Informe Seguimiento POA 2023'!P33</f>
        <v>0</v>
      </c>
      <c r="J83" s="343">
        <f t="shared" ref="J83:J89" si="108">I83</f>
        <v>0</v>
      </c>
      <c r="K83" s="368" t="str">
        <f t="shared" ref="K83:K89" si="109">IF(AND(F83&gt;0),H83/F83,"No programado")</f>
        <v>No programado</v>
      </c>
      <c r="L83" s="368" t="str">
        <f>IF(AND(G83&gt;0),I83/G83,"No programado")</f>
        <v>No programado</v>
      </c>
      <c r="M83" s="332">
        <f t="shared" ref="M83:M89" si="110">IF(AND(E83&gt;0,$J83&gt;0),J83/$E83,0)</f>
        <v>0</v>
      </c>
      <c r="N83" s="343">
        <f>+E83</f>
        <v>6</v>
      </c>
      <c r="O83" s="331">
        <f>+'1.Informe Seguimiento POA 2023'!Q33</f>
        <v>3</v>
      </c>
      <c r="P83" s="343">
        <f>G83+O83</f>
        <v>3</v>
      </c>
      <c r="Q83" s="331">
        <f>'1.Informe Seguimiento POA 2023'!R33</f>
        <v>0</v>
      </c>
      <c r="R83" s="331">
        <f>+'1.Informe Seguimiento POA 2023'!P33+'1.Informe Seguimiento POA 2023'!R33</f>
        <v>0</v>
      </c>
      <c r="S83" s="343">
        <f>H83+Q83</f>
        <v>0</v>
      </c>
      <c r="T83" s="368">
        <f t="shared" ref="T83:T89" si="111">IF(AND(O83&gt;0),Q83/O83,"No programado")</f>
        <v>0</v>
      </c>
      <c r="U83" s="368">
        <f>IF(AND(P83&gt;0),R83/P83,"No programado")</f>
        <v>0</v>
      </c>
      <c r="V83" s="332">
        <f t="shared" ref="V83:V89" si="112">IF(AND(N83&gt;0,$S83&gt;0),S83/$N83,0)</f>
        <v>0</v>
      </c>
      <c r="W83" s="343">
        <f>+N83</f>
        <v>6</v>
      </c>
      <c r="X83" s="331">
        <f>+'1.Informe Seguimiento POA 2023'!S33</f>
        <v>0</v>
      </c>
      <c r="Y83" s="331">
        <f>+'1.Informe Seguimiento POA 2023'!O33+'1.Informe Seguimiento POA 2023'!Q33+'1.Informe Seguimiento POA 2023'!S33</f>
        <v>3</v>
      </c>
      <c r="Z83" s="331">
        <f>+'1.Informe Seguimiento POA 2023'!T33</f>
        <v>0</v>
      </c>
      <c r="AA83" s="331">
        <f>+'1.Informe Seguimiento POA 2023'!R33+'1.Informe Seguimiento POA 2023'!T33+'1.Informe Seguimiento POA 2023'!P33</f>
        <v>0</v>
      </c>
      <c r="AB83" s="331">
        <f t="shared" ref="AB83" si="113">H83+Q83+Z83</f>
        <v>0</v>
      </c>
      <c r="AC83" s="368" t="str">
        <f t="shared" ref="AC83:AC89" si="114">IF(AND(X83&gt;0),Z83/X83,"No programado")</f>
        <v>No programado</v>
      </c>
      <c r="AD83" s="368">
        <f>IF(AND(Y83&gt;0),AA83/Y83,"No programado")</f>
        <v>0</v>
      </c>
      <c r="AE83" s="332">
        <f t="shared" ref="AE83:AE89" si="115">IF(AND(W83&gt;0,$AB83&gt;0),AB83/$W83,0)</f>
        <v>0</v>
      </c>
      <c r="AF83" s="343">
        <f>+W83</f>
        <v>6</v>
      </c>
      <c r="AG83" s="343">
        <f>+'1.Informe Seguimiento POA 2023'!U33</f>
        <v>3</v>
      </c>
      <c r="AH83" s="343">
        <f>+'1.Informe Seguimiento POA 2023'!O33+'1.Informe Seguimiento POA 2023'!Q33+'1.Informe Seguimiento POA 2023'!S33+'1.Informe Seguimiento POA 2023'!U33</f>
        <v>6</v>
      </c>
      <c r="AI83" s="343">
        <f>+'1.Informe Seguimiento POA 2023'!V33</f>
        <v>0</v>
      </c>
      <c r="AJ83" s="343">
        <f>+'1.Informe Seguimiento POA 2023'!P33+'1.Informe Seguimiento POA 2023'!R33+'1.Informe Seguimiento POA 2023'!T33+'1.Informe Seguimiento POA 2023'!V33</f>
        <v>0</v>
      </c>
      <c r="AK83" s="343">
        <f t="shared" ref="AK83" si="116">H83+Q83+Z83+AI83</f>
        <v>0</v>
      </c>
      <c r="AL83" s="368">
        <f t="shared" ref="AL83:AL89" si="117">IF(AND(AG83&gt;0),AI83/AG83,"No programado")</f>
        <v>0</v>
      </c>
      <c r="AM83" s="368">
        <f>IF(AND(AH83&gt;0),AJ83/AH83,"No programado")</f>
        <v>0</v>
      </c>
      <c r="AN83" s="332">
        <f t="shared" ref="AN83:AN89" si="118">IF(AND(AF83&gt;0,$AK83&gt;0),AK83/$AF83,0)</f>
        <v>0</v>
      </c>
      <c r="AO83" s="336" t="str">
        <f>+'Rango indicadores'!H42</f>
        <v>Mayor A:</v>
      </c>
      <c r="AP83" s="331">
        <f>+'Rango indicadores'!I42</f>
        <v>95</v>
      </c>
      <c r="AQ83" s="331" t="str">
        <f>+'Rango indicadores'!J42</f>
        <v>Desde (&gt;=):</v>
      </c>
      <c r="AR83" s="331">
        <f>+'Rango indicadores'!K42</f>
        <v>75</v>
      </c>
      <c r="AS83" s="331" t="str">
        <f>+'Rango indicadores'!L42</f>
        <v>Hasta (&lt;=):</v>
      </c>
      <c r="AT83" s="331">
        <f>+'Rango indicadores'!M42</f>
        <v>95</v>
      </c>
      <c r="AU83" s="331" t="str">
        <f>+'Rango indicadores'!N42</f>
        <v>Menor A:</v>
      </c>
      <c r="AV83" s="331">
        <f>+'Rango indicadores'!O42</f>
        <v>75</v>
      </c>
      <c r="AW83" s="421" t="s">
        <v>1197</v>
      </c>
      <c r="AX83" s="979"/>
      <c r="AY83" s="979"/>
    </row>
    <row r="84" spans="2:53" ht="229.8" customHeight="1">
      <c r="B84" s="328">
        <f>+B83+1</f>
        <v>42</v>
      </c>
      <c r="C84" s="329" t="str">
        <f>+'Rango indicadores'!D43</f>
        <v>06-RI-02</v>
      </c>
      <c r="D84" s="329" t="str">
        <f>+'Rango indicadores'!E43</f>
        <v>Informes de seguimientos realizados en temas específicos.</v>
      </c>
      <c r="E84" s="343">
        <f>+'Rango indicadores'!Q43</f>
        <v>3</v>
      </c>
      <c r="F84" s="343">
        <f>'1.Informe Seguimiento POA 2023'!O34</f>
        <v>0</v>
      </c>
      <c r="G84" s="343">
        <f>'1.Informe Seguimiento POA 2023'!O34</f>
        <v>0</v>
      </c>
      <c r="H84" s="343">
        <f>'1.Informe Seguimiento POA 2023'!P34</f>
        <v>0</v>
      </c>
      <c r="I84" s="343">
        <f>'1.Informe Seguimiento POA 2023'!P34</f>
        <v>0</v>
      </c>
      <c r="J84" s="343">
        <f t="shared" si="108"/>
        <v>0</v>
      </c>
      <c r="K84" s="368" t="str">
        <f t="shared" si="109"/>
        <v>No programado</v>
      </c>
      <c r="L84" s="368" t="str">
        <f t="shared" ref="L84:L89" si="119">IF(AND(G84&gt;0),I84/G84,"No programado")</f>
        <v>No programado</v>
      </c>
      <c r="M84" s="332">
        <f t="shared" si="110"/>
        <v>0</v>
      </c>
      <c r="N84" s="343">
        <f t="shared" ref="N84:N89" si="120">+E84</f>
        <v>3</v>
      </c>
      <c r="O84" s="331">
        <f>+'1.Informe Seguimiento POA 2023'!Q34</f>
        <v>1</v>
      </c>
      <c r="P84" s="343">
        <f t="shared" ref="P84:P89" si="121">G84+O84</f>
        <v>1</v>
      </c>
      <c r="Q84" s="331">
        <f>'1.Informe Seguimiento POA 2023'!R34</f>
        <v>2</v>
      </c>
      <c r="R84" s="331">
        <f>+'1.Informe Seguimiento POA 2023'!P34+'1.Informe Seguimiento POA 2023'!R34</f>
        <v>2</v>
      </c>
      <c r="S84" s="343">
        <f t="shared" ref="S84:S89" si="122">H84+Q84</f>
        <v>2</v>
      </c>
      <c r="T84" s="368">
        <f t="shared" si="111"/>
        <v>2</v>
      </c>
      <c r="U84" s="368">
        <f t="shared" ref="U84:U89" si="123">IF(AND(P84&gt;0),R84/P84,"No programado")</f>
        <v>2</v>
      </c>
      <c r="V84" s="332">
        <f t="shared" si="112"/>
        <v>0.66666666666666663</v>
      </c>
      <c r="W84" s="343">
        <f t="shared" ref="W84:W89" si="124">+N84</f>
        <v>3</v>
      </c>
      <c r="X84" s="331">
        <f>+'1.Informe Seguimiento POA 2023'!S34</f>
        <v>1</v>
      </c>
      <c r="Y84" s="331">
        <f>+'1.Informe Seguimiento POA 2023'!O34+'1.Informe Seguimiento POA 2023'!Q34+'1.Informe Seguimiento POA 2023'!S34</f>
        <v>2</v>
      </c>
      <c r="Z84" s="331">
        <f>+'1.Informe Seguimiento POA 2023'!T34</f>
        <v>0</v>
      </c>
      <c r="AA84" s="331">
        <f>+'1.Informe Seguimiento POA 2023'!R34+'1.Informe Seguimiento POA 2023'!T34+'1.Informe Seguimiento POA 2023'!P34</f>
        <v>2</v>
      </c>
      <c r="AB84" s="331">
        <f t="shared" ref="AB84:AB89" si="125">H84+Q84+Z84</f>
        <v>2</v>
      </c>
      <c r="AC84" s="368">
        <f t="shared" si="114"/>
        <v>0</v>
      </c>
      <c r="AD84" s="368">
        <f t="shared" ref="AD84:AD89" si="126">IF(AND(Y84&gt;0),AA84/Y84,"No programado")</f>
        <v>1</v>
      </c>
      <c r="AE84" s="332">
        <f t="shared" si="115"/>
        <v>0.66666666666666663</v>
      </c>
      <c r="AF84" s="343">
        <f t="shared" ref="AF84:AF89" si="127">+W84</f>
        <v>3</v>
      </c>
      <c r="AG84" s="343">
        <f>+'1.Informe Seguimiento POA 2023'!U34</f>
        <v>1</v>
      </c>
      <c r="AH84" s="343">
        <f>+'1.Informe Seguimiento POA 2023'!O34+'1.Informe Seguimiento POA 2023'!Q34+'1.Informe Seguimiento POA 2023'!S34+'1.Informe Seguimiento POA 2023'!U34</f>
        <v>3</v>
      </c>
      <c r="AI84" s="343">
        <f>+'1.Informe Seguimiento POA 2023'!V34</f>
        <v>0</v>
      </c>
      <c r="AJ84" s="343">
        <f>+'1.Informe Seguimiento POA 2023'!P34+'1.Informe Seguimiento POA 2023'!R34+'1.Informe Seguimiento POA 2023'!T34+'1.Informe Seguimiento POA 2023'!V34</f>
        <v>2</v>
      </c>
      <c r="AK84" s="343">
        <f t="shared" ref="AK84:AK89" si="128">H84+Q84+Z84+AI84</f>
        <v>2</v>
      </c>
      <c r="AL84" s="368">
        <f t="shared" si="117"/>
        <v>0</v>
      </c>
      <c r="AM84" s="368">
        <f t="shared" ref="AM84:AM89" si="129">IF(AND(AH84&gt;0),AJ84/AH84,"No programado")</f>
        <v>0.66666666666666663</v>
      </c>
      <c r="AN84" s="332">
        <f t="shared" si="118"/>
        <v>0.66666666666666663</v>
      </c>
      <c r="AO84" s="336" t="str">
        <f>+'Rango indicadores'!H43</f>
        <v>Mayor A:</v>
      </c>
      <c r="AP84" s="331">
        <f>+'Rango indicadores'!I43</f>
        <v>95</v>
      </c>
      <c r="AQ84" s="331" t="str">
        <f>+'Rango indicadores'!J43</f>
        <v>Desde (&gt;=):</v>
      </c>
      <c r="AR84" s="331">
        <f>+'Rango indicadores'!K43</f>
        <v>75</v>
      </c>
      <c r="AS84" s="331" t="str">
        <f>+'Rango indicadores'!L43</f>
        <v>Hasta (&lt;=):</v>
      </c>
      <c r="AT84" s="331">
        <f>+'Rango indicadores'!M43</f>
        <v>95</v>
      </c>
      <c r="AU84" s="331" t="str">
        <f>+'Rango indicadores'!N43</f>
        <v>Menor A:</v>
      </c>
      <c r="AV84" s="331">
        <f>+'Rango indicadores'!O43</f>
        <v>75</v>
      </c>
      <c r="AW84" s="421" t="s">
        <v>1201</v>
      </c>
      <c r="AX84" s="979"/>
      <c r="AY84" s="979"/>
      <c r="AZ84" s="344"/>
      <c r="BA84" s="344"/>
    </row>
    <row r="85" spans="2:53" ht="222.6" customHeight="1">
      <c r="B85" s="328">
        <f>+B84+1</f>
        <v>43</v>
      </c>
      <c r="C85" s="329" t="str">
        <f>+'Rango indicadores'!D44</f>
        <v>06-RI-03</v>
      </c>
      <c r="D85" s="329" t="str">
        <f>+'Rango indicadores'!E44</f>
        <v>Acciones de Prevención y Control a la Función Pública realizadas, con informe.</v>
      </c>
      <c r="E85" s="343">
        <f>+'Rango indicadores'!Q44</f>
        <v>259</v>
      </c>
      <c r="F85" s="343">
        <f>'1.Informe Seguimiento POA 2023'!O35</f>
        <v>43</v>
      </c>
      <c r="G85" s="343">
        <f>'1.Informe Seguimiento POA 2023'!O35</f>
        <v>43</v>
      </c>
      <c r="H85" s="343">
        <f>'1.Informe Seguimiento POA 2023'!P35</f>
        <v>29</v>
      </c>
      <c r="I85" s="343">
        <f>'1.Informe Seguimiento POA 2023'!P35</f>
        <v>29</v>
      </c>
      <c r="J85" s="343">
        <f t="shared" si="108"/>
        <v>29</v>
      </c>
      <c r="K85" s="346">
        <f t="shared" si="109"/>
        <v>0.67441860465116277</v>
      </c>
      <c r="L85" s="346">
        <f t="shared" si="119"/>
        <v>0.67441860465116277</v>
      </c>
      <c r="M85" s="332">
        <f t="shared" si="110"/>
        <v>0.11196911196911197</v>
      </c>
      <c r="N85" s="343">
        <f t="shared" si="120"/>
        <v>259</v>
      </c>
      <c r="O85" s="331">
        <f>+'1.Informe Seguimiento POA 2023'!Q35</f>
        <v>88</v>
      </c>
      <c r="P85" s="343">
        <f t="shared" si="121"/>
        <v>131</v>
      </c>
      <c r="Q85" s="331">
        <f>'1.Informe Seguimiento POA 2023'!R35</f>
        <v>56</v>
      </c>
      <c r="R85" s="331">
        <f>+'1.Informe Seguimiento POA 2023'!P35+'1.Informe Seguimiento POA 2023'!R35</f>
        <v>85</v>
      </c>
      <c r="S85" s="343">
        <f t="shared" si="122"/>
        <v>85</v>
      </c>
      <c r="T85" s="346">
        <f t="shared" si="111"/>
        <v>0.63636363636363635</v>
      </c>
      <c r="U85" s="346">
        <f t="shared" si="123"/>
        <v>0.64885496183206104</v>
      </c>
      <c r="V85" s="332">
        <f t="shared" si="112"/>
        <v>0.3281853281853282</v>
      </c>
      <c r="W85" s="343">
        <f t="shared" si="124"/>
        <v>259</v>
      </c>
      <c r="X85" s="331">
        <f>+'1.Informe Seguimiento POA 2023'!S35</f>
        <v>91</v>
      </c>
      <c r="Y85" s="331">
        <f>+'1.Informe Seguimiento POA 2023'!O35+'1.Informe Seguimiento POA 2023'!Q35+'1.Informe Seguimiento POA 2023'!S35</f>
        <v>222</v>
      </c>
      <c r="Z85" s="331">
        <f>+'1.Informe Seguimiento POA 2023'!T35</f>
        <v>0</v>
      </c>
      <c r="AA85" s="331">
        <f>+'1.Informe Seguimiento POA 2023'!R35+'1.Informe Seguimiento POA 2023'!T35+'1.Informe Seguimiento POA 2023'!P35</f>
        <v>85</v>
      </c>
      <c r="AB85" s="331">
        <f t="shared" si="125"/>
        <v>85</v>
      </c>
      <c r="AC85" s="346">
        <f t="shared" si="114"/>
        <v>0</v>
      </c>
      <c r="AD85" s="346">
        <f t="shared" si="126"/>
        <v>0.38288288288288286</v>
      </c>
      <c r="AE85" s="332">
        <f t="shared" si="115"/>
        <v>0.3281853281853282</v>
      </c>
      <c r="AF85" s="343">
        <f t="shared" si="127"/>
        <v>259</v>
      </c>
      <c r="AG85" s="343">
        <f>+'1.Informe Seguimiento POA 2023'!U35</f>
        <v>37</v>
      </c>
      <c r="AH85" s="343">
        <f>+'1.Informe Seguimiento POA 2023'!O35+'1.Informe Seguimiento POA 2023'!Q35+'1.Informe Seguimiento POA 2023'!S35+'1.Informe Seguimiento POA 2023'!U35</f>
        <v>259</v>
      </c>
      <c r="AI85" s="343">
        <f>+'1.Informe Seguimiento POA 2023'!V35</f>
        <v>0</v>
      </c>
      <c r="AJ85" s="343">
        <f>+'1.Informe Seguimiento POA 2023'!P35+'1.Informe Seguimiento POA 2023'!R35+'1.Informe Seguimiento POA 2023'!T35+'1.Informe Seguimiento POA 2023'!V35</f>
        <v>85</v>
      </c>
      <c r="AK85" s="343">
        <f t="shared" si="128"/>
        <v>85</v>
      </c>
      <c r="AL85" s="346">
        <f t="shared" si="117"/>
        <v>0</v>
      </c>
      <c r="AM85" s="346">
        <f t="shared" si="129"/>
        <v>0.3281853281853282</v>
      </c>
      <c r="AN85" s="332">
        <f t="shared" si="118"/>
        <v>0.3281853281853282</v>
      </c>
      <c r="AO85" s="336" t="str">
        <f>+'Rango indicadores'!H44</f>
        <v>Mayor A:</v>
      </c>
      <c r="AP85" s="331">
        <f>+'Rango indicadores'!I44</f>
        <v>95</v>
      </c>
      <c r="AQ85" s="331" t="str">
        <f>+'Rango indicadores'!J44</f>
        <v>Desde (&gt;=):</v>
      </c>
      <c r="AR85" s="331">
        <f>+'Rango indicadores'!K44</f>
        <v>75</v>
      </c>
      <c r="AS85" s="331" t="str">
        <f>+'Rango indicadores'!L44</f>
        <v>Hasta (&lt;=):</v>
      </c>
      <c r="AT85" s="331">
        <f>+'Rango indicadores'!M44</f>
        <v>95</v>
      </c>
      <c r="AU85" s="331" t="str">
        <f>+'Rango indicadores'!N44</f>
        <v>Menor A:</v>
      </c>
      <c r="AV85" s="331">
        <f>+'Rango indicadores'!O44</f>
        <v>75</v>
      </c>
      <c r="AW85" s="421" t="s">
        <v>1198</v>
      </c>
      <c r="AX85" s="979"/>
      <c r="AY85" s="979"/>
      <c r="AZ85" s="344"/>
      <c r="BA85" s="344"/>
    </row>
    <row r="86" spans="2:53" ht="243.6" customHeight="1">
      <c r="B86" s="328">
        <f>+B85+1</f>
        <v>44</v>
      </c>
      <c r="C86" s="329" t="str">
        <f>+'Rango indicadores'!D45</f>
        <v>06-RI-04</v>
      </c>
      <c r="D86" s="329" t="str">
        <f>+'Rango indicadores'!E45</f>
        <v>Seguimientos realizados sobre acciones previas, con informe</v>
      </c>
      <c r="E86" s="343">
        <f>+'Rango indicadores'!Q45</f>
        <v>30</v>
      </c>
      <c r="F86" s="343">
        <f>'1.Informe Seguimiento POA 2023'!O36</f>
        <v>1</v>
      </c>
      <c r="G86" s="343">
        <f>'1.Informe Seguimiento POA 2023'!O36</f>
        <v>1</v>
      </c>
      <c r="H86" s="343">
        <f>'1.Informe Seguimiento POA 2023'!P36</f>
        <v>1</v>
      </c>
      <c r="I86" s="343">
        <f>'1.Informe Seguimiento POA 2023'!P36</f>
        <v>1</v>
      </c>
      <c r="J86" s="343">
        <f t="shared" si="108"/>
        <v>1</v>
      </c>
      <c r="K86" s="346">
        <f t="shared" si="109"/>
        <v>1</v>
      </c>
      <c r="L86" s="346">
        <f t="shared" si="119"/>
        <v>1</v>
      </c>
      <c r="M86" s="332">
        <f t="shared" si="110"/>
        <v>3.3333333333333333E-2</v>
      </c>
      <c r="N86" s="343">
        <f t="shared" si="120"/>
        <v>30</v>
      </c>
      <c r="O86" s="331">
        <f>+'1.Informe Seguimiento POA 2023'!Q36</f>
        <v>3</v>
      </c>
      <c r="P86" s="343">
        <f t="shared" si="121"/>
        <v>4</v>
      </c>
      <c r="Q86" s="331">
        <f>'1.Informe Seguimiento POA 2023'!R36</f>
        <v>2</v>
      </c>
      <c r="R86" s="331">
        <f>+'1.Informe Seguimiento POA 2023'!P36+'1.Informe Seguimiento POA 2023'!R36</f>
        <v>3</v>
      </c>
      <c r="S86" s="343">
        <f t="shared" si="122"/>
        <v>3</v>
      </c>
      <c r="T86" s="346">
        <f t="shared" si="111"/>
        <v>0.66666666666666663</v>
      </c>
      <c r="U86" s="346">
        <f t="shared" si="123"/>
        <v>0.75</v>
      </c>
      <c r="V86" s="332">
        <f t="shared" si="112"/>
        <v>0.1</v>
      </c>
      <c r="W86" s="343">
        <f t="shared" si="124"/>
        <v>30</v>
      </c>
      <c r="X86" s="331">
        <f>+'1.Informe Seguimiento POA 2023'!S36</f>
        <v>20</v>
      </c>
      <c r="Y86" s="331">
        <f>+'1.Informe Seguimiento POA 2023'!O36+'1.Informe Seguimiento POA 2023'!Q36+'1.Informe Seguimiento POA 2023'!S36</f>
        <v>24</v>
      </c>
      <c r="Z86" s="331">
        <f>+'1.Informe Seguimiento POA 2023'!T36</f>
        <v>0</v>
      </c>
      <c r="AA86" s="331">
        <f>+'1.Informe Seguimiento POA 2023'!R36+'1.Informe Seguimiento POA 2023'!T36+'1.Informe Seguimiento POA 2023'!P36</f>
        <v>3</v>
      </c>
      <c r="AB86" s="331">
        <f t="shared" si="125"/>
        <v>3</v>
      </c>
      <c r="AC86" s="346">
        <f t="shared" si="114"/>
        <v>0</v>
      </c>
      <c r="AD86" s="346">
        <f t="shared" si="126"/>
        <v>0.125</v>
      </c>
      <c r="AE86" s="332">
        <f t="shared" si="115"/>
        <v>0.1</v>
      </c>
      <c r="AF86" s="343">
        <f t="shared" si="127"/>
        <v>30</v>
      </c>
      <c r="AG86" s="343">
        <f>+'1.Informe Seguimiento POA 2023'!U36</f>
        <v>6</v>
      </c>
      <c r="AH86" s="343">
        <f>+'1.Informe Seguimiento POA 2023'!O36+'1.Informe Seguimiento POA 2023'!Q36+'1.Informe Seguimiento POA 2023'!S36+'1.Informe Seguimiento POA 2023'!U36</f>
        <v>30</v>
      </c>
      <c r="AI86" s="343">
        <f>+'1.Informe Seguimiento POA 2023'!V36</f>
        <v>0</v>
      </c>
      <c r="AJ86" s="343">
        <f>+'1.Informe Seguimiento POA 2023'!P36+'1.Informe Seguimiento POA 2023'!R36+'1.Informe Seguimiento POA 2023'!T36+'1.Informe Seguimiento POA 2023'!V36</f>
        <v>3</v>
      </c>
      <c r="AK86" s="343">
        <f t="shared" si="128"/>
        <v>3</v>
      </c>
      <c r="AL86" s="346">
        <f t="shared" si="117"/>
        <v>0</v>
      </c>
      <c r="AM86" s="346">
        <f t="shared" si="129"/>
        <v>0.1</v>
      </c>
      <c r="AN86" s="332">
        <f t="shared" si="118"/>
        <v>0.1</v>
      </c>
      <c r="AO86" s="336" t="str">
        <f>+'Rango indicadores'!H45</f>
        <v>Mayor A:</v>
      </c>
      <c r="AP86" s="331">
        <f>+'Rango indicadores'!I45</f>
        <v>95</v>
      </c>
      <c r="AQ86" s="331" t="str">
        <f>+'Rango indicadores'!J45</f>
        <v>Desde (&gt;=):</v>
      </c>
      <c r="AR86" s="331">
        <f>+'Rango indicadores'!K45</f>
        <v>75</v>
      </c>
      <c r="AS86" s="331" t="str">
        <f>+'Rango indicadores'!L45</f>
        <v>Hasta (&lt;=):</v>
      </c>
      <c r="AT86" s="331">
        <f>+'Rango indicadores'!M45</f>
        <v>95</v>
      </c>
      <c r="AU86" s="331" t="str">
        <f>+'Rango indicadores'!N45</f>
        <v>Menor A:</v>
      </c>
      <c r="AV86" s="331">
        <f>+'Rango indicadores'!O45</f>
        <v>75</v>
      </c>
      <c r="AW86" s="421" t="s">
        <v>1199</v>
      </c>
      <c r="AX86" s="979"/>
      <c r="AY86" s="979"/>
      <c r="AZ86" s="344"/>
      <c r="BA86" s="344"/>
    </row>
    <row r="87" spans="2:53" ht="191.4" customHeight="1">
      <c r="B87" s="328">
        <f>+B86+1</f>
        <v>45</v>
      </c>
      <c r="C87" s="329" t="str">
        <f>+'Rango indicadores'!D46</f>
        <v>06-RI-05</v>
      </c>
      <c r="D87" s="329" t="str">
        <f>+'Rango indicadores'!E46</f>
        <v>Audiencias públicas y/o mesas de trabajo realizadas.</v>
      </c>
      <c r="E87" s="343">
        <f>+'Rango indicadores'!Q46</f>
        <v>15</v>
      </c>
      <c r="F87" s="343">
        <f>'1.Informe Seguimiento POA 2023'!O37</f>
        <v>5</v>
      </c>
      <c r="G87" s="343">
        <f>'1.Informe Seguimiento POA 2023'!O37</f>
        <v>5</v>
      </c>
      <c r="H87" s="343">
        <f>'1.Informe Seguimiento POA 2023'!P37</f>
        <v>5</v>
      </c>
      <c r="I87" s="343">
        <f>'1.Informe Seguimiento POA 2023'!P37</f>
        <v>5</v>
      </c>
      <c r="J87" s="343">
        <f t="shared" si="108"/>
        <v>5</v>
      </c>
      <c r="K87" s="346">
        <f t="shared" si="109"/>
        <v>1</v>
      </c>
      <c r="L87" s="346">
        <f t="shared" si="119"/>
        <v>1</v>
      </c>
      <c r="M87" s="332">
        <f t="shared" si="110"/>
        <v>0.33333333333333331</v>
      </c>
      <c r="N87" s="343">
        <f t="shared" si="120"/>
        <v>15</v>
      </c>
      <c r="O87" s="331">
        <f>+'1.Informe Seguimiento POA 2023'!Q37</f>
        <v>9</v>
      </c>
      <c r="P87" s="343">
        <f t="shared" si="121"/>
        <v>14</v>
      </c>
      <c r="Q87" s="331">
        <f>'1.Informe Seguimiento POA 2023'!R37</f>
        <v>8</v>
      </c>
      <c r="R87" s="331">
        <f>+'1.Informe Seguimiento POA 2023'!P37+'1.Informe Seguimiento POA 2023'!R37</f>
        <v>13</v>
      </c>
      <c r="S87" s="343">
        <f t="shared" si="122"/>
        <v>13</v>
      </c>
      <c r="T87" s="346">
        <f t="shared" si="111"/>
        <v>0.88888888888888884</v>
      </c>
      <c r="U87" s="346">
        <f t="shared" si="123"/>
        <v>0.9285714285714286</v>
      </c>
      <c r="V87" s="332">
        <f t="shared" si="112"/>
        <v>0.8666666666666667</v>
      </c>
      <c r="W87" s="343">
        <f t="shared" si="124"/>
        <v>15</v>
      </c>
      <c r="X87" s="331">
        <f>+'1.Informe Seguimiento POA 2023'!S37</f>
        <v>0</v>
      </c>
      <c r="Y87" s="331">
        <f>+'1.Informe Seguimiento POA 2023'!O37+'1.Informe Seguimiento POA 2023'!Q37+'1.Informe Seguimiento POA 2023'!S37</f>
        <v>14</v>
      </c>
      <c r="Z87" s="331">
        <f>+'1.Informe Seguimiento POA 2023'!T37</f>
        <v>0</v>
      </c>
      <c r="AA87" s="331">
        <f>+'1.Informe Seguimiento POA 2023'!R37+'1.Informe Seguimiento POA 2023'!T37+'1.Informe Seguimiento POA 2023'!P37</f>
        <v>13</v>
      </c>
      <c r="AB87" s="331">
        <f t="shared" si="125"/>
        <v>13</v>
      </c>
      <c r="AC87" s="346" t="str">
        <f t="shared" si="114"/>
        <v>No programado</v>
      </c>
      <c r="AD87" s="346">
        <f t="shared" si="126"/>
        <v>0.9285714285714286</v>
      </c>
      <c r="AE87" s="332">
        <f t="shared" si="115"/>
        <v>0.8666666666666667</v>
      </c>
      <c r="AF87" s="343">
        <f t="shared" si="127"/>
        <v>15</v>
      </c>
      <c r="AG87" s="343">
        <f>+'1.Informe Seguimiento POA 2023'!U37</f>
        <v>1</v>
      </c>
      <c r="AH87" s="343">
        <f>+'1.Informe Seguimiento POA 2023'!O37+'1.Informe Seguimiento POA 2023'!Q37+'1.Informe Seguimiento POA 2023'!S37+'1.Informe Seguimiento POA 2023'!U37</f>
        <v>15</v>
      </c>
      <c r="AI87" s="343">
        <f>+'1.Informe Seguimiento POA 2023'!V37</f>
        <v>0</v>
      </c>
      <c r="AJ87" s="343">
        <f>+'1.Informe Seguimiento POA 2023'!P37+'1.Informe Seguimiento POA 2023'!R37+'1.Informe Seguimiento POA 2023'!T37+'1.Informe Seguimiento POA 2023'!V37</f>
        <v>13</v>
      </c>
      <c r="AK87" s="343">
        <f t="shared" si="128"/>
        <v>13</v>
      </c>
      <c r="AL87" s="346">
        <f t="shared" si="117"/>
        <v>0</v>
      </c>
      <c r="AM87" s="346">
        <f t="shared" si="129"/>
        <v>0.8666666666666667</v>
      </c>
      <c r="AN87" s="332">
        <f t="shared" si="118"/>
        <v>0.8666666666666667</v>
      </c>
      <c r="AO87" s="336" t="str">
        <f>+'Rango indicadores'!H46</f>
        <v>Mayor A:</v>
      </c>
      <c r="AP87" s="331">
        <f>+'Rango indicadores'!I46</f>
        <v>95</v>
      </c>
      <c r="AQ87" s="331" t="str">
        <f>+'Rango indicadores'!J46</f>
        <v>Desde (&gt;=):</v>
      </c>
      <c r="AR87" s="331">
        <f>+'Rango indicadores'!K46</f>
        <v>75</v>
      </c>
      <c r="AS87" s="331" t="str">
        <f>+'Rango indicadores'!L46</f>
        <v>Hasta (&lt;=):</v>
      </c>
      <c r="AT87" s="331">
        <f>+'Rango indicadores'!M46</f>
        <v>95</v>
      </c>
      <c r="AU87" s="331" t="str">
        <f>+'Rango indicadores'!N46</f>
        <v>Menor A:</v>
      </c>
      <c r="AV87" s="331">
        <f>+'Rango indicadores'!O46</f>
        <v>75</v>
      </c>
      <c r="AW87" s="421" t="s">
        <v>1200</v>
      </c>
      <c r="AX87" s="979"/>
      <c r="AY87" s="979"/>
      <c r="AZ87" s="344"/>
    </row>
    <row r="88" spans="2:53" ht="246" customHeight="1">
      <c r="B88" s="328">
        <f t="shared" ref="B88:B89" si="130">+B87+1</f>
        <v>46</v>
      </c>
      <c r="C88" s="329" t="str">
        <f>+'Rango indicadores'!D47</f>
        <v>06-RI-06</v>
      </c>
      <c r="D88" s="329" t="str">
        <f>+'Rango indicadores'!E47</f>
        <v>Acompañamientos a los ciudadanos realizados.</v>
      </c>
      <c r="E88" s="343">
        <f>+'Rango indicadores'!Q47</f>
        <v>40</v>
      </c>
      <c r="F88" s="343">
        <f>'1.Informe Seguimiento POA 2023'!O38</f>
        <v>8</v>
      </c>
      <c r="G88" s="343">
        <f>'1.Informe Seguimiento POA 2023'!O38</f>
        <v>8</v>
      </c>
      <c r="H88" s="343">
        <f>'1.Informe Seguimiento POA 2023'!P38</f>
        <v>24</v>
      </c>
      <c r="I88" s="343">
        <f>'1.Informe Seguimiento POA 2023'!P38</f>
        <v>24</v>
      </c>
      <c r="J88" s="343">
        <f t="shared" si="108"/>
        <v>24</v>
      </c>
      <c r="K88" s="346">
        <f t="shared" si="109"/>
        <v>3</v>
      </c>
      <c r="L88" s="346">
        <f t="shared" si="119"/>
        <v>3</v>
      </c>
      <c r="M88" s="332">
        <f t="shared" si="110"/>
        <v>0.6</v>
      </c>
      <c r="N88" s="343">
        <f t="shared" si="120"/>
        <v>40</v>
      </c>
      <c r="O88" s="331">
        <f>+'1.Informe Seguimiento POA 2023'!Q38</f>
        <v>12</v>
      </c>
      <c r="P88" s="343">
        <f t="shared" si="121"/>
        <v>20</v>
      </c>
      <c r="Q88" s="331">
        <f>'1.Informe Seguimiento POA 2023'!R38</f>
        <v>2</v>
      </c>
      <c r="R88" s="331">
        <f>+'1.Informe Seguimiento POA 2023'!P38+'1.Informe Seguimiento POA 2023'!R38</f>
        <v>26</v>
      </c>
      <c r="S88" s="343">
        <f t="shared" si="122"/>
        <v>26</v>
      </c>
      <c r="T88" s="346">
        <f t="shared" si="111"/>
        <v>0.16666666666666666</v>
      </c>
      <c r="U88" s="346">
        <f t="shared" si="123"/>
        <v>1.3</v>
      </c>
      <c r="V88" s="332">
        <f t="shared" si="112"/>
        <v>0.65</v>
      </c>
      <c r="W88" s="343">
        <f t="shared" si="124"/>
        <v>40</v>
      </c>
      <c r="X88" s="331">
        <f>+'1.Informe Seguimiento POA 2023'!S38</f>
        <v>12</v>
      </c>
      <c r="Y88" s="331">
        <f>+'1.Informe Seguimiento POA 2023'!O38+'1.Informe Seguimiento POA 2023'!Q38+'1.Informe Seguimiento POA 2023'!S38</f>
        <v>32</v>
      </c>
      <c r="Z88" s="331">
        <f>+'1.Informe Seguimiento POA 2023'!T38</f>
        <v>0</v>
      </c>
      <c r="AA88" s="331">
        <f>+'1.Informe Seguimiento POA 2023'!R38+'1.Informe Seguimiento POA 2023'!T38+'1.Informe Seguimiento POA 2023'!P38</f>
        <v>26</v>
      </c>
      <c r="AB88" s="331">
        <f t="shared" si="125"/>
        <v>26</v>
      </c>
      <c r="AC88" s="346">
        <f t="shared" si="114"/>
        <v>0</v>
      </c>
      <c r="AD88" s="346">
        <f t="shared" si="126"/>
        <v>0.8125</v>
      </c>
      <c r="AE88" s="332">
        <f t="shared" si="115"/>
        <v>0.65</v>
      </c>
      <c r="AF88" s="343">
        <f t="shared" si="127"/>
        <v>40</v>
      </c>
      <c r="AG88" s="343">
        <f>+'1.Informe Seguimiento POA 2023'!U38</f>
        <v>8</v>
      </c>
      <c r="AH88" s="343">
        <f>+'1.Informe Seguimiento POA 2023'!O38+'1.Informe Seguimiento POA 2023'!Q38+'1.Informe Seguimiento POA 2023'!S38+'1.Informe Seguimiento POA 2023'!U38</f>
        <v>40</v>
      </c>
      <c r="AI88" s="343">
        <f>+'1.Informe Seguimiento POA 2023'!V38</f>
        <v>0</v>
      </c>
      <c r="AJ88" s="343">
        <f>+'1.Informe Seguimiento POA 2023'!P38+'1.Informe Seguimiento POA 2023'!R38+'1.Informe Seguimiento POA 2023'!T38+'1.Informe Seguimiento POA 2023'!V38</f>
        <v>26</v>
      </c>
      <c r="AK88" s="343">
        <f t="shared" si="128"/>
        <v>26</v>
      </c>
      <c r="AL88" s="346">
        <f t="shared" si="117"/>
        <v>0</v>
      </c>
      <c r="AM88" s="346">
        <f t="shared" si="129"/>
        <v>0.65</v>
      </c>
      <c r="AN88" s="332">
        <f t="shared" si="118"/>
        <v>0.65</v>
      </c>
      <c r="AO88" s="336" t="str">
        <f>+'Rango indicadores'!H47</f>
        <v>Mayor A:</v>
      </c>
      <c r="AP88" s="331">
        <f>+'Rango indicadores'!I47</f>
        <v>95</v>
      </c>
      <c r="AQ88" s="331" t="str">
        <f>+'Rango indicadores'!J47</f>
        <v>Desde (&gt;=):</v>
      </c>
      <c r="AR88" s="331">
        <f>+'Rango indicadores'!K47</f>
        <v>75</v>
      </c>
      <c r="AS88" s="331" t="str">
        <f>+'Rango indicadores'!L47</f>
        <v>Hasta (&lt;=):</v>
      </c>
      <c r="AT88" s="331">
        <f>+'Rango indicadores'!M47</f>
        <v>95</v>
      </c>
      <c r="AU88" s="331" t="str">
        <f>+'Rango indicadores'!N47</f>
        <v>Menor A:</v>
      </c>
      <c r="AV88" s="331">
        <f>+'Rango indicadores'!O47</f>
        <v>75</v>
      </c>
      <c r="AW88" s="917" t="s">
        <v>1202</v>
      </c>
      <c r="AX88" s="979"/>
      <c r="AY88" s="979"/>
      <c r="AZ88" s="659">
        <f t="shared" ref="AZ88:AZ89" si="131">+Y88-AA88</f>
        <v>6</v>
      </c>
    </row>
    <row r="89" spans="2:53" ht="267" customHeight="1">
      <c r="B89" s="328">
        <f t="shared" si="130"/>
        <v>47</v>
      </c>
      <c r="C89" s="329" t="str">
        <f>+'Rango indicadores'!D48</f>
        <v>06-RI-07</v>
      </c>
      <c r="D89" s="329" t="str">
        <f>+'Rango indicadores'!E48</f>
        <v>Espacios de dialogo realizados.</v>
      </c>
      <c r="E89" s="343">
        <f>+'Rango indicadores'!Q48</f>
        <v>30</v>
      </c>
      <c r="F89" s="343">
        <f>'1.Informe Seguimiento POA 2023'!O39</f>
        <v>2</v>
      </c>
      <c r="G89" s="343">
        <f>'1.Informe Seguimiento POA 2023'!O39</f>
        <v>2</v>
      </c>
      <c r="H89" s="343">
        <f>'1.Informe Seguimiento POA 2023'!P39</f>
        <v>17</v>
      </c>
      <c r="I89" s="343">
        <f>'1.Informe Seguimiento POA 2023'!P39</f>
        <v>17</v>
      </c>
      <c r="J89" s="343">
        <f t="shared" si="108"/>
        <v>17</v>
      </c>
      <c r="K89" s="346">
        <f t="shared" si="109"/>
        <v>8.5</v>
      </c>
      <c r="L89" s="346">
        <f t="shared" si="119"/>
        <v>8.5</v>
      </c>
      <c r="M89" s="332">
        <f t="shared" si="110"/>
        <v>0.56666666666666665</v>
      </c>
      <c r="N89" s="343">
        <f t="shared" si="120"/>
        <v>30</v>
      </c>
      <c r="O89" s="331">
        <f>+'1.Informe Seguimiento POA 2023'!Q39</f>
        <v>10</v>
      </c>
      <c r="P89" s="343">
        <f t="shared" si="121"/>
        <v>12</v>
      </c>
      <c r="Q89" s="331">
        <f>'1.Informe Seguimiento POA 2023'!R39</f>
        <v>5</v>
      </c>
      <c r="R89" s="331">
        <f>+'1.Informe Seguimiento POA 2023'!P39+'1.Informe Seguimiento POA 2023'!R39</f>
        <v>22</v>
      </c>
      <c r="S89" s="343">
        <f t="shared" si="122"/>
        <v>22</v>
      </c>
      <c r="T89" s="346">
        <f t="shared" si="111"/>
        <v>0.5</v>
      </c>
      <c r="U89" s="346">
        <f t="shared" si="123"/>
        <v>1.8333333333333333</v>
      </c>
      <c r="V89" s="332">
        <f t="shared" si="112"/>
        <v>0.73333333333333328</v>
      </c>
      <c r="W89" s="343">
        <f t="shared" si="124"/>
        <v>30</v>
      </c>
      <c r="X89" s="331">
        <f>+'1.Informe Seguimiento POA 2023'!S39</f>
        <v>10</v>
      </c>
      <c r="Y89" s="331">
        <f>+'1.Informe Seguimiento POA 2023'!O39+'1.Informe Seguimiento POA 2023'!Q39+'1.Informe Seguimiento POA 2023'!S39</f>
        <v>22</v>
      </c>
      <c r="Z89" s="331">
        <f>+'1.Informe Seguimiento POA 2023'!T39</f>
        <v>0</v>
      </c>
      <c r="AA89" s="331">
        <f>+'1.Informe Seguimiento POA 2023'!R39+'1.Informe Seguimiento POA 2023'!T39+'1.Informe Seguimiento POA 2023'!P39</f>
        <v>22</v>
      </c>
      <c r="AB89" s="331">
        <f t="shared" si="125"/>
        <v>22</v>
      </c>
      <c r="AC89" s="346">
        <f t="shared" si="114"/>
        <v>0</v>
      </c>
      <c r="AD89" s="346">
        <f t="shared" si="126"/>
        <v>1</v>
      </c>
      <c r="AE89" s="332">
        <f t="shared" si="115"/>
        <v>0.73333333333333328</v>
      </c>
      <c r="AF89" s="343">
        <f t="shared" si="127"/>
        <v>30</v>
      </c>
      <c r="AG89" s="343">
        <f>+'1.Informe Seguimiento POA 2023'!U39</f>
        <v>8</v>
      </c>
      <c r="AH89" s="343">
        <f>+'1.Informe Seguimiento POA 2023'!O39+'1.Informe Seguimiento POA 2023'!Q39+'1.Informe Seguimiento POA 2023'!S39+'1.Informe Seguimiento POA 2023'!U39</f>
        <v>30</v>
      </c>
      <c r="AI89" s="343">
        <f>+'1.Informe Seguimiento POA 2023'!V39</f>
        <v>0</v>
      </c>
      <c r="AJ89" s="343">
        <f>+'1.Informe Seguimiento POA 2023'!P39+'1.Informe Seguimiento POA 2023'!R39+'1.Informe Seguimiento POA 2023'!T39+'1.Informe Seguimiento POA 2023'!V39</f>
        <v>22</v>
      </c>
      <c r="AK89" s="343">
        <f t="shared" si="128"/>
        <v>22</v>
      </c>
      <c r="AL89" s="346">
        <f t="shared" si="117"/>
        <v>0</v>
      </c>
      <c r="AM89" s="346">
        <f t="shared" si="129"/>
        <v>0.73333333333333328</v>
      </c>
      <c r="AN89" s="332">
        <f t="shared" si="118"/>
        <v>0.73333333333333328</v>
      </c>
      <c r="AO89" s="336" t="str">
        <f>+'Rango indicadores'!H48</f>
        <v>Mayor A:</v>
      </c>
      <c r="AP89" s="331">
        <f>+'Rango indicadores'!I48</f>
        <v>95</v>
      </c>
      <c r="AQ89" s="331" t="str">
        <f>+'Rango indicadores'!J48</f>
        <v>Desde (&gt;=):</v>
      </c>
      <c r="AR89" s="331">
        <f>+'Rango indicadores'!K48</f>
        <v>75</v>
      </c>
      <c r="AS89" s="331" t="str">
        <f>+'Rango indicadores'!L48</f>
        <v>Hasta (&lt;=):</v>
      </c>
      <c r="AT89" s="331">
        <f>+'Rango indicadores'!M48</f>
        <v>95</v>
      </c>
      <c r="AU89" s="331" t="str">
        <f>+'Rango indicadores'!N48</f>
        <v>Menor A:</v>
      </c>
      <c r="AV89" s="331">
        <f>+'Rango indicadores'!O48</f>
        <v>75</v>
      </c>
      <c r="AW89" s="917" t="s">
        <v>1203</v>
      </c>
      <c r="AX89" s="979"/>
      <c r="AY89" s="979"/>
      <c r="AZ89" s="659">
        <f t="shared" si="131"/>
        <v>0</v>
      </c>
      <c r="BA89" s="344"/>
    </row>
    <row r="90" spans="2:53" ht="15.6">
      <c r="C90" s="1319" t="s">
        <v>826</v>
      </c>
      <c r="D90" s="1320"/>
      <c r="E90" s="1320"/>
      <c r="F90" s="1320"/>
      <c r="G90" s="1320"/>
      <c r="H90" s="1320"/>
      <c r="I90" s="1320"/>
      <c r="J90" s="1320"/>
      <c r="K90" s="334">
        <f>IFERROR(AVERAGE(K83:K89),0)</f>
        <v>2.8348837209302324</v>
      </c>
      <c r="L90" s="334">
        <f>IFERROR(AVERAGE(L83:L89),0)</f>
        <v>2.8348837209302324</v>
      </c>
      <c r="M90" s="334">
        <f>IFERROR(AVERAGE(M83:M89),0)</f>
        <v>0.23504320647177787</v>
      </c>
      <c r="N90" s="756"/>
      <c r="O90" s="756"/>
      <c r="P90" s="756"/>
      <c r="Q90" s="756"/>
      <c r="R90" s="756"/>
      <c r="S90" s="756"/>
      <c r="T90" s="334">
        <f>IFERROR(AVERAGE(T83:T89),0)</f>
        <v>0.69408369408369419</v>
      </c>
      <c r="U90" s="334">
        <f>IFERROR(AVERAGE(U83:U89),0)</f>
        <v>1.0658228176766891</v>
      </c>
      <c r="V90" s="334">
        <f>IFERROR(AVERAGE(V83:V89),0)</f>
        <v>0.47783599926457071</v>
      </c>
      <c r="W90" s="756"/>
      <c r="X90" s="756"/>
      <c r="Y90" s="756"/>
      <c r="Z90" s="756"/>
      <c r="AA90" s="756"/>
      <c r="AB90" s="756"/>
      <c r="AC90" s="334">
        <f>IFERROR(AVERAGE(AC83:AC89),0)</f>
        <v>0</v>
      </c>
      <c r="AD90" s="334">
        <f>IFERROR(AVERAGE(AD83:AD89),0)</f>
        <v>0.6069934730649017</v>
      </c>
      <c r="AE90" s="334">
        <f>IFERROR(AVERAGE(AE83:AE89),0)</f>
        <v>0.47783599926457071</v>
      </c>
      <c r="AF90" s="756"/>
      <c r="AG90" s="756"/>
      <c r="AH90" s="756"/>
      <c r="AI90" s="756"/>
      <c r="AJ90" s="412"/>
      <c r="AK90" s="412"/>
      <c r="AL90" s="334">
        <f>IFERROR(AVERAGE(AL83:AL89),0)</f>
        <v>0</v>
      </c>
      <c r="AM90" s="334">
        <f>IFERROR(AVERAGE(AM83:AM89),0)</f>
        <v>0.47783599926457071</v>
      </c>
      <c r="AN90" s="334">
        <f>IFERROR(AVERAGE(AN83:AN89),0)</f>
        <v>0.47783599926457071</v>
      </c>
      <c r="AO90" s="341"/>
      <c r="AP90" s="341"/>
      <c r="AQ90" s="341"/>
      <c r="AR90" s="341"/>
      <c r="AS90" s="341"/>
      <c r="AT90" s="341"/>
      <c r="AU90" s="341"/>
      <c r="AV90" s="341"/>
      <c r="AW90" s="428"/>
    </row>
    <row r="91" spans="2:53" s="324" customFormat="1" ht="29.4" customHeight="1" thickBot="1">
      <c r="D91" s="326"/>
      <c r="AW91" s="326"/>
      <c r="AY91" s="310"/>
      <c r="AZ91" s="310"/>
    </row>
    <row r="92" spans="2:53" s="324" customFormat="1" ht="16.2" thickBot="1">
      <c r="C92" s="327" t="s">
        <v>833</v>
      </c>
      <c r="D92" s="357"/>
      <c r="E92" s="1290" t="s">
        <v>1053</v>
      </c>
      <c r="F92" s="1291"/>
      <c r="G92" s="1291"/>
      <c r="H92" s="1291"/>
      <c r="I92" s="1291"/>
      <c r="J92" s="1291"/>
      <c r="K92" s="1291"/>
      <c r="L92" s="1291"/>
      <c r="M92" s="1292"/>
      <c r="N92" s="1293" t="s">
        <v>1054</v>
      </c>
      <c r="O92" s="1294"/>
      <c r="P92" s="1294"/>
      <c r="Q92" s="1294"/>
      <c r="R92" s="1294"/>
      <c r="S92" s="1294"/>
      <c r="T92" s="1294"/>
      <c r="U92" s="1294"/>
      <c r="V92" s="1295"/>
      <c r="W92" s="1287" t="s">
        <v>1055</v>
      </c>
      <c r="X92" s="1288"/>
      <c r="Y92" s="1288"/>
      <c r="Z92" s="1288"/>
      <c r="AA92" s="1288"/>
      <c r="AB92" s="1288"/>
      <c r="AC92" s="1288"/>
      <c r="AD92" s="1288"/>
      <c r="AE92" s="1289"/>
      <c r="AF92" s="1293" t="s">
        <v>1002</v>
      </c>
      <c r="AG92" s="1294"/>
      <c r="AH92" s="1294"/>
      <c r="AI92" s="1294"/>
      <c r="AJ92" s="1294"/>
      <c r="AK92" s="1294"/>
      <c r="AL92" s="1294"/>
      <c r="AM92" s="1294"/>
      <c r="AN92" s="1295"/>
      <c r="AW92" s="326"/>
      <c r="AY92" s="310"/>
      <c r="AZ92" s="310"/>
    </row>
    <row r="93" spans="2:53" ht="30" customHeight="1">
      <c r="C93" s="1284" t="str">
        <f>+$C$11</f>
        <v>Identificación del Indicador</v>
      </c>
      <c r="D93" s="1297" t="s">
        <v>821</v>
      </c>
      <c r="E93" s="1280" t="s">
        <v>822</v>
      </c>
      <c r="F93" s="1281"/>
      <c r="G93" s="1282"/>
      <c r="H93" s="1283" t="s">
        <v>1057</v>
      </c>
      <c r="I93" s="1285" t="str">
        <f>$I$9</f>
        <v>Ejecución 
Corte
31/03/2023</v>
      </c>
      <c r="J93" s="1283" t="s">
        <v>823</v>
      </c>
      <c r="K93" s="1283" t="s">
        <v>817</v>
      </c>
      <c r="L93" s="1283"/>
      <c r="M93" s="1283"/>
      <c r="N93" s="1280" t="s">
        <v>822</v>
      </c>
      <c r="O93" s="1281"/>
      <c r="P93" s="1282"/>
      <c r="Q93" s="1283" t="s">
        <v>1062</v>
      </c>
      <c r="R93" s="1285" t="str">
        <f>$R$9</f>
        <v>Ejecución 
Corte
30/06/2023</v>
      </c>
      <c r="S93" s="1283" t="s">
        <v>823</v>
      </c>
      <c r="T93" s="1283" t="s">
        <v>817</v>
      </c>
      <c r="U93" s="1283"/>
      <c r="V93" s="1283"/>
      <c r="W93" s="1280" t="s">
        <v>822</v>
      </c>
      <c r="X93" s="1281"/>
      <c r="Y93" s="1282"/>
      <c r="Z93" s="1283" t="s">
        <v>1063</v>
      </c>
      <c r="AA93" s="1285" t="s">
        <v>1059</v>
      </c>
      <c r="AB93" s="1283" t="s">
        <v>823</v>
      </c>
      <c r="AC93" s="1283" t="s">
        <v>817</v>
      </c>
      <c r="AD93" s="1283"/>
      <c r="AE93" s="1283"/>
      <c r="AF93" s="1280" t="s">
        <v>822</v>
      </c>
      <c r="AG93" s="1281"/>
      <c r="AH93" s="1282"/>
      <c r="AI93" s="1283" t="s">
        <v>1084</v>
      </c>
      <c r="AJ93" s="1285" t="s">
        <v>1085</v>
      </c>
      <c r="AK93" s="1283" t="s">
        <v>823</v>
      </c>
      <c r="AL93" s="1283" t="s">
        <v>817</v>
      </c>
      <c r="AM93" s="1283"/>
      <c r="AN93" s="1283"/>
      <c r="AO93" s="1296" t="s">
        <v>669</v>
      </c>
      <c r="AP93" s="1296"/>
      <c r="AQ93" s="1296"/>
      <c r="AR93" s="1296"/>
      <c r="AS93" s="1296"/>
      <c r="AT93" s="1296"/>
      <c r="AU93" s="1296"/>
      <c r="AV93" s="1296"/>
      <c r="AW93" s="1284" t="s">
        <v>842</v>
      </c>
    </row>
    <row r="94" spans="2:53" ht="51.75" customHeight="1">
      <c r="C94" s="1284"/>
      <c r="D94" s="1297"/>
      <c r="E94" s="907" t="str">
        <f>$E$9</f>
        <v>Año 2023</v>
      </c>
      <c r="F94" s="907" t="str">
        <f>+E92</f>
        <v>Primer Trimestre</v>
      </c>
      <c r="G94" s="908" t="str">
        <f>$G$9</f>
        <v>Acumulado
Corte 
31/03/2023</v>
      </c>
      <c r="H94" s="1284"/>
      <c r="I94" s="1286"/>
      <c r="J94" s="1284"/>
      <c r="K94" s="907" t="str">
        <f>+$D$6</f>
        <v>Segundo Trimestre</v>
      </c>
      <c r="L94" s="908" t="str">
        <f>$G$12</f>
        <v>Acumulado
Corte 
31/03/2023</v>
      </c>
      <c r="M94" s="909" t="s">
        <v>714</v>
      </c>
      <c r="N94" s="936" t="str">
        <f>$N$9</f>
        <v>Año 2023</v>
      </c>
      <c r="O94" s="907" t="str">
        <f>+N92</f>
        <v>Segundo Trimestre</v>
      </c>
      <c r="P94" s="951" t="str">
        <f>$P$9</f>
        <v>Acumulado
Corte 
30/06/2023</v>
      </c>
      <c r="Q94" s="1284"/>
      <c r="R94" s="1286"/>
      <c r="S94" s="1284"/>
      <c r="T94" s="950" t="str">
        <f>+O94</f>
        <v>Segundo Trimestre</v>
      </c>
      <c r="U94" s="951" t="str">
        <f>$P$12</f>
        <v>Acumulado
Corte 
30/06/2023</v>
      </c>
      <c r="V94" s="952" t="s">
        <v>714</v>
      </c>
      <c r="W94" s="907" t="s">
        <v>1064</v>
      </c>
      <c r="X94" s="907" t="str">
        <f>+W92</f>
        <v>Tercer Trimestre</v>
      </c>
      <c r="Y94" s="908" t="s">
        <v>1058</v>
      </c>
      <c r="Z94" s="1284"/>
      <c r="AA94" s="1286"/>
      <c r="AB94" s="1284"/>
      <c r="AC94" s="907" t="str">
        <f>+X94</f>
        <v>Tercer Trimestre</v>
      </c>
      <c r="AD94" s="908" t="str">
        <f>+Y94</f>
        <v>Acumulado Corte 
30/09/2022</v>
      </c>
      <c r="AE94" s="909" t="s">
        <v>714</v>
      </c>
      <c r="AF94" s="907" t="s">
        <v>1064</v>
      </c>
      <c r="AG94" s="907" t="s">
        <v>1083</v>
      </c>
      <c r="AH94" s="908" t="s">
        <v>1060</v>
      </c>
      <c r="AI94" s="1284"/>
      <c r="AJ94" s="1286"/>
      <c r="AK94" s="1284"/>
      <c r="AL94" s="907" t="str">
        <f>+AG94</f>
        <v>Cuarto Trimestre
31-12-2022</v>
      </c>
      <c r="AM94" s="908" t="str">
        <f>+AH94</f>
        <v>Acumulado Corte 
31/12/2022</v>
      </c>
      <c r="AN94" s="909" t="s">
        <v>714</v>
      </c>
      <c r="AO94" s="987" t="s">
        <v>824</v>
      </c>
      <c r="AP94" s="988"/>
      <c r="AQ94" s="989" t="s">
        <v>825</v>
      </c>
      <c r="AR94" s="990"/>
      <c r="AS94" s="990"/>
      <c r="AT94" s="991"/>
      <c r="AU94" s="992" t="s">
        <v>677</v>
      </c>
      <c r="AV94" s="993"/>
      <c r="AW94" s="1284"/>
    </row>
    <row r="95" spans="2:53" ht="135" customHeight="1">
      <c r="B95" s="328">
        <f>+B89+1</f>
        <v>48</v>
      </c>
      <c r="C95" s="329" t="str">
        <f>+'Rango indicadores'!D49</f>
        <v>07-RI-01</v>
      </c>
      <c r="D95" s="329" t="str">
        <f>+'Rango indicadores'!E49</f>
        <v>Procesos priorizados identificados y decididos de fondo</v>
      </c>
      <c r="E95" s="343">
        <f>+'Rango indicadores'!Q49</f>
        <v>1800</v>
      </c>
      <c r="F95" s="343">
        <f>'1.Informe Seguimiento POA 2023'!O40</f>
        <v>320</v>
      </c>
      <c r="G95" s="343">
        <f>'1.Informe Seguimiento POA 2023'!O40</f>
        <v>320</v>
      </c>
      <c r="H95" s="343">
        <f>'1.Informe Seguimiento POA 2023'!P40</f>
        <v>294</v>
      </c>
      <c r="I95" s="343">
        <f>'1.Informe Seguimiento POA 2023'!P40</f>
        <v>294</v>
      </c>
      <c r="J95" s="343">
        <f t="shared" ref="J95:J98" si="132">I95</f>
        <v>294</v>
      </c>
      <c r="K95" s="346">
        <f t="shared" ref="K95" si="133">IF(AND(F95&gt;0),H95/F95,"No programado")</f>
        <v>0.91874999999999996</v>
      </c>
      <c r="L95" s="346">
        <f t="shared" ref="L95" si="134">IF(AND(G95&gt;0),I95/G95,"No programado")</f>
        <v>0.91874999999999996</v>
      </c>
      <c r="M95" s="332">
        <f t="shared" ref="M95" si="135">IF(AND(E95&gt;0,$J95&gt;0),J95/$E95,0)</f>
        <v>0.16333333333333333</v>
      </c>
      <c r="N95" s="343">
        <f t="shared" ref="N95:N96" si="136">+E95</f>
        <v>1800</v>
      </c>
      <c r="O95" s="331">
        <f>+'1.Informe Seguimiento POA 2023'!Q40</f>
        <v>396</v>
      </c>
      <c r="P95" s="343">
        <f t="shared" ref="P95" si="137">G95+O95</f>
        <v>716</v>
      </c>
      <c r="Q95" s="331">
        <f>'1.Informe Seguimiento POA 2023'!R40</f>
        <v>360</v>
      </c>
      <c r="R95" s="331">
        <f>+'1.Informe Seguimiento POA 2023'!P40+'1.Informe Seguimiento POA 2023'!R40</f>
        <v>654</v>
      </c>
      <c r="S95" s="343">
        <f t="shared" ref="S95" si="138">H95+Q95</f>
        <v>654</v>
      </c>
      <c r="T95" s="346">
        <f t="shared" ref="T95:T102" si="139">IF(AND(O95&gt;0),Q95/O95,"No programado")</f>
        <v>0.90909090909090906</v>
      </c>
      <c r="U95" s="346">
        <f t="shared" ref="U95:U102" si="140">IF(AND(P95&gt;0),R95/P95,"No programado")</f>
        <v>0.91340782122905029</v>
      </c>
      <c r="V95" s="332">
        <f>IF(AND(N95&gt;0,$S95&gt;0),S95/$N95,0)</f>
        <v>0.36333333333333334</v>
      </c>
      <c r="W95" s="343">
        <f t="shared" ref="W95" si="141">+N95</f>
        <v>1800</v>
      </c>
      <c r="X95" s="331">
        <f>+'1.Informe Seguimiento POA 2023'!S40</f>
        <v>481</v>
      </c>
      <c r="Y95" s="331">
        <f>+'1.Informe Seguimiento POA 2023'!O40+'1.Informe Seguimiento POA 2023'!Q40+'1.Informe Seguimiento POA 2023'!S40</f>
        <v>1197</v>
      </c>
      <c r="Z95" s="331">
        <f>+'1.Informe Seguimiento POA 2023'!T40</f>
        <v>0</v>
      </c>
      <c r="AA95" s="331">
        <f>+'1.Informe Seguimiento POA 2023'!R40+'1.Informe Seguimiento POA 2023'!T40+'1.Informe Seguimiento POA 2023'!P40</f>
        <v>654</v>
      </c>
      <c r="AB95" s="331">
        <f t="shared" ref="AB95" si="142">H95+Q95+Z95</f>
        <v>654</v>
      </c>
      <c r="AC95" s="346">
        <f t="shared" ref="AC95:AC102" si="143">IF(AND(X95&gt;0),Z95/X95,"No programado")</f>
        <v>0</v>
      </c>
      <c r="AD95" s="346">
        <f t="shared" ref="AD95:AD102" si="144">IF(AND(Y95&gt;0),AA95/Y95,"No programado")</f>
        <v>0.54636591478696739</v>
      </c>
      <c r="AE95" s="332">
        <f t="shared" ref="AE95:AE102" si="145">IF(AND(W95&gt;0,$AB95&gt;0),AB95/$W95,0)</f>
        <v>0.36333333333333334</v>
      </c>
      <c r="AF95" s="343">
        <f>+W95</f>
        <v>1800</v>
      </c>
      <c r="AG95" s="343">
        <f>+'1.Informe Seguimiento POA 2023'!U40</f>
        <v>603</v>
      </c>
      <c r="AH95" s="343">
        <f>+'1.Informe Seguimiento POA 2023'!O40+'1.Informe Seguimiento POA 2023'!Q40+'1.Informe Seguimiento POA 2023'!S40+'1.Informe Seguimiento POA 2023'!U40</f>
        <v>1800</v>
      </c>
      <c r="AI95" s="343">
        <f>+'1.Informe Seguimiento POA 2023'!V40</f>
        <v>0</v>
      </c>
      <c r="AJ95" s="343">
        <f>+'1.Informe Seguimiento POA 2023'!P40+'1.Informe Seguimiento POA 2023'!R40+'1.Informe Seguimiento POA 2023'!T40+'1.Informe Seguimiento POA 2023'!V40</f>
        <v>654</v>
      </c>
      <c r="AK95" s="343">
        <f t="shared" ref="AK95" si="146">H95+Q95+Z95+AI95</f>
        <v>654</v>
      </c>
      <c r="AL95" s="346">
        <f t="shared" ref="AL95:AL102" si="147">IF(AND(AG95&gt;0),AI95/AG95,"No programado")</f>
        <v>0</v>
      </c>
      <c r="AM95" s="346">
        <f t="shared" ref="AM95:AM102" si="148">IF(AND(AH95&gt;0),AJ95/AH95,"No programado")</f>
        <v>0.36333333333333334</v>
      </c>
      <c r="AN95" s="332">
        <f t="shared" ref="AN95:AN102" si="149">IF(AND(AF95&gt;0,$AK95&gt;0),AK95/$AF95,0)</f>
        <v>0.36333333333333334</v>
      </c>
      <c r="AO95" s="336" t="str">
        <f>+'Rango indicadores'!H49</f>
        <v>Mayor A:</v>
      </c>
      <c r="AP95" s="331">
        <f>+'Rango indicadores'!I49</f>
        <v>95</v>
      </c>
      <c r="AQ95" s="331" t="str">
        <f>+'Rango indicadores'!J49</f>
        <v>Desde (&gt;=):</v>
      </c>
      <c r="AR95" s="331">
        <f>+'Rango indicadores'!K49</f>
        <v>75</v>
      </c>
      <c r="AS95" s="331" t="str">
        <f>+'Rango indicadores'!L49</f>
        <v>Hasta (&lt;=):</v>
      </c>
      <c r="AT95" s="331">
        <f>+'Rango indicadores'!M49</f>
        <v>95</v>
      </c>
      <c r="AU95" s="331" t="str">
        <f>+'Rango indicadores'!N49</f>
        <v>Menor A:</v>
      </c>
      <c r="AV95" s="331">
        <f>+'Rango indicadores'!O49</f>
        <v>75</v>
      </c>
      <c r="AW95" s="421" t="s">
        <v>1204</v>
      </c>
      <c r="AX95" s="483"/>
      <c r="AY95" s="659">
        <f>+P95-R95</f>
        <v>62</v>
      </c>
      <c r="AZ95" s="344"/>
    </row>
    <row r="96" spans="2:53" ht="131.4" customHeight="1">
      <c r="B96" s="328">
        <f t="shared" ref="B96:B102" si="150">+B95+1</f>
        <v>49</v>
      </c>
      <c r="C96" s="329" t="str">
        <f>+'Rango indicadores'!D50</f>
        <v>07-RI-02</v>
      </c>
      <c r="D96" s="329" t="str">
        <f>+'Rango indicadores'!E50</f>
        <v>Noticias disciplinarias  evaluadas y con impulso procesal</v>
      </c>
      <c r="E96" s="367">
        <f>+'Rango indicadores'!Q50</f>
        <v>1</v>
      </c>
      <c r="F96" s="361">
        <f>'1.Informe Seguimiento POA 2023'!O41</f>
        <v>1</v>
      </c>
      <c r="G96" s="361">
        <f>'1.Informe Seguimiento POA 2023'!O41</f>
        <v>1</v>
      </c>
      <c r="H96" s="683">
        <f>'1.Informe Seguimiento POA 2023'!P41</f>
        <v>0.85099999999999998</v>
      </c>
      <c r="I96" s="683">
        <f>'1.Informe Seguimiento POA 2023'!P41</f>
        <v>0.85099999999999998</v>
      </c>
      <c r="J96" s="683">
        <f t="shared" si="132"/>
        <v>0.85099999999999998</v>
      </c>
      <c r="K96" s="346">
        <f t="shared" ref="K96:K102" si="151">IF(AND(F96&gt;0),H96/F96,"No programado")</f>
        <v>0.85099999999999998</v>
      </c>
      <c r="L96" s="346">
        <f t="shared" ref="L96:L102" si="152">IF(AND(G96&gt;0),I96/G96,"No programado")</f>
        <v>0.85099999999999998</v>
      </c>
      <c r="M96" s="332">
        <f>IF(AND(E96&gt;0,$J96&gt;0),J96/$E96,0)*0.25</f>
        <v>0.21274999999999999</v>
      </c>
      <c r="N96" s="367">
        <f t="shared" si="136"/>
        <v>1</v>
      </c>
      <c r="O96" s="683">
        <f>+'1.Informe Seguimiento POA 2023'!Q41</f>
        <v>1</v>
      </c>
      <c r="P96" s="753">
        <f>IFERROR(AVERAGE(F96,O96),0)</f>
        <v>1</v>
      </c>
      <c r="Q96" s="683">
        <f>'1.Informe Seguimiento POA 2023'!R41</f>
        <v>0.90600000000000003</v>
      </c>
      <c r="R96" s="333">
        <f>IFERROR(AVERAGE('1.Informe Seguimiento POA 2023'!P41,'1.Informe Seguimiento POA 2023'!R41),0)</f>
        <v>0.87850000000000006</v>
      </c>
      <c r="S96" s="333">
        <f>IFERROR(IF(OR($N96="",$N96=0),0,ROUNDDOWN(AVERAGE($H96,Q96),3)),0)</f>
        <v>0.878</v>
      </c>
      <c r="T96" s="346">
        <f t="shared" si="139"/>
        <v>0.90600000000000003</v>
      </c>
      <c r="U96" s="346">
        <f t="shared" si="140"/>
        <v>0.87850000000000006</v>
      </c>
      <c r="V96" s="332">
        <f>IF(AND(N96&gt;0,$S96&gt;0),S96/$N96,0)*0.5</f>
        <v>0.439</v>
      </c>
      <c r="W96" s="367">
        <f>N96</f>
        <v>1</v>
      </c>
      <c r="X96" s="361">
        <f>+'1.Informe Seguimiento POA 2023'!S41</f>
        <v>1</v>
      </c>
      <c r="Y96" s="333">
        <f>IFERROR(AVERAGE('1.Informe Seguimiento POA 2023'!O41,'1.Informe Seguimiento POA 2023'!Q41,,'1.Informe Seguimiento POA 2023'!S41),0)</f>
        <v>0.75</v>
      </c>
      <c r="Z96" s="333">
        <f>+'1.Informe Seguimiento POA 2023'!T41</f>
        <v>0</v>
      </c>
      <c r="AA96" s="333">
        <f>IFERROR(AVERAGE('1.Informe Seguimiento POA 2023'!R41,'1.Informe Seguimiento POA 2023'!P41,'1.Informe Seguimiento POA 2023'!T41),0)</f>
        <v>0.58566666666666667</v>
      </c>
      <c r="AB96" s="333">
        <f>IFERROR(IF(OR($W96="",$W96=0),0,ROUNDDOWN(AVERAGE($H96,Q96,Z96),3)),0)</f>
        <v>0.58499999999999996</v>
      </c>
      <c r="AC96" s="346">
        <f t="shared" si="143"/>
        <v>0</v>
      </c>
      <c r="AD96" s="346">
        <f t="shared" si="144"/>
        <v>0.78088888888888885</v>
      </c>
      <c r="AE96" s="332">
        <f>IF(AND(W96&gt;0,$AB96&gt;0),AB96/$W96,0)*0.75</f>
        <v>0.43874999999999997</v>
      </c>
      <c r="AF96" s="367">
        <f t="shared" ref="AF96:AF102" si="153">+W96</f>
        <v>1</v>
      </c>
      <c r="AG96" s="422">
        <f>'1.Informe Seguimiento POA 2023'!U41</f>
        <v>1</v>
      </c>
      <c r="AH96" s="422">
        <f>IFERROR(AVERAGE('1.Informe Seguimiento POA 2023'!O41,'1.Informe Seguimiento POA 2023'!Q41,'1.Informe Seguimiento POA 2023'!S41,'1.Informe Seguimiento POA 2023'!U41),0)</f>
        <v>1</v>
      </c>
      <c r="AI96" s="422">
        <f>+'1.Informe Seguimiento POA 2023'!V41</f>
        <v>0</v>
      </c>
      <c r="AJ96" s="422">
        <f>IFERROR(AVERAGE('1.Informe Seguimiento POA 2023'!P41,'1.Informe Seguimiento POA 2023'!R41,'1.Informe Seguimiento POA 2023'!T41,'1.Informe Seguimiento POA 2023'!V41),0)</f>
        <v>0.43925000000000003</v>
      </c>
      <c r="AK96" s="422">
        <f>IFERROR(IF(OR($AF98="",$AF98=0),0,ROUNDDOWN(AVERAGE($H96,Q96,Z96,AI96),3)),0)</f>
        <v>0.439</v>
      </c>
      <c r="AL96" s="346">
        <f t="shared" si="147"/>
        <v>0</v>
      </c>
      <c r="AM96" s="346">
        <f t="shared" si="148"/>
        <v>0.43925000000000003</v>
      </c>
      <c r="AN96" s="332">
        <f t="shared" si="149"/>
        <v>0.439</v>
      </c>
      <c r="AO96" s="336" t="str">
        <f>+'Rango indicadores'!H50</f>
        <v>Mayor A:</v>
      </c>
      <c r="AP96" s="331">
        <f>+'Rango indicadores'!I50</f>
        <v>95</v>
      </c>
      <c r="AQ96" s="331" t="str">
        <f>+'Rango indicadores'!J50</f>
        <v>Desde (&gt;=):</v>
      </c>
      <c r="AR96" s="331">
        <f>+'Rango indicadores'!K50</f>
        <v>75</v>
      </c>
      <c r="AS96" s="331" t="str">
        <f>+'Rango indicadores'!L50</f>
        <v>Hasta (&lt;=):</v>
      </c>
      <c r="AT96" s="331">
        <f>+'Rango indicadores'!M50</f>
        <v>95</v>
      </c>
      <c r="AU96" s="331" t="str">
        <f>+'Rango indicadores'!N50</f>
        <v>Menor A:</v>
      </c>
      <c r="AV96" s="331">
        <f>+'Rango indicadores'!O50</f>
        <v>75</v>
      </c>
      <c r="AW96" s="421" t="s">
        <v>1205</v>
      </c>
      <c r="AX96" s="802"/>
      <c r="AY96" s="659">
        <f t="shared" ref="AY96:AY102" si="154">+P96-R96</f>
        <v>0.12149999999999994</v>
      </c>
      <c r="AZ96" s="424"/>
    </row>
    <row r="97" spans="2:53" ht="126.6" customHeight="1">
      <c r="B97" s="328">
        <f t="shared" si="150"/>
        <v>50</v>
      </c>
      <c r="C97" s="329" t="str">
        <f>+'Rango indicadores'!D51</f>
        <v>07-RI-03</v>
      </c>
      <c r="D97" s="329" t="str">
        <f>+'Rango indicadores'!E51</f>
        <v>Visitas de seguimiento a Oficinas de Control Interno Disciplinario realizadas</v>
      </c>
      <c r="E97" s="343">
        <f>+'Rango indicadores'!Q51</f>
        <v>51</v>
      </c>
      <c r="F97" s="343">
        <f>'1.Informe Seguimiento POA 2023'!O42</f>
        <v>0</v>
      </c>
      <c r="G97" s="343">
        <f>'1.Informe Seguimiento POA 2023'!O42</f>
        <v>0</v>
      </c>
      <c r="H97" s="343">
        <f>'1.Informe Seguimiento POA 2023'!P42</f>
        <v>0</v>
      </c>
      <c r="I97" s="343">
        <f>'1.Informe Seguimiento POA 2023'!P42</f>
        <v>0</v>
      </c>
      <c r="J97" s="343">
        <f t="shared" ref="J97" si="155">I97</f>
        <v>0</v>
      </c>
      <c r="K97" s="368" t="str">
        <f t="shared" si="151"/>
        <v>No programado</v>
      </c>
      <c r="L97" s="368" t="str">
        <f t="shared" si="152"/>
        <v>No programado</v>
      </c>
      <c r="M97" s="332">
        <f t="shared" ref="M97:M102" si="156">IF(AND(E97&gt;0,$J97&gt;0),J97/$E97,0)</f>
        <v>0</v>
      </c>
      <c r="N97" s="343">
        <f t="shared" ref="N97:N98" si="157">+E97</f>
        <v>51</v>
      </c>
      <c r="O97" s="331">
        <f>+'1.Informe Seguimiento POA 2023'!Q42</f>
        <v>21</v>
      </c>
      <c r="P97" s="343">
        <f t="shared" ref="P97" si="158">G97+O97</f>
        <v>21</v>
      </c>
      <c r="Q97" s="331">
        <f>'1.Informe Seguimiento POA 2023'!R42</f>
        <v>10</v>
      </c>
      <c r="R97" s="331">
        <f>+'1.Informe Seguimiento POA 2023'!P42+'1.Informe Seguimiento POA 2023'!R42</f>
        <v>10</v>
      </c>
      <c r="S97" s="343">
        <f t="shared" ref="S97" si="159">H97+Q97</f>
        <v>10</v>
      </c>
      <c r="T97" s="368">
        <f t="shared" si="139"/>
        <v>0.47619047619047616</v>
      </c>
      <c r="U97" s="368">
        <f t="shared" si="140"/>
        <v>0.47619047619047616</v>
      </c>
      <c r="V97" s="332">
        <f>IF(AND(N97&gt;0,$S97&gt;0),S97/$N97,0)</f>
        <v>0.19607843137254902</v>
      </c>
      <c r="W97" s="343">
        <f t="shared" ref="W97:W102" si="160">+N97</f>
        <v>51</v>
      </c>
      <c r="X97" s="331">
        <f>+'1.Informe Seguimiento POA 2023'!S42</f>
        <v>18</v>
      </c>
      <c r="Y97" s="331">
        <f>+'1.Informe Seguimiento POA 2023'!O42+'1.Informe Seguimiento POA 2023'!Q42+'1.Informe Seguimiento POA 2023'!S42</f>
        <v>39</v>
      </c>
      <c r="Z97" s="331">
        <f>+'1.Informe Seguimiento POA 2023'!T42</f>
        <v>0</v>
      </c>
      <c r="AA97" s="331">
        <f>+'1.Informe Seguimiento POA 2023'!R42+'1.Informe Seguimiento POA 2023'!T42+'1.Informe Seguimiento POA 2023'!P42</f>
        <v>10</v>
      </c>
      <c r="AB97" s="331">
        <f t="shared" ref="AB97:AB102" si="161">H97+Q97+Z97</f>
        <v>10</v>
      </c>
      <c r="AC97" s="368">
        <f t="shared" si="143"/>
        <v>0</v>
      </c>
      <c r="AD97" s="368">
        <f t="shared" si="144"/>
        <v>0.25641025641025639</v>
      </c>
      <c r="AE97" s="332">
        <f t="shared" si="145"/>
        <v>0.19607843137254902</v>
      </c>
      <c r="AF97" s="343">
        <f t="shared" si="153"/>
        <v>51</v>
      </c>
      <c r="AG97" s="343">
        <f>+'1.Informe Seguimiento POA 2023'!U42</f>
        <v>12</v>
      </c>
      <c r="AH97" s="343">
        <f>+'1.Informe Seguimiento POA 2023'!O42+'1.Informe Seguimiento POA 2023'!Q42+'1.Informe Seguimiento POA 2023'!S42+'1.Informe Seguimiento POA 2023'!U42</f>
        <v>51</v>
      </c>
      <c r="AI97" s="343">
        <f>+'1.Informe Seguimiento POA 2023'!V42</f>
        <v>0</v>
      </c>
      <c r="AJ97" s="343">
        <f>+'1.Informe Seguimiento POA 2023'!P42+'1.Informe Seguimiento POA 2023'!R42+'1.Informe Seguimiento POA 2023'!T42+'1.Informe Seguimiento POA 2023'!V42</f>
        <v>10</v>
      </c>
      <c r="AK97" s="343">
        <f t="shared" ref="AK97" si="162">H97+Q97+Z97+AI97</f>
        <v>10</v>
      </c>
      <c r="AL97" s="368">
        <f t="shared" si="147"/>
        <v>0</v>
      </c>
      <c r="AM97" s="368">
        <f t="shared" si="148"/>
        <v>0.19607843137254902</v>
      </c>
      <c r="AN97" s="332">
        <f t="shared" si="149"/>
        <v>0.19607843137254902</v>
      </c>
      <c r="AO97" s="336" t="str">
        <f>+'Rango indicadores'!H51</f>
        <v>Mayor A:</v>
      </c>
      <c r="AP97" s="331">
        <f>+'Rango indicadores'!I51</f>
        <v>95</v>
      </c>
      <c r="AQ97" s="331" t="str">
        <f>+'Rango indicadores'!J51</f>
        <v>Desde (&gt;=):</v>
      </c>
      <c r="AR97" s="331">
        <f>+'Rango indicadores'!K51</f>
        <v>75</v>
      </c>
      <c r="AS97" s="331" t="str">
        <f>+'Rango indicadores'!L51</f>
        <v>Hasta (&lt;=):</v>
      </c>
      <c r="AT97" s="331">
        <f>+'Rango indicadores'!M51</f>
        <v>95</v>
      </c>
      <c r="AU97" s="331" t="str">
        <f>+'Rango indicadores'!N51</f>
        <v>Menor A:</v>
      </c>
      <c r="AV97" s="331">
        <f>+'Rango indicadores'!O51</f>
        <v>75</v>
      </c>
      <c r="AW97" s="421" t="s">
        <v>1209</v>
      </c>
      <c r="AX97" s="483"/>
      <c r="AY97" s="659">
        <f t="shared" si="154"/>
        <v>11</v>
      </c>
      <c r="AZ97" s="659"/>
    </row>
    <row r="98" spans="2:53" ht="92.4">
      <c r="B98" s="328">
        <f t="shared" si="150"/>
        <v>51</v>
      </c>
      <c r="C98" s="329" t="str">
        <f>+'Rango indicadores'!D52</f>
        <v>07-RI-04</v>
      </c>
      <c r="D98" s="329" t="str">
        <f>+'Rango indicadores'!E52</f>
        <v>Procesos de interés e impacto asumidos por competencia</v>
      </c>
      <c r="E98" s="367">
        <f>+'Rango indicadores'!Q52</f>
        <v>1</v>
      </c>
      <c r="F98" s="361">
        <f>'1.Informe Seguimiento POA 2023'!O43</f>
        <v>1</v>
      </c>
      <c r="G98" s="361">
        <f>'1.Informe Seguimiento POA 2023'!O43</f>
        <v>1</v>
      </c>
      <c r="H98" s="683">
        <f>'1.Informe Seguimiento POA 2023'!P43</f>
        <v>1</v>
      </c>
      <c r="I98" s="683">
        <f>'1.Informe Seguimiento POA 2023'!P43</f>
        <v>1</v>
      </c>
      <c r="J98" s="683">
        <f t="shared" si="132"/>
        <v>1</v>
      </c>
      <c r="K98" s="346">
        <f t="shared" si="151"/>
        <v>1</v>
      </c>
      <c r="L98" s="346">
        <f t="shared" si="152"/>
        <v>1</v>
      </c>
      <c r="M98" s="332">
        <f>IF(AND(E98&gt;0,$J98&gt;0),J98/$E98,0)*0.25</f>
        <v>0.25</v>
      </c>
      <c r="N98" s="367">
        <f t="shared" si="157"/>
        <v>1</v>
      </c>
      <c r="O98" s="683">
        <f>+'1.Informe Seguimiento POA 2023'!Q43</f>
        <v>1</v>
      </c>
      <c r="P98" s="753">
        <f>IFERROR(AVERAGE(F98,O98),0)</f>
        <v>1</v>
      </c>
      <c r="Q98" s="683">
        <f>'1.Informe Seguimiento POA 2023'!R43</f>
        <v>1</v>
      </c>
      <c r="R98" s="333">
        <f>IFERROR(AVERAGE('1.Informe Seguimiento POA 2023'!P43,'1.Informe Seguimiento POA 2023'!R43),0)</f>
        <v>1</v>
      </c>
      <c r="S98" s="333">
        <f>IFERROR(IF(OR($N98="",$N98=0),0,ROUNDDOWN(AVERAGE($H98,Q98),3)),0)</f>
        <v>1</v>
      </c>
      <c r="T98" s="346">
        <f t="shared" si="139"/>
        <v>1</v>
      </c>
      <c r="U98" s="346">
        <f t="shared" si="140"/>
        <v>1</v>
      </c>
      <c r="V98" s="332">
        <f>IF(AND(N98&gt;0,$S98&gt;0),S98/$N98,0)*0.5</f>
        <v>0.5</v>
      </c>
      <c r="W98" s="367">
        <f>N98</f>
        <v>1</v>
      </c>
      <c r="X98" s="361">
        <f>+'1.Informe Seguimiento POA 2023'!S43</f>
        <v>1</v>
      </c>
      <c r="Y98" s="333">
        <f>IFERROR(AVERAGE('1.Informe Seguimiento POA 2023'!O43,'1.Informe Seguimiento POA 2023'!Q43,'1.Informe Seguimiento POA 2023'!S43),0)</f>
        <v>1</v>
      </c>
      <c r="Z98" s="333">
        <f>+'1.Informe Seguimiento POA 2023'!T43</f>
        <v>0</v>
      </c>
      <c r="AA98" s="333">
        <f>IFERROR(AVERAGE('1.Informe Seguimiento POA 2023'!R43,'1.Informe Seguimiento POA 2023'!P43,'1.Informe Seguimiento POA 2023'!T43),0)</f>
        <v>0.66666666666666663</v>
      </c>
      <c r="AB98" s="333">
        <f>IFERROR(IF(OR($W98="",$W98=0),0,ROUNDDOWN(AVERAGE($H98,Q98,Z98),3)),0)</f>
        <v>0.66600000000000004</v>
      </c>
      <c r="AC98" s="346">
        <f t="shared" si="143"/>
        <v>0</v>
      </c>
      <c r="AD98" s="346">
        <f t="shared" si="144"/>
        <v>0.66666666666666663</v>
      </c>
      <c r="AE98" s="332">
        <f>IF(AND(W98&gt;0,$AB98&gt;0),AB98/$W98,0)*0.75</f>
        <v>0.49950000000000006</v>
      </c>
      <c r="AF98" s="367">
        <f t="shared" si="153"/>
        <v>1</v>
      </c>
      <c r="AG98" s="422">
        <f>'1.Informe Seguimiento POA 2023'!U43</f>
        <v>1</v>
      </c>
      <c r="AH98" s="422">
        <f>IFERROR(AVERAGE('1.Informe Seguimiento POA 2023'!O43,'1.Informe Seguimiento POA 2023'!Q43,'1.Informe Seguimiento POA 2023'!S43,'1.Informe Seguimiento POA 2023'!U43),0)</f>
        <v>1</v>
      </c>
      <c r="AI98" s="422">
        <f>+'1.Informe Seguimiento POA 2023'!V43</f>
        <v>0</v>
      </c>
      <c r="AJ98" s="422">
        <f>IFERROR(AVERAGE('1.Informe Seguimiento POA 2023'!P43,'1.Informe Seguimiento POA 2023'!R43,'1.Informe Seguimiento POA 2023'!T43,'1.Informe Seguimiento POA 2023'!V43),0)</f>
        <v>0.5</v>
      </c>
      <c r="AK98" s="422">
        <f>+'07-POTESTAD DISCIPLINARIA'!AZ19</f>
        <v>0.996</v>
      </c>
      <c r="AL98" s="346">
        <f t="shared" si="147"/>
        <v>0</v>
      </c>
      <c r="AM98" s="346">
        <f t="shared" si="148"/>
        <v>0.5</v>
      </c>
      <c r="AN98" s="332">
        <f t="shared" si="149"/>
        <v>0.996</v>
      </c>
      <c r="AO98" s="336" t="str">
        <f>+'Rango indicadores'!H52</f>
        <v>Mayor A:</v>
      </c>
      <c r="AP98" s="331">
        <f>+'Rango indicadores'!I52</f>
        <v>95</v>
      </c>
      <c r="AQ98" s="331" t="str">
        <f>+'Rango indicadores'!J52</f>
        <v>Desde (&gt;=):</v>
      </c>
      <c r="AR98" s="331">
        <f>+'Rango indicadores'!K52</f>
        <v>75</v>
      </c>
      <c r="AS98" s="331" t="str">
        <f>+'Rango indicadores'!L52</f>
        <v>Hasta (&lt;=):</v>
      </c>
      <c r="AT98" s="331">
        <f>+'Rango indicadores'!M52</f>
        <v>95</v>
      </c>
      <c r="AU98" s="331" t="str">
        <f>+'Rango indicadores'!N52</f>
        <v>Menor A:</v>
      </c>
      <c r="AV98" s="331">
        <f>+'Rango indicadores'!O52</f>
        <v>75</v>
      </c>
      <c r="AW98" s="421" t="s">
        <v>1206</v>
      </c>
      <c r="AX98" s="483"/>
      <c r="AY98" s="659">
        <f t="shared" si="154"/>
        <v>0</v>
      </c>
      <c r="AZ98" s="344"/>
    </row>
    <row r="99" spans="2:53" ht="64.8" customHeight="1">
      <c r="B99" s="328">
        <f t="shared" si="150"/>
        <v>52</v>
      </c>
      <c r="C99" s="329" t="str">
        <f>+'Rango indicadores'!D53</f>
        <v>07-RI-05</v>
      </c>
      <c r="D99" s="329" t="str">
        <f>+'Rango indicadores'!E53</f>
        <v>Escenarios de intercambio de conocimiento generados</v>
      </c>
      <c r="E99" s="343">
        <f>+'Rango indicadores'!Q53</f>
        <v>2</v>
      </c>
      <c r="F99" s="343">
        <f>'1.Informe Seguimiento POA 2023'!O44</f>
        <v>0</v>
      </c>
      <c r="G99" s="343">
        <f>'1.Informe Seguimiento POA 2023'!O44</f>
        <v>0</v>
      </c>
      <c r="H99" s="343">
        <f>'1.Informe Seguimiento POA 2023'!P44</f>
        <v>0</v>
      </c>
      <c r="I99" s="343">
        <f>'1.Informe Seguimiento POA 2023'!P44</f>
        <v>0</v>
      </c>
      <c r="J99" s="343">
        <f t="shared" ref="J99:J102" si="163">I99</f>
        <v>0</v>
      </c>
      <c r="K99" s="368" t="str">
        <f t="shared" si="151"/>
        <v>No programado</v>
      </c>
      <c r="L99" s="368" t="str">
        <f t="shared" si="152"/>
        <v>No programado</v>
      </c>
      <c r="M99" s="332">
        <f t="shared" si="156"/>
        <v>0</v>
      </c>
      <c r="N99" s="343">
        <f t="shared" ref="N99:N102" si="164">+E99</f>
        <v>2</v>
      </c>
      <c r="O99" s="331">
        <f>+'1.Informe Seguimiento POA 2023'!Q44</f>
        <v>0</v>
      </c>
      <c r="P99" s="343">
        <f t="shared" ref="P99:P102" si="165">G99+O99</f>
        <v>0</v>
      </c>
      <c r="Q99" s="331">
        <f>'1.Informe Seguimiento POA 2023'!R44</f>
        <v>1</v>
      </c>
      <c r="R99" s="331">
        <f>+'1.Informe Seguimiento POA 2023'!P44+'1.Informe Seguimiento POA 2023'!R44</f>
        <v>1</v>
      </c>
      <c r="S99" s="343">
        <f t="shared" ref="S99:S102" si="166">H99+Q99</f>
        <v>1</v>
      </c>
      <c r="T99" s="368" t="str">
        <f t="shared" si="139"/>
        <v>No programado</v>
      </c>
      <c r="U99" s="368" t="str">
        <f t="shared" si="140"/>
        <v>No programado</v>
      </c>
      <c r="V99" s="332">
        <f>IF(AND(N99&gt;0,$S99&gt;0),S99/$N99,0)</f>
        <v>0.5</v>
      </c>
      <c r="W99" s="343">
        <f t="shared" si="160"/>
        <v>2</v>
      </c>
      <c r="X99" s="331">
        <f>+'1.Informe Seguimiento POA 2023'!S44</f>
        <v>1</v>
      </c>
      <c r="Y99" s="331">
        <f>+'1.Informe Seguimiento POA 2023'!O44+'1.Informe Seguimiento POA 2023'!Q44+'1.Informe Seguimiento POA 2023'!S44</f>
        <v>1</v>
      </c>
      <c r="Z99" s="331">
        <f>+'1.Informe Seguimiento POA 2023'!T44</f>
        <v>0</v>
      </c>
      <c r="AA99" s="331">
        <f>+'1.Informe Seguimiento POA 2023'!R44+'1.Informe Seguimiento POA 2023'!T44+'1.Informe Seguimiento POA 2023'!P44</f>
        <v>1</v>
      </c>
      <c r="AB99" s="331">
        <f t="shared" si="161"/>
        <v>1</v>
      </c>
      <c r="AC99" s="368">
        <f t="shared" si="143"/>
        <v>0</v>
      </c>
      <c r="AD99" s="368">
        <f t="shared" si="144"/>
        <v>1</v>
      </c>
      <c r="AE99" s="332">
        <f t="shared" si="145"/>
        <v>0.5</v>
      </c>
      <c r="AF99" s="343">
        <f t="shared" si="153"/>
        <v>2</v>
      </c>
      <c r="AG99" s="343">
        <f>+'1.Informe Seguimiento POA 2023'!U44</f>
        <v>1</v>
      </c>
      <c r="AH99" s="343">
        <f>+'1.Informe Seguimiento POA 2023'!O44+'1.Informe Seguimiento POA 2023'!Q44+'1.Informe Seguimiento POA 2023'!S44+'1.Informe Seguimiento POA 2023'!U44</f>
        <v>2</v>
      </c>
      <c r="AI99" s="343">
        <f>+'1.Informe Seguimiento POA 2023'!V44</f>
        <v>0</v>
      </c>
      <c r="AJ99" s="343">
        <f>+'1.Informe Seguimiento POA 2023'!P44+'1.Informe Seguimiento POA 2023'!R44+'1.Informe Seguimiento POA 2023'!T44+'1.Informe Seguimiento POA 2023'!V44</f>
        <v>1</v>
      </c>
      <c r="AK99" s="343">
        <f t="shared" ref="AK99" si="167">H99+Q99+Z99+AI99</f>
        <v>1</v>
      </c>
      <c r="AL99" s="368">
        <f t="shared" si="147"/>
        <v>0</v>
      </c>
      <c r="AM99" s="368">
        <f t="shared" si="148"/>
        <v>0.5</v>
      </c>
      <c r="AN99" s="332">
        <f t="shared" si="149"/>
        <v>0.5</v>
      </c>
      <c r="AO99" s="336" t="str">
        <f>+'Rango indicadores'!H53</f>
        <v>Mayor A:</v>
      </c>
      <c r="AP99" s="331">
        <f>+'Rango indicadores'!I53</f>
        <v>95</v>
      </c>
      <c r="AQ99" s="331" t="str">
        <f>+'Rango indicadores'!J53</f>
        <v>Desde (&gt;=):</v>
      </c>
      <c r="AR99" s="331">
        <f>+'Rango indicadores'!K53</f>
        <v>75</v>
      </c>
      <c r="AS99" s="331" t="str">
        <f>+'Rango indicadores'!L53</f>
        <v>Hasta (&lt;=):</v>
      </c>
      <c r="AT99" s="331">
        <f>+'Rango indicadores'!M53</f>
        <v>95</v>
      </c>
      <c r="AU99" s="331" t="str">
        <f>+'Rango indicadores'!N53</f>
        <v>Menor A:</v>
      </c>
      <c r="AV99" s="331">
        <f>+'Rango indicadores'!O53</f>
        <v>75</v>
      </c>
      <c r="AW99" s="427" t="s">
        <v>1207</v>
      </c>
      <c r="AX99" s="483"/>
      <c r="AY99" s="659">
        <f t="shared" si="154"/>
        <v>-1</v>
      </c>
      <c r="AZ99" s="344"/>
    </row>
    <row r="100" spans="2:53" ht="44.25" customHeight="1">
      <c r="B100" s="328">
        <f t="shared" si="150"/>
        <v>53</v>
      </c>
      <c r="C100" s="329" t="str">
        <f>+'Rango indicadores'!D54</f>
        <v>07-RI-06</v>
      </c>
      <c r="D100" s="329" t="str">
        <f>+'Rango indicadores'!E54</f>
        <v xml:space="preserve">Sistema de Comunicación con las Oficinas de Control Interno Disciplinario implementado </v>
      </c>
      <c r="E100" s="343">
        <f>+'Rango indicadores'!Q54</f>
        <v>0</v>
      </c>
      <c r="F100" s="343">
        <f>'1.Informe Seguimiento POA 2023'!O45</f>
        <v>0</v>
      </c>
      <c r="G100" s="343">
        <f>'1.Informe Seguimiento POA 2023'!O45</f>
        <v>0</v>
      </c>
      <c r="H100" s="343">
        <f>'1.Informe Seguimiento POA 2023'!P45</f>
        <v>0</v>
      </c>
      <c r="I100" s="343">
        <f>'1.Informe Seguimiento POA 2023'!P45</f>
        <v>0</v>
      </c>
      <c r="J100" s="343">
        <f t="shared" si="163"/>
        <v>0</v>
      </c>
      <c r="K100" s="368" t="s">
        <v>1165</v>
      </c>
      <c r="L100" s="368" t="s">
        <v>1165</v>
      </c>
      <c r="M100" s="368" t="s">
        <v>1165</v>
      </c>
      <c r="N100" s="343">
        <f t="shared" si="164"/>
        <v>0</v>
      </c>
      <c r="O100" s="331">
        <f>+'1.Informe Seguimiento POA 2023'!Q45</f>
        <v>0</v>
      </c>
      <c r="P100" s="343">
        <f t="shared" si="165"/>
        <v>0</v>
      </c>
      <c r="Q100" s="331">
        <f>'1.Informe Seguimiento POA 2023'!R45</f>
        <v>0</v>
      </c>
      <c r="R100" s="331">
        <f>+'1.Informe Seguimiento POA 2023'!P45+'1.Informe Seguimiento POA 2023'!R45</f>
        <v>0</v>
      </c>
      <c r="S100" s="343">
        <f t="shared" si="166"/>
        <v>0</v>
      </c>
      <c r="T100" s="368" t="s">
        <v>1165</v>
      </c>
      <c r="U100" s="368" t="s">
        <v>1165</v>
      </c>
      <c r="V100" s="368" t="s">
        <v>1165</v>
      </c>
      <c r="W100" s="343">
        <f t="shared" si="160"/>
        <v>0</v>
      </c>
      <c r="X100" s="331">
        <f>+'1.Informe Seguimiento POA 2023'!S45</f>
        <v>0</v>
      </c>
      <c r="Y100" s="331">
        <f>+'1.Informe Seguimiento POA 2023'!O45+'1.Informe Seguimiento POA 2023'!Q45+'1.Informe Seguimiento POA 2023'!S45</f>
        <v>0</v>
      </c>
      <c r="Z100" s="331">
        <f>+'1.Informe Seguimiento POA 2023'!T45</f>
        <v>0</v>
      </c>
      <c r="AA100" s="331">
        <f>+'1.Informe Seguimiento POA 2023'!R45+'1.Informe Seguimiento POA 2023'!T45+'1.Informe Seguimiento POA 2023'!P45</f>
        <v>0</v>
      </c>
      <c r="AB100" s="331">
        <f t="shared" si="161"/>
        <v>0</v>
      </c>
      <c r="AC100" s="368" t="str">
        <f t="shared" si="143"/>
        <v>No programado</v>
      </c>
      <c r="AD100" s="368" t="str">
        <f t="shared" si="144"/>
        <v>No programado</v>
      </c>
      <c r="AE100" s="332">
        <f t="shared" si="145"/>
        <v>0</v>
      </c>
      <c r="AF100" s="343">
        <f t="shared" si="153"/>
        <v>0</v>
      </c>
      <c r="AG100" s="343">
        <f>+'1.Informe Seguimiento POA 2023'!U45</f>
        <v>0</v>
      </c>
      <c r="AH100" s="343">
        <f>+'1.Informe Seguimiento POA 2023'!O45+'1.Informe Seguimiento POA 2023'!Q45+'1.Informe Seguimiento POA 2023'!S45+'1.Informe Seguimiento POA 2023'!U45</f>
        <v>0</v>
      </c>
      <c r="AI100" s="343">
        <f>+'1.Informe Seguimiento POA 2023'!V45</f>
        <v>0</v>
      </c>
      <c r="AJ100" s="343">
        <f>+'1.Informe Seguimiento POA 2023'!P45+'1.Informe Seguimiento POA 2023'!R45+'1.Informe Seguimiento POA 2023'!T45+'1.Informe Seguimiento POA 2023'!V45</f>
        <v>0</v>
      </c>
      <c r="AK100" s="343">
        <f t="shared" ref="AK100:AK102" si="168">H100+Q100+Z100+AI100</f>
        <v>0</v>
      </c>
      <c r="AL100" s="368" t="str">
        <f t="shared" si="147"/>
        <v>No programado</v>
      </c>
      <c r="AM100" s="368" t="str">
        <f t="shared" si="148"/>
        <v>No programado</v>
      </c>
      <c r="AN100" s="332">
        <f t="shared" si="149"/>
        <v>0</v>
      </c>
      <c r="AO100" s="336" t="str">
        <f>+'Rango indicadores'!H54</f>
        <v>Mayor A:</v>
      </c>
      <c r="AP100" s="331">
        <f>+'Rango indicadores'!I54</f>
        <v>95</v>
      </c>
      <c r="AQ100" s="331" t="str">
        <f>+'Rango indicadores'!J54</f>
        <v>Desde (&gt;=):</v>
      </c>
      <c r="AR100" s="331">
        <f>+'Rango indicadores'!K54</f>
        <v>75</v>
      </c>
      <c r="AS100" s="331" t="str">
        <f>+'Rango indicadores'!L54</f>
        <v>Hasta (&lt;=):</v>
      </c>
      <c r="AT100" s="331">
        <f>+'Rango indicadores'!M54</f>
        <v>95</v>
      </c>
      <c r="AU100" s="331" t="str">
        <f>+'Rango indicadores'!N54</f>
        <v>Menor A:</v>
      </c>
      <c r="AV100" s="331">
        <f>+'Rango indicadores'!O54</f>
        <v>75</v>
      </c>
      <c r="AW100" s="421" t="s">
        <v>1159</v>
      </c>
      <c r="AX100" s="483"/>
      <c r="AY100" s="659">
        <f t="shared" si="154"/>
        <v>0</v>
      </c>
      <c r="AZ100" s="344"/>
      <c r="BA100" s="344"/>
    </row>
    <row r="101" spans="2:53" ht="126.6" customHeight="1">
      <c r="B101" s="328">
        <f t="shared" si="150"/>
        <v>54</v>
      </c>
      <c r="C101" s="329" t="str">
        <f>+'Rango indicadores'!D55</f>
        <v>07-RI-07</v>
      </c>
      <c r="D101" s="329" t="str">
        <f>+'Rango indicadores'!E55</f>
        <v xml:space="preserve">Sistema de información misional implementado </v>
      </c>
      <c r="E101" s="343">
        <f>+'Rango indicadores'!Q55</f>
        <v>0.3</v>
      </c>
      <c r="F101" s="343">
        <f>'1.Informe Seguimiento POA 2023'!O46</f>
        <v>0.06</v>
      </c>
      <c r="G101" s="343">
        <f>'1.Informe Seguimiento POA 2023'!O46</f>
        <v>0.06</v>
      </c>
      <c r="H101" s="343">
        <f>'1.Informe Seguimiento POA 2023'!P46</f>
        <v>0.06</v>
      </c>
      <c r="I101" s="343">
        <f>'1.Informe Seguimiento POA 2023'!P46</f>
        <v>0.06</v>
      </c>
      <c r="J101" s="343">
        <f t="shared" si="163"/>
        <v>0.06</v>
      </c>
      <c r="K101" s="346">
        <f t="shared" si="151"/>
        <v>1</v>
      </c>
      <c r="L101" s="346">
        <f t="shared" si="152"/>
        <v>1</v>
      </c>
      <c r="M101" s="332">
        <f t="shared" si="156"/>
        <v>0.2</v>
      </c>
      <c r="N101" s="343">
        <f t="shared" si="164"/>
        <v>0.3</v>
      </c>
      <c r="O101" s="801">
        <f>+'1.Informe Seguimiento POA 2023'!Q46</f>
        <v>0.09</v>
      </c>
      <c r="P101" s="369">
        <f t="shared" si="165"/>
        <v>0.15</v>
      </c>
      <c r="Q101" s="801">
        <f>'1.Informe Seguimiento POA 2023'!R46</f>
        <v>0.05</v>
      </c>
      <c r="R101" s="801">
        <f>+'1.Informe Seguimiento POA 2023'!P46+'1.Informe Seguimiento POA 2023'!R46</f>
        <v>0.11</v>
      </c>
      <c r="S101" s="369">
        <f t="shared" si="166"/>
        <v>0.11</v>
      </c>
      <c r="T101" s="346">
        <f t="shared" si="139"/>
        <v>0.55555555555555558</v>
      </c>
      <c r="U101" s="346">
        <f t="shared" si="140"/>
        <v>0.73333333333333339</v>
      </c>
      <c r="V101" s="332">
        <f>IF(AND(N101&gt;0,$S101&gt;0),S101/$N101,0)</f>
        <v>0.3666666666666667</v>
      </c>
      <c r="W101" s="343">
        <f t="shared" si="160"/>
        <v>0.3</v>
      </c>
      <c r="X101" s="331">
        <f>+'1.Informe Seguimiento POA 2023'!S46</f>
        <v>0.09</v>
      </c>
      <c r="Y101" s="331">
        <f>+'1.Informe Seguimiento POA 2023'!O46+'1.Informe Seguimiento POA 2023'!Q46+'1.Informe Seguimiento POA 2023'!S46</f>
        <v>0.24</v>
      </c>
      <c r="Z101" s="331">
        <f>+'1.Informe Seguimiento POA 2023'!T46</f>
        <v>0</v>
      </c>
      <c r="AA101" s="331">
        <f>+'1.Informe Seguimiento POA 2023'!R46+'1.Informe Seguimiento POA 2023'!T46+'1.Informe Seguimiento POA 2023'!P46</f>
        <v>0.11</v>
      </c>
      <c r="AB101" s="331">
        <f t="shared" si="161"/>
        <v>0.11</v>
      </c>
      <c r="AC101" s="346">
        <f t="shared" si="143"/>
        <v>0</v>
      </c>
      <c r="AD101" s="346">
        <f t="shared" si="144"/>
        <v>0.45833333333333337</v>
      </c>
      <c r="AE101" s="332">
        <f t="shared" si="145"/>
        <v>0.3666666666666667</v>
      </c>
      <c r="AF101" s="343">
        <f t="shared" si="153"/>
        <v>0.3</v>
      </c>
      <c r="AG101" s="343">
        <f>+'1.Informe Seguimiento POA 2023'!U46</f>
        <v>0.06</v>
      </c>
      <c r="AH101" s="343">
        <f>+'1.Informe Seguimiento POA 2023'!O46+'1.Informe Seguimiento POA 2023'!Q46+'1.Informe Seguimiento POA 2023'!S46+'1.Informe Seguimiento POA 2023'!U46</f>
        <v>0.3</v>
      </c>
      <c r="AI101" s="343">
        <f>+'1.Informe Seguimiento POA 2023'!V46</f>
        <v>0</v>
      </c>
      <c r="AJ101" s="343">
        <f>+'1.Informe Seguimiento POA 2023'!P46+'1.Informe Seguimiento POA 2023'!R46+'1.Informe Seguimiento POA 2023'!T46+'1.Informe Seguimiento POA 2023'!V46</f>
        <v>0.11</v>
      </c>
      <c r="AK101" s="343">
        <f t="shared" si="168"/>
        <v>0.11</v>
      </c>
      <c r="AL101" s="346">
        <f t="shared" si="147"/>
        <v>0</v>
      </c>
      <c r="AM101" s="346">
        <f t="shared" si="148"/>
        <v>0.3666666666666667</v>
      </c>
      <c r="AN101" s="332">
        <f t="shared" si="149"/>
        <v>0.3666666666666667</v>
      </c>
      <c r="AO101" s="336" t="str">
        <f>+'Rango indicadores'!H55</f>
        <v>Mayor A:</v>
      </c>
      <c r="AP101" s="331">
        <f>+'Rango indicadores'!I55</f>
        <v>95</v>
      </c>
      <c r="AQ101" s="331" t="str">
        <f>+'Rango indicadores'!J55</f>
        <v>Desde (&gt;=):</v>
      </c>
      <c r="AR101" s="331">
        <f>+'Rango indicadores'!K55</f>
        <v>75</v>
      </c>
      <c r="AS101" s="331" t="str">
        <f>+'Rango indicadores'!L55</f>
        <v>Hasta (&lt;=):</v>
      </c>
      <c r="AT101" s="331">
        <f>+'Rango indicadores'!M55</f>
        <v>95</v>
      </c>
      <c r="AU101" s="331" t="str">
        <f>+'Rango indicadores'!N55</f>
        <v>Menor A:</v>
      </c>
      <c r="AV101" s="331">
        <f>+'Rango indicadores'!O55</f>
        <v>75</v>
      </c>
      <c r="AW101" s="421" t="s">
        <v>1208</v>
      </c>
      <c r="AX101" s="659"/>
      <c r="AY101" s="659">
        <f t="shared" si="154"/>
        <v>3.9999999999999994E-2</v>
      </c>
      <c r="AZ101" s="344"/>
      <c r="BA101" s="344"/>
    </row>
    <row r="102" spans="2:53" ht="118.8">
      <c r="B102" s="328">
        <f t="shared" si="150"/>
        <v>55</v>
      </c>
      <c r="C102" s="329" t="str">
        <f>+'Rango indicadores'!D56</f>
        <v>07-RI-08</v>
      </c>
      <c r="D102" s="329" t="str">
        <f>+'Rango indicadores'!E56</f>
        <v>Relatoría diseñada e implementada</v>
      </c>
      <c r="E102" s="343">
        <f>+'Rango indicadores'!Q56</f>
        <v>0.4</v>
      </c>
      <c r="F102" s="343">
        <f>'1.Informe Seguimiento POA 2023'!O47</f>
        <v>0.08</v>
      </c>
      <c r="G102" s="343">
        <f>'1.Informe Seguimiento POA 2023'!O47</f>
        <v>0.08</v>
      </c>
      <c r="H102" s="343">
        <f>'1.Informe Seguimiento POA 2023'!P47</f>
        <v>0.08</v>
      </c>
      <c r="I102" s="343">
        <f>'1.Informe Seguimiento POA 2023'!P47</f>
        <v>0.08</v>
      </c>
      <c r="J102" s="343">
        <f t="shared" si="163"/>
        <v>0.08</v>
      </c>
      <c r="K102" s="346">
        <f t="shared" si="151"/>
        <v>1</v>
      </c>
      <c r="L102" s="346">
        <f t="shared" si="152"/>
        <v>1</v>
      </c>
      <c r="M102" s="332">
        <f t="shared" si="156"/>
        <v>0.19999999999999998</v>
      </c>
      <c r="N102" s="343">
        <f t="shared" si="164"/>
        <v>0.4</v>
      </c>
      <c r="O102" s="801">
        <f>+'1.Informe Seguimiento POA 2023'!Q47</f>
        <v>0.12</v>
      </c>
      <c r="P102" s="369">
        <f t="shared" si="165"/>
        <v>0.2</v>
      </c>
      <c r="Q102" s="801">
        <f>'1.Informe Seguimiento POA 2023'!R47</f>
        <v>0.28000000000000003</v>
      </c>
      <c r="R102" s="801">
        <f>+'1.Informe Seguimiento POA 2023'!P47+'1.Informe Seguimiento POA 2023'!R47</f>
        <v>0.36000000000000004</v>
      </c>
      <c r="S102" s="369">
        <f t="shared" si="166"/>
        <v>0.36000000000000004</v>
      </c>
      <c r="T102" s="346">
        <f t="shared" si="139"/>
        <v>2.3333333333333335</v>
      </c>
      <c r="U102" s="346">
        <f t="shared" si="140"/>
        <v>1.8</v>
      </c>
      <c r="V102" s="332">
        <f>IF(AND(N102&gt;0,$S102&gt;0),S102/$N102,0)</f>
        <v>0.9</v>
      </c>
      <c r="W102" s="343">
        <f t="shared" si="160"/>
        <v>0.4</v>
      </c>
      <c r="X102" s="331">
        <f>+'1.Informe Seguimiento POA 2023'!S47</f>
        <v>0.12</v>
      </c>
      <c r="Y102" s="331">
        <f>+'1.Informe Seguimiento POA 2023'!O47+'1.Informe Seguimiento POA 2023'!Q47+'1.Informe Seguimiento POA 2023'!S47</f>
        <v>0.32</v>
      </c>
      <c r="Z102" s="331">
        <f>+'1.Informe Seguimiento POA 2023'!T47</f>
        <v>0</v>
      </c>
      <c r="AA102" s="331">
        <f>+'1.Informe Seguimiento POA 2023'!R47+'1.Informe Seguimiento POA 2023'!T47+'1.Informe Seguimiento POA 2023'!P47</f>
        <v>0.36000000000000004</v>
      </c>
      <c r="AB102" s="331">
        <f t="shared" si="161"/>
        <v>0.36000000000000004</v>
      </c>
      <c r="AC102" s="346">
        <f t="shared" si="143"/>
        <v>0</v>
      </c>
      <c r="AD102" s="346">
        <f t="shared" si="144"/>
        <v>1.125</v>
      </c>
      <c r="AE102" s="332">
        <f t="shared" si="145"/>
        <v>0.9</v>
      </c>
      <c r="AF102" s="343">
        <f t="shared" si="153"/>
        <v>0.4</v>
      </c>
      <c r="AG102" s="343">
        <f>+'1.Informe Seguimiento POA 2023'!U47</f>
        <v>0.08</v>
      </c>
      <c r="AH102" s="343">
        <f>+'1.Informe Seguimiento POA 2023'!O47+'1.Informe Seguimiento POA 2023'!Q47+'1.Informe Seguimiento POA 2023'!S47+'1.Informe Seguimiento POA 2023'!U47</f>
        <v>0.4</v>
      </c>
      <c r="AI102" s="343">
        <f>+'1.Informe Seguimiento POA 2023'!V47</f>
        <v>0</v>
      </c>
      <c r="AJ102" s="343">
        <f>+'1.Informe Seguimiento POA 2023'!P47+'1.Informe Seguimiento POA 2023'!R47+'1.Informe Seguimiento POA 2023'!T47+'1.Informe Seguimiento POA 2023'!V47</f>
        <v>0.36000000000000004</v>
      </c>
      <c r="AK102" s="343">
        <f t="shared" si="168"/>
        <v>0.36000000000000004</v>
      </c>
      <c r="AL102" s="346">
        <f t="shared" si="147"/>
        <v>0</v>
      </c>
      <c r="AM102" s="346">
        <f t="shared" si="148"/>
        <v>0.9</v>
      </c>
      <c r="AN102" s="332">
        <f t="shared" si="149"/>
        <v>0.9</v>
      </c>
      <c r="AO102" s="336" t="str">
        <f>+'Rango indicadores'!H56</f>
        <v>Mayor A:</v>
      </c>
      <c r="AP102" s="331">
        <f>+'Rango indicadores'!I56</f>
        <v>95</v>
      </c>
      <c r="AQ102" s="331" t="str">
        <f>+'Rango indicadores'!J56</f>
        <v>Desde (&gt;=):</v>
      </c>
      <c r="AR102" s="331">
        <f>+'Rango indicadores'!K56</f>
        <v>75</v>
      </c>
      <c r="AS102" s="331" t="str">
        <f>+'Rango indicadores'!L56</f>
        <v>Hasta (&lt;=):</v>
      </c>
      <c r="AT102" s="331">
        <f>+'Rango indicadores'!M56</f>
        <v>95</v>
      </c>
      <c r="AU102" s="331" t="str">
        <f>+'Rango indicadores'!N56</f>
        <v>Menor A:</v>
      </c>
      <c r="AV102" s="331">
        <f>+'Rango indicadores'!O56</f>
        <v>75</v>
      </c>
      <c r="AW102" s="421" t="s">
        <v>1210</v>
      </c>
      <c r="AX102" s="659"/>
      <c r="AY102" s="659">
        <f t="shared" si="154"/>
        <v>-0.16000000000000003</v>
      </c>
      <c r="AZ102" s="344"/>
      <c r="BA102" s="344"/>
    </row>
    <row r="103" spans="2:53" ht="15.6">
      <c r="C103" s="1319" t="s">
        <v>826</v>
      </c>
      <c r="D103" s="1320"/>
      <c r="E103" s="1320"/>
      <c r="F103" s="1320"/>
      <c r="G103" s="1320"/>
      <c r="H103" s="1320"/>
      <c r="I103" s="1320"/>
      <c r="J103" s="1320"/>
      <c r="K103" s="334">
        <f>IFERROR(AVERAGE(K95,K99,K101,K102),0)</f>
        <v>0.97291666666666676</v>
      </c>
      <c r="L103" s="334">
        <f>IFERROR(AVERAGE(L95,L99,L101,L102),0)</f>
        <v>0.97291666666666676</v>
      </c>
      <c r="M103" s="334">
        <f t="shared" ref="M103" si="169">IFERROR(AVERAGE(M95:M102),0)</f>
        <v>0.14658333333333332</v>
      </c>
      <c r="N103" s="754"/>
      <c r="O103" s="754"/>
      <c r="P103" s="754"/>
      <c r="Q103" s="754"/>
      <c r="R103" s="754"/>
      <c r="S103" s="754"/>
      <c r="T103" s="334">
        <f t="shared" ref="T103:V103" si="170">IFERROR(AVERAGE(T95:T102),0)</f>
        <v>1.0300283790283791</v>
      </c>
      <c r="U103" s="334">
        <f t="shared" si="170"/>
        <v>0.96690527179214325</v>
      </c>
      <c r="V103" s="334">
        <f t="shared" si="170"/>
        <v>0.46643977591036412</v>
      </c>
      <c r="W103" s="754"/>
      <c r="X103" s="754"/>
      <c r="Y103" s="754"/>
      <c r="Z103" s="754"/>
      <c r="AA103" s="754"/>
      <c r="AB103" s="754"/>
      <c r="AC103" s="334">
        <f>IFERROR(AVERAGE(AC95:AC102),0)</f>
        <v>0</v>
      </c>
      <c r="AD103" s="334">
        <f t="shared" ref="AD103:AE103" si="171">IFERROR(AVERAGE(AD95:AD102),0)</f>
        <v>0.69052358001230185</v>
      </c>
      <c r="AE103" s="334">
        <f t="shared" si="171"/>
        <v>0.40804105392156859</v>
      </c>
      <c r="AF103" s="754"/>
      <c r="AG103" s="754"/>
      <c r="AH103" s="754"/>
      <c r="AI103" s="754"/>
      <c r="AJ103" s="754"/>
      <c r="AK103" s="755"/>
      <c r="AL103" s="334">
        <f>IFERROR(AVERAGE(AL95:AL102),0)</f>
        <v>0</v>
      </c>
      <c r="AM103" s="334">
        <f t="shared" ref="AM103:AN103" si="172">IFERROR(AVERAGE(AM95:AM102),0)</f>
        <v>0.46647549019607842</v>
      </c>
      <c r="AN103" s="334">
        <f t="shared" si="172"/>
        <v>0.47013480392156859</v>
      </c>
      <c r="AO103" s="341"/>
      <c r="AP103" s="341"/>
      <c r="AQ103" s="341"/>
      <c r="AR103" s="341"/>
      <c r="AS103" s="341"/>
      <c r="AT103" s="341"/>
      <c r="AU103" s="341"/>
      <c r="AV103" s="341"/>
      <c r="AW103" s="429"/>
    </row>
    <row r="104" spans="2:53" s="324" customFormat="1" ht="25.2" customHeight="1" thickBot="1">
      <c r="D104" s="326"/>
      <c r="AN104" s="366"/>
      <c r="AO104" s="366"/>
      <c r="AP104" s="366"/>
      <c r="AQ104" s="366"/>
      <c r="AR104" s="366"/>
      <c r="AS104" s="366"/>
      <c r="AT104" s="366"/>
      <c r="AU104" s="366"/>
      <c r="AV104" s="366"/>
      <c r="AW104" s="429"/>
      <c r="AY104" s="310"/>
      <c r="AZ104" s="310"/>
    </row>
    <row r="105" spans="2:53" s="324" customFormat="1" ht="16.2" thickBot="1">
      <c r="C105" s="327" t="s">
        <v>834</v>
      </c>
      <c r="D105" s="357"/>
      <c r="E105" s="1290" t="s">
        <v>1053</v>
      </c>
      <c r="F105" s="1291"/>
      <c r="G105" s="1291"/>
      <c r="H105" s="1291"/>
      <c r="I105" s="1291"/>
      <c r="J105" s="1291"/>
      <c r="K105" s="1291"/>
      <c r="L105" s="1291"/>
      <c r="M105" s="1292"/>
      <c r="N105" s="1293" t="s">
        <v>1054</v>
      </c>
      <c r="O105" s="1294"/>
      <c r="P105" s="1294"/>
      <c r="Q105" s="1294"/>
      <c r="R105" s="1294"/>
      <c r="S105" s="1294"/>
      <c r="T105" s="1294"/>
      <c r="U105" s="1294"/>
      <c r="V105" s="1295"/>
      <c r="W105" s="1287" t="s">
        <v>1055</v>
      </c>
      <c r="X105" s="1288"/>
      <c r="Y105" s="1288"/>
      <c r="Z105" s="1288"/>
      <c r="AA105" s="1288"/>
      <c r="AB105" s="1288"/>
      <c r="AC105" s="1288"/>
      <c r="AD105" s="1288"/>
      <c r="AE105" s="1289"/>
      <c r="AF105" s="1293" t="s">
        <v>1002</v>
      </c>
      <c r="AG105" s="1294"/>
      <c r="AH105" s="1294"/>
      <c r="AI105" s="1294"/>
      <c r="AJ105" s="1294"/>
      <c r="AK105" s="1294"/>
      <c r="AL105" s="1294"/>
      <c r="AM105" s="1294"/>
      <c r="AN105" s="1295"/>
      <c r="AW105" s="429"/>
      <c r="AY105" s="310"/>
      <c r="AZ105" s="310"/>
    </row>
    <row r="106" spans="2:53" ht="33" customHeight="1">
      <c r="C106" s="1284" t="str">
        <f>+$C$11</f>
        <v>Identificación del Indicador</v>
      </c>
      <c r="D106" s="1297" t="s">
        <v>821</v>
      </c>
      <c r="E106" s="1280" t="s">
        <v>822</v>
      </c>
      <c r="F106" s="1281"/>
      <c r="G106" s="1282"/>
      <c r="H106" s="1283" t="s">
        <v>1057</v>
      </c>
      <c r="I106" s="1285" t="str">
        <f>$I$9</f>
        <v>Ejecución 
Corte
31/03/2023</v>
      </c>
      <c r="J106" s="1283" t="s">
        <v>823</v>
      </c>
      <c r="K106" s="1283" t="s">
        <v>817</v>
      </c>
      <c r="L106" s="1283"/>
      <c r="M106" s="1283"/>
      <c r="N106" s="1280" t="s">
        <v>822</v>
      </c>
      <c r="O106" s="1281"/>
      <c r="P106" s="1282"/>
      <c r="Q106" s="1283" t="s">
        <v>1062</v>
      </c>
      <c r="R106" s="1285" t="str">
        <f>$R$9</f>
        <v>Ejecución 
Corte
30/06/2023</v>
      </c>
      <c r="S106" s="1283" t="s">
        <v>823</v>
      </c>
      <c r="T106" s="1283" t="s">
        <v>817</v>
      </c>
      <c r="U106" s="1283"/>
      <c r="V106" s="1283"/>
      <c r="W106" s="1280" t="s">
        <v>822</v>
      </c>
      <c r="X106" s="1281"/>
      <c r="Y106" s="1282"/>
      <c r="Z106" s="1283" t="s">
        <v>1063</v>
      </c>
      <c r="AA106" s="1285" t="s">
        <v>1059</v>
      </c>
      <c r="AB106" s="1283" t="s">
        <v>823</v>
      </c>
      <c r="AC106" s="1283" t="s">
        <v>817</v>
      </c>
      <c r="AD106" s="1283"/>
      <c r="AE106" s="1283"/>
      <c r="AF106" s="1280" t="s">
        <v>822</v>
      </c>
      <c r="AG106" s="1281"/>
      <c r="AH106" s="1282"/>
      <c r="AI106" s="1283" t="s">
        <v>1081</v>
      </c>
      <c r="AJ106" s="1285" t="s">
        <v>1079</v>
      </c>
      <c r="AK106" s="1283" t="s">
        <v>823</v>
      </c>
      <c r="AL106" s="1283" t="s">
        <v>817</v>
      </c>
      <c r="AM106" s="1283"/>
      <c r="AN106" s="1283"/>
      <c r="AO106" s="1296" t="s">
        <v>669</v>
      </c>
      <c r="AP106" s="1296"/>
      <c r="AQ106" s="1296"/>
      <c r="AR106" s="1296"/>
      <c r="AS106" s="1296"/>
      <c r="AT106" s="1296"/>
      <c r="AU106" s="1296"/>
      <c r="AV106" s="1296"/>
      <c r="AW106" s="1284" t="s">
        <v>842</v>
      </c>
    </row>
    <row r="107" spans="2:53" ht="56.25" customHeight="1">
      <c r="C107" s="1284"/>
      <c r="D107" s="1297"/>
      <c r="E107" s="907" t="str">
        <f>$E$9</f>
        <v>Año 2023</v>
      </c>
      <c r="F107" s="907" t="str">
        <f>+E105</f>
        <v>Primer Trimestre</v>
      </c>
      <c r="G107" s="908" t="str">
        <f>$G$9</f>
        <v>Acumulado
Corte 
31/03/2023</v>
      </c>
      <c r="H107" s="1284"/>
      <c r="I107" s="1286"/>
      <c r="J107" s="1284"/>
      <c r="K107" s="907" t="str">
        <f>+$D$6</f>
        <v>Segundo Trimestre</v>
      </c>
      <c r="L107" s="908" t="str">
        <f>$G$12</f>
        <v>Acumulado
Corte 
31/03/2023</v>
      </c>
      <c r="M107" s="909" t="s">
        <v>714</v>
      </c>
      <c r="N107" s="936" t="str">
        <f>$N$9</f>
        <v>Año 2023</v>
      </c>
      <c r="O107" s="907" t="str">
        <f>+N105</f>
        <v>Segundo Trimestre</v>
      </c>
      <c r="P107" s="951" t="str">
        <f>$P$9</f>
        <v>Acumulado
Corte 
30/06/2023</v>
      </c>
      <c r="Q107" s="1284"/>
      <c r="R107" s="1286"/>
      <c r="S107" s="1284"/>
      <c r="T107" s="950" t="str">
        <f>+O107</f>
        <v>Segundo Trimestre</v>
      </c>
      <c r="U107" s="951" t="str">
        <f>$P$12</f>
        <v>Acumulado
Corte 
30/06/2023</v>
      </c>
      <c r="V107" s="952" t="s">
        <v>714</v>
      </c>
      <c r="W107" s="907" t="s">
        <v>1064</v>
      </c>
      <c r="X107" s="907" t="str">
        <f>+W105</f>
        <v>Tercer Trimestre</v>
      </c>
      <c r="Y107" s="908" t="s">
        <v>1058</v>
      </c>
      <c r="Z107" s="1284"/>
      <c r="AA107" s="1286"/>
      <c r="AB107" s="1284"/>
      <c r="AC107" s="907" t="str">
        <f>+X107</f>
        <v>Tercer Trimestre</v>
      </c>
      <c r="AD107" s="908" t="str">
        <f>+Y107</f>
        <v>Acumulado Corte 
30/09/2022</v>
      </c>
      <c r="AE107" s="909" t="s">
        <v>714</v>
      </c>
      <c r="AF107" s="907" t="s">
        <v>1064</v>
      </c>
      <c r="AG107" s="907" t="s">
        <v>1080</v>
      </c>
      <c r="AH107" s="908" t="s">
        <v>1078</v>
      </c>
      <c r="AI107" s="1284"/>
      <c r="AJ107" s="1286"/>
      <c r="AK107" s="1284"/>
      <c r="AL107" s="907" t="str">
        <f>+AG107</f>
        <v>Cuarto Trimestre
30-11-2022</v>
      </c>
      <c r="AM107" s="908" t="str">
        <f>+AH107</f>
        <v>Acumulado Corte 
30/11/2022</v>
      </c>
      <c r="AN107" s="909" t="s">
        <v>714</v>
      </c>
      <c r="AO107" s="987" t="s">
        <v>824</v>
      </c>
      <c r="AP107" s="988"/>
      <c r="AQ107" s="989" t="s">
        <v>825</v>
      </c>
      <c r="AR107" s="990"/>
      <c r="AS107" s="990"/>
      <c r="AT107" s="991"/>
      <c r="AU107" s="992" t="s">
        <v>677</v>
      </c>
      <c r="AV107" s="993"/>
      <c r="AW107" s="1284"/>
    </row>
    <row r="108" spans="2:53" ht="94.95" customHeight="1">
      <c r="B108" s="328">
        <f>+B102+1</f>
        <v>56</v>
      </c>
      <c r="C108" s="329" t="str">
        <f>+'Rango indicadores'!D57</f>
        <v>08-RI-01</v>
      </c>
      <c r="D108" s="329" t="str">
        <f>+'Rango indicadores'!E57</f>
        <v>Porcentaje de novedades y situaciones administrativas gestionadas</v>
      </c>
      <c r="E108" s="333">
        <f>+'Rango indicadores'!Q57</f>
        <v>1</v>
      </c>
      <c r="F108" s="361">
        <f>'1.Informe Seguimiento POA 2023'!O61</f>
        <v>1</v>
      </c>
      <c r="G108" s="361">
        <f>'1.Informe Seguimiento POA 2023'!O61</f>
        <v>1</v>
      </c>
      <c r="H108" s="683">
        <f>'1.Informe Seguimiento POA 2023'!P61</f>
        <v>1</v>
      </c>
      <c r="I108" s="683">
        <f>'1.Informe Seguimiento POA 2023'!P61</f>
        <v>1</v>
      </c>
      <c r="J108" s="683">
        <f t="shared" ref="J108:J115" si="173">I108</f>
        <v>1</v>
      </c>
      <c r="K108" s="346">
        <f t="shared" ref="K108" si="174">IF(AND(F108&gt;0),H108/F108,"No programado")</f>
        <v>1</v>
      </c>
      <c r="L108" s="346">
        <f t="shared" ref="L108" si="175">IF(AND(G108&gt;0),I108/G108,"No programado")</f>
        <v>1</v>
      </c>
      <c r="M108" s="332">
        <f>IF(AND(E108&gt;0,$J108&gt;0),J108/$E108,0)*0.25</f>
        <v>0.25</v>
      </c>
      <c r="N108" s="333">
        <f>+E108</f>
        <v>1</v>
      </c>
      <c r="O108" s="683">
        <f>+'1.Informe Seguimiento POA 2023'!Q61</f>
        <v>1</v>
      </c>
      <c r="P108" s="753">
        <f>IFERROR(AVERAGE(F108,O108),0)</f>
        <v>1</v>
      </c>
      <c r="Q108" s="683">
        <f>'1.Informe Seguimiento POA 2023'!R61</f>
        <v>1</v>
      </c>
      <c r="R108" s="333">
        <f>IFERROR(AVERAGE('1.Informe Seguimiento POA 2023'!P61,'1.Informe Seguimiento POA 2023'!R61),0)</f>
        <v>1</v>
      </c>
      <c r="S108" s="333">
        <f>IFERROR(IF(OR($N108="",$N108=0),0,ROUNDDOWN(AVERAGE($H108,Q108),3)),0)</f>
        <v>1</v>
      </c>
      <c r="T108" s="346">
        <f t="shared" ref="T108:T115" si="176">IF(AND(O108&gt;0),Q108/O108,"No programado")</f>
        <v>1</v>
      </c>
      <c r="U108" s="346">
        <f t="shared" ref="U108:U115" si="177">IF(AND(P108&gt;0),R108/P108,"No programado")</f>
        <v>1</v>
      </c>
      <c r="V108" s="332">
        <f>IF(AND(N108&gt;0,$S108&gt;0),S108/$N108,0)*0.5</f>
        <v>0.5</v>
      </c>
      <c r="W108" s="333">
        <f>+N108</f>
        <v>1</v>
      </c>
      <c r="X108" s="361">
        <f>+'1.Informe Seguimiento POA 2023'!S61</f>
        <v>1</v>
      </c>
      <c r="Y108" s="333">
        <f>IFERROR(AVERAGE('1.Informe Seguimiento POA 2023'!O61,'1.Informe Seguimiento POA 2023'!Q61,'1.Informe Seguimiento POA 2023'!S61),0)</f>
        <v>1</v>
      </c>
      <c r="Z108" s="333">
        <f>+'1.Informe Seguimiento POA 2023'!T61</f>
        <v>0</v>
      </c>
      <c r="AA108" s="333">
        <f>IFERROR(AVERAGE('1.Informe Seguimiento POA 2023'!R61,'1.Informe Seguimiento POA 2023'!P61,'1.Informe Seguimiento POA 2023'!T61),0)</f>
        <v>0.66666666666666663</v>
      </c>
      <c r="AB108" s="333">
        <f>IFERROR(IF(OR($W108="",$W108=0),0,ROUNDDOWN(AVERAGE($H108,Q108,Z108),3)),0)</f>
        <v>0.66600000000000004</v>
      </c>
      <c r="AC108" s="346">
        <f t="shared" ref="AC108:AC115" si="178">IF(AND(X108&gt;0),Z108/X108,"No programado")</f>
        <v>0</v>
      </c>
      <c r="AD108" s="346">
        <f t="shared" ref="AD108:AD115" si="179">IF(AND(Y108&gt;0),AA108/Y108,"No programado")</f>
        <v>0.66666666666666663</v>
      </c>
      <c r="AE108" s="332">
        <f>IF(AND(W108&gt;0,$AB108&gt;0),AB108/$W108,0)*0.75</f>
        <v>0.49950000000000006</v>
      </c>
      <c r="AF108" s="333">
        <f>+W108</f>
        <v>1</v>
      </c>
      <c r="AG108" s="333">
        <f>+'1.Informe Seguimiento POA 2023'!U61</f>
        <v>1</v>
      </c>
      <c r="AH108" s="333">
        <f>IFERROR(AVERAGE('1.Informe Seguimiento POA 2023'!O61,'1.Informe Seguimiento POA 2023'!Q61,'1.Informe Seguimiento POA 2023'!S61,'1.Informe Seguimiento POA 2023'!U61),0)</f>
        <v>1</v>
      </c>
      <c r="AI108" s="333">
        <f>+'1.Informe Seguimiento POA 2023'!V61</f>
        <v>0</v>
      </c>
      <c r="AJ108" s="333">
        <f>IFERROR(AVERAGE('1.Informe Seguimiento POA 2023'!P61,'1.Informe Seguimiento POA 2023'!R61,'1.Informe Seguimiento POA 2023'!T61,'1.Informe Seguimiento POA 2023'!V61),0)</f>
        <v>0.5</v>
      </c>
      <c r="AK108" s="333">
        <f>IFERROR(IF(OR($W108="",$W108=0),0,ROUNDDOWN(AVERAGE($H108,Q108,Z108,AI108),3)),0)</f>
        <v>0.5</v>
      </c>
      <c r="AL108" s="346">
        <f t="shared" ref="AL108:AL115" si="180">IF(AND(AG108&gt;0),AI108/AG108,"No programado")</f>
        <v>0</v>
      </c>
      <c r="AM108" s="346">
        <f t="shared" ref="AM108:AM115" si="181">IF(AND(AH108&gt;0),AJ108/AH108,"No programado")</f>
        <v>0.5</v>
      </c>
      <c r="AN108" s="332">
        <f t="shared" ref="AN108:AN115" si="182">IF(AND(AF108&gt;0,$AK108&gt;0),AK108/$AF108,0)</f>
        <v>0.5</v>
      </c>
      <c r="AO108" s="336" t="str">
        <f>+'Rango indicadores'!H57</f>
        <v>Mayor A:</v>
      </c>
      <c r="AP108" s="331">
        <f>+'Rango indicadores'!I57</f>
        <v>95</v>
      </c>
      <c r="AQ108" s="331" t="str">
        <f>+'Rango indicadores'!J57</f>
        <v>Desde (&gt;=):</v>
      </c>
      <c r="AR108" s="331">
        <f>+'Rango indicadores'!K57</f>
        <v>75</v>
      </c>
      <c r="AS108" s="331" t="str">
        <f>+'Rango indicadores'!L57</f>
        <v>Hasta (&lt;=):</v>
      </c>
      <c r="AT108" s="331">
        <f>+'Rango indicadores'!M57</f>
        <v>95</v>
      </c>
      <c r="AU108" s="331" t="str">
        <f>+'Rango indicadores'!N57</f>
        <v>Menor A:</v>
      </c>
      <c r="AV108" s="331">
        <f>+'Rango indicadores'!O57</f>
        <v>75</v>
      </c>
      <c r="AW108" s="421" t="s">
        <v>1211</v>
      </c>
      <c r="AX108" s="659"/>
      <c r="AY108" s="659"/>
      <c r="AZ108" s="483"/>
    </row>
    <row r="109" spans="2:53" ht="118.95" customHeight="1">
      <c r="B109" s="328">
        <f t="shared" ref="B109:B115" si="183">+B108+1</f>
        <v>57</v>
      </c>
      <c r="C109" s="329" t="str">
        <f>+'Rango indicadores'!D58</f>
        <v>08-RI-02</v>
      </c>
      <c r="D109" s="329" t="str">
        <f>+'Rango indicadores'!E58</f>
        <v xml:space="preserve">Novedades incluidas en la nómina  oportunamente  </v>
      </c>
      <c r="E109" s="333">
        <f>+'Rango indicadores'!Q58</f>
        <v>0.98</v>
      </c>
      <c r="F109" s="361">
        <f>'1.Informe Seguimiento POA 2023'!O62</f>
        <v>0.98</v>
      </c>
      <c r="G109" s="361">
        <f>'1.Informe Seguimiento POA 2023'!O62</f>
        <v>0.98</v>
      </c>
      <c r="H109" s="683">
        <f>'1.Informe Seguimiento POA 2023'!P62</f>
        <v>0.999</v>
      </c>
      <c r="I109" s="683">
        <f>'1.Informe Seguimiento POA 2023'!P62</f>
        <v>0.999</v>
      </c>
      <c r="J109" s="683">
        <f t="shared" si="173"/>
        <v>0.999</v>
      </c>
      <c r="K109" s="346">
        <f t="shared" ref="K109:K115" si="184">IF(AND(F109&gt;0),H109/F109,"No programado")</f>
        <v>1.0193877551020409</v>
      </c>
      <c r="L109" s="346">
        <f t="shared" ref="L109:L115" si="185">IF(AND(G109&gt;0),I109/G109,"No programado")</f>
        <v>1.0193877551020409</v>
      </c>
      <c r="M109" s="332">
        <f>IF(AND(E109&gt;0,$J109&gt;0),J109/$E109,0)*0.25</f>
        <v>0.25484693877551023</v>
      </c>
      <c r="N109" s="333">
        <f t="shared" ref="N109:N115" si="186">+E109</f>
        <v>0.98</v>
      </c>
      <c r="O109" s="683">
        <f>+'1.Informe Seguimiento POA 2023'!Q62</f>
        <v>0.98</v>
      </c>
      <c r="P109" s="753">
        <f t="shared" ref="P109:P110" si="187">IFERROR(AVERAGE(F109,O109),0)</f>
        <v>0.98</v>
      </c>
      <c r="Q109" s="683">
        <f>'1.Informe Seguimiento POA 2023'!R62</f>
        <v>1</v>
      </c>
      <c r="R109" s="333">
        <f>IFERROR(AVERAGE('1.Informe Seguimiento POA 2023'!P62,'1.Informe Seguimiento POA 2023'!R62),0)</f>
        <v>0.99950000000000006</v>
      </c>
      <c r="S109" s="333">
        <f t="shared" ref="S109:S110" si="188">IFERROR(IF(OR($N109="",$N109=0),0,ROUNDDOWN(AVERAGE($H109,Q109),3)),0)</f>
        <v>0.999</v>
      </c>
      <c r="T109" s="982">
        <f t="shared" si="176"/>
        <v>1.0204081632653061</v>
      </c>
      <c r="U109" s="982">
        <f t="shared" si="177"/>
        <v>1.0198979591836737</v>
      </c>
      <c r="V109" s="332">
        <f>IF(AND(N109&gt;0,$S109&gt;0),S109/$N109,0)*0.5</f>
        <v>0.50969387755102047</v>
      </c>
      <c r="W109" s="333">
        <f t="shared" ref="W109:W114" si="189">+N109</f>
        <v>0.98</v>
      </c>
      <c r="X109" s="361">
        <f>+'1.Informe Seguimiento POA 2023'!S62</f>
        <v>0.98</v>
      </c>
      <c r="Y109" s="333">
        <f>IFERROR(AVERAGE('1.Informe Seguimiento POA 2023'!O62,'1.Informe Seguimiento POA 2023'!Q62,'1.Informe Seguimiento POA 2023'!S62),0)</f>
        <v>0.98</v>
      </c>
      <c r="Z109" s="333">
        <f>+'1.Informe Seguimiento POA 2023'!T62</f>
        <v>0</v>
      </c>
      <c r="AA109" s="333">
        <f>IFERROR(AVERAGE('1.Informe Seguimiento POA 2023'!R62,'1.Informe Seguimiento POA 2023'!P62,'1.Informe Seguimiento POA 2023'!T62),0)</f>
        <v>0.66633333333333333</v>
      </c>
      <c r="AB109" s="333">
        <f t="shared" ref="AB109:AB110" si="190">IFERROR(IF(OR($W109="",$W109=0),0,ROUNDDOWN(AVERAGE($H109,Q109,Z109),3)),0)</f>
        <v>0.66600000000000004</v>
      </c>
      <c r="AC109" s="346">
        <f t="shared" si="178"/>
        <v>0</v>
      </c>
      <c r="AD109" s="346">
        <f t="shared" si="179"/>
        <v>0.67993197278911566</v>
      </c>
      <c r="AE109" s="332">
        <f>IF(AND(W109&gt;0,$AB109&gt;0),AB109/$W109,0)*0.75</f>
        <v>0.50969387755102047</v>
      </c>
      <c r="AF109" s="333">
        <f t="shared" ref="AF109:AF110" si="191">+W109</f>
        <v>0.98</v>
      </c>
      <c r="AG109" s="333">
        <f>+'1.Informe Seguimiento POA 2023'!U62</f>
        <v>0.98</v>
      </c>
      <c r="AH109" s="333">
        <f>IFERROR(AVERAGE('1.Informe Seguimiento POA 2023'!O62,'1.Informe Seguimiento POA 2023'!Q62,'1.Informe Seguimiento POA 2023'!S62,'1.Informe Seguimiento POA 2023'!U62),0)</f>
        <v>0.98</v>
      </c>
      <c r="AI109" s="333">
        <f>+'1.Informe Seguimiento POA 2023'!V62</f>
        <v>0</v>
      </c>
      <c r="AJ109" s="333">
        <f>IFERROR(AVERAGE('1.Informe Seguimiento POA 2023'!P62,'1.Informe Seguimiento POA 2023'!R62,'1.Informe Seguimiento POA 2023'!T62,'1.Informe Seguimiento POA 2023'!V62),0)</f>
        <v>0.49975000000000003</v>
      </c>
      <c r="AK109" s="333">
        <f t="shared" ref="AK109:AK110" si="192">IFERROR(IF(OR($W109="",$W109=0),0,ROUNDDOWN(AVERAGE($H109,Q109,Z109,AI109),3)),0)</f>
        <v>0.499</v>
      </c>
      <c r="AL109" s="346">
        <f t="shared" si="180"/>
        <v>0</v>
      </c>
      <c r="AM109" s="346">
        <f t="shared" si="181"/>
        <v>0.50994897959183683</v>
      </c>
      <c r="AN109" s="332">
        <f t="shared" si="182"/>
        <v>0.50918367346938775</v>
      </c>
      <c r="AO109" s="336" t="str">
        <f>+'Rango indicadores'!H58</f>
        <v>Mayor A:</v>
      </c>
      <c r="AP109" s="331">
        <f>+'Rango indicadores'!I58</f>
        <v>95</v>
      </c>
      <c r="AQ109" s="331" t="str">
        <f>+'Rango indicadores'!J58</f>
        <v>Desde (&gt;=):</v>
      </c>
      <c r="AR109" s="331">
        <f>+'Rango indicadores'!K58</f>
        <v>75</v>
      </c>
      <c r="AS109" s="331" t="str">
        <f>+'Rango indicadores'!L58</f>
        <v>Hasta (&lt;=):</v>
      </c>
      <c r="AT109" s="331">
        <f>+'Rango indicadores'!M58</f>
        <v>95</v>
      </c>
      <c r="AU109" s="331" t="str">
        <f>+'Rango indicadores'!N58</f>
        <v>Menor A:</v>
      </c>
      <c r="AV109" s="331">
        <f>+'Rango indicadores'!O58</f>
        <v>75</v>
      </c>
      <c r="AW109" s="427" t="s">
        <v>1213</v>
      </c>
      <c r="AX109" s="659"/>
      <c r="AY109" s="659"/>
      <c r="AZ109" s="483"/>
      <c r="BA109" s="348"/>
    </row>
    <row r="110" spans="2:53" ht="120" customHeight="1">
      <c r="B110" s="328">
        <f t="shared" si="183"/>
        <v>58</v>
      </c>
      <c r="C110" s="329" t="str">
        <f>+'Rango indicadores'!D59</f>
        <v>08-RI-03</v>
      </c>
      <c r="D110" s="329" t="str">
        <f>+'Rango indicadores'!E59</f>
        <v>Porcentaje de Usuarios internos satisfechos con las solicitudes de los servicios atendidas de la SGTH (Certificaciones laborales, bonos pensionales y autorizaciones de retiro de cesantías)</v>
      </c>
      <c r="E110" s="333">
        <f>+'Rango indicadores'!Q59</f>
        <v>0.96</v>
      </c>
      <c r="F110" s="361">
        <f>'1.Informe Seguimiento POA 2023'!O63</f>
        <v>0.96</v>
      </c>
      <c r="G110" s="361">
        <f>'1.Informe Seguimiento POA 2023'!O63</f>
        <v>0.96</v>
      </c>
      <c r="H110" s="683">
        <f>'1.Informe Seguimiento POA 2023'!P63</f>
        <v>0.97299999999999998</v>
      </c>
      <c r="I110" s="683">
        <f>'1.Informe Seguimiento POA 2023'!P63</f>
        <v>0.97299999999999998</v>
      </c>
      <c r="J110" s="683">
        <f t="shared" si="173"/>
        <v>0.97299999999999998</v>
      </c>
      <c r="K110" s="346">
        <f t="shared" si="184"/>
        <v>1.0135416666666668</v>
      </c>
      <c r="L110" s="346">
        <f t="shared" si="185"/>
        <v>1.0135416666666668</v>
      </c>
      <c r="M110" s="332">
        <f>IF(AND(E110&gt;0,$J110&gt;0),J110/$E110,0)*0.25</f>
        <v>0.2533854166666667</v>
      </c>
      <c r="N110" s="333">
        <f t="shared" si="186"/>
        <v>0.96</v>
      </c>
      <c r="O110" s="683">
        <f>+'1.Informe Seguimiento POA 2023'!Q63</f>
        <v>0.96</v>
      </c>
      <c r="P110" s="753">
        <f t="shared" si="187"/>
        <v>0.96</v>
      </c>
      <c r="Q110" s="683">
        <f>'1.Informe Seguimiento POA 2023'!R63</f>
        <v>0.96399999999999997</v>
      </c>
      <c r="R110" s="333">
        <f>IFERROR(AVERAGE('1.Informe Seguimiento POA 2023'!P63,'1.Informe Seguimiento POA 2023'!R63),0)</f>
        <v>0.96849999999999992</v>
      </c>
      <c r="S110" s="333">
        <f t="shared" si="188"/>
        <v>0.96799999999999997</v>
      </c>
      <c r="T110" s="346">
        <f t="shared" si="176"/>
        <v>1.0041666666666667</v>
      </c>
      <c r="U110" s="346">
        <f t="shared" si="177"/>
        <v>1.0088541666666666</v>
      </c>
      <c r="V110" s="332">
        <f>IF(AND(N110&gt;0,$S110&gt;0),S110/$N110,0)*0.5</f>
        <v>0.50416666666666665</v>
      </c>
      <c r="W110" s="333">
        <f t="shared" si="189"/>
        <v>0.96</v>
      </c>
      <c r="X110" s="361">
        <f>+'1.Informe Seguimiento POA 2023'!S63</f>
        <v>0.96</v>
      </c>
      <c r="Y110" s="333">
        <f>IFERROR(AVERAGE('1.Informe Seguimiento POA 2023'!O63,'1.Informe Seguimiento POA 2023'!Q63,'1.Informe Seguimiento POA 2023'!S63),0)</f>
        <v>0.96</v>
      </c>
      <c r="Z110" s="333">
        <f>+'1.Informe Seguimiento POA 2023'!T63</f>
        <v>0</v>
      </c>
      <c r="AA110" s="333">
        <f>IFERROR(AVERAGE('1.Informe Seguimiento POA 2023'!R63,'1.Informe Seguimiento POA 2023'!P63,'1.Informe Seguimiento POA 2023'!T63),0)</f>
        <v>0.64566666666666661</v>
      </c>
      <c r="AB110" s="333">
        <f t="shared" si="190"/>
        <v>0.64500000000000002</v>
      </c>
      <c r="AC110" s="346">
        <f t="shared" si="178"/>
        <v>0</v>
      </c>
      <c r="AD110" s="346">
        <f t="shared" si="179"/>
        <v>0.67256944444444444</v>
      </c>
      <c r="AE110" s="332">
        <f>IF(AND(W110&gt;0,$AB110&gt;0),AB110/$W110,0)*0.75</f>
        <v>0.50390625</v>
      </c>
      <c r="AF110" s="333">
        <f t="shared" si="191"/>
        <v>0.96</v>
      </c>
      <c r="AG110" s="333">
        <f>+'1.Informe Seguimiento POA 2023'!U63</f>
        <v>0.96</v>
      </c>
      <c r="AH110" s="333">
        <f>IFERROR(AVERAGE('1.Informe Seguimiento POA 2023'!O63,'1.Informe Seguimiento POA 2023'!Q63,'1.Informe Seguimiento POA 2023'!S63,'1.Informe Seguimiento POA 2023'!U63),0)</f>
        <v>0.96</v>
      </c>
      <c r="AI110" s="333">
        <f>+'1.Informe Seguimiento POA 2023'!V63</f>
        <v>0</v>
      </c>
      <c r="AJ110" s="333">
        <f>IFERROR(AVERAGE('1.Informe Seguimiento POA 2023'!P63,'1.Informe Seguimiento POA 2023'!R63,'1.Informe Seguimiento POA 2023'!T63,'1.Informe Seguimiento POA 2023'!V63),0)</f>
        <v>0.48424999999999996</v>
      </c>
      <c r="AK110" s="333">
        <f t="shared" si="192"/>
        <v>0.48399999999999999</v>
      </c>
      <c r="AL110" s="346">
        <f t="shared" si="180"/>
        <v>0</v>
      </c>
      <c r="AM110" s="346">
        <f t="shared" si="181"/>
        <v>0.5044270833333333</v>
      </c>
      <c r="AN110" s="332">
        <f t="shared" si="182"/>
        <v>0.50416666666666665</v>
      </c>
      <c r="AO110" s="336" t="str">
        <f>+'Rango indicadores'!H59</f>
        <v>Mayor A:</v>
      </c>
      <c r="AP110" s="331">
        <f>+'Rango indicadores'!I59</f>
        <v>95</v>
      </c>
      <c r="AQ110" s="331" t="str">
        <f>+'Rango indicadores'!J59</f>
        <v>Desde (&gt;=):</v>
      </c>
      <c r="AR110" s="331">
        <f>+'Rango indicadores'!K59</f>
        <v>75</v>
      </c>
      <c r="AS110" s="331" t="str">
        <f>+'Rango indicadores'!L59</f>
        <v>Hasta (&lt;=):</v>
      </c>
      <c r="AT110" s="331">
        <f>+'Rango indicadores'!M59</f>
        <v>95</v>
      </c>
      <c r="AU110" s="331" t="str">
        <f>+'Rango indicadores'!N59</f>
        <v>Menor A:</v>
      </c>
      <c r="AV110" s="331">
        <f>+'Rango indicadores'!O59</f>
        <v>75</v>
      </c>
      <c r="AW110" s="427" t="s">
        <v>1214</v>
      </c>
      <c r="AX110" s="659"/>
      <c r="AY110" s="659"/>
      <c r="AZ110" s="424"/>
      <c r="BA110" s="349"/>
    </row>
    <row r="111" spans="2:53" ht="114" customHeight="1">
      <c r="B111" s="328">
        <f t="shared" si="183"/>
        <v>59</v>
      </c>
      <c r="C111" s="329" t="str">
        <f>+'Rango indicadores'!D60</f>
        <v>08-RI-04</v>
      </c>
      <c r="D111" s="329" t="str">
        <f>+'Rango indicadores'!E60</f>
        <v>Plan Institucional de Capacitación formulado y ejecutado</v>
      </c>
      <c r="E111" s="333">
        <f>+'Rango indicadores'!Q60</f>
        <v>1</v>
      </c>
      <c r="F111" s="361">
        <f>'1.Informe Seguimiento POA 2023'!O64</f>
        <v>0.35560000000000003</v>
      </c>
      <c r="G111" s="361">
        <f>'1.Informe Seguimiento POA 2023'!O64</f>
        <v>0.35560000000000003</v>
      </c>
      <c r="H111" s="683">
        <f>'1.Informe Seguimiento POA 2023'!P64</f>
        <v>0.32970000000000005</v>
      </c>
      <c r="I111" s="683">
        <f>'1.Informe Seguimiento POA 2023'!P64</f>
        <v>0.32970000000000005</v>
      </c>
      <c r="J111" s="683">
        <f t="shared" si="173"/>
        <v>0.32970000000000005</v>
      </c>
      <c r="K111" s="346">
        <f t="shared" si="184"/>
        <v>0.92716535433070868</v>
      </c>
      <c r="L111" s="346">
        <f t="shared" si="185"/>
        <v>0.92716535433070868</v>
      </c>
      <c r="M111" s="332">
        <f t="shared" ref="M111:M115" si="193">IF(AND(E111&gt;0,$J111&gt;0),J111/$E111,0)</f>
        <v>0.32970000000000005</v>
      </c>
      <c r="N111" s="333">
        <f t="shared" si="186"/>
        <v>1</v>
      </c>
      <c r="O111" s="683">
        <f>+'1.Informe Seguimiento POA 2023'!Q64</f>
        <v>0.2334</v>
      </c>
      <c r="P111" s="683">
        <f>+'1.Informe Seguimiento POA 2023'!O64+'1.Informe Seguimiento POA 2023'!Q64</f>
        <v>0.58899999999999997</v>
      </c>
      <c r="Q111" s="683">
        <f>+'1.Informe Seguimiento POA 2023'!R64</f>
        <v>7.7800000000000008E-2</v>
      </c>
      <c r="R111" s="683">
        <f>+'1.Informe Seguimiento POA 2023'!P64+'1.Informe Seguimiento POA 2023'!R64</f>
        <v>0.40750000000000008</v>
      </c>
      <c r="S111" s="683">
        <f t="shared" ref="S111" si="194">H111+Q111</f>
        <v>0.40750000000000008</v>
      </c>
      <c r="T111" s="346">
        <f t="shared" si="176"/>
        <v>0.33333333333333337</v>
      </c>
      <c r="U111" s="346">
        <f t="shared" si="177"/>
        <v>0.69185059422750439</v>
      </c>
      <c r="V111" s="332">
        <f t="shared" ref="V111:V115" si="195">IF(AND(N111&gt;0,$S111&gt;0),S111/$N111,0)</f>
        <v>0.40750000000000008</v>
      </c>
      <c r="W111" s="333">
        <f t="shared" si="189"/>
        <v>1</v>
      </c>
      <c r="X111" s="361">
        <f>+'1.Informe Seguimiento POA 2023'!S64</f>
        <v>0.2334</v>
      </c>
      <c r="Y111" s="361">
        <f>+'1.Informe Seguimiento POA 2023'!O64+'1.Informe Seguimiento POA 2023'!Q64+'1.Informe Seguimiento POA 2023'!S64</f>
        <v>0.82240000000000002</v>
      </c>
      <c r="Z111" s="361">
        <f>+'1.Informe Seguimiento POA 2023'!T64</f>
        <v>0</v>
      </c>
      <c r="AA111" s="361">
        <f>+'1.Informe Seguimiento POA 2023'!R64+'1.Informe Seguimiento POA 2023'!T64+'1.Informe Seguimiento POA 2023'!P64</f>
        <v>0.40750000000000008</v>
      </c>
      <c r="AB111" s="361">
        <f t="shared" ref="AB111" si="196">H111+Q111+Z111</f>
        <v>0.40750000000000008</v>
      </c>
      <c r="AC111" s="346">
        <f t="shared" si="178"/>
        <v>0</v>
      </c>
      <c r="AD111" s="346">
        <f t="shared" si="179"/>
        <v>0.49550097276264599</v>
      </c>
      <c r="AE111" s="332">
        <f t="shared" ref="AE111:AE115" si="197">IF(AND(W111&gt;0,$AB111&gt;0),AB111/$W111,0)</f>
        <v>0.40750000000000008</v>
      </c>
      <c r="AF111" s="333">
        <f t="shared" ref="AF111:AF114" si="198">+W111</f>
        <v>1</v>
      </c>
      <c r="AG111" s="333">
        <f>+'1.Informe Seguimiento POA 2023'!U64</f>
        <v>0.17780000000000001</v>
      </c>
      <c r="AH111" s="333">
        <f>+'1.Informe Seguimiento POA 2023'!O64+'1.Informe Seguimiento POA 2023'!Q64+'1.Informe Seguimiento POA 2023'!S64+'1.Informe Seguimiento POA 2023'!U64</f>
        <v>1.0002</v>
      </c>
      <c r="AI111" s="660">
        <f>+'1.Informe Seguimiento POA 2023'!V64</f>
        <v>0</v>
      </c>
      <c r="AJ111" s="333">
        <f>+'1.Informe Seguimiento POA 2023'!P64+'1.Informe Seguimiento POA 2023'!R64+'1.Informe Seguimiento POA 2023'!T64+'1.Informe Seguimiento POA 2023'!V64</f>
        <v>0.40750000000000008</v>
      </c>
      <c r="AK111" s="367">
        <f t="shared" ref="AK111:AK115" si="199">H111+Q111+Z111+AI111</f>
        <v>0.40750000000000008</v>
      </c>
      <c r="AL111" s="346">
        <f t="shared" si="180"/>
        <v>0</v>
      </c>
      <c r="AM111" s="346">
        <f t="shared" si="181"/>
        <v>0.40741851629674075</v>
      </c>
      <c r="AN111" s="332">
        <f t="shared" si="182"/>
        <v>0.40750000000000008</v>
      </c>
      <c r="AO111" s="336" t="str">
        <f>+'Rango indicadores'!H60</f>
        <v>Mayor A:</v>
      </c>
      <c r="AP111" s="331">
        <f>+'Rango indicadores'!I60</f>
        <v>95</v>
      </c>
      <c r="AQ111" s="331" t="str">
        <f>+'Rango indicadores'!J60</f>
        <v>Desde (&gt;=):</v>
      </c>
      <c r="AR111" s="331">
        <f>+'Rango indicadores'!K60</f>
        <v>75</v>
      </c>
      <c r="AS111" s="331" t="str">
        <f>+'Rango indicadores'!L60</f>
        <v>Hasta (&lt;=):</v>
      </c>
      <c r="AT111" s="331">
        <f>+'Rango indicadores'!M60</f>
        <v>95</v>
      </c>
      <c r="AU111" s="331" t="str">
        <f>+'Rango indicadores'!N60</f>
        <v>Menor A:</v>
      </c>
      <c r="AV111" s="331">
        <f>+'Rango indicadores'!O60</f>
        <v>75</v>
      </c>
      <c r="AW111" s="421" t="s">
        <v>1215</v>
      </c>
      <c r="AX111" s="802"/>
      <c r="AY111" s="802"/>
      <c r="AZ111" s="424"/>
    </row>
    <row r="112" spans="2:53" ht="105.6">
      <c r="B112" s="328">
        <f t="shared" si="183"/>
        <v>60</v>
      </c>
      <c r="C112" s="329" t="str">
        <f>+'Rango indicadores'!D61</f>
        <v>08-RI-05</v>
      </c>
      <c r="D112" s="329" t="str">
        <f>+'Rango indicadores'!E61</f>
        <v>Plan Institucional de Bienestar formulado y ejecutado</v>
      </c>
      <c r="E112" s="333">
        <f>+'Rango indicadores'!Q61</f>
        <v>1</v>
      </c>
      <c r="F112" s="361">
        <f>'1.Informe Seguimiento POA 2023'!O65</f>
        <v>0.29510000000000003</v>
      </c>
      <c r="G112" s="361">
        <f>'1.Informe Seguimiento POA 2023'!O65</f>
        <v>0.29510000000000003</v>
      </c>
      <c r="H112" s="683">
        <f>'1.Informe Seguimiento POA 2023'!P65</f>
        <v>0.29510000000000003</v>
      </c>
      <c r="I112" s="683">
        <f>'1.Informe Seguimiento POA 2023'!P65</f>
        <v>0.29510000000000003</v>
      </c>
      <c r="J112" s="683">
        <f t="shared" si="173"/>
        <v>0.29510000000000003</v>
      </c>
      <c r="K112" s="346">
        <f t="shared" si="184"/>
        <v>1</v>
      </c>
      <c r="L112" s="346">
        <f t="shared" si="185"/>
        <v>1</v>
      </c>
      <c r="M112" s="332">
        <f t="shared" si="193"/>
        <v>0.29510000000000003</v>
      </c>
      <c r="N112" s="333">
        <f t="shared" si="186"/>
        <v>1</v>
      </c>
      <c r="O112" s="683">
        <f>+'1.Informe Seguimiento POA 2023'!Q65</f>
        <v>0.22649999999999998</v>
      </c>
      <c r="P112" s="683">
        <f>+'1.Informe Seguimiento POA 2023'!O65+'1.Informe Seguimiento POA 2023'!Q65</f>
        <v>0.52160000000000006</v>
      </c>
      <c r="Q112" s="683">
        <f>+'1.Informe Seguimiento POA 2023'!R65</f>
        <v>0.20879999999999999</v>
      </c>
      <c r="R112" s="683">
        <f>+'1.Informe Seguimiento POA 2023'!P65+'1.Informe Seguimiento POA 2023'!R65</f>
        <v>0.50390000000000001</v>
      </c>
      <c r="S112" s="683">
        <f t="shared" ref="S112:S115" si="200">H112+Q112</f>
        <v>0.50390000000000001</v>
      </c>
      <c r="T112" s="346">
        <f t="shared" si="176"/>
        <v>0.92185430463576157</v>
      </c>
      <c r="U112" s="346">
        <f t="shared" si="177"/>
        <v>0.96606595092024528</v>
      </c>
      <c r="V112" s="332">
        <f t="shared" si="195"/>
        <v>0.50390000000000001</v>
      </c>
      <c r="W112" s="333">
        <f t="shared" si="189"/>
        <v>1</v>
      </c>
      <c r="X112" s="361">
        <f>+'1.Informe Seguimiento POA 2023'!S65</f>
        <v>0.2112</v>
      </c>
      <c r="Y112" s="361">
        <f>+'1.Informe Seguimiento POA 2023'!O65+'1.Informe Seguimiento POA 2023'!Q65+'1.Informe Seguimiento POA 2023'!S65</f>
        <v>0.73280000000000012</v>
      </c>
      <c r="Z112" s="361">
        <f>+'1.Informe Seguimiento POA 2023'!T65</f>
        <v>0</v>
      </c>
      <c r="AA112" s="361">
        <f>+'1.Informe Seguimiento POA 2023'!R65+'1.Informe Seguimiento POA 2023'!T65+'1.Informe Seguimiento POA 2023'!P65</f>
        <v>0.50390000000000001</v>
      </c>
      <c r="AB112" s="361">
        <f t="shared" ref="AB112:AB115" si="201">H112+Q112+Z112</f>
        <v>0.50390000000000001</v>
      </c>
      <c r="AC112" s="346">
        <f t="shared" si="178"/>
        <v>0</v>
      </c>
      <c r="AD112" s="346">
        <f t="shared" si="179"/>
        <v>0.68763646288209601</v>
      </c>
      <c r="AE112" s="332">
        <f t="shared" si="197"/>
        <v>0.50390000000000001</v>
      </c>
      <c r="AF112" s="333">
        <f t="shared" si="198"/>
        <v>1</v>
      </c>
      <c r="AG112" s="333">
        <f>+'1.Informe Seguimiento POA 2023'!U65</f>
        <v>0.26719999999999999</v>
      </c>
      <c r="AH112" s="333">
        <f>+'1.Informe Seguimiento POA 2023'!O65+'1.Informe Seguimiento POA 2023'!Q65+'1.Informe Seguimiento POA 2023'!S65+'1.Informe Seguimiento POA 2023'!U65</f>
        <v>1</v>
      </c>
      <c r="AI112" s="660">
        <f>+'1.Informe Seguimiento POA 2023'!V65</f>
        <v>0</v>
      </c>
      <c r="AJ112" s="333">
        <f>+'1.Informe Seguimiento POA 2023'!P65+'1.Informe Seguimiento POA 2023'!R65+'1.Informe Seguimiento POA 2023'!T65+'1.Informe Seguimiento POA 2023'!V65</f>
        <v>0.50390000000000001</v>
      </c>
      <c r="AK112" s="367">
        <f t="shared" si="199"/>
        <v>0.50390000000000001</v>
      </c>
      <c r="AL112" s="346">
        <f t="shared" si="180"/>
        <v>0</v>
      </c>
      <c r="AM112" s="346">
        <f t="shared" si="181"/>
        <v>0.50390000000000001</v>
      </c>
      <c r="AN112" s="332">
        <f t="shared" si="182"/>
        <v>0.50390000000000001</v>
      </c>
      <c r="AO112" s="336" t="str">
        <f>+'Rango indicadores'!H61</f>
        <v>Mayor A:</v>
      </c>
      <c r="AP112" s="331">
        <f>+'Rango indicadores'!I61</f>
        <v>95</v>
      </c>
      <c r="AQ112" s="331" t="str">
        <f>+'Rango indicadores'!J61</f>
        <v>Desde (&gt;=):</v>
      </c>
      <c r="AR112" s="331">
        <f>+'Rango indicadores'!K61</f>
        <v>75</v>
      </c>
      <c r="AS112" s="331" t="str">
        <f>+'Rango indicadores'!L61</f>
        <v>Hasta (&lt;=):</v>
      </c>
      <c r="AT112" s="331">
        <f>+'Rango indicadores'!M61</f>
        <v>95</v>
      </c>
      <c r="AU112" s="331" t="str">
        <f>+'Rango indicadores'!N61</f>
        <v>Menor A:</v>
      </c>
      <c r="AV112" s="331">
        <f>+'Rango indicadores'!O61</f>
        <v>75</v>
      </c>
      <c r="AW112" s="421" t="s">
        <v>1216</v>
      </c>
      <c r="AX112" s="659"/>
      <c r="AY112" s="659"/>
      <c r="AZ112" s="424"/>
      <c r="BA112" s="348"/>
    </row>
    <row r="113" spans="2:53" ht="66">
      <c r="B113" s="328">
        <f t="shared" si="183"/>
        <v>61</v>
      </c>
      <c r="C113" s="329" t="str">
        <f>+'Rango indicadores'!D62</f>
        <v>08-RI-06</v>
      </c>
      <c r="D113" s="329" t="str">
        <f>+'Rango indicadores'!E62</f>
        <v>Plan Institucional de Incentivos formulado y ejecutado</v>
      </c>
      <c r="E113" s="333">
        <f>+'Rango indicadores'!Q62</f>
        <v>1</v>
      </c>
      <c r="F113" s="361">
        <f>'1.Informe Seguimiento POA 2023'!O66</f>
        <v>0.25</v>
      </c>
      <c r="G113" s="361">
        <f>'1.Informe Seguimiento POA 2023'!O66</f>
        <v>0.25</v>
      </c>
      <c r="H113" s="683">
        <f>'1.Informe Seguimiento POA 2023'!P66</f>
        <v>0.25</v>
      </c>
      <c r="I113" s="683">
        <f>'1.Informe Seguimiento POA 2023'!P66</f>
        <v>0.25</v>
      </c>
      <c r="J113" s="683">
        <f t="shared" si="173"/>
        <v>0.25</v>
      </c>
      <c r="K113" s="346">
        <f t="shared" si="184"/>
        <v>1</v>
      </c>
      <c r="L113" s="346">
        <f t="shared" si="185"/>
        <v>1</v>
      </c>
      <c r="M113" s="332">
        <f t="shared" si="193"/>
        <v>0.25</v>
      </c>
      <c r="N113" s="333">
        <f t="shared" si="186"/>
        <v>1</v>
      </c>
      <c r="O113" s="361">
        <f>+'1.Informe Seguimiento POA 2023'!Q66</f>
        <v>0.1</v>
      </c>
      <c r="P113" s="361">
        <f>+'1.Informe Seguimiento POA 2023'!O66+'1.Informe Seguimiento POA 2023'!Q66</f>
        <v>0.35</v>
      </c>
      <c r="Q113" s="361">
        <f>+'1.Informe Seguimiento POA 2023'!R66</f>
        <v>0.1</v>
      </c>
      <c r="R113" s="361">
        <f>+'1.Informe Seguimiento POA 2023'!P66+'1.Informe Seguimiento POA 2023'!R66</f>
        <v>0.35</v>
      </c>
      <c r="S113" s="361">
        <f t="shared" si="200"/>
        <v>0.35</v>
      </c>
      <c r="T113" s="346">
        <f t="shared" si="176"/>
        <v>1</v>
      </c>
      <c r="U113" s="346">
        <f t="shared" si="177"/>
        <v>1</v>
      </c>
      <c r="V113" s="332">
        <f t="shared" si="195"/>
        <v>0.35</v>
      </c>
      <c r="W113" s="333">
        <f t="shared" si="189"/>
        <v>1</v>
      </c>
      <c r="X113" s="361">
        <f>+'1.Informe Seguimiento POA 2023'!S66</f>
        <v>0.1</v>
      </c>
      <c r="Y113" s="361">
        <f>+'1.Informe Seguimiento POA 2023'!O66+'1.Informe Seguimiento POA 2023'!Q66+'1.Informe Seguimiento POA 2023'!S66</f>
        <v>0.44999999999999996</v>
      </c>
      <c r="Z113" s="361">
        <f>+'1.Informe Seguimiento POA 2023'!T66</f>
        <v>0</v>
      </c>
      <c r="AA113" s="361">
        <f>+'1.Informe Seguimiento POA 2023'!R66+'1.Informe Seguimiento POA 2023'!T66+'1.Informe Seguimiento POA 2023'!P66</f>
        <v>0.35</v>
      </c>
      <c r="AB113" s="361">
        <f t="shared" si="201"/>
        <v>0.35</v>
      </c>
      <c r="AC113" s="346">
        <f t="shared" si="178"/>
        <v>0</v>
      </c>
      <c r="AD113" s="346">
        <f t="shared" si="179"/>
        <v>0.77777777777777779</v>
      </c>
      <c r="AE113" s="332">
        <f t="shared" si="197"/>
        <v>0.35</v>
      </c>
      <c r="AF113" s="333">
        <f t="shared" si="198"/>
        <v>1</v>
      </c>
      <c r="AG113" s="333">
        <f>+'1.Informe Seguimiento POA 2023'!U66</f>
        <v>0.55000000000000004</v>
      </c>
      <c r="AH113" s="333">
        <f>+'1.Informe Seguimiento POA 2023'!O66+'1.Informe Seguimiento POA 2023'!Q66+'1.Informe Seguimiento POA 2023'!S66+'1.Informe Seguimiento POA 2023'!U66</f>
        <v>1</v>
      </c>
      <c r="AI113" s="660">
        <f>+'1.Informe Seguimiento POA 2023'!V66</f>
        <v>0</v>
      </c>
      <c r="AJ113" s="333">
        <f>+'1.Informe Seguimiento POA 2023'!P66+'1.Informe Seguimiento POA 2023'!R66+'1.Informe Seguimiento POA 2023'!T66+'1.Informe Seguimiento POA 2023'!V66</f>
        <v>0.35</v>
      </c>
      <c r="AK113" s="367">
        <f t="shared" si="199"/>
        <v>0.35</v>
      </c>
      <c r="AL113" s="346">
        <f t="shared" si="180"/>
        <v>0</v>
      </c>
      <c r="AM113" s="346">
        <f t="shared" si="181"/>
        <v>0.35</v>
      </c>
      <c r="AN113" s="332">
        <f t="shared" si="182"/>
        <v>0.35</v>
      </c>
      <c r="AO113" s="336" t="str">
        <f>+'Rango indicadores'!H62</f>
        <v>Mayor A:</v>
      </c>
      <c r="AP113" s="331">
        <f>+'Rango indicadores'!I62</f>
        <v>95</v>
      </c>
      <c r="AQ113" s="331" t="str">
        <f>+'Rango indicadores'!J62</f>
        <v>Desde (&gt;=):</v>
      </c>
      <c r="AR113" s="331">
        <f>+'Rango indicadores'!K62</f>
        <v>75</v>
      </c>
      <c r="AS113" s="331" t="str">
        <f>+'Rango indicadores'!L62</f>
        <v>Hasta (&lt;=):</v>
      </c>
      <c r="AT113" s="331">
        <f>+'Rango indicadores'!M62</f>
        <v>95</v>
      </c>
      <c r="AU113" s="331" t="str">
        <f>+'Rango indicadores'!N62</f>
        <v>Menor A:</v>
      </c>
      <c r="AV113" s="331">
        <f>+'Rango indicadores'!O62</f>
        <v>75</v>
      </c>
      <c r="AW113" s="421" t="s">
        <v>1217</v>
      </c>
      <c r="AX113" s="659"/>
      <c r="AY113" s="659"/>
      <c r="AZ113" s="424"/>
      <c r="BA113" s="349"/>
    </row>
    <row r="114" spans="2:53" ht="66">
      <c r="B114" s="328">
        <f t="shared" si="183"/>
        <v>62</v>
      </c>
      <c r="C114" s="329" t="str">
        <f>+'Rango indicadores'!D63</f>
        <v>08-RI-07</v>
      </c>
      <c r="D114" s="329" t="str">
        <f>+'Rango indicadores'!E63</f>
        <v>Plan Anual de Seguridad y Salud en el Trabajo diseñado y ejecutado</v>
      </c>
      <c r="E114" s="333">
        <f>+'Rango indicadores'!Q63</f>
        <v>1</v>
      </c>
      <c r="F114" s="361">
        <f>'1.Informe Seguimiento POA 2023'!O67</f>
        <v>0.31930000000000003</v>
      </c>
      <c r="G114" s="361">
        <f>'1.Informe Seguimiento POA 2023'!O67</f>
        <v>0.31930000000000003</v>
      </c>
      <c r="H114" s="683">
        <f>'1.Informe Seguimiento POA 2023'!P67</f>
        <v>0.31930000000000003</v>
      </c>
      <c r="I114" s="683">
        <f>'1.Informe Seguimiento POA 2023'!P67</f>
        <v>0.31930000000000003</v>
      </c>
      <c r="J114" s="683">
        <f t="shared" si="173"/>
        <v>0.31930000000000003</v>
      </c>
      <c r="K114" s="346">
        <f t="shared" si="184"/>
        <v>1</v>
      </c>
      <c r="L114" s="346">
        <f t="shared" si="185"/>
        <v>1</v>
      </c>
      <c r="M114" s="332">
        <f t="shared" si="193"/>
        <v>0.31930000000000003</v>
      </c>
      <c r="N114" s="333">
        <f t="shared" si="186"/>
        <v>1</v>
      </c>
      <c r="O114" s="361">
        <f>+'1.Informe Seguimiento POA 2023'!Q67</f>
        <v>0.1114</v>
      </c>
      <c r="P114" s="361">
        <f>+'1.Informe Seguimiento POA 2023'!O67+'1.Informe Seguimiento POA 2023'!Q67</f>
        <v>0.43070000000000003</v>
      </c>
      <c r="Q114" s="361">
        <f>+'1.Informe Seguimiento POA 2023'!R67</f>
        <v>0.1114</v>
      </c>
      <c r="R114" s="361">
        <f>+'1.Informe Seguimiento POA 2023'!P67+'1.Informe Seguimiento POA 2023'!R67</f>
        <v>0.43070000000000003</v>
      </c>
      <c r="S114" s="361">
        <f t="shared" si="200"/>
        <v>0.43070000000000003</v>
      </c>
      <c r="T114" s="346">
        <f t="shared" si="176"/>
        <v>1</v>
      </c>
      <c r="U114" s="346">
        <f t="shared" si="177"/>
        <v>1</v>
      </c>
      <c r="V114" s="332">
        <f t="shared" si="195"/>
        <v>0.43070000000000003</v>
      </c>
      <c r="W114" s="333">
        <f t="shared" si="189"/>
        <v>1</v>
      </c>
      <c r="X114" s="361">
        <f>+'1.Informe Seguimiento POA 2023'!S67</f>
        <v>0.2228</v>
      </c>
      <c r="Y114" s="361">
        <f>+'1.Informe Seguimiento POA 2023'!O67+'1.Informe Seguimiento POA 2023'!Q67+'1.Informe Seguimiento POA 2023'!S67</f>
        <v>0.65349999999999997</v>
      </c>
      <c r="Z114" s="361">
        <f>+'1.Informe Seguimiento POA 2023'!T67</f>
        <v>0</v>
      </c>
      <c r="AA114" s="361">
        <f>+'1.Informe Seguimiento POA 2023'!R67+'1.Informe Seguimiento POA 2023'!T67+'1.Informe Seguimiento POA 2023'!P67</f>
        <v>0.43070000000000003</v>
      </c>
      <c r="AB114" s="361">
        <f t="shared" si="201"/>
        <v>0.43070000000000003</v>
      </c>
      <c r="AC114" s="346">
        <f t="shared" si="178"/>
        <v>0</v>
      </c>
      <c r="AD114" s="346">
        <f t="shared" si="179"/>
        <v>0.65906656465187463</v>
      </c>
      <c r="AE114" s="332">
        <f t="shared" si="197"/>
        <v>0.43070000000000003</v>
      </c>
      <c r="AF114" s="333">
        <f t="shared" si="198"/>
        <v>1</v>
      </c>
      <c r="AG114" s="333">
        <f>+'1.Informe Seguimiento POA 2023'!U67</f>
        <v>0.34650000000000003</v>
      </c>
      <c r="AH114" s="333">
        <f>+'1.Informe Seguimiento POA 2023'!O67+'1.Informe Seguimiento POA 2023'!Q67+'1.Informe Seguimiento POA 2023'!S67+'1.Informe Seguimiento POA 2023'!U67</f>
        <v>1</v>
      </c>
      <c r="AI114" s="660">
        <f>+'1.Informe Seguimiento POA 2023'!V67</f>
        <v>0</v>
      </c>
      <c r="AJ114" s="333">
        <f>+'1.Informe Seguimiento POA 2023'!P67+'1.Informe Seguimiento POA 2023'!R67+'1.Informe Seguimiento POA 2023'!T67+'1.Informe Seguimiento POA 2023'!V67</f>
        <v>0.43070000000000003</v>
      </c>
      <c r="AK114" s="367">
        <f t="shared" si="199"/>
        <v>0.43070000000000003</v>
      </c>
      <c r="AL114" s="346">
        <f t="shared" si="180"/>
        <v>0</v>
      </c>
      <c r="AM114" s="346">
        <f t="shared" si="181"/>
        <v>0.43070000000000003</v>
      </c>
      <c r="AN114" s="332">
        <f t="shared" si="182"/>
        <v>0.43070000000000003</v>
      </c>
      <c r="AO114" s="336" t="str">
        <f>+'Rango indicadores'!H63</f>
        <v>Mayor A:</v>
      </c>
      <c r="AP114" s="331">
        <f>+'Rango indicadores'!I63</f>
        <v>95</v>
      </c>
      <c r="AQ114" s="331" t="str">
        <f>+'Rango indicadores'!J63</f>
        <v>Desde (&gt;=):</v>
      </c>
      <c r="AR114" s="331">
        <f>+'Rango indicadores'!K63</f>
        <v>75</v>
      </c>
      <c r="AS114" s="331" t="str">
        <f>+'Rango indicadores'!L63</f>
        <v>Hasta (&lt;=):</v>
      </c>
      <c r="AT114" s="331">
        <f>+'Rango indicadores'!M63</f>
        <v>95</v>
      </c>
      <c r="AU114" s="331" t="str">
        <f>+'Rango indicadores'!N63</f>
        <v>Menor A:</v>
      </c>
      <c r="AV114" s="331">
        <f>+'Rango indicadores'!O63</f>
        <v>75</v>
      </c>
      <c r="AW114" s="421" t="s">
        <v>1217</v>
      </c>
      <c r="AX114" s="659"/>
      <c r="AY114" s="659"/>
      <c r="AZ114" s="425"/>
      <c r="BA114" s="349"/>
    </row>
    <row r="115" spans="2:53" ht="66">
      <c r="B115" s="328">
        <f t="shared" si="183"/>
        <v>63</v>
      </c>
      <c r="C115" s="329" t="str">
        <f>+'Rango indicadores'!D64</f>
        <v>08-RI-08</v>
      </c>
      <c r="D115" s="329" t="str">
        <f>+'Rango indicadores'!E64</f>
        <v>Capacitaciones realizadas sobre los Sistemas de Gestión y Evaluación del Desempeño Laboral de la Personería de Bogotá, D.C.</v>
      </c>
      <c r="E115" s="343">
        <f>+'Rango indicadores'!Q64</f>
        <v>4</v>
      </c>
      <c r="F115" s="343">
        <f>'1.Informe Seguimiento POA 2023'!O68</f>
        <v>2</v>
      </c>
      <c r="G115" s="343">
        <f>'1.Informe Seguimiento POA 2023'!O68</f>
        <v>2</v>
      </c>
      <c r="H115" s="343">
        <f>'1.Informe Seguimiento POA 2023'!P68</f>
        <v>2</v>
      </c>
      <c r="I115" s="343">
        <f>'1.Informe Seguimiento POA 2023'!P68</f>
        <v>2</v>
      </c>
      <c r="J115" s="343">
        <f t="shared" si="173"/>
        <v>2</v>
      </c>
      <c r="K115" s="346">
        <f t="shared" si="184"/>
        <v>1</v>
      </c>
      <c r="L115" s="346">
        <f t="shared" si="185"/>
        <v>1</v>
      </c>
      <c r="M115" s="332">
        <f t="shared" si="193"/>
        <v>0.5</v>
      </c>
      <c r="N115" s="343">
        <f t="shared" si="186"/>
        <v>4</v>
      </c>
      <c r="O115" s="343">
        <f>+'1.Informe Seguimiento POA 2023'!Q68</f>
        <v>1</v>
      </c>
      <c r="P115" s="343">
        <f>+'1.Informe Seguimiento POA 2023'!O68+'1.Informe Seguimiento POA 2023'!Q68</f>
        <v>3</v>
      </c>
      <c r="Q115" s="343">
        <f>+'1.Informe Seguimiento POA 2023'!R68</f>
        <v>1</v>
      </c>
      <c r="R115" s="343">
        <f>+'1.Informe Seguimiento POA 2023'!P68+'1.Informe Seguimiento POA 2023'!R68</f>
        <v>3</v>
      </c>
      <c r="S115" s="343">
        <f t="shared" si="200"/>
        <v>3</v>
      </c>
      <c r="T115" s="346">
        <f t="shared" si="176"/>
        <v>1</v>
      </c>
      <c r="U115" s="346">
        <f t="shared" si="177"/>
        <v>1</v>
      </c>
      <c r="V115" s="332">
        <f t="shared" si="195"/>
        <v>0.75</v>
      </c>
      <c r="W115" s="343">
        <f>+N115</f>
        <v>4</v>
      </c>
      <c r="X115" s="343">
        <f>+'1.Informe Seguimiento POA 2023'!S68</f>
        <v>1</v>
      </c>
      <c r="Y115" s="343">
        <f>+'1.Informe Seguimiento POA 2023'!O68+'1.Informe Seguimiento POA 2023'!Q68+'1.Informe Seguimiento POA 2023'!S68</f>
        <v>4</v>
      </c>
      <c r="Z115" s="343">
        <f>+'1.Informe Seguimiento POA 2023'!T68</f>
        <v>0</v>
      </c>
      <c r="AA115" s="343">
        <f>+'1.Informe Seguimiento POA 2023'!R68+'1.Informe Seguimiento POA 2023'!T68+'1.Informe Seguimiento POA 2023'!P68</f>
        <v>3</v>
      </c>
      <c r="AB115" s="343">
        <f t="shared" si="201"/>
        <v>3</v>
      </c>
      <c r="AC115" s="346">
        <f t="shared" si="178"/>
        <v>0</v>
      </c>
      <c r="AD115" s="346">
        <f t="shared" si="179"/>
        <v>0.75</v>
      </c>
      <c r="AE115" s="332">
        <f t="shared" si="197"/>
        <v>0.75</v>
      </c>
      <c r="AF115" s="343">
        <f>+W115</f>
        <v>4</v>
      </c>
      <c r="AG115" s="343">
        <f>+'1.Informe Seguimiento POA 2023'!U68</f>
        <v>0</v>
      </c>
      <c r="AH115" s="343">
        <f>+'1.Informe Seguimiento POA 2023'!O68+'1.Informe Seguimiento POA 2023'!Q68+'1.Informe Seguimiento POA 2023'!S68+'1.Informe Seguimiento POA 2023'!U68</f>
        <v>4</v>
      </c>
      <c r="AI115" s="343">
        <f>+'1.Informe Seguimiento POA 2023'!V68</f>
        <v>0</v>
      </c>
      <c r="AJ115" s="343">
        <f>+'1.Informe Seguimiento POA 2023'!P68+'1.Informe Seguimiento POA 2023'!R68+'1.Informe Seguimiento POA 2023'!T68+'1.Informe Seguimiento POA 2023'!V68</f>
        <v>3</v>
      </c>
      <c r="AK115" s="343">
        <f t="shared" si="199"/>
        <v>3</v>
      </c>
      <c r="AL115" s="346" t="str">
        <f t="shared" si="180"/>
        <v>No programado</v>
      </c>
      <c r="AM115" s="346">
        <f t="shared" si="181"/>
        <v>0.75</v>
      </c>
      <c r="AN115" s="332">
        <f t="shared" si="182"/>
        <v>0.75</v>
      </c>
      <c r="AO115" s="336" t="str">
        <f>+'Rango indicadores'!H64</f>
        <v>Mayor A:</v>
      </c>
      <c r="AP115" s="331">
        <f>+'Rango indicadores'!I64</f>
        <v>95</v>
      </c>
      <c r="AQ115" s="331" t="str">
        <f>+'Rango indicadores'!J64</f>
        <v>Desde (&gt;=):</v>
      </c>
      <c r="AR115" s="331">
        <f>+'Rango indicadores'!K64</f>
        <v>75</v>
      </c>
      <c r="AS115" s="331" t="str">
        <f>+'Rango indicadores'!L64</f>
        <v>Hasta (&lt;=):</v>
      </c>
      <c r="AT115" s="331">
        <f>+'Rango indicadores'!M64</f>
        <v>95</v>
      </c>
      <c r="AU115" s="331" t="str">
        <f>+'Rango indicadores'!N64</f>
        <v>Menor A:</v>
      </c>
      <c r="AV115" s="331">
        <f>+'Rango indicadores'!O64</f>
        <v>75</v>
      </c>
      <c r="AW115" s="421" t="s">
        <v>1217</v>
      </c>
      <c r="AX115" s="659"/>
      <c r="AY115" s="659"/>
      <c r="AZ115" s="424"/>
      <c r="BA115" s="349"/>
    </row>
    <row r="116" spans="2:53" ht="15.6">
      <c r="C116" s="1319" t="s">
        <v>826</v>
      </c>
      <c r="D116" s="1320"/>
      <c r="E116" s="1320"/>
      <c r="F116" s="1320"/>
      <c r="G116" s="1320"/>
      <c r="H116" s="1320"/>
      <c r="I116" s="1320"/>
      <c r="J116" s="1320"/>
      <c r="K116" s="334">
        <f>IFERROR(AVERAGE(K108:K115),0)</f>
        <v>0.99501184701242706</v>
      </c>
      <c r="L116" s="334">
        <f>IFERROR(AVERAGE(L108:L115),0)</f>
        <v>0.99501184701242706</v>
      </c>
      <c r="M116" s="334">
        <f>IFERROR(AVERAGE(M108:M115),0)</f>
        <v>0.30654154443027215</v>
      </c>
      <c r="N116" s="754"/>
      <c r="O116" s="754"/>
      <c r="P116" s="754"/>
      <c r="Q116" s="754"/>
      <c r="R116" s="754"/>
      <c r="S116" s="754"/>
      <c r="T116" s="334">
        <f>IFERROR(AVERAGE(T108:T115),0)</f>
        <v>0.90997030848763338</v>
      </c>
      <c r="U116" s="334">
        <f>IFERROR(AVERAGE(U108:U115),0)</f>
        <v>0.96083358387476125</v>
      </c>
      <c r="V116" s="334">
        <f>IFERROR(AVERAGE(V108:V115),0)</f>
        <v>0.49449506802721094</v>
      </c>
      <c r="W116" s="754"/>
      <c r="X116" s="754"/>
      <c r="Y116" s="754"/>
      <c r="Z116" s="754"/>
      <c r="AA116" s="754"/>
      <c r="AB116" s="754"/>
      <c r="AC116" s="334">
        <f>IFERROR(AVERAGE(AC108:AC115),0)</f>
        <v>0</v>
      </c>
      <c r="AD116" s="334">
        <f>IFERROR(AVERAGE(AD108:AD115),0)</f>
        <v>0.67364373274682765</v>
      </c>
      <c r="AE116" s="334">
        <f>IFERROR(AVERAGE(AE108:AE115),0)</f>
        <v>0.49440001594387756</v>
      </c>
      <c r="AF116" s="754"/>
      <c r="AG116" s="754"/>
      <c r="AH116" s="754"/>
      <c r="AI116" s="754"/>
      <c r="AJ116" s="754"/>
      <c r="AK116" s="755"/>
      <c r="AL116" s="334">
        <f>IFERROR(AVERAGE(AL108:AL115),0)</f>
        <v>0</v>
      </c>
      <c r="AM116" s="334">
        <f>IFERROR(AVERAGE(AM108:AM115),0)</f>
        <v>0.49454932240273886</v>
      </c>
      <c r="AN116" s="334">
        <f>IFERROR(AVERAGE(AN108:AN115),0)</f>
        <v>0.49443129251700685</v>
      </c>
      <c r="AO116" s="341"/>
      <c r="AP116" s="341"/>
      <c r="AQ116" s="341"/>
      <c r="AR116" s="341"/>
      <c r="AS116" s="341"/>
      <c r="AT116" s="341"/>
      <c r="AU116" s="341"/>
      <c r="AV116" s="341"/>
      <c r="AW116" s="429"/>
      <c r="AY116" s="483"/>
    </row>
    <row r="117" spans="2:53" s="324" customFormat="1" ht="24.6" customHeight="1" thickBot="1">
      <c r="D117" s="326"/>
      <c r="AW117" s="326"/>
      <c r="AY117" s="483"/>
      <c r="AZ117" s="310"/>
    </row>
    <row r="118" spans="2:53" s="324" customFormat="1" ht="16.2" thickBot="1">
      <c r="C118" s="327" t="s">
        <v>835</v>
      </c>
      <c r="D118" s="357"/>
      <c r="E118" s="1290" t="s">
        <v>1053</v>
      </c>
      <c r="F118" s="1291"/>
      <c r="G118" s="1291"/>
      <c r="H118" s="1291"/>
      <c r="I118" s="1291"/>
      <c r="J118" s="1291"/>
      <c r="K118" s="1291"/>
      <c r="L118" s="1291"/>
      <c r="M118" s="1292"/>
      <c r="N118" s="1293" t="s">
        <v>1054</v>
      </c>
      <c r="O118" s="1294"/>
      <c r="P118" s="1294"/>
      <c r="Q118" s="1294"/>
      <c r="R118" s="1294"/>
      <c r="S118" s="1294"/>
      <c r="T118" s="1294"/>
      <c r="U118" s="1294"/>
      <c r="V118" s="1295"/>
      <c r="W118" s="1287" t="s">
        <v>1055</v>
      </c>
      <c r="X118" s="1288"/>
      <c r="Y118" s="1288"/>
      <c r="Z118" s="1288"/>
      <c r="AA118" s="1288"/>
      <c r="AB118" s="1288"/>
      <c r="AC118" s="1288"/>
      <c r="AD118" s="1288"/>
      <c r="AE118" s="1289"/>
      <c r="AF118" s="1293" t="s">
        <v>1002</v>
      </c>
      <c r="AG118" s="1294"/>
      <c r="AH118" s="1294"/>
      <c r="AI118" s="1294"/>
      <c r="AJ118" s="1294"/>
      <c r="AK118" s="1294"/>
      <c r="AL118" s="1294"/>
      <c r="AM118" s="1294"/>
      <c r="AN118" s="1295"/>
      <c r="AW118" s="326"/>
      <c r="AY118" s="483"/>
      <c r="AZ118" s="310"/>
    </row>
    <row r="119" spans="2:53" ht="29.4" customHeight="1">
      <c r="C119" s="1284" t="str">
        <f>+$C$11</f>
        <v>Identificación del Indicador</v>
      </c>
      <c r="D119" s="1297" t="s">
        <v>821</v>
      </c>
      <c r="E119" s="1280" t="s">
        <v>822</v>
      </c>
      <c r="F119" s="1281"/>
      <c r="G119" s="1282"/>
      <c r="H119" s="1283" t="s">
        <v>1057</v>
      </c>
      <c r="I119" s="1285" t="str">
        <f>$I$9</f>
        <v>Ejecución 
Corte
31/03/2023</v>
      </c>
      <c r="J119" s="1283" t="s">
        <v>823</v>
      </c>
      <c r="K119" s="1283" t="s">
        <v>817</v>
      </c>
      <c r="L119" s="1283"/>
      <c r="M119" s="1283"/>
      <c r="N119" s="1280" t="s">
        <v>822</v>
      </c>
      <c r="O119" s="1281"/>
      <c r="P119" s="1282"/>
      <c r="Q119" s="1283" t="s">
        <v>1062</v>
      </c>
      <c r="R119" s="1285" t="str">
        <f>$R$9</f>
        <v>Ejecución 
Corte
30/06/2023</v>
      </c>
      <c r="S119" s="1283" t="s">
        <v>823</v>
      </c>
      <c r="T119" s="1283" t="s">
        <v>817</v>
      </c>
      <c r="U119" s="1283"/>
      <c r="V119" s="1283"/>
      <c r="W119" s="1280" t="s">
        <v>822</v>
      </c>
      <c r="X119" s="1281"/>
      <c r="Y119" s="1282"/>
      <c r="Z119" s="1283" t="s">
        <v>1063</v>
      </c>
      <c r="AA119" s="1285" t="s">
        <v>1059</v>
      </c>
      <c r="AB119" s="1283" t="s">
        <v>823</v>
      </c>
      <c r="AC119" s="1283" t="s">
        <v>817</v>
      </c>
      <c r="AD119" s="1283"/>
      <c r="AE119" s="1283"/>
      <c r="AF119" s="1280" t="s">
        <v>822</v>
      </c>
      <c r="AG119" s="1281"/>
      <c r="AH119" s="1282"/>
      <c r="AI119" s="1283" t="s">
        <v>1084</v>
      </c>
      <c r="AJ119" s="1285" t="s">
        <v>1085</v>
      </c>
      <c r="AK119" s="1283" t="s">
        <v>823</v>
      </c>
      <c r="AL119" s="1283" t="s">
        <v>817</v>
      </c>
      <c r="AM119" s="1283"/>
      <c r="AN119" s="1283"/>
      <c r="AO119" s="1296" t="s">
        <v>669</v>
      </c>
      <c r="AP119" s="1296"/>
      <c r="AQ119" s="1296"/>
      <c r="AR119" s="1296"/>
      <c r="AS119" s="1296"/>
      <c r="AT119" s="1296"/>
      <c r="AU119" s="1296"/>
      <c r="AV119" s="1296"/>
      <c r="AW119" s="1284" t="s">
        <v>842</v>
      </c>
      <c r="AY119" s="483"/>
    </row>
    <row r="120" spans="2:53" ht="54.6" customHeight="1">
      <c r="C120" s="1284"/>
      <c r="D120" s="1297"/>
      <c r="E120" s="907" t="str">
        <f>$E$9</f>
        <v>Año 2023</v>
      </c>
      <c r="F120" s="907" t="str">
        <f>+E118</f>
        <v>Primer Trimestre</v>
      </c>
      <c r="G120" s="908" t="str">
        <f>$G$9</f>
        <v>Acumulado
Corte 
31/03/2023</v>
      </c>
      <c r="H120" s="1284"/>
      <c r="I120" s="1286"/>
      <c r="J120" s="1284"/>
      <c r="K120" s="907" t="str">
        <f>+$D$6</f>
        <v>Segundo Trimestre</v>
      </c>
      <c r="L120" s="908" t="str">
        <f>$G$12</f>
        <v>Acumulado
Corte 
31/03/2023</v>
      </c>
      <c r="M120" s="909" t="s">
        <v>714</v>
      </c>
      <c r="N120" s="936" t="str">
        <f>$N$9</f>
        <v>Año 2023</v>
      </c>
      <c r="O120" s="907" t="str">
        <f>+N118</f>
        <v>Segundo Trimestre</v>
      </c>
      <c r="P120" s="951" t="str">
        <f>$P$9</f>
        <v>Acumulado
Corte 
30/06/2023</v>
      </c>
      <c r="Q120" s="1284"/>
      <c r="R120" s="1286"/>
      <c r="S120" s="1284"/>
      <c r="T120" s="950" t="str">
        <f>+O120</f>
        <v>Segundo Trimestre</v>
      </c>
      <c r="U120" s="951" t="str">
        <f>$P$12</f>
        <v>Acumulado
Corte 
30/06/2023</v>
      </c>
      <c r="V120" s="952" t="s">
        <v>714</v>
      </c>
      <c r="W120" s="907" t="s">
        <v>1064</v>
      </c>
      <c r="X120" s="907" t="str">
        <f>+W118</f>
        <v>Tercer Trimestre</v>
      </c>
      <c r="Y120" s="908" t="s">
        <v>1058</v>
      </c>
      <c r="Z120" s="1284"/>
      <c r="AA120" s="1286"/>
      <c r="AB120" s="1284"/>
      <c r="AC120" s="907" t="str">
        <f>+X120</f>
        <v>Tercer Trimestre</v>
      </c>
      <c r="AD120" s="908" t="str">
        <f>+Y120</f>
        <v>Acumulado Corte 
30/09/2022</v>
      </c>
      <c r="AE120" s="909" t="s">
        <v>714</v>
      </c>
      <c r="AF120" s="907" t="s">
        <v>1064</v>
      </c>
      <c r="AG120" s="907" t="s">
        <v>1083</v>
      </c>
      <c r="AH120" s="908" t="s">
        <v>1060</v>
      </c>
      <c r="AI120" s="1284"/>
      <c r="AJ120" s="1286"/>
      <c r="AK120" s="1284"/>
      <c r="AL120" s="907" t="str">
        <f>+AG120</f>
        <v>Cuarto Trimestre
31-12-2022</v>
      </c>
      <c r="AM120" s="908" t="str">
        <f>+AH120</f>
        <v>Acumulado Corte 
31/12/2022</v>
      </c>
      <c r="AN120" s="909" t="s">
        <v>714</v>
      </c>
      <c r="AO120" s="987" t="s">
        <v>824</v>
      </c>
      <c r="AP120" s="988"/>
      <c r="AQ120" s="989" t="s">
        <v>825</v>
      </c>
      <c r="AR120" s="990"/>
      <c r="AS120" s="990"/>
      <c r="AT120" s="991"/>
      <c r="AU120" s="992" t="s">
        <v>677</v>
      </c>
      <c r="AV120" s="993"/>
      <c r="AW120" s="1284"/>
      <c r="AY120" s="483"/>
    </row>
    <row r="121" spans="2:53" ht="101.4" customHeight="1">
      <c r="B121" s="328">
        <f>1+B115</f>
        <v>64</v>
      </c>
      <c r="C121" s="329" t="str">
        <f>+'Rango indicadores'!D65</f>
        <v>09-R1-01</v>
      </c>
      <c r="D121" s="329" t="str">
        <f>+'Rango indicadores'!E65</f>
        <v>Porcentaje de servicios atendidos</v>
      </c>
      <c r="E121" s="333">
        <f>+'Rango indicadores'!Q65</f>
        <v>1</v>
      </c>
      <c r="F121" s="361">
        <f>'1.Informe Seguimiento POA 2023'!O69</f>
        <v>1</v>
      </c>
      <c r="G121" s="361">
        <f>'1.Informe Seguimiento POA 2023'!O69</f>
        <v>1</v>
      </c>
      <c r="H121" s="683">
        <f>'1.Informe Seguimiento POA 2023'!P69</f>
        <v>1</v>
      </c>
      <c r="I121" s="683">
        <f>'1.Informe Seguimiento POA 2023'!P69</f>
        <v>1</v>
      </c>
      <c r="J121" s="683">
        <f t="shared" ref="J121:J122" si="202">I121</f>
        <v>1</v>
      </c>
      <c r="K121" s="346">
        <f t="shared" ref="K121" si="203">IF(AND(F121&gt;0),H121/F121,"No programado")</f>
        <v>1</v>
      </c>
      <c r="L121" s="346">
        <f t="shared" ref="L121" si="204">IF(AND(G121&gt;0),I121/G121,"No programado")</f>
        <v>1</v>
      </c>
      <c r="M121" s="332">
        <f>IF(AND(E121&gt;0,$J121&gt;0),J121/$E121,0)*0.25</f>
        <v>0.25</v>
      </c>
      <c r="N121" s="333">
        <f>E121</f>
        <v>1</v>
      </c>
      <c r="O121" s="683">
        <f>+'1.Informe Seguimiento POA 2023'!Q69</f>
        <v>1</v>
      </c>
      <c r="P121" s="753">
        <f>IFERROR(AVERAGE(F121,O121),0)</f>
        <v>1</v>
      </c>
      <c r="Q121" s="683">
        <f>'1.Informe Seguimiento POA 2023'!R69</f>
        <v>1</v>
      </c>
      <c r="R121" s="333">
        <f>IFERROR(AVERAGE('1.Informe Seguimiento POA 2023'!P69,'1.Informe Seguimiento POA 2023'!R69),0)</f>
        <v>1</v>
      </c>
      <c r="S121" s="333">
        <f>IFERROR(IF(OR($N121="",$N121=0),0,ROUNDDOWN(AVERAGE($H121,Q121),3)),0)</f>
        <v>1</v>
      </c>
      <c r="T121" s="346">
        <f t="shared" ref="T121:T122" si="205">IF(AND(O121&gt;0),Q121/O121,"No programado")</f>
        <v>1</v>
      </c>
      <c r="U121" s="346">
        <f t="shared" ref="U121:U122" si="206">IF(AND(P121&gt;0),R121/P121,"No programado")</f>
        <v>1</v>
      </c>
      <c r="V121" s="332">
        <f>IF(AND(N121&gt;0,$S121&gt;0),S121/$N121,0)*0.5</f>
        <v>0.5</v>
      </c>
      <c r="W121" s="333">
        <f>N121</f>
        <v>1</v>
      </c>
      <c r="X121" s="361">
        <f>+'1.Informe Seguimiento POA 2023'!S69</f>
        <v>1</v>
      </c>
      <c r="Y121" s="333">
        <f>IFERROR(AVERAGE('1.Informe Seguimiento POA 2023'!O69,'1.Informe Seguimiento POA 2023'!Q69,'1.Informe Seguimiento POA 2023'!S69),0)</f>
        <v>1</v>
      </c>
      <c r="Z121" s="333">
        <f>+'1.Informe Seguimiento POA 2023'!T69</f>
        <v>0</v>
      </c>
      <c r="AA121" s="333">
        <f>IFERROR(AVERAGE('1.Informe Seguimiento POA 2023'!R69,'1.Informe Seguimiento POA 2023'!P69,'1.Informe Seguimiento POA 2023'!T69),0)</f>
        <v>0.66666666666666663</v>
      </c>
      <c r="AB121" s="333">
        <f>IFERROR(IF(OR($W121="",$W121=0),0,ROUNDDOWN(AVERAGE($H121,Q121,Z121),3)),0)</f>
        <v>0.66600000000000004</v>
      </c>
      <c r="AC121" s="346">
        <f t="shared" ref="AC121:AC122" si="207">IF(AND(X121&gt;0),Z121/X121,"No programado")</f>
        <v>0</v>
      </c>
      <c r="AD121" s="346">
        <f t="shared" ref="AD121:AD122" si="208">IF(AND(Y121&gt;0),AA121/Y121,"No programado")</f>
        <v>0.66666666666666663</v>
      </c>
      <c r="AE121" s="332">
        <f>IF(AND(W121&gt;0,$AB121&gt;0),AB121/$W121,0)*0.75</f>
        <v>0.49950000000000006</v>
      </c>
      <c r="AF121" s="333">
        <f>W121</f>
        <v>1</v>
      </c>
      <c r="AG121" s="333">
        <f>+'1.Informe Seguimiento POA 2023'!U69</f>
        <v>1</v>
      </c>
      <c r="AH121" s="333">
        <f>IFERROR(AVERAGE('1.Informe Seguimiento POA 2023'!O69,'1.Informe Seguimiento POA 2023'!Q69,'1.Informe Seguimiento POA 2023'!S69,'1.Informe Seguimiento POA 2023'!U69),0)</f>
        <v>1</v>
      </c>
      <c r="AI121" s="333">
        <f>+'1.Informe Seguimiento POA 2023'!V69</f>
        <v>0</v>
      </c>
      <c r="AJ121" s="333">
        <f>IFERROR(AVERAGE('1.Informe Seguimiento POA 2023'!P69,'1.Informe Seguimiento POA 2023'!R69,'1.Informe Seguimiento POA 2023'!T69,'1.Informe Seguimiento POA 2023'!V69),0)</f>
        <v>0.5</v>
      </c>
      <c r="AK121" s="333">
        <f>IFERROR(IF(OR($W121="",$W121=0),0,ROUNDDOWN(AVERAGE($H121,Q121,Z121,AI121),3)),0)</f>
        <v>0.5</v>
      </c>
      <c r="AL121" s="346">
        <f t="shared" ref="AL121:AL122" si="209">IF(AND(AG121&gt;0),AI121/AG121,"No programado")</f>
        <v>0</v>
      </c>
      <c r="AM121" s="346">
        <f t="shared" ref="AM121:AM122" si="210">IF(AND(AH121&gt;0),AJ121/AH121,"No programado")</f>
        <v>0.5</v>
      </c>
      <c r="AN121" s="332">
        <f>IF(AND(AF121&gt;0,$AK121&gt;0),AK121/$AF121,0)</f>
        <v>0.5</v>
      </c>
      <c r="AO121" s="336" t="str">
        <f>+'Rango indicadores'!H68</f>
        <v>Mayor A:</v>
      </c>
      <c r="AP121" s="331">
        <f>+'Rango indicadores'!I68</f>
        <v>95</v>
      </c>
      <c r="AQ121" s="331" t="str">
        <f>+'Rango indicadores'!J68</f>
        <v>Desde (&gt;=):</v>
      </c>
      <c r="AR121" s="331">
        <f>+'Rango indicadores'!K68</f>
        <v>75</v>
      </c>
      <c r="AS121" s="331" t="str">
        <f>+'Rango indicadores'!L68</f>
        <v>Hasta (&lt;=):</v>
      </c>
      <c r="AT121" s="331">
        <f>+'Rango indicadores'!M68</f>
        <v>95</v>
      </c>
      <c r="AU121" s="331" t="str">
        <f>+'Rango indicadores'!N68</f>
        <v>Menor A:</v>
      </c>
      <c r="AV121" s="331">
        <f>+'Rango indicadores'!O68</f>
        <v>75</v>
      </c>
      <c r="AW121" s="427" t="s">
        <v>1218</v>
      </c>
      <c r="AX121" s="659"/>
      <c r="AY121" s="659"/>
      <c r="AZ121" s="424"/>
      <c r="BA121" s="349"/>
    </row>
    <row r="122" spans="2:53" ht="118.8">
      <c r="B122" s="328">
        <f>+B121+1</f>
        <v>65</v>
      </c>
      <c r="C122" s="329" t="str">
        <f>+'Rango indicadores'!D66</f>
        <v>09-R1-02</v>
      </c>
      <c r="D122" s="329" t="str">
        <f>+'Rango indicadores'!E66</f>
        <v>Porcentaje de actividades del PESV ejecutadas</v>
      </c>
      <c r="E122" s="333">
        <f>+'Rango indicadores'!Q66</f>
        <v>0.97</v>
      </c>
      <c r="F122" s="361">
        <f>'1.Informe Seguimiento POA 2023'!O70</f>
        <v>0.97000000000000008</v>
      </c>
      <c r="G122" s="361">
        <f>'1.Informe Seguimiento POA 2023'!O70</f>
        <v>0.97000000000000008</v>
      </c>
      <c r="H122" s="683">
        <f>'1.Informe Seguimiento POA 2023'!P70</f>
        <v>1</v>
      </c>
      <c r="I122" s="683">
        <f>'1.Informe Seguimiento POA 2023'!P70</f>
        <v>1</v>
      </c>
      <c r="J122" s="683">
        <f t="shared" si="202"/>
        <v>1</v>
      </c>
      <c r="K122" s="346">
        <f t="shared" ref="K122" si="211">IF(AND(F122&gt;0),H122/F122,"No programado")</f>
        <v>1.0309278350515463</v>
      </c>
      <c r="L122" s="346">
        <f t="shared" ref="L122" si="212">IF(AND(G122&gt;0),I122/G122,"No programado")</f>
        <v>1.0309278350515463</v>
      </c>
      <c r="M122" s="332">
        <f>IF(AND(E122&gt;0,$J122&gt;0),J122/$E122,0)*0.25</f>
        <v>0.25773195876288663</v>
      </c>
      <c r="N122" s="333">
        <f>E122</f>
        <v>0.97</v>
      </c>
      <c r="O122" s="683">
        <f>+'1.Informe Seguimiento POA 2023'!Q70</f>
        <v>0.97000000000000008</v>
      </c>
      <c r="P122" s="753">
        <f>IFERROR(AVERAGE(F122,O122),0)</f>
        <v>0.97000000000000008</v>
      </c>
      <c r="Q122" s="683">
        <f>'1.Informe Seguimiento POA 2023'!R70</f>
        <v>1.0416666666666667</v>
      </c>
      <c r="R122" s="333">
        <f>IFERROR(AVERAGE('1.Informe Seguimiento POA 2023'!P70,'1.Informe Seguimiento POA 2023'!R70),0)</f>
        <v>1.0208333333333335</v>
      </c>
      <c r="S122" s="333">
        <f>IFERROR(IF(OR($N122="",$N122=0),0,ROUNDDOWN(AVERAGE($H122,Q122),3)),0)</f>
        <v>1.02</v>
      </c>
      <c r="T122" s="346">
        <f t="shared" si="205"/>
        <v>1.0738831615120275</v>
      </c>
      <c r="U122" s="346">
        <f t="shared" si="206"/>
        <v>1.052405498281787</v>
      </c>
      <c r="V122" s="332">
        <f>IF(AND(N122&gt;0,$S122&gt;0),S122/$N122,0)*0.5</f>
        <v>0.52577319587628868</v>
      </c>
      <c r="W122" s="333">
        <f>N122</f>
        <v>0.97</v>
      </c>
      <c r="X122" s="361">
        <f>+'1.Informe Seguimiento POA 2023'!S70</f>
        <v>0.97000000000000008</v>
      </c>
      <c r="Y122" s="333">
        <f>IFERROR(AVERAGE('1.Informe Seguimiento POA 2023'!O70,'1.Informe Seguimiento POA 2023'!Q70,'1.Informe Seguimiento POA 2023'!S70),0)</f>
        <v>0.97000000000000008</v>
      </c>
      <c r="Z122" s="333">
        <f>+'1.Informe Seguimiento POA 2023'!T70</f>
        <v>0</v>
      </c>
      <c r="AA122" s="333">
        <f>IFERROR(AVERAGE('1.Informe Seguimiento POA 2023'!R70,'1.Informe Seguimiento POA 2023'!P70,'1.Informe Seguimiento POA 2023'!T70),0)</f>
        <v>0.68055555555555569</v>
      </c>
      <c r="AB122" s="333">
        <f>IFERROR(IF(OR($W122="",$W122=0),0,ROUNDDOWN(AVERAGE($H122,Q122,Z122),3)),0)</f>
        <v>0.68</v>
      </c>
      <c r="AC122" s="346">
        <f t="shared" si="207"/>
        <v>0</v>
      </c>
      <c r="AD122" s="346">
        <f t="shared" si="208"/>
        <v>0.70160366552119136</v>
      </c>
      <c r="AE122" s="332">
        <f>IF(AND(W122&gt;0,$AB122&gt;0),AB122/$W122,0)*0.75</f>
        <v>0.52577319587628868</v>
      </c>
      <c r="AF122" s="333">
        <f>W122</f>
        <v>0.97</v>
      </c>
      <c r="AG122" s="333">
        <f>+'1.Informe Seguimiento POA 2023'!U70</f>
        <v>0.97000000000000008</v>
      </c>
      <c r="AH122" s="333">
        <f>IFERROR(AVERAGE('1.Informe Seguimiento POA 2023'!O70,'1.Informe Seguimiento POA 2023'!Q70,'1.Informe Seguimiento POA 2023'!S70,'1.Informe Seguimiento POA 2023'!U70),0)</f>
        <v>0.97000000000000008</v>
      </c>
      <c r="AI122" s="333">
        <f>+'1.Informe Seguimiento POA 2023'!V70</f>
        <v>0</v>
      </c>
      <c r="AJ122" s="333">
        <f>IFERROR(AVERAGE('1.Informe Seguimiento POA 2023'!P70,'1.Informe Seguimiento POA 2023'!R70,'1.Informe Seguimiento POA 2023'!T70,'1.Informe Seguimiento POA 2023'!V70),0)</f>
        <v>0.51041666666666674</v>
      </c>
      <c r="AK122" s="333">
        <f>IFERROR(IF(OR($W122="",$W122=0),0,ROUNDDOWN(AVERAGE($H122,Q122,Z122,AI122),3)),0)</f>
        <v>0.51</v>
      </c>
      <c r="AL122" s="346">
        <f t="shared" si="209"/>
        <v>0</v>
      </c>
      <c r="AM122" s="346">
        <f t="shared" si="210"/>
        <v>0.52620274914089349</v>
      </c>
      <c r="AN122" s="332">
        <f>IF(AND(AF122&gt;0,$AK122&gt;0),AK122/$AF122,0)</f>
        <v>0.52577319587628868</v>
      </c>
      <c r="AO122" s="336" t="str">
        <f>+'Rango indicadores'!H69</f>
        <v>Mayor A:</v>
      </c>
      <c r="AP122" s="331">
        <f>+'Rango indicadores'!I69</f>
        <v>95</v>
      </c>
      <c r="AQ122" s="331" t="str">
        <f>+'Rango indicadores'!J69</f>
        <v>Desde (&gt;=):</v>
      </c>
      <c r="AR122" s="331">
        <f>+'Rango indicadores'!K69</f>
        <v>75</v>
      </c>
      <c r="AS122" s="331" t="str">
        <f>+'Rango indicadores'!L69</f>
        <v>Hasta (&lt;=):</v>
      </c>
      <c r="AT122" s="331">
        <f>+'Rango indicadores'!M69</f>
        <v>95</v>
      </c>
      <c r="AU122" s="331" t="str">
        <f>+'Rango indicadores'!N69</f>
        <v>Menor A:</v>
      </c>
      <c r="AV122" s="331">
        <f>+'Rango indicadores'!O69</f>
        <v>75</v>
      </c>
      <c r="AW122" s="427" t="s">
        <v>1219</v>
      </c>
      <c r="AX122" s="659"/>
      <c r="AY122" s="659"/>
      <c r="AZ122" s="424"/>
      <c r="BA122" s="349"/>
    </row>
    <row r="123" spans="2:53" ht="15.6">
      <c r="C123" s="1319" t="s">
        <v>826</v>
      </c>
      <c r="D123" s="1320"/>
      <c r="E123" s="1320"/>
      <c r="F123" s="1320"/>
      <c r="G123" s="1320"/>
      <c r="H123" s="1320"/>
      <c r="I123" s="1320"/>
      <c r="J123" s="1321"/>
      <c r="K123" s="334">
        <f>AVERAGE(K121:K122)</f>
        <v>1.0154639175257731</v>
      </c>
      <c r="L123" s="334">
        <f>AVERAGE(L121:L122)</f>
        <v>1.0154639175257731</v>
      </c>
      <c r="M123" s="334">
        <f>AVERAGE(M121:M122)</f>
        <v>0.25386597938144329</v>
      </c>
      <c r="N123" s="754"/>
      <c r="O123" s="754"/>
      <c r="P123" s="754"/>
      <c r="Q123" s="754"/>
      <c r="R123" s="754"/>
      <c r="S123" s="754"/>
      <c r="T123" s="334">
        <f>AVERAGE(T121:T122)</f>
        <v>1.0369415807560136</v>
      </c>
      <c r="U123" s="334">
        <f>AVERAGE(U121:U122)</f>
        <v>1.0262027491408934</v>
      </c>
      <c r="V123" s="334">
        <f>AVERAGE(V121:V122)</f>
        <v>0.51288659793814428</v>
      </c>
      <c r="W123" s="754"/>
      <c r="X123" s="754"/>
      <c r="Y123" s="754"/>
      <c r="Z123" s="754"/>
      <c r="AA123" s="754"/>
      <c r="AB123" s="754"/>
      <c r="AC123" s="334">
        <f>AVERAGE(AC121:AC122)</f>
        <v>0</v>
      </c>
      <c r="AD123" s="334">
        <f>AVERAGE(AD121:AD122)</f>
        <v>0.68413516609392899</v>
      </c>
      <c r="AE123" s="334">
        <f>AVERAGE(AE121:AE122)</f>
        <v>0.51263659793814442</v>
      </c>
      <c r="AF123" s="754"/>
      <c r="AG123" s="754"/>
      <c r="AH123" s="754"/>
      <c r="AI123" s="754"/>
      <c r="AJ123" s="754"/>
      <c r="AK123" s="755"/>
      <c r="AL123" s="334">
        <f>AVERAGE(AL121:AL122)</f>
        <v>0</v>
      </c>
      <c r="AM123" s="334">
        <f>AVERAGE(AM121:AM122)</f>
        <v>0.51310137457044669</v>
      </c>
      <c r="AN123" s="334">
        <f>AVERAGE(AN121:AN122)</f>
        <v>0.51288659793814428</v>
      </c>
      <c r="AO123" s="341"/>
      <c r="AP123" s="341"/>
      <c r="AQ123" s="341"/>
      <c r="AR123" s="341"/>
      <c r="AS123" s="341"/>
      <c r="AT123" s="341"/>
      <c r="AU123" s="341"/>
      <c r="AV123" s="341"/>
      <c r="AW123" s="428"/>
      <c r="AY123" s="483"/>
    </row>
    <row r="124" spans="2:53" s="324" customFormat="1" ht="27.6" customHeight="1" thickBot="1">
      <c r="D124" s="326"/>
      <c r="AW124" s="326"/>
      <c r="AY124" s="483"/>
      <c r="AZ124" s="310"/>
    </row>
    <row r="125" spans="2:53" s="324" customFormat="1" ht="16.2" thickBot="1">
      <c r="C125" s="327" t="s">
        <v>836</v>
      </c>
      <c r="D125" s="357"/>
      <c r="E125" s="1290" t="s">
        <v>1053</v>
      </c>
      <c r="F125" s="1291"/>
      <c r="G125" s="1291"/>
      <c r="H125" s="1291"/>
      <c r="I125" s="1291"/>
      <c r="J125" s="1291"/>
      <c r="K125" s="1291"/>
      <c r="L125" s="1291"/>
      <c r="M125" s="1292"/>
      <c r="N125" s="1293" t="s">
        <v>1054</v>
      </c>
      <c r="O125" s="1294"/>
      <c r="P125" s="1294"/>
      <c r="Q125" s="1294"/>
      <c r="R125" s="1294"/>
      <c r="S125" s="1294"/>
      <c r="T125" s="1294"/>
      <c r="U125" s="1294"/>
      <c r="V125" s="1295"/>
      <c r="W125" s="1287" t="s">
        <v>1055</v>
      </c>
      <c r="X125" s="1288"/>
      <c r="Y125" s="1288"/>
      <c r="Z125" s="1288"/>
      <c r="AA125" s="1288"/>
      <c r="AB125" s="1288"/>
      <c r="AC125" s="1288"/>
      <c r="AD125" s="1288"/>
      <c r="AE125" s="1289"/>
      <c r="AF125" s="1293" t="s">
        <v>1002</v>
      </c>
      <c r="AG125" s="1294"/>
      <c r="AH125" s="1294"/>
      <c r="AI125" s="1294"/>
      <c r="AJ125" s="1294"/>
      <c r="AK125" s="1294"/>
      <c r="AL125" s="1294"/>
      <c r="AM125" s="1294"/>
      <c r="AN125" s="1295"/>
      <c r="AW125" s="326"/>
      <c r="AY125" s="483"/>
      <c r="AZ125" s="310"/>
    </row>
    <row r="126" spans="2:53" ht="35.25" customHeight="1">
      <c r="C126" s="1303" t="str">
        <f>+$C$11</f>
        <v>Identificación del Indicador</v>
      </c>
      <c r="D126" s="1304" t="s">
        <v>821</v>
      </c>
      <c r="E126" s="1298" t="s">
        <v>822</v>
      </c>
      <c r="F126" s="1299"/>
      <c r="G126" s="1300"/>
      <c r="H126" s="1301" t="s">
        <v>1057</v>
      </c>
      <c r="I126" s="1302" t="str">
        <f>$I$9</f>
        <v>Ejecución 
Corte
31/03/2023</v>
      </c>
      <c r="J126" s="1301" t="s">
        <v>823</v>
      </c>
      <c r="K126" s="1298" t="s">
        <v>817</v>
      </c>
      <c r="L126" s="1299"/>
      <c r="M126" s="1300"/>
      <c r="N126" s="1280" t="s">
        <v>822</v>
      </c>
      <c r="O126" s="1281"/>
      <c r="P126" s="1282"/>
      <c r="Q126" s="1283" t="s">
        <v>1062</v>
      </c>
      <c r="R126" s="1285" t="str">
        <f>$R$9</f>
        <v>Ejecución 
Corte
30/06/2023</v>
      </c>
      <c r="S126" s="1283" t="s">
        <v>823</v>
      </c>
      <c r="T126" s="1283" t="s">
        <v>817</v>
      </c>
      <c r="U126" s="1283"/>
      <c r="V126" s="1283"/>
      <c r="W126" s="1280" t="s">
        <v>822</v>
      </c>
      <c r="X126" s="1281"/>
      <c r="Y126" s="1282"/>
      <c r="Z126" s="1283" t="s">
        <v>1063</v>
      </c>
      <c r="AA126" s="1285" t="s">
        <v>1059</v>
      </c>
      <c r="AB126" s="1283" t="s">
        <v>823</v>
      </c>
      <c r="AC126" s="1283" t="s">
        <v>817</v>
      </c>
      <c r="AD126" s="1283"/>
      <c r="AE126" s="1283"/>
      <c r="AF126" s="1280" t="s">
        <v>822</v>
      </c>
      <c r="AG126" s="1281"/>
      <c r="AH126" s="1282"/>
      <c r="AI126" s="1283" t="s">
        <v>1084</v>
      </c>
      <c r="AJ126" s="1285" t="s">
        <v>1085</v>
      </c>
      <c r="AK126" s="1283" t="s">
        <v>823</v>
      </c>
      <c r="AL126" s="1283" t="s">
        <v>817</v>
      </c>
      <c r="AM126" s="1283"/>
      <c r="AN126" s="1283"/>
      <c r="AO126" s="1296" t="s">
        <v>669</v>
      </c>
      <c r="AP126" s="1296"/>
      <c r="AQ126" s="1296"/>
      <c r="AR126" s="1296"/>
      <c r="AS126" s="1296"/>
      <c r="AT126" s="1296"/>
      <c r="AU126" s="1296"/>
      <c r="AV126" s="1296"/>
      <c r="AW126" s="1284" t="s">
        <v>842</v>
      </c>
      <c r="AY126" s="483"/>
    </row>
    <row r="127" spans="2:53" ht="61.5" customHeight="1">
      <c r="C127" s="1283"/>
      <c r="D127" s="1305"/>
      <c r="E127" s="919" t="str">
        <f>$E$9</f>
        <v>Año 2023</v>
      </c>
      <c r="F127" s="919" t="str">
        <f>+E125</f>
        <v>Primer Trimestre</v>
      </c>
      <c r="G127" s="920" t="str">
        <f>$G$9</f>
        <v>Acumulado
Corte 
31/03/2023</v>
      </c>
      <c r="H127" s="1283"/>
      <c r="I127" s="1285"/>
      <c r="J127" s="1283"/>
      <c r="K127" s="919" t="str">
        <f>+$D$6</f>
        <v>Segundo Trimestre</v>
      </c>
      <c r="L127" s="920" t="str">
        <f>$G$12</f>
        <v>Acumulado
Corte 
31/03/2023</v>
      </c>
      <c r="M127" s="921" t="s">
        <v>714</v>
      </c>
      <c r="N127" s="936" t="str">
        <f>$N$9</f>
        <v>Año 2023</v>
      </c>
      <c r="O127" s="907" t="str">
        <f>+N125</f>
        <v>Segundo Trimestre</v>
      </c>
      <c r="P127" s="951" t="str">
        <f>$P$9</f>
        <v>Acumulado
Corte 
30/06/2023</v>
      </c>
      <c r="Q127" s="1284"/>
      <c r="R127" s="1286"/>
      <c r="S127" s="1284"/>
      <c r="T127" s="950" t="str">
        <f>+O127</f>
        <v>Segundo Trimestre</v>
      </c>
      <c r="U127" s="951" t="str">
        <f>$P$12</f>
        <v>Acumulado
Corte 
30/06/2023</v>
      </c>
      <c r="V127" s="952" t="s">
        <v>714</v>
      </c>
      <c r="W127" s="907" t="s">
        <v>1064</v>
      </c>
      <c r="X127" s="907" t="str">
        <f>+W125</f>
        <v>Tercer Trimestre</v>
      </c>
      <c r="Y127" s="908" t="s">
        <v>1058</v>
      </c>
      <c r="Z127" s="1284"/>
      <c r="AA127" s="1286"/>
      <c r="AB127" s="1284"/>
      <c r="AC127" s="907" t="str">
        <f>+X127</f>
        <v>Tercer Trimestre</v>
      </c>
      <c r="AD127" s="908" t="str">
        <f>+Y127</f>
        <v>Acumulado Corte 
30/09/2022</v>
      </c>
      <c r="AE127" s="909" t="s">
        <v>714</v>
      </c>
      <c r="AF127" s="907" t="s">
        <v>1064</v>
      </c>
      <c r="AG127" s="907" t="s">
        <v>1083</v>
      </c>
      <c r="AH127" s="908" t="s">
        <v>1060</v>
      </c>
      <c r="AI127" s="1284"/>
      <c r="AJ127" s="1286"/>
      <c r="AK127" s="1284"/>
      <c r="AL127" s="907" t="str">
        <f>+AG127</f>
        <v>Cuarto Trimestre
31-12-2022</v>
      </c>
      <c r="AM127" s="908" t="str">
        <f>+AH127</f>
        <v>Acumulado Corte 
31/12/2022</v>
      </c>
      <c r="AN127" s="909" t="s">
        <v>714</v>
      </c>
      <c r="AO127" s="987" t="s">
        <v>824</v>
      </c>
      <c r="AP127" s="988"/>
      <c r="AQ127" s="989" t="s">
        <v>825</v>
      </c>
      <c r="AR127" s="990"/>
      <c r="AS127" s="990"/>
      <c r="AT127" s="991"/>
      <c r="AU127" s="992" t="s">
        <v>677</v>
      </c>
      <c r="AV127" s="993"/>
      <c r="AW127" s="1284"/>
      <c r="AY127" s="483"/>
    </row>
    <row r="128" spans="2:53" ht="110.4" customHeight="1">
      <c r="B128" s="328">
        <f>+B122+1</f>
        <v>66</v>
      </c>
      <c r="C128" s="329" t="str">
        <f>+'Rango indicadores'!D67</f>
        <v>10-R1-01</v>
      </c>
      <c r="D128" s="329" t="str">
        <f>+'Rango indicadores'!E67</f>
        <v>Porcentaje del presupuesto aprobado y ejecutado.</v>
      </c>
      <c r="E128" s="333">
        <f>+'Rango indicadores'!Q67</f>
        <v>0.95</v>
      </c>
      <c r="F128" s="361">
        <f>'1.Informe Seguimiento POA 2023'!O71</f>
        <v>0.27</v>
      </c>
      <c r="G128" s="361">
        <f>'1.Informe Seguimiento POA 2023'!O71</f>
        <v>0.27</v>
      </c>
      <c r="H128" s="422">
        <f>'1.Informe Seguimiento POA 2023'!P71</f>
        <v>0.27100000000000002</v>
      </c>
      <c r="I128" s="683">
        <f>'1.Informe Seguimiento POA 2023'!P71</f>
        <v>0.27100000000000002</v>
      </c>
      <c r="J128" s="683">
        <f t="shared" ref="J128:J130" si="213">I128</f>
        <v>0.27100000000000002</v>
      </c>
      <c r="K128" s="332">
        <f t="shared" ref="K128:K130" si="214">IF(AND(F128&gt;0),H128/F128,"No programado")</f>
        <v>1.0037037037037038</v>
      </c>
      <c r="L128" s="332">
        <f t="shared" ref="L128:L130" si="215">IF(AND(G128&gt;0),I128/G128,"No programado")</f>
        <v>1.0037037037037038</v>
      </c>
      <c r="M128" s="332">
        <f t="shared" ref="M128:M130" si="216">IF(AND(E128&gt;0,$J128&gt;0),J128/$E128,0)</f>
        <v>0.28526315789473689</v>
      </c>
      <c r="N128" s="333">
        <f t="shared" ref="N128" si="217">+E128</f>
        <v>0.95</v>
      </c>
      <c r="O128" s="361">
        <f>+'1.Informe Seguimiento POA 2023'!Q71</f>
        <v>0.24</v>
      </c>
      <c r="P128" s="361">
        <f>+'1.Informe Seguimiento POA 2023'!O71+'1.Informe Seguimiento POA 2023'!Q71</f>
        <v>0.51</v>
      </c>
      <c r="Q128" s="361">
        <f>+'1.Informe Seguimiento POA 2023'!R71</f>
        <v>0.25700000000000001</v>
      </c>
      <c r="R128" s="361">
        <f>+'1.Informe Seguimiento POA 2023'!P71+'1.Informe Seguimiento POA 2023'!R71</f>
        <v>0.52800000000000002</v>
      </c>
      <c r="S128" s="361">
        <f t="shared" ref="S128" si="218">H128+Q128</f>
        <v>0.52800000000000002</v>
      </c>
      <c r="T128" s="332">
        <f t="shared" ref="T128:T130" si="219">IF(AND(O128&gt;0),Q128/O128,"No programado")</f>
        <v>1.0708333333333333</v>
      </c>
      <c r="U128" s="332">
        <f t="shared" ref="U128:U130" si="220">IF(AND(P128&gt;0),R128/P128,"No programado")</f>
        <v>1.0352941176470589</v>
      </c>
      <c r="V128" s="332">
        <f>IF(AND(N128&gt;0,$S128&gt;0),S128/$N128,0)</f>
        <v>0.55578947368421061</v>
      </c>
      <c r="W128" s="333">
        <f t="shared" ref="W128" si="221">+N128</f>
        <v>0.95</v>
      </c>
      <c r="X128" s="361">
        <f>+'1.Informe Seguimiento POA 2023'!S71</f>
        <v>0.18</v>
      </c>
      <c r="Y128" s="361">
        <f>+'1.Informe Seguimiento POA 2023'!O71+'1.Informe Seguimiento POA 2023'!Q71+'1.Informe Seguimiento POA 2023'!S71</f>
        <v>0.69</v>
      </c>
      <c r="Z128" s="361">
        <f>+'1.Informe Seguimiento POA 2023'!T71</f>
        <v>0</v>
      </c>
      <c r="AA128" s="361">
        <f>+'1.Informe Seguimiento POA 2023'!R71+'1.Informe Seguimiento POA 2023'!T71+'1.Informe Seguimiento POA 2023'!P71</f>
        <v>0.52800000000000002</v>
      </c>
      <c r="AB128" s="361">
        <f t="shared" ref="AB128" si="222">H128+Q128+Z128</f>
        <v>0.52800000000000002</v>
      </c>
      <c r="AC128" s="332">
        <f t="shared" ref="AC128:AC130" si="223">IF(AND(X128&gt;0),Z128/X128,"No programado")</f>
        <v>0</v>
      </c>
      <c r="AD128" s="332">
        <f t="shared" ref="AD128:AD130" si="224">IF(AND(Y128&gt;0),AA128/Y128,"No programado")</f>
        <v>0.76521739130434796</v>
      </c>
      <c r="AE128" s="332">
        <f>IF(AND(W128&gt;0,$AB128&gt;0),AB128/$W128,0)</f>
        <v>0.55578947368421061</v>
      </c>
      <c r="AF128" s="333">
        <f>W128</f>
        <v>0.95</v>
      </c>
      <c r="AG128" s="333">
        <f>+'1.Informe Seguimiento POA 2023'!U71</f>
        <v>0.26</v>
      </c>
      <c r="AH128" s="333">
        <f>+'1.Informe Seguimiento POA 2023'!O71+'1.Informe Seguimiento POA 2023'!Q71+'1.Informe Seguimiento POA 2023'!S71+'1.Informe Seguimiento POA 2023'!U71</f>
        <v>0.95</v>
      </c>
      <c r="AI128" s="333">
        <f>+'1.Informe Seguimiento POA 2023'!V71</f>
        <v>0</v>
      </c>
      <c r="AJ128" s="333">
        <f>+'1.Informe Seguimiento POA 2023'!P71+'1.Informe Seguimiento POA 2023'!R71+'1.Informe Seguimiento POA 2023'!T71+'1.Informe Seguimiento POA 2023'!V71</f>
        <v>0.52800000000000002</v>
      </c>
      <c r="AK128" s="422">
        <f t="shared" ref="AK128:AK130" si="225">H128+Q128+Z128+AI128</f>
        <v>0.52800000000000002</v>
      </c>
      <c r="AL128" s="332">
        <f t="shared" ref="AL128:AL130" si="226">IF(AND(AG128&gt;0),AI128/AG128,"No programado")</f>
        <v>0</v>
      </c>
      <c r="AM128" s="332">
        <f t="shared" ref="AM128:AM130" si="227">IF(AND(AH128&gt;0),AJ128/AH128,"No programado")</f>
        <v>0.55578947368421061</v>
      </c>
      <c r="AN128" s="332">
        <f>IF(AND(AF128&gt;0,$AK128&gt;0),AK128/$AF128,0)</f>
        <v>0.55578947368421061</v>
      </c>
      <c r="AO128" s="336" t="str">
        <f>+'Rango indicadores'!H67</f>
        <v>Mayor A:</v>
      </c>
      <c r="AP128" s="331">
        <f>+'Rango indicadores'!I67</f>
        <v>95</v>
      </c>
      <c r="AQ128" s="331" t="str">
        <f>+'Rango indicadores'!J67</f>
        <v>Desde (&gt;=):</v>
      </c>
      <c r="AR128" s="331">
        <f>+'Rango indicadores'!K67</f>
        <v>75</v>
      </c>
      <c r="AS128" s="331" t="str">
        <f>+'Rango indicadores'!L67</f>
        <v>Hasta (&lt;=):</v>
      </c>
      <c r="AT128" s="331">
        <f>+'Rango indicadores'!M67</f>
        <v>95</v>
      </c>
      <c r="AU128" s="331" t="str">
        <f>+'Rango indicadores'!N67</f>
        <v>Menor A:</v>
      </c>
      <c r="AV128" s="331">
        <f>+'Rango indicadores'!O67</f>
        <v>75</v>
      </c>
      <c r="AW128" s="421" t="s">
        <v>1222</v>
      </c>
      <c r="AX128" s="659"/>
      <c r="AY128" s="659"/>
      <c r="AZ128" s="424"/>
      <c r="BA128" s="348"/>
    </row>
    <row r="129" spans="2:53" ht="125.4" customHeight="1">
      <c r="B129" s="328">
        <f>+B128+1</f>
        <v>67</v>
      </c>
      <c r="C129" s="329" t="str">
        <f>+'Rango indicadores'!D68</f>
        <v>10-R1-02</v>
      </c>
      <c r="D129" s="329" t="str">
        <f>+'Rango indicadores'!E68</f>
        <v>Porcentaje de los compromisos de pago programados y ejecutados.</v>
      </c>
      <c r="E129" s="333">
        <f>+'Rango indicadores'!Q68</f>
        <v>0.95</v>
      </c>
      <c r="F129" s="361">
        <f>'1.Informe Seguimiento POA 2023'!O72</f>
        <v>0.18</v>
      </c>
      <c r="G129" s="361">
        <f>'1.Informe Seguimiento POA 2023'!O72</f>
        <v>0.18</v>
      </c>
      <c r="H129" s="683">
        <f>'1.Informe Seguimiento POA 2023'!P72</f>
        <v>0.10693</v>
      </c>
      <c r="I129" s="683">
        <f>'1.Informe Seguimiento POA 2023'!P72</f>
        <v>0.10693</v>
      </c>
      <c r="J129" s="683">
        <f t="shared" si="213"/>
        <v>0.10693</v>
      </c>
      <c r="K129" s="346">
        <f t="shared" si="214"/>
        <v>0.59405555555555556</v>
      </c>
      <c r="L129" s="346">
        <f t="shared" si="215"/>
        <v>0.59405555555555556</v>
      </c>
      <c r="M129" s="332">
        <f t="shared" si="216"/>
        <v>0.11255789473684211</v>
      </c>
      <c r="N129" s="333">
        <f t="shared" ref="N129:N130" si="228">+E129</f>
        <v>0.95</v>
      </c>
      <c r="O129" s="361">
        <f>+'1.Informe Seguimiento POA 2023'!Q72</f>
        <v>0.24</v>
      </c>
      <c r="P129" s="361">
        <f>+'1.Informe Seguimiento POA 2023'!O72+'1.Informe Seguimiento POA 2023'!Q72</f>
        <v>0.42</v>
      </c>
      <c r="Q129" s="683">
        <f>+'1.Informe Seguimiento POA 2023'!R72</f>
        <v>0.24686000000000002</v>
      </c>
      <c r="R129" s="683">
        <f>+'1.Informe Seguimiento POA 2023'!P72+'1.Informe Seguimiento POA 2023'!R72</f>
        <v>0.35379000000000005</v>
      </c>
      <c r="S129" s="683">
        <f t="shared" ref="S129:S130" si="229">H129+Q129</f>
        <v>0.35379000000000005</v>
      </c>
      <c r="T129" s="346">
        <f t="shared" si="219"/>
        <v>1.0285833333333334</v>
      </c>
      <c r="U129" s="346">
        <f t="shared" si="220"/>
        <v>0.84235714285714303</v>
      </c>
      <c r="V129" s="332">
        <f>IF(AND(N129&gt;0,$S129&gt;0),S129/$N129,0)</f>
        <v>0.37241052631578953</v>
      </c>
      <c r="W129" s="333">
        <f t="shared" ref="W129:W130" si="230">+N129</f>
        <v>0.95</v>
      </c>
      <c r="X129" s="361">
        <f>+'1.Informe Seguimiento POA 2023'!S72</f>
        <v>0.23</v>
      </c>
      <c r="Y129" s="361">
        <f>+'1.Informe Seguimiento POA 2023'!O72+'1.Informe Seguimiento POA 2023'!Q72+'1.Informe Seguimiento POA 2023'!S72</f>
        <v>0.65</v>
      </c>
      <c r="Z129" s="361">
        <f>+'1.Informe Seguimiento POA 2023'!T72</f>
        <v>0</v>
      </c>
      <c r="AA129" s="361">
        <f>+'1.Informe Seguimiento POA 2023'!R72+'1.Informe Seguimiento POA 2023'!T72+'1.Informe Seguimiento POA 2023'!P72</f>
        <v>0.35379000000000005</v>
      </c>
      <c r="AB129" s="361">
        <f t="shared" ref="AB129:AB130" si="231">H129+Q129+Z129</f>
        <v>0.35379000000000005</v>
      </c>
      <c r="AC129" s="346">
        <f t="shared" si="223"/>
        <v>0</v>
      </c>
      <c r="AD129" s="346">
        <f t="shared" si="224"/>
        <v>0.54429230769230774</v>
      </c>
      <c r="AE129" s="332">
        <f>IF(AND(W129&gt;0,$AB129&gt;0),AB129/$W129,0)</f>
        <v>0.37241052631578953</v>
      </c>
      <c r="AF129" s="333">
        <f t="shared" ref="AF129:AF130" si="232">W129</f>
        <v>0.95</v>
      </c>
      <c r="AG129" s="333">
        <f>+'1.Informe Seguimiento POA 2023'!U72</f>
        <v>0.3</v>
      </c>
      <c r="AH129" s="333">
        <f>+'1.Informe Seguimiento POA 2023'!O72+'1.Informe Seguimiento POA 2023'!Q72+'1.Informe Seguimiento POA 2023'!S72+'1.Informe Seguimiento POA 2023'!U72</f>
        <v>0.95</v>
      </c>
      <c r="AI129" s="333">
        <f>+'1.Informe Seguimiento POA 2023'!V72</f>
        <v>0</v>
      </c>
      <c r="AJ129" s="333">
        <f>+'1.Informe Seguimiento POA 2023'!P72+'1.Informe Seguimiento POA 2023'!R72+'1.Informe Seguimiento POA 2023'!T72+'1.Informe Seguimiento POA 2023'!V72</f>
        <v>0.35379000000000005</v>
      </c>
      <c r="AK129" s="422">
        <f t="shared" si="225"/>
        <v>0.35379000000000005</v>
      </c>
      <c r="AL129" s="346">
        <f t="shared" si="226"/>
        <v>0</v>
      </c>
      <c r="AM129" s="346">
        <f t="shared" si="227"/>
        <v>0.37241052631578953</v>
      </c>
      <c r="AN129" s="332">
        <f>IF(AND(AF129&gt;0,$AK129&gt;0),AK129/$AF129,0)</f>
        <v>0.37241052631578953</v>
      </c>
      <c r="AO129" s="336" t="str">
        <f>+'Rango indicadores'!H68</f>
        <v>Mayor A:</v>
      </c>
      <c r="AP129" s="331">
        <f>+'Rango indicadores'!I68</f>
        <v>95</v>
      </c>
      <c r="AQ129" s="331" t="str">
        <f>+'Rango indicadores'!J68</f>
        <v>Desde (&gt;=):</v>
      </c>
      <c r="AR129" s="331">
        <f>+'Rango indicadores'!K68</f>
        <v>75</v>
      </c>
      <c r="AS129" s="331" t="str">
        <f>+'Rango indicadores'!L68</f>
        <v>Hasta (&lt;=):</v>
      </c>
      <c r="AT129" s="331">
        <f>+'Rango indicadores'!M68</f>
        <v>95</v>
      </c>
      <c r="AU129" s="331" t="str">
        <f>+'Rango indicadores'!N68</f>
        <v>Menor A:</v>
      </c>
      <c r="AV129" s="331">
        <f>+'Rango indicadores'!O68</f>
        <v>75</v>
      </c>
      <c r="AW129" s="421" t="s">
        <v>1221</v>
      </c>
      <c r="AX129" s="659"/>
      <c r="AY129" s="659"/>
      <c r="AZ129" s="424"/>
      <c r="BA129" s="348"/>
    </row>
    <row r="130" spans="2:53" ht="66">
      <c r="B130" s="328">
        <f>+B129+1</f>
        <v>68</v>
      </c>
      <c r="C130" s="329" t="str">
        <f>+'Rango indicadores'!D69</f>
        <v>10-R1-03</v>
      </c>
      <c r="D130" s="329" t="str">
        <f>+'Rango indicadores'!E69</f>
        <v>Porcentaje de estados financieros de la Entidad elaborados y presentados.</v>
      </c>
      <c r="E130" s="333">
        <f>+'Rango indicadores'!Q69</f>
        <v>1</v>
      </c>
      <c r="F130" s="361">
        <f>'1.Informe Seguimiento POA 2023'!O73</f>
        <v>0.25</v>
      </c>
      <c r="G130" s="361">
        <f>'1.Informe Seguimiento POA 2023'!O73</f>
        <v>0.25</v>
      </c>
      <c r="H130" s="683">
        <f>'1.Informe Seguimiento POA 2023'!P73</f>
        <v>0.25</v>
      </c>
      <c r="I130" s="683">
        <f>'1.Informe Seguimiento POA 2023'!P73</f>
        <v>0.25</v>
      </c>
      <c r="J130" s="683">
        <f t="shared" si="213"/>
        <v>0.25</v>
      </c>
      <c r="K130" s="346">
        <f t="shared" si="214"/>
        <v>1</v>
      </c>
      <c r="L130" s="346">
        <f t="shared" si="215"/>
        <v>1</v>
      </c>
      <c r="M130" s="332">
        <f t="shared" si="216"/>
        <v>0.25</v>
      </c>
      <c r="N130" s="333">
        <f t="shared" si="228"/>
        <v>1</v>
      </c>
      <c r="O130" s="361">
        <f>+'1.Informe Seguimiento POA 2023'!Q73</f>
        <v>0.25</v>
      </c>
      <c r="P130" s="361">
        <f>+'1.Informe Seguimiento POA 2023'!O73+'1.Informe Seguimiento POA 2023'!Q73</f>
        <v>0.5</v>
      </c>
      <c r="Q130" s="361">
        <f>+'1.Informe Seguimiento POA 2023'!R73</f>
        <v>0.25</v>
      </c>
      <c r="R130" s="361">
        <f>+'1.Informe Seguimiento POA 2023'!P73+'1.Informe Seguimiento POA 2023'!R73</f>
        <v>0.5</v>
      </c>
      <c r="S130" s="361">
        <f t="shared" si="229"/>
        <v>0.5</v>
      </c>
      <c r="T130" s="346">
        <f t="shared" si="219"/>
        <v>1</v>
      </c>
      <c r="U130" s="346">
        <f t="shared" si="220"/>
        <v>1</v>
      </c>
      <c r="V130" s="332">
        <f>IF(AND(N130&gt;0,$S130&gt;0),S130/$N130,0)</f>
        <v>0.5</v>
      </c>
      <c r="W130" s="333">
        <f t="shared" si="230"/>
        <v>1</v>
      </c>
      <c r="X130" s="361">
        <f>+'1.Informe Seguimiento POA 2023'!S73</f>
        <v>0.25</v>
      </c>
      <c r="Y130" s="361">
        <f>+'1.Informe Seguimiento POA 2023'!O73+'1.Informe Seguimiento POA 2023'!Q73+'1.Informe Seguimiento POA 2023'!S73</f>
        <v>0.75</v>
      </c>
      <c r="Z130" s="361">
        <f>+'1.Informe Seguimiento POA 2023'!T73</f>
        <v>0</v>
      </c>
      <c r="AA130" s="361">
        <f>+'1.Informe Seguimiento POA 2023'!R73+'1.Informe Seguimiento POA 2023'!T73+'1.Informe Seguimiento POA 2023'!P73</f>
        <v>0.5</v>
      </c>
      <c r="AB130" s="361">
        <f t="shared" si="231"/>
        <v>0.5</v>
      </c>
      <c r="AC130" s="346">
        <f t="shared" si="223"/>
        <v>0</v>
      </c>
      <c r="AD130" s="346">
        <f t="shared" si="224"/>
        <v>0.66666666666666663</v>
      </c>
      <c r="AE130" s="332">
        <f>IF(AND(W130&gt;0,$AB130&gt;0),AB130/$W130,0)</f>
        <v>0.5</v>
      </c>
      <c r="AF130" s="333">
        <f t="shared" si="232"/>
        <v>1</v>
      </c>
      <c r="AG130" s="333">
        <f>+'1.Informe Seguimiento POA 2023'!U73</f>
        <v>0.25</v>
      </c>
      <c r="AH130" s="333">
        <f>+'1.Informe Seguimiento POA 2023'!O73+'1.Informe Seguimiento POA 2023'!Q73+'1.Informe Seguimiento POA 2023'!S73+'1.Informe Seguimiento POA 2023'!U73</f>
        <v>1</v>
      </c>
      <c r="AI130" s="333">
        <f>+'1.Informe Seguimiento POA 2023'!V73</f>
        <v>0</v>
      </c>
      <c r="AJ130" s="333">
        <f>+'1.Informe Seguimiento POA 2023'!P73+'1.Informe Seguimiento POA 2023'!R73+'1.Informe Seguimiento POA 2023'!T73+'1.Informe Seguimiento POA 2023'!V73</f>
        <v>0.5</v>
      </c>
      <c r="AK130" s="422">
        <f t="shared" si="225"/>
        <v>0.5</v>
      </c>
      <c r="AL130" s="346">
        <f t="shared" si="226"/>
        <v>0</v>
      </c>
      <c r="AM130" s="346">
        <f t="shared" si="227"/>
        <v>0.5</v>
      </c>
      <c r="AN130" s="332">
        <f>IF(AND(AF130&gt;0,$AK130&gt;0),AK130/$AF130,0)</f>
        <v>0.5</v>
      </c>
      <c r="AO130" s="336" t="str">
        <f>+'Rango indicadores'!H69</f>
        <v>Mayor A:</v>
      </c>
      <c r="AP130" s="331">
        <f>+'Rango indicadores'!I69</f>
        <v>95</v>
      </c>
      <c r="AQ130" s="331" t="str">
        <f>+'Rango indicadores'!J69</f>
        <v>Desde (&gt;=):</v>
      </c>
      <c r="AR130" s="331">
        <f>+'Rango indicadores'!K69</f>
        <v>75</v>
      </c>
      <c r="AS130" s="331" t="str">
        <f>+'Rango indicadores'!L69</f>
        <v>Hasta (&lt;=):</v>
      </c>
      <c r="AT130" s="331">
        <f>+'Rango indicadores'!M69</f>
        <v>95</v>
      </c>
      <c r="AU130" s="331" t="str">
        <f>+'Rango indicadores'!N69</f>
        <v>Menor A:</v>
      </c>
      <c r="AV130" s="331">
        <f>+'Rango indicadores'!O69</f>
        <v>75</v>
      </c>
      <c r="AW130" s="421" t="s">
        <v>1220</v>
      </c>
      <c r="AX130" s="659"/>
      <c r="AY130" s="659"/>
      <c r="AZ130" s="424"/>
      <c r="BA130" s="348"/>
    </row>
    <row r="131" spans="2:53" ht="15.6">
      <c r="C131" s="1319" t="s">
        <v>826</v>
      </c>
      <c r="D131" s="1320"/>
      <c r="E131" s="1320"/>
      <c r="F131" s="1320"/>
      <c r="G131" s="1320"/>
      <c r="H131" s="1320"/>
      <c r="I131" s="1320"/>
      <c r="J131" s="1320"/>
      <c r="K131" s="351">
        <f>IFERROR(AVERAGE(K128:K130),0)</f>
        <v>0.86591975308641977</v>
      </c>
      <c r="L131" s="351">
        <f>IFERROR(AVERAGE(L128:L130),0)</f>
        <v>0.86591975308641977</v>
      </c>
      <c r="M131" s="351">
        <f>IFERROR(AVERAGE(M128:M130),0)</f>
        <v>0.21594035087719299</v>
      </c>
      <c r="N131" s="754"/>
      <c r="O131" s="754"/>
      <c r="P131" s="754"/>
      <c r="Q131" s="754"/>
      <c r="R131" s="754"/>
      <c r="S131" s="754"/>
      <c r="T131" s="351">
        <f>IFERROR(AVERAGE(T128:T130),0)</f>
        <v>1.0331388888888888</v>
      </c>
      <c r="U131" s="351">
        <f>IFERROR(AVERAGE(U128:U130),0)</f>
        <v>0.95921708683473395</v>
      </c>
      <c r="V131" s="351">
        <f>IFERROR(AVERAGE(V128:V130),0)</f>
        <v>0.47606666666666669</v>
      </c>
      <c r="W131" s="754"/>
      <c r="X131" s="754"/>
      <c r="Y131" s="754"/>
      <c r="Z131" s="754"/>
      <c r="AA131" s="754"/>
      <c r="AB131" s="754"/>
      <c r="AC131" s="351">
        <f>IFERROR(AVERAGE(AC128:AC130),0)</f>
        <v>0</v>
      </c>
      <c r="AD131" s="351">
        <f>IFERROR(AVERAGE(AD128:AD130),0)</f>
        <v>0.65872545522110748</v>
      </c>
      <c r="AE131" s="351">
        <f>IFERROR(AVERAGE(AE128:AE130),0)</f>
        <v>0.47606666666666669</v>
      </c>
      <c r="AF131" s="754"/>
      <c r="AG131" s="754"/>
      <c r="AH131" s="754"/>
      <c r="AI131" s="754"/>
      <c r="AJ131" s="754"/>
      <c r="AK131" s="755"/>
      <c r="AL131" s="351">
        <f>IFERROR(AVERAGE(AL128:AL130),0)</f>
        <v>0</v>
      </c>
      <c r="AM131" s="351">
        <f>IFERROR(AVERAGE(AM128:AM130),0)</f>
        <v>0.47606666666666669</v>
      </c>
      <c r="AN131" s="351">
        <f>IFERROR(AVERAGE(AN128:AN130),0)</f>
        <v>0.47606666666666669</v>
      </c>
      <c r="AO131" s="341"/>
      <c r="AP131" s="341"/>
      <c r="AQ131" s="341"/>
      <c r="AR131" s="341"/>
      <c r="AS131" s="341"/>
      <c r="AT131" s="341"/>
      <c r="AU131" s="341"/>
      <c r="AV131" s="341"/>
      <c r="AW131" s="428"/>
      <c r="AY131" s="483"/>
    </row>
    <row r="132" spans="2:53" s="324" customFormat="1" ht="26.4" customHeight="1" thickBot="1">
      <c r="D132" s="326"/>
      <c r="AW132" s="326"/>
      <c r="AY132" s="483"/>
      <c r="AZ132" s="310"/>
    </row>
    <row r="133" spans="2:53" s="324" customFormat="1" ht="16.2" thickBot="1">
      <c r="C133" s="327" t="s">
        <v>837</v>
      </c>
      <c r="D133" s="357"/>
      <c r="E133" s="1290" t="s">
        <v>1053</v>
      </c>
      <c r="F133" s="1291"/>
      <c r="G133" s="1291"/>
      <c r="H133" s="1291"/>
      <c r="I133" s="1291"/>
      <c r="J133" s="1291"/>
      <c r="K133" s="1291"/>
      <c r="L133" s="1291"/>
      <c r="M133" s="1292"/>
      <c r="N133" s="1293" t="s">
        <v>1054</v>
      </c>
      <c r="O133" s="1294"/>
      <c r="P133" s="1294"/>
      <c r="Q133" s="1294"/>
      <c r="R133" s="1294"/>
      <c r="S133" s="1294"/>
      <c r="T133" s="1294"/>
      <c r="U133" s="1294"/>
      <c r="V133" s="1295"/>
      <c r="W133" s="1287" t="s">
        <v>1055</v>
      </c>
      <c r="X133" s="1288"/>
      <c r="Y133" s="1288"/>
      <c r="Z133" s="1288"/>
      <c r="AA133" s="1288"/>
      <c r="AB133" s="1288"/>
      <c r="AC133" s="1288"/>
      <c r="AD133" s="1288"/>
      <c r="AE133" s="1289"/>
      <c r="AF133" s="1293" t="s">
        <v>1002</v>
      </c>
      <c r="AG133" s="1294"/>
      <c r="AH133" s="1294"/>
      <c r="AI133" s="1294"/>
      <c r="AJ133" s="1294"/>
      <c r="AK133" s="1294"/>
      <c r="AL133" s="1294"/>
      <c r="AM133" s="1294"/>
      <c r="AN133" s="1295"/>
      <c r="AW133" s="326"/>
      <c r="AY133" s="483"/>
      <c r="AZ133" s="310"/>
    </row>
    <row r="134" spans="2:53" ht="36.75" customHeight="1">
      <c r="C134" s="1284" t="str">
        <f>+$C$11</f>
        <v>Identificación del Indicador</v>
      </c>
      <c r="D134" s="1297" t="s">
        <v>821</v>
      </c>
      <c r="E134" s="1280" t="s">
        <v>822</v>
      </c>
      <c r="F134" s="1281"/>
      <c r="G134" s="1282"/>
      <c r="H134" s="1283" t="s">
        <v>1057</v>
      </c>
      <c r="I134" s="1285" t="str">
        <f>$I$9</f>
        <v>Ejecución 
Corte
31/03/2023</v>
      </c>
      <c r="J134" s="1283" t="s">
        <v>823</v>
      </c>
      <c r="K134" s="1283" t="s">
        <v>817</v>
      </c>
      <c r="L134" s="1283"/>
      <c r="M134" s="1283"/>
      <c r="N134" s="1280" t="s">
        <v>822</v>
      </c>
      <c r="O134" s="1281"/>
      <c r="P134" s="1282"/>
      <c r="Q134" s="1283" t="s">
        <v>1062</v>
      </c>
      <c r="R134" s="1285" t="str">
        <f>$R$9</f>
        <v>Ejecución 
Corte
30/06/2023</v>
      </c>
      <c r="S134" s="1283" t="s">
        <v>823</v>
      </c>
      <c r="T134" s="1283" t="s">
        <v>817</v>
      </c>
      <c r="U134" s="1283"/>
      <c r="V134" s="1283"/>
      <c r="W134" s="1280" t="s">
        <v>822</v>
      </c>
      <c r="X134" s="1281"/>
      <c r="Y134" s="1282"/>
      <c r="Z134" s="1283" t="s">
        <v>1063</v>
      </c>
      <c r="AA134" s="1285" t="s">
        <v>1059</v>
      </c>
      <c r="AB134" s="1283" t="s">
        <v>823</v>
      </c>
      <c r="AC134" s="1283" t="s">
        <v>817</v>
      </c>
      <c r="AD134" s="1283"/>
      <c r="AE134" s="1283"/>
      <c r="AF134" s="1280" t="s">
        <v>822</v>
      </c>
      <c r="AG134" s="1281"/>
      <c r="AH134" s="1282"/>
      <c r="AI134" s="1283" t="s">
        <v>1084</v>
      </c>
      <c r="AJ134" s="1285" t="s">
        <v>1085</v>
      </c>
      <c r="AK134" s="1283" t="s">
        <v>823</v>
      </c>
      <c r="AL134" s="1283" t="s">
        <v>817</v>
      </c>
      <c r="AM134" s="1283"/>
      <c r="AN134" s="1283"/>
      <c r="AO134" s="1296" t="s">
        <v>669</v>
      </c>
      <c r="AP134" s="1296"/>
      <c r="AQ134" s="1296"/>
      <c r="AR134" s="1296"/>
      <c r="AS134" s="1296"/>
      <c r="AT134" s="1296"/>
      <c r="AU134" s="1296"/>
      <c r="AV134" s="1296"/>
      <c r="AW134" s="1284" t="s">
        <v>842</v>
      </c>
      <c r="AY134" s="483"/>
    </row>
    <row r="135" spans="2:53" ht="60.75" customHeight="1">
      <c r="C135" s="1284"/>
      <c r="D135" s="1297"/>
      <c r="E135" s="907" t="str">
        <f>$E$9</f>
        <v>Año 2023</v>
      </c>
      <c r="F135" s="907" t="str">
        <f>+E133</f>
        <v>Primer Trimestre</v>
      </c>
      <c r="G135" s="908" t="str">
        <f>$G$9</f>
        <v>Acumulado
Corte 
31/03/2023</v>
      </c>
      <c r="H135" s="1284"/>
      <c r="I135" s="1286"/>
      <c r="J135" s="1284"/>
      <c r="K135" s="907" t="str">
        <f>+$D$6</f>
        <v>Segundo Trimestre</v>
      </c>
      <c r="L135" s="908" t="str">
        <f>$G$12</f>
        <v>Acumulado
Corte 
31/03/2023</v>
      </c>
      <c r="M135" s="909" t="s">
        <v>714</v>
      </c>
      <c r="N135" s="936" t="str">
        <f>$N$9</f>
        <v>Año 2023</v>
      </c>
      <c r="O135" s="907" t="str">
        <f>+N133</f>
        <v>Segundo Trimestre</v>
      </c>
      <c r="P135" s="951" t="str">
        <f>$P$9</f>
        <v>Acumulado
Corte 
30/06/2023</v>
      </c>
      <c r="Q135" s="1284"/>
      <c r="R135" s="1286"/>
      <c r="S135" s="1284"/>
      <c r="T135" s="950" t="str">
        <f>+O135</f>
        <v>Segundo Trimestre</v>
      </c>
      <c r="U135" s="951" t="str">
        <f>$P$12</f>
        <v>Acumulado
Corte 
30/06/2023</v>
      </c>
      <c r="V135" s="952" t="s">
        <v>714</v>
      </c>
      <c r="W135" s="907" t="s">
        <v>1064</v>
      </c>
      <c r="X135" s="907" t="str">
        <f>+W133</f>
        <v>Tercer Trimestre</v>
      </c>
      <c r="Y135" s="908" t="s">
        <v>1058</v>
      </c>
      <c r="Z135" s="1284"/>
      <c r="AA135" s="1286"/>
      <c r="AB135" s="1284"/>
      <c r="AC135" s="907" t="str">
        <f>+X135</f>
        <v>Tercer Trimestre</v>
      </c>
      <c r="AD135" s="908" t="str">
        <f>+Y135</f>
        <v>Acumulado Corte 
30/09/2022</v>
      </c>
      <c r="AE135" s="909" t="s">
        <v>714</v>
      </c>
      <c r="AF135" s="907" t="s">
        <v>1064</v>
      </c>
      <c r="AG135" s="907" t="s">
        <v>1083</v>
      </c>
      <c r="AH135" s="908" t="s">
        <v>1060</v>
      </c>
      <c r="AI135" s="1284"/>
      <c r="AJ135" s="1286"/>
      <c r="AK135" s="1284"/>
      <c r="AL135" s="907" t="str">
        <f>+AG135</f>
        <v>Cuarto Trimestre
31-12-2022</v>
      </c>
      <c r="AM135" s="908" t="str">
        <f>+AH135</f>
        <v>Acumulado Corte 
31/12/2022</v>
      </c>
      <c r="AN135" s="909" t="s">
        <v>714</v>
      </c>
      <c r="AO135" s="987" t="s">
        <v>824</v>
      </c>
      <c r="AP135" s="988"/>
      <c r="AQ135" s="989" t="s">
        <v>825</v>
      </c>
      <c r="AR135" s="990"/>
      <c r="AS135" s="990"/>
      <c r="AT135" s="991"/>
      <c r="AU135" s="992" t="s">
        <v>677</v>
      </c>
      <c r="AV135" s="993"/>
      <c r="AW135" s="1284"/>
      <c r="AY135" s="483"/>
    </row>
    <row r="136" spans="2:53" ht="112.2" customHeight="1">
      <c r="B136" s="328">
        <f>+B130+1</f>
        <v>69</v>
      </c>
      <c r="C136" s="352" t="str">
        <f>+'Rango indicadores'!D70</f>
        <v>11-RI-01</v>
      </c>
      <c r="D136" s="352" t="str">
        <f>+'Rango indicadores'!E70</f>
        <v xml:space="preserve">Porcentaje del Plan Anual de Adquisiciones ejecutado </v>
      </c>
      <c r="E136" s="319">
        <f>+'Rango indicadores'!Q70</f>
        <v>0.95</v>
      </c>
      <c r="F136" s="361">
        <f>'1.Informe Seguimiento POA 2023'!O74</f>
        <v>0.31</v>
      </c>
      <c r="G136" s="361">
        <f>'1.Informe Seguimiento POA 2023'!O74</f>
        <v>0.31</v>
      </c>
      <c r="H136" s="683">
        <f>'1.Informe Seguimiento POA 2023'!P74</f>
        <v>0.31</v>
      </c>
      <c r="I136" s="683">
        <f>'1.Informe Seguimiento POA 2023'!P74</f>
        <v>0.31</v>
      </c>
      <c r="J136" s="683">
        <f t="shared" ref="J136:J139" si="233">I136</f>
        <v>0.31</v>
      </c>
      <c r="K136" s="346">
        <f t="shared" ref="K136:K139" si="234">IF(AND(F136&gt;0),H136/F136,"No programado")</f>
        <v>1</v>
      </c>
      <c r="L136" s="346">
        <f t="shared" ref="L136:L139" si="235">IF(AND(G136&gt;0),I136/G136,"No programado")</f>
        <v>1</v>
      </c>
      <c r="M136" s="332">
        <f t="shared" ref="M136" si="236">IF(AND(E136&gt;0,$J136&gt;0),J136/$E136,0)</f>
        <v>0.32631578947368423</v>
      </c>
      <c r="N136" s="319">
        <f>+E136</f>
        <v>0.95</v>
      </c>
      <c r="O136" s="361">
        <f>+'1.Informe Seguimiento POA 2023'!Q74</f>
        <v>0.22000000000000003</v>
      </c>
      <c r="P136" s="361">
        <f>+'1.Informe Seguimiento POA 2023'!O74+'1.Informe Seguimiento POA 2023'!Q74</f>
        <v>0.53</v>
      </c>
      <c r="Q136" s="361">
        <f>+'1.Informe Seguimiento POA 2023'!R74</f>
        <v>0.28000000000000003</v>
      </c>
      <c r="R136" s="361">
        <f>+'1.Informe Seguimiento POA 2023'!P74+'1.Informe Seguimiento POA 2023'!R74</f>
        <v>0.59000000000000008</v>
      </c>
      <c r="S136" s="361">
        <f t="shared" ref="S136" si="237">H136+Q136</f>
        <v>0.59000000000000008</v>
      </c>
      <c r="T136" s="346">
        <f t="shared" ref="T136:T139" si="238">IF(AND(O136&gt;0),Q136/O136,"No programado")</f>
        <v>1.2727272727272727</v>
      </c>
      <c r="U136" s="346">
        <f t="shared" ref="U136:U139" si="239">IF(AND(P136&gt;0),R136/P136,"No programado")</f>
        <v>1.1132075471698115</v>
      </c>
      <c r="V136" s="332">
        <f>IF(AND(N136&gt;0,$S136&gt;0),S136/$N136,0)</f>
        <v>0.62105263157894752</v>
      </c>
      <c r="W136" s="319">
        <f>+N136</f>
        <v>0.95</v>
      </c>
      <c r="X136" s="361">
        <f>+'1.Informe Seguimiento POA 2023'!S74</f>
        <v>0.21999999999999997</v>
      </c>
      <c r="Y136" s="361">
        <f>+'1.Informe Seguimiento POA 2023'!O74+'1.Informe Seguimiento POA 2023'!Q74+'1.Informe Seguimiento POA 2023'!S74</f>
        <v>0.75</v>
      </c>
      <c r="Z136" s="361">
        <f>+'1.Informe Seguimiento POA 2023'!T74</f>
        <v>0</v>
      </c>
      <c r="AA136" s="361">
        <f>+'1.Informe Seguimiento POA 2023'!R74+'1.Informe Seguimiento POA 2023'!T74+'1.Informe Seguimiento POA 2023'!P74</f>
        <v>0.59000000000000008</v>
      </c>
      <c r="AB136" s="361">
        <f t="shared" ref="AB136" si="240">H136+Q136+Z136</f>
        <v>0.59000000000000008</v>
      </c>
      <c r="AC136" s="346">
        <f t="shared" ref="AC136:AC139" si="241">IF(AND(X136&gt;0),Z136/X136,"No programado")</f>
        <v>0</v>
      </c>
      <c r="AD136" s="346">
        <f t="shared" ref="AD136:AD139" si="242">IF(AND(Y136&gt;0),AA136/Y136,"No programado")</f>
        <v>0.78666666666666674</v>
      </c>
      <c r="AE136" s="332">
        <f>IF(AND(W136&gt;0,$AB136&gt;0),AB136/$W136,0)</f>
        <v>0.62105263157894752</v>
      </c>
      <c r="AF136" s="319">
        <f>+W136</f>
        <v>0.95</v>
      </c>
      <c r="AG136" s="319">
        <f>+'1.Informe Seguimiento POA 2023'!U74</f>
        <v>0.2</v>
      </c>
      <c r="AH136" s="333">
        <f>+'1.Informe Seguimiento POA 2023'!O74+'1.Informe Seguimiento POA 2023'!Q74+'1.Informe Seguimiento POA 2023'!S74+'1.Informe Seguimiento POA 2023'!U74</f>
        <v>0.95</v>
      </c>
      <c r="AI136" s="319">
        <f>+'1.Informe Seguimiento POA 2023'!V74</f>
        <v>0</v>
      </c>
      <c r="AJ136" s="319">
        <f>+'1.Informe Seguimiento POA 2023'!P74+'1.Informe Seguimiento POA 2023'!R74+'1.Informe Seguimiento POA 2023'!T74+'1.Informe Seguimiento POA 2023'!V74</f>
        <v>0.59000000000000008</v>
      </c>
      <c r="AK136" s="367">
        <f t="shared" ref="AK136" si="243">H136+Q136+Z136+AI136</f>
        <v>0.59000000000000008</v>
      </c>
      <c r="AL136" s="346">
        <f t="shared" ref="AL136:AL139" si="244">IF(AND(AG136&gt;0),AI136/AG136,"No programado")</f>
        <v>0</v>
      </c>
      <c r="AM136" s="346">
        <f t="shared" ref="AM136:AM139" si="245">IF(AND(AH136&gt;0),AJ136/AH136,"No programado")</f>
        <v>0.62105263157894752</v>
      </c>
      <c r="AN136" s="332">
        <f>IF(AND(AF136&gt;0,$AK136&gt;0),AK136/$AF136,0)</f>
        <v>0.62105263157894752</v>
      </c>
      <c r="AO136" s="336" t="str">
        <f>+'Rango indicadores'!H70</f>
        <v>Mayor A:</v>
      </c>
      <c r="AP136" s="331">
        <f>+'Rango indicadores'!I70</f>
        <v>95</v>
      </c>
      <c r="AQ136" s="331" t="str">
        <f>+'Rango indicadores'!J70</f>
        <v>Desde (&gt;=):</v>
      </c>
      <c r="AR136" s="331">
        <f>+'Rango indicadores'!K70</f>
        <v>75</v>
      </c>
      <c r="AS136" s="331" t="str">
        <f>+'Rango indicadores'!L70</f>
        <v>Hasta (&lt;=):</v>
      </c>
      <c r="AT136" s="331">
        <f>+'Rango indicadores'!M70</f>
        <v>95</v>
      </c>
      <c r="AU136" s="331" t="str">
        <f>+'Rango indicadores'!N70</f>
        <v>Menor A:</v>
      </c>
      <c r="AV136" s="331">
        <f>+'Rango indicadores'!O70</f>
        <v>75</v>
      </c>
      <c r="AW136" s="421" t="s">
        <v>1223</v>
      </c>
      <c r="AX136" s="659"/>
      <c r="AY136" s="659"/>
      <c r="AZ136" s="424"/>
    </row>
    <row r="137" spans="2:53" ht="122.4" customHeight="1">
      <c r="B137" s="328">
        <f>+B136+1</f>
        <v>70</v>
      </c>
      <c r="C137" s="352" t="str">
        <f>+'Rango indicadores'!D71</f>
        <v>11-RI-02</v>
      </c>
      <c r="D137" s="352" t="str">
        <f>+'Rango indicadores'!E71</f>
        <v xml:space="preserve">Porcentaje de contratos en la modalidad de contratacion directa elaborados en los tiempos óptimos </v>
      </c>
      <c r="E137" s="319">
        <f>+'Rango indicadores'!Q71</f>
        <v>0.9</v>
      </c>
      <c r="F137" s="361">
        <f>'1.Informe Seguimiento POA 2023'!O84</f>
        <v>0.9</v>
      </c>
      <c r="G137" s="361">
        <f>'1.Informe Seguimiento POA 2023'!O84</f>
        <v>0.9</v>
      </c>
      <c r="H137" s="683">
        <f>'1.Informe Seguimiento POA 2023'!P84</f>
        <v>0.88900000000000001</v>
      </c>
      <c r="I137" s="683">
        <f>'1.Informe Seguimiento POA 2023'!P84</f>
        <v>0.88900000000000001</v>
      </c>
      <c r="J137" s="683">
        <f t="shared" si="233"/>
        <v>0.88900000000000001</v>
      </c>
      <c r="K137" s="346">
        <f t="shared" si="234"/>
        <v>0.98777777777777775</v>
      </c>
      <c r="L137" s="346">
        <f t="shared" si="235"/>
        <v>0.98777777777777775</v>
      </c>
      <c r="M137" s="332">
        <f>IF(AND(E137&gt;0,$J137&gt;0),J137/$E137,0)*0.25</f>
        <v>0.24694444444444444</v>
      </c>
      <c r="N137" s="319">
        <f t="shared" ref="N137:N139" si="246">+E137</f>
        <v>0.9</v>
      </c>
      <c r="O137" s="683">
        <f>+'1.Informe Seguimiento POA 2023'!Q84</f>
        <v>0.9</v>
      </c>
      <c r="P137" s="753">
        <f>IFERROR(AVERAGE(F137,O137),0)</f>
        <v>0.9</v>
      </c>
      <c r="Q137" s="683">
        <f>'1.Informe Seguimiento POA 2023'!R84</f>
        <v>0.97699999999999998</v>
      </c>
      <c r="R137" s="333">
        <f>IFERROR(AVERAGE('1.Informe Seguimiento POA 2023'!P84,'1.Informe Seguimiento POA 2023'!R84),0)</f>
        <v>0.93300000000000005</v>
      </c>
      <c r="S137" s="333">
        <f>IFERROR(IF(OR($N137="",$N137=0),0,ROUNDDOWN(AVERAGE($H137,Q137),3)),0)</f>
        <v>0.93300000000000005</v>
      </c>
      <c r="T137" s="346">
        <f t="shared" si="238"/>
        <v>1.0855555555555556</v>
      </c>
      <c r="U137" s="346">
        <f t="shared" si="239"/>
        <v>1.0366666666666666</v>
      </c>
      <c r="V137" s="332">
        <f>IF(AND(N137&gt;0,$S137&gt;0),S137/$N137,0)*0.5</f>
        <v>0.51833333333333331</v>
      </c>
      <c r="W137" s="319">
        <f t="shared" ref="W137:W139" si="247">+N137</f>
        <v>0.9</v>
      </c>
      <c r="X137" s="361">
        <f>+'1.Informe Seguimiento POA 2023'!S84</f>
        <v>0.9</v>
      </c>
      <c r="Y137" s="333">
        <f>IFERROR(AVERAGE('1.Informe Seguimiento POA 2023'!O84,'1.Informe Seguimiento POA 2023'!S84),0)</f>
        <v>0.9</v>
      </c>
      <c r="Z137" s="333">
        <f>+'1.Informe Seguimiento POA 2023'!T84</f>
        <v>0</v>
      </c>
      <c r="AA137" s="333">
        <f>IFERROR(AVERAGE('1.Informe Seguimiento POA 2023'!R84,'1.Informe Seguimiento POA 2023'!P84,'1.Informe Seguimiento POA 2023'!T84),0)</f>
        <v>0.622</v>
      </c>
      <c r="AB137" s="333">
        <f>IFERROR(IF(OR($W137="",$W137=0),0,ROUNDDOWN(AVERAGE($H137,Q137,Z137),3)),0)</f>
        <v>0.622</v>
      </c>
      <c r="AC137" s="346">
        <f t="shared" si="241"/>
        <v>0</v>
      </c>
      <c r="AD137" s="346">
        <f t="shared" si="242"/>
        <v>0.69111111111111112</v>
      </c>
      <c r="AE137" s="332">
        <f>IF(AND(W137&gt;0,$AB137&gt;0),AB137/$W137,0)*0.75</f>
        <v>0.51833333333333331</v>
      </c>
      <c r="AF137" s="319">
        <f t="shared" ref="AF137:AF139" si="248">+W137</f>
        <v>0.9</v>
      </c>
      <c r="AG137" s="319">
        <f>+'1.Informe Seguimiento POA 2023'!U84</f>
        <v>0.9</v>
      </c>
      <c r="AH137" s="333">
        <f>IFERROR(AVERAGE('1.Informe Seguimiento POA 2023'!S84,'1.Informe Seguimiento POA 2023'!U84),0)</f>
        <v>0.9</v>
      </c>
      <c r="AI137" s="319">
        <f>+'1.Informe Seguimiento POA 2023'!V84</f>
        <v>0</v>
      </c>
      <c r="AJ137" s="319">
        <f>+'11-GESTIÓN CONTRACTUAL'!AZ17</f>
        <v>0.92</v>
      </c>
      <c r="AK137" s="333">
        <f>+'11-GESTIÓN CONTRACTUAL'!AZ17</f>
        <v>0.92</v>
      </c>
      <c r="AL137" s="346">
        <f t="shared" si="244"/>
        <v>0</v>
      </c>
      <c r="AM137" s="346">
        <f t="shared" si="245"/>
        <v>1.0222222222222221</v>
      </c>
      <c r="AN137" s="332">
        <f>IF(AND(AF137&gt;0,$AK137&gt;0),AK137/$AF137,0)</f>
        <v>1.0222222222222221</v>
      </c>
      <c r="AO137" s="336" t="str">
        <f>+'Rango indicadores'!H71</f>
        <v>Mayor A:</v>
      </c>
      <c r="AP137" s="331">
        <f>+'Rango indicadores'!I71</f>
        <v>95</v>
      </c>
      <c r="AQ137" s="331" t="str">
        <f>+'Rango indicadores'!J71</f>
        <v>Desde (&gt;=):</v>
      </c>
      <c r="AR137" s="331">
        <f>+'Rango indicadores'!K71</f>
        <v>75</v>
      </c>
      <c r="AS137" s="331" t="str">
        <f>+'Rango indicadores'!L71</f>
        <v>Hasta (&lt;=):</v>
      </c>
      <c r="AT137" s="331">
        <f>+'Rango indicadores'!M71</f>
        <v>95</v>
      </c>
      <c r="AU137" s="331" t="str">
        <f>+'Rango indicadores'!N71</f>
        <v>Menor A:</v>
      </c>
      <c r="AV137" s="331">
        <f>+'Rango indicadores'!O71</f>
        <v>75</v>
      </c>
      <c r="AW137" s="421" t="s">
        <v>1224</v>
      </c>
      <c r="AX137" s="659"/>
      <c r="AY137" s="659"/>
      <c r="AZ137" s="424"/>
    </row>
    <row r="138" spans="2:53" ht="123" customHeight="1">
      <c r="B138" s="328">
        <f t="shared" ref="B138:B139" si="249">+B137+1</f>
        <v>71</v>
      </c>
      <c r="C138" s="352" t="str">
        <f>+'Rango indicadores'!D72</f>
        <v>11-RI-03</v>
      </c>
      <c r="D138" s="352" t="str">
        <f>+'Rango indicadores'!E72</f>
        <v xml:space="preserve">Porcentaje de contratos en la modalidad de selección abreviada de menor cuantía elaborados en los tiempos óptimos </v>
      </c>
      <c r="E138" s="319">
        <f>+'Rango indicadores'!Q72</f>
        <v>0.9</v>
      </c>
      <c r="F138" s="361">
        <f>'1.Informe Seguimiento POA 2023'!O85</f>
        <v>0.9</v>
      </c>
      <c r="G138" s="361">
        <f>'1.Informe Seguimiento POA 2023'!O85</f>
        <v>0.9</v>
      </c>
      <c r="H138" s="683">
        <f>'1.Informe Seguimiento POA 2023'!P85</f>
        <v>0.9</v>
      </c>
      <c r="I138" s="683">
        <f>'1.Informe Seguimiento POA 2023'!P85</f>
        <v>0.9</v>
      </c>
      <c r="J138" s="683">
        <f t="shared" si="233"/>
        <v>0.9</v>
      </c>
      <c r="K138" s="346">
        <f t="shared" si="234"/>
        <v>1</v>
      </c>
      <c r="L138" s="346">
        <f t="shared" si="235"/>
        <v>1</v>
      </c>
      <c r="M138" s="332">
        <f>IF(AND(E138&gt;0,$J138&gt;0),J138/$E138,0)*0.25</f>
        <v>0.25</v>
      </c>
      <c r="N138" s="319">
        <f t="shared" si="246"/>
        <v>0.9</v>
      </c>
      <c r="O138" s="683">
        <f>+'1.Informe Seguimiento POA 2023'!Q85</f>
        <v>0.9</v>
      </c>
      <c r="P138" s="753">
        <f t="shared" ref="P138" si="250">IFERROR(AVERAGE(F138,O138),0)</f>
        <v>0.9</v>
      </c>
      <c r="Q138" s="683">
        <f>'1.Informe Seguimiento POA 2023'!R85</f>
        <v>1</v>
      </c>
      <c r="R138" s="333">
        <f>IFERROR(AVERAGE('1.Informe Seguimiento POA 2023'!P85,'1.Informe Seguimiento POA 2023'!R85),0)</f>
        <v>0.95</v>
      </c>
      <c r="S138" s="333">
        <f t="shared" ref="S138" si="251">IFERROR(IF(OR($N138="",$N138=0),0,ROUNDDOWN(AVERAGE($H138,Q138),3)),0)</f>
        <v>0.95</v>
      </c>
      <c r="T138" s="346">
        <f t="shared" si="238"/>
        <v>1.1111111111111112</v>
      </c>
      <c r="U138" s="346">
        <f t="shared" si="239"/>
        <v>1.0555555555555556</v>
      </c>
      <c r="V138" s="332">
        <f>IF(AND(N138&gt;0,$S138&gt;0),S138/$N138,0)*0.5</f>
        <v>0.52777777777777779</v>
      </c>
      <c r="W138" s="319">
        <f t="shared" si="247"/>
        <v>0.9</v>
      </c>
      <c r="X138" s="361">
        <f>+'1.Informe Seguimiento POA 2023'!S85</f>
        <v>0.9</v>
      </c>
      <c r="Y138" s="333">
        <f>IFERROR(AVERAGE('1.Informe Seguimiento POA 2023'!Q85,'1.Informe Seguimiento POA 2023'!S85),0)</f>
        <v>0.9</v>
      </c>
      <c r="Z138" s="333">
        <f>+'1.Informe Seguimiento POA 2023'!T85</f>
        <v>0</v>
      </c>
      <c r="AA138" s="333">
        <f>IFERROR(AVERAGE('1.Informe Seguimiento POA 2023'!R85,'1.Informe Seguimiento POA 2023'!P85,'1.Informe Seguimiento POA 2023'!T85),0)</f>
        <v>0.6333333333333333</v>
      </c>
      <c r="AB138" s="333">
        <f t="shared" ref="AB138:AB139" si="252">IFERROR(IF(OR($W138="",$W138=0),0,ROUNDDOWN(AVERAGE($H138,Q138,Z138),3)),0)</f>
        <v>0.63300000000000001</v>
      </c>
      <c r="AC138" s="346">
        <f t="shared" si="241"/>
        <v>0</v>
      </c>
      <c r="AD138" s="346">
        <f t="shared" si="242"/>
        <v>0.70370370370370361</v>
      </c>
      <c r="AE138" s="332">
        <f>IF(AND(W138&gt;0,$AB138&gt;0),AB138/$W138,0)*0.75</f>
        <v>0.52750000000000008</v>
      </c>
      <c r="AF138" s="319">
        <f t="shared" si="248"/>
        <v>0.9</v>
      </c>
      <c r="AG138" s="319">
        <f>+'1.Informe Seguimiento POA 2023'!U85</f>
        <v>0</v>
      </c>
      <c r="AH138" s="333">
        <f>IFERROR(AVERAGE('1.Informe Seguimiento POA 2023'!S85,'1.Informe Seguimiento POA 2023'!U85),0)</f>
        <v>0.45</v>
      </c>
      <c r="AI138" s="319">
        <f>+'1.Informe Seguimiento POA 2023'!V85</f>
        <v>0</v>
      </c>
      <c r="AJ138" s="319">
        <f>+'11-GESTIÓN CONTRACTUAL'!AZ18</f>
        <v>0.95</v>
      </c>
      <c r="AK138" s="333">
        <f>+'11-GESTIÓN CONTRACTUAL'!AZ18</f>
        <v>0.95</v>
      </c>
      <c r="AL138" s="346" t="str">
        <f t="shared" si="244"/>
        <v>No programado</v>
      </c>
      <c r="AM138" s="346">
        <f t="shared" si="245"/>
        <v>2.1111111111111112</v>
      </c>
      <c r="AN138" s="332">
        <f>IF(AND(AF138&gt;0,$AK138&gt;0),AK138/$AF138,0)</f>
        <v>1.0555555555555556</v>
      </c>
      <c r="AO138" s="336" t="str">
        <f>+'Rango indicadores'!H72</f>
        <v>Mayor A:</v>
      </c>
      <c r="AP138" s="331">
        <f>+'Rango indicadores'!I72</f>
        <v>95</v>
      </c>
      <c r="AQ138" s="331" t="str">
        <f>+'Rango indicadores'!J72</f>
        <v>Desde (&gt;=):</v>
      </c>
      <c r="AR138" s="331">
        <f>+'Rango indicadores'!K72</f>
        <v>75</v>
      </c>
      <c r="AS138" s="331" t="str">
        <f>+'Rango indicadores'!L72</f>
        <v>Hasta (&lt;=):</v>
      </c>
      <c r="AT138" s="331">
        <f>+'Rango indicadores'!M72</f>
        <v>95</v>
      </c>
      <c r="AU138" s="331" t="str">
        <f>+'Rango indicadores'!N72</f>
        <v>Menor A:</v>
      </c>
      <c r="AV138" s="331">
        <f>+'Rango indicadores'!O72</f>
        <v>75</v>
      </c>
      <c r="AW138" s="421" t="s">
        <v>1225</v>
      </c>
      <c r="AX138" s="659"/>
      <c r="AY138" s="659"/>
      <c r="AZ138" s="424"/>
    </row>
    <row r="139" spans="2:53" ht="135.6" customHeight="1">
      <c r="B139" s="328">
        <f t="shared" si="249"/>
        <v>72</v>
      </c>
      <c r="C139" s="352" t="str">
        <f>+'Rango indicadores'!D73</f>
        <v>11-RI-04</v>
      </c>
      <c r="D139" s="352" t="str">
        <f>+'Rango indicadores'!E73</f>
        <v xml:space="preserve">Porcentaje de contratos en la modalidad de selección abreviada de subasta inversa, licitación pública y concurso de méritos elaborados en los tiempos óptimos </v>
      </c>
      <c r="E139" s="319">
        <f>+'Rango indicadores'!Q73</f>
        <v>0.9</v>
      </c>
      <c r="F139" s="361">
        <f>'1.Informe Seguimiento POA 2023'!O86</f>
        <v>0</v>
      </c>
      <c r="G139" s="361">
        <f>'1.Informe Seguimiento POA 2023'!O86</f>
        <v>0</v>
      </c>
      <c r="H139" s="422">
        <f>'1.Informe Seguimiento POA 2023'!P86</f>
        <v>0</v>
      </c>
      <c r="I139" s="683">
        <f>'1.Informe Seguimiento POA 2023'!P86</f>
        <v>0</v>
      </c>
      <c r="J139" s="683">
        <f t="shared" si="233"/>
        <v>0</v>
      </c>
      <c r="K139" s="368" t="str">
        <f t="shared" si="234"/>
        <v>No programado</v>
      </c>
      <c r="L139" s="368" t="str">
        <f t="shared" si="235"/>
        <v>No programado</v>
      </c>
      <c r="M139" s="332">
        <f>IF(AND(E139&gt;0,$J139&gt;0),J139/$E139,0)*0.25</f>
        <v>0</v>
      </c>
      <c r="N139" s="319">
        <f t="shared" si="246"/>
        <v>0.9</v>
      </c>
      <c r="O139" s="683">
        <f>+'1.Informe Seguimiento POA 2023'!Q86</f>
        <v>0.9</v>
      </c>
      <c r="P139" s="753">
        <f>IFERROR(AVERAGE(O139),0)</f>
        <v>0.9</v>
      </c>
      <c r="Q139" s="683">
        <f>'1.Informe Seguimiento POA 2023'!R86</f>
        <v>0.95</v>
      </c>
      <c r="R139" s="333">
        <f>IFERROR(AVERAGE('1.Informe Seguimiento POA 2023'!R86),0)</f>
        <v>0.95</v>
      </c>
      <c r="S139" s="333">
        <f>IFERROR(IF(OR($N139="",$N139=0),0,ROUNDDOWN(AVERAGE(Q139),3)),0)</f>
        <v>0.95</v>
      </c>
      <c r="T139" s="368">
        <f t="shared" si="238"/>
        <v>1.0555555555555556</v>
      </c>
      <c r="U139" s="368">
        <f t="shared" si="239"/>
        <v>1.0555555555555556</v>
      </c>
      <c r="V139" s="332">
        <f>IF(AND(N139&gt;0,$S139&gt;0),S139/$N139,0)*0.5</f>
        <v>0.52777777777777779</v>
      </c>
      <c r="W139" s="319">
        <f t="shared" si="247"/>
        <v>0.9</v>
      </c>
      <c r="X139" s="361">
        <f>+'1.Informe Seguimiento POA 2023'!S86</f>
        <v>0</v>
      </c>
      <c r="Y139" s="333">
        <f>IFERROR(AVERAGE('1.Informe Seguimiento POA 2023'!O86,'1.Informe Seguimiento POA 2023'!Q86,'1.Informe Seguimiento POA 2023'!S86),0)</f>
        <v>0.3</v>
      </c>
      <c r="Z139" s="333">
        <f>+'1.Informe Seguimiento POA 2023'!T86</f>
        <v>0</v>
      </c>
      <c r="AA139" s="333">
        <f>IFERROR(AVERAGE('1.Informe Seguimiento POA 2023'!R86,'1.Informe Seguimiento POA 2023'!P86,'1.Informe Seguimiento POA 2023'!T86),0)</f>
        <v>0.31666666666666665</v>
      </c>
      <c r="AB139" s="333">
        <f t="shared" si="252"/>
        <v>0.316</v>
      </c>
      <c r="AC139" s="368" t="str">
        <f t="shared" si="241"/>
        <v>No programado</v>
      </c>
      <c r="AD139" s="368">
        <f t="shared" si="242"/>
        <v>1.0555555555555556</v>
      </c>
      <c r="AE139" s="332">
        <f>IF(AND(W139&gt;0,$AB139&gt;0),AB139/$W139,0)*0.75</f>
        <v>0.26333333333333331</v>
      </c>
      <c r="AF139" s="319">
        <f t="shared" si="248"/>
        <v>0.9</v>
      </c>
      <c r="AG139" s="319">
        <f>+'1.Informe Seguimiento POA 2023'!U86</f>
        <v>0.9</v>
      </c>
      <c r="AH139" s="333">
        <f>IFERROR(AVERAGE('1.Informe Seguimiento POA 2023'!S86,'1.Informe Seguimiento POA 2023'!U86),0)</f>
        <v>0.45</v>
      </c>
      <c r="AI139" s="319">
        <f>+'1.Informe Seguimiento POA 2023'!V86</f>
        <v>0</v>
      </c>
      <c r="AJ139" s="319">
        <f>+'11-GESTIÓN CONTRACTUAL'!AZ19</f>
        <v>0.95</v>
      </c>
      <c r="AK139" s="333">
        <f>+'11-GESTIÓN CONTRACTUAL'!AZ19</f>
        <v>0.95</v>
      </c>
      <c r="AL139" s="368">
        <f t="shared" si="244"/>
        <v>0</v>
      </c>
      <c r="AM139" s="368">
        <f t="shared" si="245"/>
        <v>2.1111111111111112</v>
      </c>
      <c r="AN139" s="332">
        <f>IF(AND(AF139&gt;0,$AK139&gt;0),AK139/$AF139,0)</f>
        <v>1.0555555555555556</v>
      </c>
      <c r="AO139" s="336" t="str">
        <f>+'Rango indicadores'!H73</f>
        <v>Mayor A:</v>
      </c>
      <c r="AP139" s="331">
        <f>+'Rango indicadores'!I73</f>
        <v>95</v>
      </c>
      <c r="AQ139" s="331" t="str">
        <f>+'Rango indicadores'!J73</f>
        <v>Desde (&gt;=):</v>
      </c>
      <c r="AR139" s="331">
        <f>+'Rango indicadores'!K73</f>
        <v>75</v>
      </c>
      <c r="AS139" s="331" t="str">
        <f>+'Rango indicadores'!L73</f>
        <v>Hasta (&lt;=):</v>
      </c>
      <c r="AT139" s="331">
        <f>+'Rango indicadores'!M73</f>
        <v>95</v>
      </c>
      <c r="AU139" s="331" t="str">
        <f>+'Rango indicadores'!N73</f>
        <v>Menor A:</v>
      </c>
      <c r="AV139" s="331">
        <f>+'Rango indicadores'!O73</f>
        <v>75</v>
      </c>
      <c r="AW139" s="421" t="s">
        <v>1226</v>
      </c>
      <c r="AX139" s="659"/>
      <c r="AY139" s="659"/>
      <c r="AZ139" s="424"/>
    </row>
    <row r="140" spans="2:53" ht="15.6">
      <c r="C140" s="1319" t="s">
        <v>826</v>
      </c>
      <c r="D140" s="1320"/>
      <c r="E140" s="1320"/>
      <c r="F140" s="1320"/>
      <c r="G140" s="1320"/>
      <c r="H140" s="1320"/>
      <c r="I140" s="1320"/>
      <c r="J140" s="1320"/>
      <c r="K140" s="334">
        <f>IFERROR(AVERAGE(K136:K139),0)</f>
        <v>0.99592592592592588</v>
      </c>
      <c r="L140" s="334">
        <f>IFERROR(AVERAGE(L136:L139),0)</f>
        <v>0.99592592592592588</v>
      </c>
      <c r="M140" s="334">
        <f>IFERROR(AVERAGE(M136:M139),0)</f>
        <v>0.20581505847953216</v>
      </c>
      <c r="N140" s="754"/>
      <c r="O140" s="754"/>
      <c r="P140" s="754"/>
      <c r="Q140" s="754"/>
      <c r="R140" s="754"/>
      <c r="S140" s="754"/>
      <c r="T140" s="334">
        <f>IFERROR(AVERAGE(T136:T139),0)</f>
        <v>1.1312373737373738</v>
      </c>
      <c r="U140" s="334">
        <f>IFERROR(AVERAGE(U136:U139),0)</f>
        <v>1.0652463312368972</v>
      </c>
      <c r="V140" s="334">
        <f>IFERROR(AVERAGE(V136:V139),0)</f>
        <v>0.5487353801169591</v>
      </c>
      <c r="W140" s="754"/>
      <c r="X140" s="754"/>
      <c r="Y140" s="754"/>
      <c r="Z140" s="754"/>
      <c r="AA140" s="754"/>
      <c r="AB140" s="754"/>
      <c r="AC140" s="334">
        <f>IFERROR(AVERAGE(AC136:AC139),0)</f>
        <v>0</v>
      </c>
      <c r="AD140" s="334">
        <f>IFERROR(AVERAGE(AD136:AD139),0)</f>
        <v>0.80925925925925934</v>
      </c>
      <c r="AE140" s="334">
        <f>IFERROR(AVERAGE(AE136:AE139),0)</f>
        <v>0.48255482456140353</v>
      </c>
      <c r="AF140" s="754"/>
      <c r="AG140" s="754"/>
      <c r="AH140" s="754"/>
      <c r="AI140" s="754"/>
      <c r="AJ140" s="754"/>
      <c r="AK140" s="755"/>
      <c r="AL140" s="334">
        <f>IFERROR(AVERAGE(AL136:AL139),0)</f>
        <v>0</v>
      </c>
      <c r="AM140" s="334">
        <f>IFERROR(AVERAGE(AM136:AM139),0)</f>
        <v>1.4663742690058479</v>
      </c>
      <c r="AN140" s="334">
        <f>IFERROR(AVERAGE(AN136:AN139),0)</f>
        <v>0.93859649122807021</v>
      </c>
      <c r="AO140" s="341"/>
      <c r="AP140" s="341"/>
      <c r="AQ140" s="341"/>
      <c r="AR140" s="341"/>
      <c r="AS140" s="341"/>
      <c r="AT140" s="341"/>
      <c r="AU140" s="341"/>
      <c r="AV140" s="341"/>
      <c r="AW140" s="428"/>
      <c r="AX140" s="348"/>
      <c r="AY140" s="483"/>
      <c r="AZ140" s="348"/>
      <c r="BA140" s="348"/>
    </row>
    <row r="141" spans="2:53" s="324" customFormat="1" ht="23.4" customHeight="1" thickBot="1">
      <c r="D141" s="326"/>
      <c r="AW141" s="326"/>
      <c r="AY141" s="483"/>
      <c r="AZ141" s="310"/>
    </row>
    <row r="142" spans="2:53" s="324" customFormat="1" ht="16.2" thickBot="1">
      <c r="C142" s="327" t="s">
        <v>838</v>
      </c>
      <c r="D142" s="357"/>
      <c r="E142" s="1290" t="s">
        <v>1053</v>
      </c>
      <c r="F142" s="1291"/>
      <c r="G142" s="1291"/>
      <c r="H142" s="1291"/>
      <c r="I142" s="1291"/>
      <c r="J142" s="1291"/>
      <c r="K142" s="1291"/>
      <c r="L142" s="1291"/>
      <c r="M142" s="1292"/>
      <c r="N142" s="1293" t="s">
        <v>1054</v>
      </c>
      <c r="O142" s="1294"/>
      <c r="P142" s="1294"/>
      <c r="Q142" s="1294"/>
      <c r="R142" s="1294"/>
      <c r="S142" s="1294"/>
      <c r="T142" s="1294"/>
      <c r="U142" s="1294"/>
      <c r="V142" s="1295"/>
      <c r="W142" s="1287" t="s">
        <v>1055</v>
      </c>
      <c r="X142" s="1288"/>
      <c r="Y142" s="1288"/>
      <c r="Z142" s="1288"/>
      <c r="AA142" s="1288"/>
      <c r="AB142" s="1288"/>
      <c r="AC142" s="1288"/>
      <c r="AD142" s="1288"/>
      <c r="AE142" s="1289"/>
      <c r="AF142" s="1293" t="s">
        <v>1002</v>
      </c>
      <c r="AG142" s="1294"/>
      <c r="AH142" s="1294"/>
      <c r="AI142" s="1294"/>
      <c r="AJ142" s="1294"/>
      <c r="AK142" s="1294"/>
      <c r="AL142" s="1294"/>
      <c r="AM142" s="1294"/>
      <c r="AN142" s="1295"/>
      <c r="AW142" s="326"/>
      <c r="AY142" s="483"/>
      <c r="AZ142" s="310"/>
    </row>
    <row r="143" spans="2:53" ht="33" customHeight="1">
      <c r="C143" s="1284" t="str">
        <f>+$C$11</f>
        <v>Identificación del Indicador</v>
      </c>
      <c r="D143" s="1297" t="s">
        <v>821</v>
      </c>
      <c r="E143" s="1280" t="s">
        <v>822</v>
      </c>
      <c r="F143" s="1281"/>
      <c r="G143" s="1282"/>
      <c r="H143" s="1283" t="s">
        <v>1057</v>
      </c>
      <c r="I143" s="1285" t="str">
        <f>$I$9</f>
        <v>Ejecución 
Corte
31/03/2023</v>
      </c>
      <c r="J143" s="1283" t="s">
        <v>823</v>
      </c>
      <c r="K143" s="1283" t="s">
        <v>817</v>
      </c>
      <c r="L143" s="1283"/>
      <c r="M143" s="1283"/>
      <c r="N143" s="1280" t="s">
        <v>822</v>
      </c>
      <c r="O143" s="1281"/>
      <c r="P143" s="1282"/>
      <c r="Q143" s="1283" t="s">
        <v>1062</v>
      </c>
      <c r="R143" s="1285" t="str">
        <f>$R$9</f>
        <v>Ejecución 
Corte
30/06/2023</v>
      </c>
      <c r="S143" s="1283" t="s">
        <v>823</v>
      </c>
      <c r="T143" s="1283" t="s">
        <v>817</v>
      </c>
      <c r="U143" s="1283"/>
      <c r="V143" s="1283"/>
      <c r="W143" s="1280" t="s">
        <v>822</v>
      </c>
      <c r="X143" s="1281"/>
      <c r="Y143" s="1282"/>
      <c r="Z143" s="1283" t="s">
        <v>1063</v>
      </c>
      <c r="AA143" s="1285" t="s">
        <v>1059</v>
      </c>
      <c r="AB143" s="1283" t="s">
        <v>823</v>
      </c>
      <c r="AC143" s="1283" t="s">
        <v>817</v>
      </c>
      <c r="AD143" s="1283"/>
      <c r="AE143" s="1283"/>
      <c r="AF143" s="1280" t="s">
        <v>822</v>
      </c>
      <c r="AG143" s="1281"/>
      <c r="AH143" s="1282"/>
      <c r="AI143" s="1283" t="s">
        <v>1084</v>
      </c>
      <c r="AJ143" s="1285" t="s">
        <v>1085</v>
      </c>
      <c r="AK143" s="1283" t="s">
        <v>823</v>
      </c>
      <c r="AL143" s="1283" t="s">
        <v>817</v>
      </c>
      <c r="AM143" s="1283"/>
      <c r="AN143" s="1283"/>
      <c r="AO143" s="1296" t="s">
        <v>669</v>
      </c>
      <c r="AP143" s="1296"/>
      <c r="AQ143" s="1296"/>
      <c r="AR143" s="1296"/>
      <c r="AS143" s="1296"/>
      <c r="AT143" s="1296"/>
      <c r="AU143" s="1296"/>
      <c r="AV143" s="1296"/>
      <c r="AW143" s="1284" t="s">
        <v>842</v>
      </c>
      <c r="AY143" s="483"/>
    </row>
    <row r="144" spans="2:53" ht="75" customHeight="1">
      <c r="C144" s="1284"/>
      <c r="D144" s="1297"/>
      <c r="E144" s="907" t="str">
        <f>$E$9</f>
        <v>Año 2023</v>
      </c>
      <c r="F144" s="907" t="str">
        <f>+E142</f>
        <v>Primer Trimestre</v>
      </c>
      <c r="G144" s="908" t="str">
        <f>$G$9</f>
        <v>Acumulado
Corte 
31/03/2023</v>
      </c>
      <c r="H144" s="1284"/>
      <c r="I144" s="1286"/>
      <c r="J144" s="1284"/>
      <c r="K144" s="907" t="str">
        <f>+$D$6</f>
        <v>Segundo Trimestre</v>
      </c>
      <c r="L144" s="908" t="str">
        <f>$G$12</f>
        <v>Acumulado
Corte 
31/03/2023</v>
      </c>
      <c r="M144" s="909" t="s">
        <v>714</v>
      </c>
      <c r="N144" s="936" t="str">
        <f>$N$9</f>
        <v>Año 2023</v>
      </c>
      <c r="O144" s="907" t="str">
        <f>+N142</f>
        <v>Segundo Trimestre</v>
      </c>
      <c r="P144" s="951" t="str">
        <f>$P$9</f>
        <v>Acumulado
Corte 
30/06/2023</v>
      </c>
      <c r="Q144" s="1284"/>
      <c r="R144" s="1286"/>
      <c r="S144" s="1284"/>
      <c r="T144" s="950" t="str">
        <f>+O144</f>
        <v>Segundo Trimestre</v>
      </c>
      <c r="U144" s="951" t="str">
        <f>$P$12</f>
        <v>Acumulado
Corte 
30/06/2023</v>
      </c>
      <c r="V144" s="952" t="s">
        <v>714</v>
      </c>
      <c r="W144" s="907" t="s">
        <v>1064</v>
      </c>
      <c r="X144" s="907" t="str">
        <f>+W142</f>
        <v>Tercer Trimestre</v>
      </c>
      <c r="Y144" s="908" t="s">
        <v>1058</v>
      </c>
      <c r="Z144" s="1284"/>
      <c r="AA144" s="1286"/>
      <c r="AB144" s="1284"/>
      <c r="AC144" s="907" t="str">
        <f>+X144</f>
        <v>Tercer Trimestre</v>
      </c>
      <c r="AD144" s="908" t="str">
        <f>+Y144</f>
        <v>Acumulado Corte 
30/09/2022</v>
      </c>
      <c r="AE144" s="909" t="s">
        <v>714</v>
      </c>
      <c r="AF144" s="907" t="s">
        <v>1064</v>
      </c>
      <c r="AG144" s="907" t="s">
        <v>1083</v>
      </c>
      <c r="AH144" s="908" t="s">
        <v>1060</v>
      </c>
      <c r="AI144" s="1284"/>
      <c r="AJ144" s="1286"/>
      <c r="AK144" s="1284"/>
      <c r="AL144" s="907" t="str">
        <f>+AG144</f>
        <v>Cuarto Trimestre
31-12-2022</v>
      </c>
      <c r="AM144" s="908" t="str">
        <f>+AH144</f>
        <v>Acumulado Corte 
31/12/2022</v>
      </c>
      <c r="AN144" s="909" t="s">
        <v>714</v>
      </c>
      <c r="AO144" s="987" t="s">
        <v>824</v>
      </c>
      <c r="AP144" s="988"/>
      <c r="AQ144" s="989" t="s">
        <v>825</v>
      </c>
      <c r="AR144" s="990"/>
      <c r="AS144" s="990"/>
      <c r="AT144" s="991"/>
      <c r="AU144" s="992" t="s">
        <v>677</v>
      </c>
      <c r="AV144" s="993"/>
      <c r="AW144" s="1284"/>
      <c r="AY144" s="483"/>
    </row>
    <row r="145" spans="2:53" ht="150" customHeight="1">
      <c r="B145" s="328">
        <f>+B139+1</f>
        <v>73</v>
      </c>
      <c r="C145" s="329" t="str">
        <f>+'Rango indicadores'!D74</f>
        <v>12-RI-01</v>
      </c>
      <c r="D145" s="329" t="str">
        <f>+'Rango indicadores'!E74</f>
        <v>Porcentaje de Comunicaciones oficiales con reparto realizado dentro de los 3 días hábiles desde su radicación</v>
      </c>
      <c r="E145" s="333">
        <f>+'Rango indicadores'!Q74</f>
        <v>0.95</v>
      </c>
      <c r="F145" s="361">
        <f>'1.Informe Seguimiento POA 2023'!O75</f>
        <v>0.94999999999999984</v>
      </c>
      <c r="G145" s="361">
        <f>'1.Informe Seguimiento POA 2023'!O75</f>
        <v>0.94999999999999984</v>
      </c>
      <c r="H145" s="683">
        <f>'1.Informe Seguimiento POA 2023'!P75</f>
        <v>0.99073999999999984</v>
      </c>
      <c r="I145" s="683">
        <f>'1.Informe Seguimiento POA 2023'!P75</f>
        <v>0.99073999999999984</v>
      </c>
      <c r="J145" s="683">
        <f t="shared" ref="J145:J148" si="253">I145</f>
        <v>0.99073999999999984</v>
      </c>
      <c r="K145" s="346">
        <f t="shared" ref="K145:K148" si="254">IF(AND(F145&gt;0),H145/F145,"No programado")</f>
        <v>1.0428842105263159</v>
      </c>
      <c r="L145" s="346">
        <f t="shared" ref="L145:L148" si="255">IF(AND(G145&gt;0),I145/G145,"No programado")</f>
        <v>1.0428842105263159</v>
      </c>
      <c r="M145" s="332">
        <f>IF(AND(E145&gt;0,$J145&gt;0),J145/$E145,0)*0.25</f>
        <v>0.26072105263157891</v>
      </c>
      <c r="N145" s="333">
        <f>+E145</f>
        <v>0.95</v>
      </c>
      <c r="O145" s="683">
        <f>+'1.Informe Seguimiento POA 2023'!Q75</f>
        <v>0.94999999999999984</v>
      </c>
      <c r="P145" s="753">
        <f>IFERROR(AVERAGE(F145,O145),0)</f>
        <v>0.94999999999999984</v>
      </c>
      <c r="Q145" s="683">
        <f>'1.Informe Seguimiento POA 2023'!R75</f>
        <v>0.94887333333333324</v>
      </c>
      <c r="R145" s="333">
        <f>IFERROR(AVERAGE('1.Informe Seguimiento POA 2023'!P75,'1.Informe Seguimiento POA 2023'!R75),0)</f>
        <v>0.96980666666666648</v>
      </c>
      <c r="S145" s="333">
        <f>IFERROR(IF(OR($N145="",$N145=0),0,ROUNDDOWN(AVERAGE($H145,Q145),3)),0)</f>
        <v>0.96899999999999997</v>
      </c>
      <c r="T145" s="346">
        <f t="shared" ref="T145:T148" si="256">IF(AND(O145&gt;0),Q145/O145,"No programado")</f>
        <v>0.99881403508771938</v>
      </c>
      <c r="U145" s="346">
        <f t="shared" ref="U145:U148" si="257">IF(AND(P145&gt;0),R145/P145,"No programado")</f>
        <v>1.0208491228070176</v>
      </c>
      <c r="V145" s="332">
        <f>IF(AND(N145&gt;0,$S145&gt;0),S145/$N145,0)*0.5</f>
        <v>0.51</v>
      </c>
      <c r="W145" s="333">
        <f>+N145</f>
        <v>0.95</v>
      </c>
      <c r="X145" s="361">
        <f>+'1.Informe Seguimiento POA 2023'!S75</f>
        <v>0.94999999999999984</v>
      </c>
      <c r="Y145" s="333">
        <f>IFERROR(AVERAGE('1.Informe Seguimiento POA 2023'!O75,'1.Informe Seguimiento POA 2023'!Q75,'1.Informe Seguimiento POA 2023'!S75),0)</f>
        <v>0.94999999999999984</v>
      </c>
      <c r="Z145" s="333">
        <f>+'1.Informe Seguimiento POA 2023'!T75</f>
        <v>0</v>
      </c>
      <c r="AA145" s="333">
        <f>IFERROR(AVERAGE('1.Informe Seguimiento POA 2023'!R75,'1.Informe Seguimiento POA 2023'!P75,'1.Informe Seguimiento POA 2023'!T75),0)</f>
        <v>0.64653777777777766</v>
      </c>
      <c r="AB145" s="333">
        <f>IFERROR(IF(OR($W145="",$W145=0),0,ROUNDDOWN(AVERAGE($H145,Q145,Z145),3)),0)</f>
        <v>0.64600000000000002</v>
      </c>
      <c r="AC145" s="346">
        <f t="shared" ref="AC145:AC148" si="258">IF(AND(X145&gt;0),Z145/X145,"No programado")</f>
        <v>0</v>
      </c>
      <c r="AD145" s="346">
        <f t="shared" ref="AD145:AD148" si="259">IF(AND(Y145&gt;0),AA145/Y145,"No programado")</f>
        <v>0.68056608187134504</v>
      </c>
      <c r="AE145" s="332">
        <f>IF(AND(W145&gt;0,$AB145&gt;0),AB145/$W145,0)*0.75</f>
        <v>0.51</v>
      </c>
      <c r="AF145" s="333">
        <f>+W145</f>
        <v>0.95</v>
      </c>
      <c r="AG145" s="333">
        <f>+'1.Informe Seguimiento POA 2023'!U75</f>
        <v>0.94999999999999984</v>
      </c>
      <c r="AH145" s="333">
        <f>IFERROR(AVERAGE('1.Informe Seguimiento POA 2023'!O75,'1.Informe Seguimiento POA 2023'!Q75,'1.Informe Seguimiento POA 2023'!S75,'1.Informe Seguimiento POA 2023'!U75),0)</f>
        <v>0.94999999999999984</v>
      </c>
      <c r="AI145" s="660">
        <f>+'1.Informe Seguimiento POA 2023'!V75</f>
        <v>0</v>
      </c>
      <c r="AJ145" s="333">
        <f>+'12-GESTIÓN DOCUMENTAL'!AZ16</f>
        <v>0.96899999999999997</v>
      </c>
      <c r="AK145" s="333">
        <f>+'12-GESTIÓN DOCUMENTAL'!AZ16</f>
        <v>0.96899999999999997</v>
      </c>
      <c r="AL145" s="346">
        <f t="shared" ref="AL145:AL148" si="260">IF(AND(AG145&gt;0),AI145/AG145,"No programado")</f>
        <v>0</v>
      </c>
      <c r="AM145" s="346">
        <f t="shared" ref="AM145:AM148" si="261">IF(AND(AH145&gt;0),AJ145/AH145,"No programado")</f>
        <v>1.0200000000000002</v>
      </c>
      <c r="AN145" s="332">
        <f>IF(AND(AF145&gt;0,$AK145&gt;0),AK145/$AF145,0)</f>
        <v>1.02</v>
      </c>
      <c r="AO145" s="336" t="str">
        <f>+'Rango indicadores'!H74</f>
        <v>Mayor A:</v>
      </c>
      <c r="AP145" s="331">
        <f>+'Rango indicadores'!I74</f>
        <v>95</v>
      </c>
      <c r="AQ145" s="331" t="str">
        <f>+'Rango indicadores'!J74</f>
        <v>Desde (&gt;=):</v>
      </c>
      <c r="AR145" s="331">
        <f>+'Rango indicadores'!K74</f>
        <v>75</v>
      </c>
      <c r="AS145" s="331" t="str">
        <f>+'Rango indicadores'!L74</f>
        <v>Hasta (&lt;=):</v>
      </c>
      <c r="AT145" s="331">
        <f>+'Rango indicadores'!M74</f>
        <v>95</v>
      </c>
      <c r="AU145" s="331" t="str">
        <f>+'Rango indicadores'!N74</f>
        <v>Menor A:</v>
      </c>
      <c r="AV145" s="331">
        <f>+'Rango indicadores'!O74</f>
        <v>75</v>
      </c>
      <c r="AW145" s="427" t="s">
        <v>1227</v>
      </c>
      <c r="AX145" s="659"/>
      <c r="AY145" s="659"/>
      <c r="AZ145" s="424"/>
      <c r="BA145" s="310">
        <f>+AY145*100</f>
        <v>0</v>
      </c>
    </row>
    <row r="146" spans="2:53" ht="114" customHeight="1">
      <c r="B146" s="328">
        <f>B145+1</f>
        <v>74</v>
      </c>
      <c r="C146" s="329" t="str">
        <f>+'Rango indicadores'!D75</f>
        <v>12-RI-02</v>
      </c>
      <c r="D146" s="329" t="str">
        <f>+'Rango indicadores'!E75</f>
        <v>Porcentaje de documentación incorporada en el archivo central durante la vigencia.</v>
      </c>
      <c r="E146" s="333">
        <f>+'Rango indicadores'!Q75</f>
        <v>0.8</v>
      </c>
      <c r="F146" s="361">
        <f>'1.Informe Seguimiento POA 2023'!O76</f>
        <v>0.80000000000000016</v>
      </c>
      <c r="G146" s="361">
        <f>'1.Informe Seguimiento POA 2023'!O76</f>
        <v>0.80000000000000016</v>
      </c>
      <c r="H146" s="683">
        <f>'1.Informe Seguimiento POA 2023'!P76</f>
        <v>0.80000000000000016</v>
      </c>
      <c r="I146" s="683">
        <f>'1.Informe Seguimiento POA 2023'!P76</f>
        <v>0.80000000000000016</v>
      </c>
      <c r="J146" s="683">
        <f t="shared" ref="J146" si="262">I146</f>
        <v>0.80000000000000016</v>
      </c>
      <c r="K146" s="346">
        <f t="shared" si="254"/>
        <v>1</v>
      </c>
      <c r="L146" s="346">
        <f t="shared" si="255"/>
        <v>1</v>
      </c>
      <c r="M146" s="332">
        <f>IF(AND(E146&gt;0,$J146&gt;0),J146/$E146,0)*0.25</f>
        <v>0.25000000000000006</v>
      </c>
      <c r="N146" s="333">
        <f t="shared" ref="N146:N148" si="263">+E146</f>
        <v>0.8</v>
      </c>
      <c r="O146" s="683">
        <f>+'1.Informe Seguimiento POA 2023'!Q76</f>
        <v>0.80000000000000016</v>
      </c>
      <c r="P146" s="753">
        <f>IFERROR(AVERAGE(F146,O146),0)</f>
        <v>0.80000000000000016</v>
      </c>
      <c r="Q146" s="683">
        <f>'1.Informe Seguimiento POA 2023'!R76</f>
        <v>0.79900000000000004</v>
      </c>
      <c r="R146" s="333">
        <f>IFERROR(AVERAGE('1.Informe Seguimiento POA 2023'!P76,'1.Informe Seguimiento POA 2023'!R76),0)</f>
        <v>0.7995000000000001</v>
      </c>
      <c r="S146" s="333">
        <f>IFERROR(IF(OR($N146="",$N146=0),0,ROUNDDOWN(AVERAGE($H146,Q146),3)),0)</f>
        <v>0.79900000000000004</v>
      </c>
      <c r="T146" s="982">
        <f t="shared" si="256"/>
        <v>0.99874999999999992</v>
      </c>
      <c r="U146" s="982">
        <f t="shared" si="257"/>
        <v>0.9993749999999999</v>
      </c>
      <c r="V146" s="332">
        <f>IF(AND(N146&gt;0,$S146&gt;0),S146/$N146,0)*0.5</f>
        <v>0.49937500000000001</v>
      </c>
      <c r="W146" s="333">
        <f t="shared" ref="W146:W148" si="264">+N146</f>
        <v>0.8</v>
      </c>
      <c r="X146" s="361">
        <f>+'1.Informe Seguimiento POA 2023'!S76</f>
        <v>0.80000000000000016</v>
      </c>
      <c r="Y146" s="333">
        <f>IFERROR(AVERAGE('1.Informe Seguimiento POA 2023'!O76,'1.Informe Seguimiento POA 2023'!Q76,'1.Informe Seguimiento POA 2023'!S76),0)</f>
        <v>0.80000000000000016</v>
      </c>
      <c r="Z146" s="333">
        <f>+'1.Informe Seguimiento POA 2023'!T76</f>
        <v>0</v>
      </c>
      <c r="AA146" s="333">
        <f>IFERROR(AVERAGE('1.Informe Seguimiento POA 2023'!R76,'1.Informe Seguimiento POA 2023'!P76,'1.Informe Seguimiento POA 2023'!T76),0)</f>
        <v>0.53300000000000003</v>
      </c>
      <c r="AB146" s="333">
        <f>IFERROR(IF(OR($W146="",$W146=0),0,ROUNDDOWN(AVERAGE($H146,Q146,Z146),3)),0)</f>
        <v>0.53300000000000003</v>
      </c>
      <c r="AC146" s="346">
        <f t="shared" si="258"/>
        <v>0</v>
      </c>
      <c r="AD146" s="346">
        <f t="shared" si="259"/>
        <v>0.6662499999999999</v>
      </c>
      <c r="AE146" s="332">
        <f>IF(AND(W146&gt;0,$AB146&gt;0),AB146/$W146,0)*0.75</f>
        <v>0.49968750000000001</v>
      </c>
      <c r="AF146" s="333">
        <f t="shared" ref="AF146:AF148" si="265">+W146</f>
        <v>0.8</v>
      </c>
      <c r="AG146" s="333">
        <f>+'1.Informe Seguimiento POA 2023'!U76</f>
        <v>0.80000000000000016</v>
      </c>
      <c r="AH146" s="333">
        <f>IFERROR(AVERAGE('1.Informe Seguimiento POA 2023'!O76,'1.Informe Seguimiento POA 2023'!Q76,'1.Informe Seguimiento POA 2023'!S76,'1.Informe Seguimiento POA 2023'!U76),0)</f>
        <v>0.80000000000000016</v>
      </c>
      <c r="AI146" s="660">
        <f>+'1.Informe Seguimiento POA 2023'!V76</f>
        <v>0</v>
      </c>
      <c r="AJ146" s="333">
        <f>+'12-GESTIÓN DOCUMENTAL'!AZ17</f>
        <v>0.79900000000000004</v>
      </c>
      <c r="AK146" s="333">
        <f>+'12-GESTIÓN DOCUMENTAL'!AZ17</f>
        <v>0.79900000000000004</v>
      </c>
      <c r="AL146" s="346">
        <f t="shared" si="260"/>
        <v>0</v>
      </c>
      <c r="AM146" s="346">
        <f t="shared" si="261"/>
        <v>0.99874999999999992</v>
      </c>
      <c r="AN146" s="332">
        <f>IF(AND(AF146&gt;0,$AK146&gt;0),AK146/$AF146,0)</f>
        <v>0.99875000000000003</v>
      </c>
      <c r="AO146" s="336" t="str">
        <f>+'Rango indicadores'!H75</f>
        <v>Mayor A:</v>
      </c>
      <c r="AP146" s="331">
        <f>+'Rango indicadores'!I75</f>
        <v>95</v>
      </c>
      <c r="AQ146" s="331" t="str">
        <f>+'Rango indicadores'!J75</f>
        <v>Desde (&gt;=):</v>
      </c>
      <c r="AR146" s="331">
        <f>+'Rango indicadores'!K75</f>
        <v>75</v>
      </c>
      <c r="AS146" s="331" t="str">
        <f>+'Rango indicadores'!L75</f>
        <v>Hasta (&lt;=):</v>
      </c>
      <c r="AT146" s="331">
        <f>+'Rango indicadores'!M75</f>
        <v>95</v>
      </c>
      <c r="AU146" s="331" t="str">
        <f>+'Rango indicadores'!N75</f>
        <v>Menor A:</v>
      </c>
      <c r="AV146" s="331">
        <f>+'Rango indicadores'!O75</f>
        <v>75</v>
      </c>
      <c r="AW146" s="427" t="s">
        <v>1228</v>
      </c>
      <c r="AX146" s="659"/>
      <c r="AY146" s="659"/>
      <c r="AZ146" s="424"/>
    </row>
    <row r="147" spans="2:53" ht="95.25" customHeight="1">
      <c r="B147" s="328">
        <f>B146+1</f>
        <v>75</v>
      </c>
      <c r="C147" s="329" t="str">
        <f>+'Rango indicadores'!D76</f>
        <v>12-RI-03</v>
      </c>
      <c r="D147" s="329" t="str">
        <f>+'Rango indicadores'!E76</f>
        <v>Cantidad de actividades realizadas por año para el diseño, actualización o ajuste de los instrumentos archivísticos establecidos por norma</v>
      </c>
      <c r="E147" s="343">
        <f>+'Rango indicadores'!Q76</f>
        <v>25</v>
      </c>
      <c r="F147" s="343">
        <f>'1.Informe Seguimiento POA 2023'!O77</f>
        <v>5.25</v>
      </c>
      <c r="G147" s="343">
        <f>'1.Informe Seguimiento POA 2023'!O77</f>
        <v>5.25</v>
      </c>
      <c r="H147" s="343">
        <f>'1.Informe Seguimiento POA 2023'!P77</f>
        <v>4.95</v>
      </c>
      <c r="I147" s="343">
        <f>'1.Informe Seguimiento POA 2023'!P77</f>
        <v>4.95</v>
      </c>
      <c r="J147" s="343">
        <f t="shared" si="253"/>
        <v>4.95</v>
      </c>
      <c r="K147" s="346">
        <f t="shared" si="254"/>
        <v>0.94285714285714284</v>
      </c>
      <c r="L147" s="346">
        <f t="shared" si="255"/>
        <v>0.94285714285714284</v>
      </c>
      <c r="M147" s="332">
        <f>IF(AND(E147&gt;0,$J147&gt;0),J147/$E147,0)</f>
        <v>0.19800000000000001</v>
      </c>
      <c r="N147" s="343">
        <f t="shared" si="263"/>
        <v>25</v>
      </c>
      <c r="O147" s="343">
        <f>+'1.Informe Seguimiento POA 2023'!Q77</f>
        <v>6.5</v>
      </c>
      <c r="P147" s="343">
        <f>+'1.Informe Seguimiento POA 2023'!O77+'1.Informe Seguimiento POA 2023'!Q77</f>
        <v>11.75</v>
      </c>
      <c r="Q147" s="343">
        <f>+'1.Informe Seguimiento POA 2023'!R77</f>
        <v>7.8000000000000007</v>
      </c>
      <c r="R147" s="343">
        <f>+'1.Informe Seguimiento POA 2023'!P77+'1.Informe Seguimiento POA 2023'!R77</f>
        <v>12.75</v>
      </c>
      <c r="S147" s="343">
        <f t="shared" ref="S147" si="266">H147+Q147</f>
        <v>12.75</v>
      </c>
      <c r="T147" s="346">
        <f t="shared" si="256"/>
        <v>1.2000000000000002</v>
      </c>
      <c r="U147" s="346">
        <f t="shared" si="257"/>
        <v>1.0851063829787233</v>
      </c>
      <c r="V147" s="332">
        <f>IF(AND(N147&gt;0,$S147&gt;0),S147/$N147,0)</f>
        <v>0.51</v>
      </c>
      <c r="W147" s="343">
        <f t="shared" si="264"/>
        <v>25</v>
      </c>
      <c r="X147" s="343">
        <f>+'1.Informe Seguimiento POA 2023'!S77</f>
        <v>6.75</v>
      </c>
      <c r="Y147" s="343">
        <f>+'1.Informe Seguimiento POA 2023'!O77+'1.Informe Seguimiento POA 2023'!Q77+'1.Informe Seguimiento POA 2023'!S77</f>
        <v>18.5</v>
      </c>
      <c r="Z147" s="343">
        <f>+'1.Informe Seguimiento POA 2023'!T77</f>
        <v>0</v>
      </c>
      <c r="AA147" s="343">
        <f>+'1.Informe Seguimiento POA 2023'!R77+'1.Informe Seguimiento POA 2023'!T77+'1.Informe Seguimiento POA 2023'!P77</f>
        <v>12.75</v>
      </c>
      <c r="AB147" s="343">
        <f t="shared" ref="AB147" si="267">H147+Q147+Z147</f>
        <v>12.75</v>
      </c>
      <c r="AC147" s="346">
        <f t="shared" si="258"/>
        <v>0</v>
      </c>
      <c r="AD147" s="346">
        <f t="shared" si="259"/>
        <v>0.68918918918918914</v>
      </c>
      <c r="AE147" s="332">
        <f>IF(AND(W147&gt;0,$AB147&gt;0),AB147/$W147,0)</f>
        <v>0.51</v>
      </c>
      <c r="AF147" s="343">
        <f t="shared" si="265"/>
        <v>25</v>
      </c>
      <c r="AG147" s="343">
        <f>+'1.Informe Seguimiento POA 2023'!U77</f>
        <v>6.5</v>
      </c>
      <c r="AH147" s="343">
        <f>+'1.Informe Seguimiento POA 2023'!O77+'1.Informe Seguimiento POA 2023'!Q77+'1.Informe Seguimiento POA 2023'!S77+'1.Informe Seguimiento POA 2023'!U77</f>
        <v>25</v>
      </c>
      <c r="AI147" s="343">
        <f>+'1.Informe Seguimiento POA 2023'!V77</f>
        <v>0</v>
      </c>
      <c r="AJ147" s="369">
        <f>+'1.Informe Seguimiento POA 2023'!P77+'1.Informe Seguimiento POA 2023'!R77+'1.Informe Seguimiento POA 2023'!T77+'1.Informe Seguimiento POA 2023'!V77</f>
        <v>12.75</v>
      </c>
      <c r="AK147" s="369">
        <f t="shared" ref="AK147:AK148" si="268">H147+Q147+Z147+AI147</f>
        <v>12.75</v>
      </c>
      <c r="AL147" s="346">
        <f t="shared" si="260"/>
        <v>0</v>
      </c>
      <c r="AM147" s="346">
        <f t="shared" si="261"/>
        <v>0.51</v>
      </c>
      <c r="AN147" s="332">
        <f>IF(AND(AF147&gt;0,$AK147&gt;0),AK147/$AF147,0)</f>
        <v>0.51</v>
      </c>
      <c r="AO147" s="336" t="str">
        <f>+'Rango indicadores'!H76</f>
        <v>Mayor A:</v>
      </c>
      <c r="AP147" s="331">
        <f>+'Rango indicadores'!I76</f>
        <v>95</v>
      </c>
      <c r="AQ147" s="331" t="str">
        <f>+'Rango indicadores'!J76</f>
        <v>Desde (&gt;=):</v>
      </c>
      <c r="AR147" s="331">
        <f>+'Rango indicadores'!K76</f>
        <v>75</v>
      </c>
      <c r="AS147" s="331" t="str">
        <f>+'Rango indicadores'!L76</f>
        <v>Hasta (&lt;=):</v>
      </c>
      <c r="AT147" s="331">
        <f>+'Rango indicadores'!M76</f>
        <v>95</v>
      </c>
      <c r="AU147" s="331" t="str">
        <f>+'Rango indicadores'!N76</f>
        <v>Menor A:</v>
      </c>
      <c r="AV147" s="331">
        <f>+'Rango indicadores'!O76</f>
        <v>75</v>
      </c>
      <c r="AW147" s="421" t="s">
        <v>1230</v>
      </c>
      <c r="AX147" s="659"/>
      <c r="AY147" s="659"/>
      <c r="AZ147" s="426"/>
    </row>
    <row r="148" spans="2:53" ht="119.25" customHeight="1">
      <c r="B148" s="328">
        <f>B147+1</f>
        <v>76</v>
      </c>
      <c r="C148" s="329" t="str">
        <f>+'Rango indicadores'!D77</f>
        <v>12-RI-04</v>
      </c>
      <c r="D148" s="329" t="str">
        <f>+'Rango indicadores'!E77</f>
        <v>Cantidad de actividades realizadas por año para implementación de los instrumentos archivísticos establecidos por norma, y de herramientas de apoyo a la gestión documental.</v>
      </c>
      <c r="E148" s="343">
        <f>+'Rango indicadores'!Q77</f>
        <v>25</v>
      </c>
      <c r="F148" s="343">
        <f>'1.Informe Seguimiento POA 2023'!O78</f>
        <v>5.25</v>
      </c>
      <c r="G148" s="343">
        <f>'1.Informe Seguimiento POA 2023'!O78</f>
        <v>5.25</v>
      </c>
      <c r="H148" s="343">
        <f>'1.Informe Seguimiento POA 2023'!P78</f>
        <v>5.65</v>
      </c>
      <c r="I148" s="343">
        <f>'1.Informe Seguimiento POA 2023'!P78</f>
        <v>5.65</v>
      </c>
      <c r="J148" s="343">
        <f t="shared" si="253"/>
        <v>5.65</v>
      </c>
      <c r="K148" s="346">
        <f t="shared" si="254"/>
        <v>1.0761904761904764</v>
      </c>
      <c r="L148" s="346">
        <f t="shared" si="255"/>
        <v>1.0761904761904764</v>
      </c>
      <c r="M148" s="332">
        <f>IF(AND(E148&gt;0,$J148&gt;0),J148/$E148,0)</f>
        <v>0.22600000000000001</v>
      </c>
      <c r="N148" s="343">
        <f t="shared" si="263"/>
        <v>25</v>
      </c>
      <c r="O148" s="343">
        <f>+'1.Informe Seguimiento POA 2023'!Q78</f>
        <v>6.5</v>
      </c>
      <c r="P148" s="343">
        <f>+'1.Informe Seguimiento POA 2023'!O78+'1.Informe Seguimiento POA 2023'!Q78</f>
        <v>11.75</v>
      </c>
      <c r="Q148" s="343">
        <f>+'1.Informe Seguimiento POA 2023'!R78</f>
        <v>7.45</v>
      </c>
      <c r="R148" s="343">
        <f>+'1.Informe Seguimiento POA 2023'!P78+'1.Informe Seguimiento POA 2023'!R78</f>
        <v>13.100000000000001</v>
      </c>
      <c r="S148" s="343">
        <f t="shared" ref="S148" si="269">H148+Q148</f>
        <v>13.100000000000001</v>
      </c>
      <c r="T148" s="346">
        <f t="shared" si="256"/>
        <v>1.1461538461538461</v>
      </c>
      <c r="U148" s="346">
        <f t="shared" si="257"/>
        <v>1.1148936170212767</v>
      </c>
      <c r="V148" s="332">
        <f>IF(AND(N148&gt;0,$S148&gt;0),S148/$N148,0)</f>
        <v>0.52400000000000002</v>
      </c>
      <c r="W148" s="343">
        <f t="shared" si="264"/>
        <v>25</v>
      </c>
      <c r="X148" s="343">
        <f>+'1.Informe Seguimiento POA 2023'!S78</f>
        <v>6.75</v>
      </c>
      <c r="Y148" s="343">
        <f>+'1.Informe Seguimiento POA 2023'!O78+'1.Informe Seguimiento POA 2023'!Q78+'1.Informe Seguimiento POA 2023'!S78</f>
        <v>18.5</v>
      </c>
      <c r="Z148" s="343">
        <f>+'1.Informe Seguimiento POA 2023'!T78</f>
        <v>0</v>
      </c>
      <c r="AA148" s="343">
        <f>+'1.Informe Seguimiento POA 2023'!R78+'1.Informe Seguimiento POA 2023'!T78+'1.Informe Seguimiento POA 2023'!P78</f>
        <v>13.100000000000001</v>
      </c>
      <c r="AB148" s="343">
        <f t="shared" ref="AB148" si="270">H148+Q148+Z148</f>
        <v>13.100000000000001</v>
      </c>
      <c r="AC148" s="346">
        <f t="shared" si="258"/>
        <v>0</v>
      </c>
      <c r="AD148" s="346">
        <f t="shared" si="259"/>
        <v>0.7081081081081082</v>
      </c>
      <c r="AE148" s="332">
        <f>IF(AND(W148&gt;0,$AB148&gt;0),AB148/$W148,0)</f>
        <v>0.52400000000000002</v>
      </c>
      <c r="AF148" s="343">
        <f t="shared" si="265"/>
        <v>25</v>
      </c>
      <c r="AG148" s="343">
        <f>+'1.Informe Seguimiento POA 2023'!U78</f>
        <v>6.5</v>
      </c>
      <c r="AH148" s="343">
        <f>+'1.Informe Seguimiento POA 2023'!O78+'1.Informe Seguimiento POA 2023'!Q78+'1.Informe Seguimiento POA 2023'!S78+'1.Informe Seguimiento POA 2023'!U78</f>
        <v>25</v>
      </c>
      <c r="AI148" s="343">
        <f>+'1.Informe Seguimiento POA 2023'!V78</f>
        <v>0</v>
      </c>
      <c r="AJ148" s="369">
        <f>+'1.Informe Seguimiento POA 2023'!P78+'1.Informe Seguimiento POA 2023'!R78+'1.Informe Seguimiento POA 2023'!T78+'1.Informe Seguimiento POA 2023'!V78</f>
        <v>13.100000000000001</v>
      </c>
      <c r="AK148" s="369">
        <f t="shared" si="268"/>
        <v>13.100000000000001</v>
      </c>
      <c r="AL148" s="346">
        <f t="shared" si="260"/>
        <v>0</v>
      </c>
      <c r="AM148" s="346">
        <f t="shared" si="261"/>
        <v>0.52400000000000002</v>
      </c>
      <c r="AN148" s="332">
        <f>IF(AND(AF148&gt;0,$AK148&gt;0),AK148/$AF148,0)</f>
        <v>0.52400000000000002</v>
      </c>
      <c r="AO148" s="336" t="str">
        <f>+'Rango indicadores'!H77</f>
        <v>Mayor A:</v>
      </c>
      <c r="AP148" s="331">
        <f>+'Rango indicadores'!I77</f>
        <v>95</v>
      </c>
      <c r="AQ148" s="331" t="str">
        <f>+'Rango indicadores'!J77</f>
        <v>Desde (&gt;=):</v>
      </c>
      <c r="AR148" s="331">
        <f>+'Rango indicadores'!K77</f>
        <v>75</v>
      </c>
      <c r="AS148" s="331" t="str">
        <f>+'Rango indicadores'!L77</f>
        <v>Hasta (&lt;=):</v>
      </c>
      <c r="AT148" s="331">
        <f>+'Rango indicadores'!M77</f>
        <v>95</v>
      </c>
      <c r="AU148" s="331" t="str">
        <f>+'Rango indicadores'!N77</f>
        <v>Menor A:</v>
      </c>
      <c r="AV148" s="331">
        <f>+'Rango indicadores'!O77</f>
        <v>75</v>
      </c>
      <c r="AW148" s="427" t="s">
        <v>1229</v>
      </c>
      <c r="AX148" s="659"/>
      <c r="AY148" s="659"/>
      <c r="AZ148" s="426"/>
      <c r="BA148" s="350"/>
    </row>
    <row r="149" spans="2:53" ht="15.6">
      <c r="C149" s="1319" t="s">
        <v>826</v>
      </c>
      <c r="D149" s="1320"/>
      <c r="E149" s="1320"/>
      <c r="F149" s="1320"/>
      <c r="G149" s="1320"/>
      <c r="H149" s="1320"/>
      <c r="I149" s="1320"/>
      <c r="J149" s="1320"/>
      <c r="K149" s="334">
        <f>IFERROR(AVERAGE(K145:K148),0)</f>
        <v>1.0154829573934836</v>
      </c>
      <c r="L149" s="334">
        <f>IFERROR(AVERAGE(L145:L148),0)</f>
        <v>1.0154829573934836</v>
      </c>
      <c r="M149" s="334">
        <f>IFERROR(AVERAGE(M145:M148),0)</f>
        <v>0.23368026315789475</v>
      </c>
      <c r="N149" s="754"/>
      <c r="O149" s="754"/>
      <c r="P149" s="754"/>
      <c r="Q149" s="754"/>
      <c r="R149" s="754"/>
      <c r="S149" s="754"/>
      <c r="T149" s="334">
        <f>IFERROR(AVERAGE(T145:T148),0)</f>
        <v>1.0859294703103912</v>
      </c>
      <c r="U149" s="334">
        <f>IFERROR(AVERAGE(U145:U148),0)</f>
        <v>1.0550560307017545</v>
      </c>
      <c r="V149" s="334">
        <f>IFERROR(AVERAGE(V145:V148),0)</f>
        <v>0.51084375000000004</v>
      </c>
      <c r="W149" s="754"/>
      <c r="X149" s="754"/>
      <c r="Y149" s="754"/>
      <c r="Z149" s="754"/>
      <c r="AA149" s="754"/>
      <c r="AB149" s="754"/>
      <c r="AC149" s="334">
        <f>IFERROR(AVERAGE(AC145:AC148),0)</f>
        <v>0</v>
      </c>
      <c r="AD149" s="334">
        <f>IFERROR(AVERAGE(AD145:AD148),0)</f>
        <v>0.68602834479216046</v>
      </c>
      <c r="AE149" s="334">
        <f>IFERROR(AVERAGE(AE145:AE148),0)</f>
        <v>0.51092187499999997</v>
      </c>
      <c r="AF149" s="754"/>
      <c r="AG149" s="754"/>
      <c r="AH149" s="754"/>
      <c r="AI149" s="754"/>
      <c r="AJ149" s="754"/>
      <c r="AK149" s="755"/>
      <c r="AL149" s="334">
        <f>IFERROR(AVERAGE(AL145:AL148),0)</f>
        <v>0</v>
      </c>
      <c r="AM149" s="334">
        <f>IFERROR(AVERAGE(AM145:AM148),0)</f>
        <v>0.76318750000000013</v>
      </c>
      <c r="AN149" s="334">
        <f>IFERROR(AVERAGE(AN145:AN148),0)</f>
        <v>0.76318749999999991</v>
      </c>
      <c r="AO149" s="341"/>
      <c r="AP149" s="341"/>
      <c r="AQ149" s="341"/>
      <c r="AR149" s="341"/>
      <c r="AS149" s="341"/>
      <c r="AT149" s="341"/>
      <c r="AU149" s="341"/>
      <c r="AV149" s="341"/>
      <c r="AW149" s="428"/>
      <c r="AY149" s="483"/>
    </row>
    <row r="150" spans="2:53" s="324" customFormat="1" ht="22.2" customHeight="1" thickBot="1">
      <c r="D150" s="326"/>
      <c r="AW150" s="326"/>
      <c r="AY150" s="483"/>
      <c r="AZ150" s="310"/>
    </row>
    <row r="151" spans="2:53" s="324" customFormat="1" ht="16.2" thickBot="1">
      <c r="C151" s="327" t="s">
        <v>839</v>
      </c>
      <c r="D151" s="357"/>
      <c r="E151" s="1290" t="s">
        <v>1053</v>
      </c>
      <c r="F151" s="1291"/>
      <c r="G151" s="1291"/>
      <c r="H151" s="1291"/>
      <c r="I151" s="1291"/>
      <c r="J151" s="1291"/>
      <c r="K151" s="1291"/>
      <c r="L151" s="1291"/>
      <c r="M151" s="1292"/>
      <c r="N151" s="1293" t="s">
        <v>1054</v>
      </c>
      <c r="O151" s="1294"/>
      <c r="P151" s="1294"/>
      <c r="Q151" s="1294"/>
      <c r="R151" s="1294"/>
      <c r="S151" s="1294"/>
      <c r="T151" s="1294"/>
      <c r="U151" s="1294"/>
      <c r="V151" s="1295"/>
      <c r="W151" s="1287" t="s">
        <v>1055</v>
      </c>
      <c r="X151" s="1288"/>
      <c r="Y151" s="1288"/>
      <c r="Z151" s="1288"/>
      <c r="AA151" s="1288"/>
      <c r="AB151" s="1288"/>
      <c r="AC151" s="1288"/>
      <c r="AD151" s="1288"/>
      <c r="AE151" s="1289"/>
      <c r="AF151" s="1293" t="s">
        <v>1002</v>
      </c>
      <c r="AG151" s="1294"/>
      <c r="AH151" s="1294"/>
      <c r="AI151" s="1294"/>
      <c r="AJ151" s="1294"/>
      <c r="AK151" s="1294"/>
      <c r="AL151" s="1294"/>
      <c r="AM151" s="1294"/>
      <c r="AN151" s="1295"/>
      <c r="AW151" s="326"/>
      <c r="AY151" s="483"/>
      <c r="AZ151" s="310"/>
    </row>
    <row r="152" spans="2:53" ht="30.75" customHeight="1">
      <c r="C152" s="1284" t="str">
        <f>+$C$11</f>
        <v>Identificación del Indicador</v>
      </c>
      <c r="D152" s="1297" t="s">
        <v>821</v>
      </c>
      <c r="E152" s="1280" t="s">
        <v>822</v>
      </c>
      <c r="F152" s="1281"/>
      <c r="G152" s="1282"/>
      <c r="H152" s="1283" t="s">
        <v>1057</v>
      </c>
      <c r="I152" s="1285" t="str">
        <f>$I$9</f>
        <v>Ejecución 
Corte
31/03/2023</v>
      </c>
      <c r="J152" s="1283" t="s">
        <v>823</v>
      </c>
      <c r="K152" s="1283" t="s">
        <v>817</v>
      </c>
      <c r="L152" s="1283"/>
      <c r="M152" s="1283"/>
      <c r="N152" s="1280" t="s">
        <v>822</v>
      </c>
      <c r="O152" s="1281"/>
      <c r="P152" s="1282"/>
      <c r="Q152" s="1283" t="s">
        <v>1062</v>
      </c>
      <c r="R152" s="1285" t="str">
        <f>$R$9</f>
        <v>Ejecución 
Corte
30/06/2023</v>
      </c>
      <c r="S152" s="1283" t="s">
        <v>823</v>
      </c>
      <c r="T152" s="1283" t="s">
        <v>817</v>
      </c>
      <c r="U152" s="1283"/>
      <c r="V152" s="1283"/>
      <c r="W152" s="1280" t="s">
        <v>822</v>
      </c>
      <c r="X152" s="1281"/>
      <c r="Y152" s="1282"/>
      <c r="Z152" s="1283" t="s">
        <v>1063</v>
      </c>
      <c r="AA152" s="1285" t="s">
        <v>1059</v>
      </c>
      <c r="AB152" s="1283" t="s">
        <v>823</v>
      </c>
      <c r="AC152" s="1283" t="s">
        <v>817</v>
      </c>
      <c r="AD152" s="1283"/>
      <c r="AE152" s="1283"/>
      <c r="AF152" s="1280" t="s">
        <v>822</v>
      </c>
      <c r="AG152" s="1281"/>
      <c r="AH152" s="1282"/>
      <c r="AI152" s="1283" t="s">
        <v>1084</v>
      </c>
      <c r="AJ152" s="1285" t="s">
        <v>1085</v>
      </c>
      <c r="AK152" s="1283" t="s">
        <v>823</v>
      </c>
      <c r="AL152" s="1283" t="s">
        <v>817</v>
      </c>
      <c r="AM152" s="1283"/>
      <c r="AN152" s="1283"/>
      <c r="AO152" s="1296" t="s">
        <v>669</v>
      </c>
      <c r="AP152" s="1296"/>
      <c r="AQ152" s="1296"/>
      <c r="AR152" s="1296"/>
      <c r="AS152" s="1296"/>
      <c r="AT152" s="1296"/>
      <c r="AU152" s="1296"/>
      <c r="AV152" s="1296"/>
      <c r="AW152" s="1284" t="s">
        <v>842</v>
      </c>
      <c r="AY152" s="483"/>
    </row>
    <row r="153" spans="2:53" ht="63" customHeight="1">
      <c r="C153" s="1284"/>
      <c r="D153" s="1297"/>
      <c r="E153" s="907" t="str">
        <f>$E$9</f>
        <v>Año 2023</v>
      </c>
      <c r="F153" s="907" t="str">
        <f>+E151</f>
        <v>Primer Trimestre</v>
      </c>
      <c r="G153" s="908" t="str">
        <f>$G$9</f>
        <v>Acumulado
Corte 
31/03/2023</v>
      </c>
      <c r="H153" s="1284"/>
      <c r="I153" s="1286"/>
      <c r="J153" s="1284"/>
      <c r="K153" s="907" t="str">
        <f>+$D$6</f>
        <v>Segundo Trimestre</v>
      </c>
      <c r="L153" s="908" t="str">
        <f>$G$12</f>
        <v>Acumulado
Corte 
31/03/2023</v>
      </c>
      <c r="M153" s="909" t="s">
        <v>714</v>
      </c>
      <c r="N153" s="936" t="str">
        <f>$N$9</f>
        <v>Año 2023</v>
      </c>
      <c r="O153" s="907" t="str">
        <f>+N151</f>
        <v>Segundo Trimestre</v>
      </c>
      <c r="P153" s="951" t="str">
        <f>$P$9</f>
        <v>Acumulado
Corte 
30/06/2023</v>
      </c>
      <c r="Q153" s="1284"/>
      <c r="R153" s="1286"/>
      <c r="S153" s="1284"/>
      <c r="T153" s="950" t="str">
        <f>+O153</f>
        <v>Segundo Trimestre</v>
      </c>
      <c r="U153" s="951" t="str">
        <f>$P$12</f>
        <v>Acumulado
Corte 
30/06/2023</v>
      </c>
      <c r="V153" s="952" t="s">
        <v>714</v>
      </c>
      <c r="W153" s="907" t="s">
        <v>1064</v>
      </c>
      <c r="X153" s="907" t="str">
        <f>+W151</f>
        <v>Tercer Trimestre</v>
      </c>
      <c r="Y153" s="908" t="s">
        <v>1058</v>
      </c>
      <c r="Z153" s="1284"/>
      <c r="AA153" s="1286"/>
      <c r="AB153" s="1284"/>
      <c r="AC153" s="907" t="str">
        <f>+X153</f>
        <v>Tercer Trimestre</v>
      </c>
      <c r="AD153" s="908" t="str">
        <f>+Y153</f>
        <v>Acumulado Corte 
30/09/2022</v>
      </c>
      <c r="AE153" s="909" t="s">
        <v>714</v>
      </c>
      <c r="AF153" s="907" t="s">
        <v>1064</v>
      </c>
      <c r="AG153" s="907" t="s">
        <v>1083</v>
      </c>
      <c r="AH153" s="908" t="s">
        <v>1060</v>
      </c>
      <c r="AI153" s="1284"/>
      <c r="AJ153" s="1286"/>
      <c r="AK153" s="1284"/>
      <c r="AL153" s="907" t="str">
        <f>+AG153</f>
        <v>Cuarto Trimestre
31-12-2022</v>
      </c>
      <c r="AM153" s="908" t="str">
        <f>+AH153</f>
        <v>Acumulado Corte 
31/12/2022</v>
      </c>
      <c r="AN153" s="909" t="s">
        <v>714</v>
      </c>
      <c r="AO153" s="987" t="s">
        <v>824</v>
      </c>
      <c r="AP153" s="988"/>
      <c r="AQ153" s="989" t="s">
        <v>825</v>
      </c>
      <c r="AR153" s="990"/>
      <c r="AS153" s="990"/>
      <c r="AT153" s="991"/>
      <c r="AU153" s="992" t="s">
        <v>677</v>
      </c>
      <c r="AV153" s="993"/>
      <c r="AW153" s="1284"/>
      <c r="AY153" s="483"/>
    </row>
    <row r="154" spans="2:53" ht="98.4" customHeight="1">
      <c r="B154" s="328">
        <f>1+B148</f>
        <v>77</v>
      </c>
      <c r="C154" s="329" t="str">
        <f>+'Rango indicadores'!D78</f>
        <v>13-RI-01</v>
      </c>
      <c r="D154" s="329" t="str">
        <f>+'Rango indicadores'!E78</f>
        <v>Porcentaje de procesos judiciales en los que se vincule o demande a la Entidad, objeto de representación oportuna</v>
      </c>
      <c r="E154" s="333">
        <f>+'Rango indicadores'!Q78</f>
        <v>1</v>
      </c>
      <c r="F154" s="361">
        <f>'1.Informe Seguimiento POA 2023'!O79</f>
        <v>1</v>
      </c>
      <c r="G154" s="361">
        <f>'1.Informe Seguimiento POA 2023'!O79</f>
        <v>1</v>
      </c>
      <c r="H154" s="683">
        <f>'1.Informe Seguimiento POA 2023'!P79</f>
        <v>1</v>
      </c>
      <c r="I154" s="683">
        <f>'1.Informe Seguimiento POA 2023'!P79</f>
        <v>1</v>
      </c>
      <c r="J154" s="683">
        <f t="shared" ref="J154" si="271">I154</f>
        <v>1</v>
      </c>
      <c r="K154" s="346">
        <f t="shared" ref="K154" si="272">IF(AND(F154&gt;0),H154/F154,"No programado")</f>
        <v>1</v>
      </c>
      <c r="L154" s="346">
        <f t="shared" ref="L154" si="273">IF(AND(G154&gt;0),I154/G154,"No programado")</f>
        <v>1</v>
      </c>
      <c r="M154" s="332">
        <f>IF(AND(E154&gt;0,$J154&gt;0),J154/$E154,0)*0.25</f>
        <v>0.25</v>
      </c>
      <c r="N154" s="333">
        <f>+E154</f>
        <v>1</v>
      </c>
      <c r="O154" s="683">
        <f>+'1.Informe Seguimiento POA 2023'!Q79</f>
        <v>1</v>
      </c>
      <c r="P154" s="753">
        <f>IFERROR(AVERAGE(F154,O154),0)</f>
        <v>1</v>
      </c>
      <c r="Q154" s="683">
        <f>'1.Informe Seguimiento POA 2023'!R79</f>
        <v>1</v>
      </c>
      <c r="R154" s="333">
        <f>IFERROR(AVERAGE('1.Informe Seguimiento POA 2023'!P79,'1.Informe Seguimiento POA 2023'!R79),0)</f>
        <v>1</v>
      </c>
      <c r="S154" s="333">
        <f>IFERROR(IF(OR($N154="",$N154=0),0,ROUNDDOWN(AVERAGE($H154,Q154),3)),0)</f>
        <v>1</v>
      </c>
      <c r="T154" s="346">
        <f t="shared" ref="T154:T158" si="274">IF(AND(O154&gt;0),Q154/O154,"No programado")</f>
        <v>1</v>
      </c>
      <c r="U154" s="346">
        <f t="shared" ref="U154:U158" si="275">IF(AND(P154&gt;0),R154/P154,"No programado")</f>
        <v>1</v>
      </c>
      <c r="V154" s="332">
        <f>IF(AND(N154&gt;0,$S154&gt;0),S154/$N154,0)*0.5</f>
        <v>0.5</v>
      </c>
      <c r="W154" s="333">
        <f>+N154</f>
        <v>1</v>
      </c>
      <c r="X154" s="361">
        <f>+'1.Informe Seguimiento POA 2023'!S79</f>
        <v>1</v>
      </c>
      <c r="Y154" s="333">
        <f>IFERROR(AVERAGE('1.Informe Seguimiento POA 2023'!O79,'1.Informe Seguimiento POA 2023'!Q79,'1.Informe Seguimiento POA 2023'!S79),0)</f>
        <v>1</v>
      </c>
      <c r="Z154" s="333">
        <f>+'1.Informe Seguimiento POA 2023'!T79</f>
        <v>0</v>
      </c>
      <c r="AA154" s="333">
        <f>IFERROR(AVERAGE('1.Informe Seguimiento POA 2023'!R79,'1.Informe Seguimiento POA 2023'!P79,'1.Informe Seguimiento POA 2023'!T79),0)</f>
        <v>0.66666666666666663</v>
      </c>
      <c r="AB154" s="333">
        <f>IFERROR(IF(OR($W154="",$W154=0),0,ROUNDDOWN(AVERAGE($H154,Q154,Z154),3)),0)</f>
        <v>0.66600000000000004</v>
      </c>
      <c r="AC154" s="346">
        <f t="shared" ref="AC154:AC158" si="276">IF(AND(X154&gt;0),Z154/X154,"No programado")</f>
        <v>0</v>
      </c>
      <c r="AD154" s="346">
        <f t="shared" ref="AD154:AD158" si="277">IF(AND(Y154&gt;0),AA154/Y154,"No programado")</f>
        <v>0.66666666666666663</v>
      </c>
      <c r="AE154" s="332">
        <f>IF(AND(W154&gt;0,$AB154&gt;0),AB154/$W154,0)*0.75</f>
        <v>0.49950000000000006</v>
      </c>
      <c r="AF154" s="333">
        <f>+W154</f>
        <v>1</v>
      </c>
      <c r="AG154" s="333" t="e">
        <f>+'1.Informe Seguimiento POA 2023'!#REF!</f>
        <v>#REF!</v>
      </c>
      <c r="AH154" s="333">
        <f>IFERROR(AVERAGE('1.Informe Seguimiento POA 2023'!O79,'1.Informe Seguimiento POA 2023'!Q79,'1.Informe Seguimiento POA 2023'!S79,'1.Informe Seguimiento POA 2023'!#REF!),0)</f>
        <v>0</v>
      </c>
      <c r="AI154" s="333">
        <f>+'1.Informe Seguimiento POA 2023'!V79</f>
        <v>0</v>
      </c>
      <c r="AJ154" s="333">
        <f>IFERROR(AVERAGE('1.Informe Seguimiento POA 2023'!P79,'1.Informe Seguimiento POA 2023'!R79,'1.Informe Seguimiento POA 2023'!T79,'1.Informe Seguimiento POA 2023'!V79),0)</f>
        <v>0.5</v>
      </c>
      <c r="AK154" s="333">
        <f>IFERROR(IF(OR($W154="",$W154=0),0,ROUNDDOWN(AVERAGE($H154,Q154,Z154,AI154),3)),0)</f>
        <v>0.5</v>
      </c>
      <c r="AL154" s="346" t="e">
        <f t="shared" ref="AL154:AL158" si="278">IF(AND(AG154&gt;0),AI154/AG154,"No programado")</f>
        <v>#REF!</v>
      </c>
      <c r="AM154" s="346" t="str">
        <f t="shared" ref="AM154:AM158" si="279">IF(AND(AH154&gt;0),AJ154/AH154,"No programado")</f>
        <v>No programado</v>
      </c>
      <c r="AN154" s="332">
        <f>IF(AND(AF154&gt;0,$AK154&gt;0),AK154/$AF154,0)</f>
        <v>0.5</v>
      </c>
      <c r="AO154" s="336" t="str">
        <f>+'Rango indicadores'!H78</f>
        <v>Mayor A:</v>
      </c>
      <c r="AP154" s="331">
        <f>+'Rango indicadores'!I78</f>
        <v>95</v>
      </c>
      <c r="AQ154" s="331" t="str">
        <f>+'Rango indicadores'!J78</f>
        <v>Desde (&gt;=):</v>
      </c>
      <c r="AR154" s="331">
        <f>+'Rango indicadores'!K78</f>
        <v>75</v>
      </c>
      <c r="AS154" s="331" t="str">
        <f>+'Rango indicadores'!L78</f>
        <v>Hasta (&lt;=):</v>
      </c>
      <c r="AT154" s="331">
        <f>+'Rango indicadores'!M78</f>
        <v>95</v>
      </c>
      <c r="AU154" s="331" t="str">
        <f>+'Rango indicadores'!N78</f>
        <v>Menor A:</v>
      </c>
      <c r="AV154" s="331">
        <f>+'Rango indicadores'!O78</f>
        <v>75</v>
      </c>
      <c r="AW154" s="427" t="s">
        <v>1212</v>
      </c>
      <c r="AY154" s="483"/>
    </row>
    <row r="155" spans="2:53" ht="99" customHeight="1">
      <c r="B155" s="328">
        <f>B154+1</f>
        <v>78</v>
      </c>
      <c r="C155" s="329" t="str">
        <f>+'Rango indicadores'!D79</f>
        <v>13-RI-02</v>
      </c>
      <c r="D155" s="329" t="str">
        <f>+'Rango indicadores'!E79</f>
        <v xml:space="preserve">Porcentaje de acciones de tutela en las cuales se defienda judicialmente a la Entidad oportunamente </v>
      </c>
      <c r="E155" s="333">
        <f>+'Rango indicadores'!Q79</f>
        <v>1</v>
      </c>
      <c r="F155" s="361">
        <f>'1.Informe Seguimiento POA 2023'!O80</f>
        <v>1</v>
      </c>
      <c r="G155" s="361">
        <f>'1.Informe Seguimiento POA 2023'!O80</f>
        <v>1</v>
      </c>
      <c r="H155" s="683">
        <f>'1.Informe Seguimiento POA 2023'!P80</f>
        <v>1</v>
      </c>
      <c r="I155" s="683">
        <f>'1.Informe Seguimiento POA 2023'!P80</f>
        <v>1</v>
      </c>
      <c r="J155" s="683">
        <f t="shared" ref="J155:J158" si="280">I155</f>
        <v>1</v>
      </c>
      <c r="K155" s="346">
        <f t="shared" ref="K155:K158" si="281">IF(AND(F155&gt;0),H155/F155,"No programado")</f>
        <v>1</v>
      </c>
      <c r="L155" s="346">
        <f t="shared" ref="L155:L158" si="282">IF(AND(G155&gt;0),I155/G155,"No programado")</f>
        <v>1</v>
      </c>
      <c r="M155" s="332">
        <f t="shared" ref="M155:M158" si="283">IF(AND(E155&gt;0,$J155&gt;0),J155/$E155,0)*0.25</f>
        <v>0.25</v>
      </c>
      <c r="N155" s="333">
        <f t="shared" ref="N155:N158" si="284">+E155</f>
        <v>1</v>
      </c>
      <c r="O155" s="683">
        <f>+'1.Informe Seguimiento POA 2023'!Q80</f>
        <v>1</v>
      </c>
      <c r="P155" s="753">
        <f t="shared" ref="P155:P158" si="285">IFERROR(AVERAGE(F155,O155),0)</f>
        <v>1</v>
      </c>
      <c r="Q155" s="683">
        <f>'1.Informe Seguimiento POA 2023'!R80</f>
        <v>1</v>
      </c>
      <c r="R155" s="333">
        <f>IFERROR(AVERAGE('1.Informe Seguimiento POA 2023'!P80,'1.Informe Seguimiento POA 2023'!R80),0)</f>
        <v>1</v>
      </c>
      <c r="S155" s="333">
        <f t="shared" ref="S155:S158" si="286">IFERROR(IF(OR($N155="",$N155=0),0,ROUNDDOWN(AVERAGE($H155,Q155),3)),0)</f>
        <v>1</v>
      </c>
      <c r="T155" s="346">
        <f t="shared" si="274"/>
        <v>1</v>
      </c>
      <c r="U155" s="346">
        <f t="shared" si="275"/>
        <v>1</v>
      </c>
      <c r="V155" s="332">
        <f>IF(AND(N155&gt;0,$S155&gt;0),S155/$N155,0)*0.5</f>
        <v>0.5</v>
      </c>
      <c r="W155" s="333">
        <f t="shared" ref="W155:W158" si="287">+N155</f>
        <v>1</v>
      </c>
      <c r="X155" s="361">
        <f>+'1.Informe Seguimiento POA 2023'!S80</f>
        <v>1</v>
      </c>
      <c r="Y155" s="333">
        <f>IFERROR(AVERAGE('1.Informe Seguimiento POA 2023'!O80,'1.Informe Seguimiento POA 2023'!Q80,'1.Informe Seguimiento POA 2023'!S80),0)</f>
        <v>1</v>
      </c>
      <c r="Z155" s="333">
        <f>+'1.Informe Seguimiento POA 2023'!T80</f>
        <v>0</v>
      </c>
      <c r="AA155" s="333">
        <f>IFERROR(AVERAGE('1.Informe Seguimiento POA 2023'!R80,'1.Informe Seguimiento POA 2023'!P80,'1.Informe Seguimiento POA 2023'!T80),0)</f>
        <v>0.66666666666666663</v>
      </c>
      <c r="AB155" s="333">
        <f t="shared" ref="AB155:AB158" si="288">IFERROR(IF(OR($W155="",$W155=0),0,ROUNDDOWN(AVERAGE($H155,Q155,Z155),3)),0)</f>
        <v>0.66600000000000004</v>
      </c>
      <c r="AC155" s="346">
        <f t="shared" si="276"/>
        <v>0</v>
      </c>
      <c r="AD155" s="346">
        <f t="shared" si="277"/>
        <v>0.66666666666666663</v>
      </c>
      <c r="AE155" s="332">
        <f>IF(AND(W155&gt;0,$AB155&gt;0),AB155/$W155,0)*0.75</f>
        <v>0.49950000000000006</v>
      </c>
      <c r="AF155" s="333">
        <f t="shared" ref="AF155:AF158" si="289">+W155</f>
        <v>1</v>
      </c>
      <c r="AG155" s="333" t="e">
        <f>+'1.Informe Seguimiento POA 2023'!#REF!</f>
        <v>#REF!</v>
      </c>
      <c r="AH155" s="333">
        <f>IFERROR(AVERAGE('1.Informe Seguimiento POA 2023'!O80,'1.Informe Seguimiento POA 2023'!Q80,'1.Informe Seguimiento POA 2023'!S80,'1.Informe Seguimiento POA 2023'!#REF!),0)</f>
        <v>0</v>
      </c>
      <c r="AI155" s="333">
        <f>+'1.Informe Seguimiento POA 2023'!V80</f>
        <v>0</v>
      </c>
      <c r="AJ155" s="333">
        <f>IFERROR(AVERAGE('1.Informe Seguimiento POA 2023'!P80,'1.Informe Seguimiento POA 2023'!R80,'1.Informe Seguimiento POA 2023'!T80,'1.Informe Seguimiento POA 2023'!V80),0)</f>
        <v>0.5</v>
      </c>
      <c r="AK155" s="333">
        <f t="shared" ref="AK155:AK158" si="290">IFERROR(IF(OR($W155="",$W155=0),0,ROUNDDOWN(AVERAGE($H155,Q155,Z155,AI155),3)),0)</f>
        <v>0.5</v>
      </c>
      <c r="AL155" s="346" t="e">
        <f t="shared" si="278"/>
        <v>#REF!</v>
      </c>
      <c r="AM155" s="346" t="str">
        <f t="shared" si="279"/>
        <v>No programado</v>
      </c>
      <c r="AN155" s="332">
        <f>IF(AND(AF155&gt;0,$AK155&gt;0),AK155/$AF155,0)</f>
        <v>0.5</v>
      </c>
      <c r="AO155" s="336" t="str">
        <f>+'Rango indicadores'!H79</f>
        <v>Mayor A:</v>
      </c>
      <c r="AP155" s="331">
        <f>+'Rango indicadores'!I79</f>
        <v>95</v>
      </c>
      <c r="AQ155" s="331" t="str">
        <f>+'Rango indicadores'!J79</f>
        <v>Desde (&gt;=):</v>
      </c>
      <c r="AR155" s="331">
        <f>+'Rango indicadores'!K79</f>
        <v>75</v>
      </c>
      <c r="AS155" s="331" t="str">
        <f>+'Rango indicadores'!L79</f>
        <v>Hasta (&lt;=):</v>
      </c>
      <c r="AT155" s="331">
        <f>+'Rango indicadores'!M79</f>
        <v>95</v>
      </c>
      <c r="AU155" s="331" t="str">
        <f>+'Rango indicadores'!N79</f>
        <v>Menor A:</v>
      </c>
      <c r="AV155" s="331">
        <f>+'Rango indicadores'!O79</f>
        <v>75</v>
      </c>
      <c r="AW155" s="427" t="s">
        <v>1158</v>
      </c>
      <c r="AY155" s="483"/>
    </row>
    <row r="156" spans="2:53" ht="99" customHeight="1">
      <c r="B156" s="328">
        <f t="shared" ref="B156:B158" si="291">B155+1</f>
        <v>79</v>
      </c>
      <c r="C156" s="329" t="str">
        <f>+'Rango indicadores'!D80</f>
        <v>13-RI-03</v>
      </c>
      <c r="D156" s="329" t="str">
        <f>+'Rango indicadores'!E80</f>
        <v>Porcentaje de conceptos de competencia de la dependencia emitidos oportunamente</v>
      </c>
      <c r="E156" s="333">
        <f>+'Rango indicadores'!Q80</f>
        <v>1</v>
      </c>
      <c r="F156" s="361">
        <f>'1.Informe Seguimiento POA 2023'!O81</f>
        <v>1</v>
      </c>
      <c r="G156" s="361">
        <f>'1.Informe Seguimiento POA 2023'!O81</f>
        <v>1</v>
      </c>
      <c r="H156" s="683">
        <f>'1.Informe Seguimiento POA 2023'!P81</f>
        <v>1</v>
      </c>
      <c r="I156" s="683">
        <f>'1.Informe Seguimiento POA 2023'!P81</f>
        <v>1</v>
      </c>
      <c r="J156" s="683">
        <f t="shared" si="280"/>
        <v>1</v>
      </c>
      <c r="K156" s="346">
        <f t="shared" si="281"/>
        <v>1</v>
      </c>
      <c r="L156" s="346">
        <f t="shared" si="282"/>
        <v>1</v>
      </c>
      <c r="M156" s="332">
        <f t="shared" si="283"/>
        <v>0.25</v>
      </c>
      <c r="N156" s="333">
        <f t="shared" si="284"/>
        <v>1</v>
      </c>
      <c r="O156" s="683">
        <f>+'1.Informe Seguimiento POA 2023'!Q81</f>
        <v>1</v>
      </c>
      <c r="P156" s="753">
        <f t="shared" si="285"/>
        <v>1</v>
      </c>
      <c r="Q156" s="683">
        <f>'1.Informe Seguimiento POA 2023'!R81</f>
        <v>1</v>
      </c>
      <c r="R156" s="333">
        <f>IFERROR(AVERAGE('1.Informe Seguimiento POA 2023'!P81,'1.Informe Seguimiento POA 2023'!R81),0)</f>
        <v>1</v>
      </c>
      <c r="S156" s="333">
        <f t="shared" si="286"/>
        <v>1</v>
      </c>
      <c r="T156" s="346">
        <f t="shared" si="274"/>
        <v>1</v>
      </c>
      <c r="U156" s="346">
        <f t="shared" si="275"/>
        <v>1</v>
      </c>
      <c r="V156" s="332">
        <f>IF(AND(N156&gt;0,$S156&gt;0),S156/$N156,0)*0.5</f>
        <v>0.5</v>
      </c>
      <c r="W156" s="333">
        <f t="shared" si="287"/>
        <v>1</v>
      </c>
      <c r="X156" s="361">
        <f>+'1.Informe Seguimiento POA 2023'!S81</f>
        <v>1</v>
      </c>
      <c r="Y156" s="333">
        <f>IFERROR(AVERAGE('1.Informe Seguimiento POA 2023'!O81,'1.Informe Seguimiento POA 2023'!Q81,'1.Informe Seguimiento POA 2023'!S81),0)</f>
        <v>1</v>
      </c>
      <c r="Z156" s="333">
        <f>+'1.Informe Seguimiento POA 2023'!T81</f>
        <v>0</v>
      </c>
      <c r="AA156" s="333">
        <f>IFERROR(AVERAGE('1.Informe Seguimiento POA 2023'!R81,'1.Informe Seguimiento POA 2023'!P81,'1.Informe Seguimiento POA 2023'!T81),0)</f>
        <v>0.66666666666666663</v>
      </c>
      <c r="AB156" s="333">
        <f t="shared" si="288"/>
        <v>0.66600000000000004</v>
      </c>
      <c r="AC156" s="346">
        <f t="shared" si="276"/>
        <v>0</v>
      </c>
      <c r="AD156" s="346">
        <f t="shared" si="277"/>
        <v>0.66666666666666663</v>
      </c>
      <c r="AE156" s="332">
        <f>IF(AND(W156&gt;0,$AB156&gt;0),AB156/$W156,0)*0.75</f>
        <v>0.49950000000000006</v>
      </c>
      <c r="AF156" s="333">
        <f t="shared" si="289"/>
        <v>1</v>
      </c>
      <c r="AG156" s="333" t="e">
        <f>+'1.Informe Seguimiento POA 2023'!#REF!</f>
        <v>#REF!</v>
      </c>
      <c r="AH156" s="333">
        <f>IFERROR(AVERAGE('1.Informe Seguimiento POA 2023'!O81,'1.Informe Seguimiento POA 2023'!Q81,'1.Informe Seguimiento POA 2023'!S81,'1.Informe Seguimiento POA 2023'!#REF!),0)</f>
        <v>0</v>
      </c>
      <c r="AI156" s="333">
        <f>+'1.Informe Seguimiento POA 2023'!V81</f>
        <v>0</v>
      </c>
      <c r="AJ156" s="333">
        <f>IFERROR(AVERAGE('1.Informe Seguimiento POA 2023'!P81,'1.Informe Seguimiento POA 2023'!R81,'1.Informe Seguimiento POA 2023'!T81,'1.Informe Seguimiento POA 2023'!V81),0)</f>
        <v>0.5</v>
      </c>
      <c r="AK156" s="333">
        <f t="shared" si="290"/>
        <v>0.5</v>
      </c>
      <c r="AL156" s="346" t="e">
        <f t="shared" si="278"/>
        <v>#REF!</v>
      </c>
      <c r="AM156" s="346" t="str">
        <f t="shared" si="279"/>
        <v>No programado</v>
      </c>
      <c r="AN156" s="332">
        <f>IF(AND(AF156&gt;0,$AK156&gt;0),AK156/$AF156,0)</f>
        <v>0.5</v>
      </c>
      <c r="AO156" s="336" t="str">
        <f>+'Rango indicadores'!H80</f>
        <v>Mayor A:</v>
      </c>
      <c r="AP156" s="331">
        <f>+'Rango indicadores'!I80</f>
        <v>95</v>
      </c>
      <c r="AQ156" s="331" t="str">
        <f>+'Rango indicadores'!J80</f>
        <v>Desde (&gt;=):</v>
      </c>
      <c r="AR156" s="331">
        <f>+'Rango indicadores'!K80</f>
        <v>75</v>
      </c>
      <c r="AS156" s="331" t="str">
        <f>+'Rango indicadores'!L80</f>
        <v>Hasta (&lt;=):</v>
      </c>
      <c r="AT156" s="331">
        <f>+'Rango indicadores'!M80</f>
        <v>95</v>
      </c>
      <c r="AU156" s="331" t="str">
        <f>+'Rango indicadores'!N80</f>
        <v>Menor A:</v>
      </c>
      <c r="AV156" s="331">
        <f>+'Rango indicadores'!O80</f>
        <v>75</v>
      </c>
      <c r="AW156" s="427" t="s">
        <v>1212</v>
      </c>
      <c r="AY156" s="483"/>
    </row>
    <row r="157" spans="2:53" ht="99" customHeight="1">
      <c r="B157" s="328">
        <f t="shared" si="291"/>
        <v>80</v>
      </c>
      <c r="C157" s="329" t="str">
        <f>+'Rango indicadores'!D81</f>
        <v>13-RI-04</v>
      </c>
      <c r="D157" s="329" t="str">
        <f>+'Rango indicadores'!E81</f>
        <v>Porcentaje de reportes de la base de datos de sanciones disciplinarias registrados</v>
      </c>
      <c r="E157" s="333">
        <f>+'Rango indicadores'!Q81</f>
        <v>1</v>
      </c>
      <c r="F157" s="361">
        <f>'1.Informe Seguimiento POA 2023'!O82</f>
        <v>1</v>
      </c>
      <c r="G157" s="361">
        <f>'1.Informe Seguimiento POA 2023'!O82</f>
        <v>1</v>
      </c>
      <c r="H157" s="683">
        <f>'1.Informe Seguimiento POA 2023'!P82</f>
        <v>1</v>
      </c>
      <c r="I157" s="683">
        <f>'1.Informe Seguimiento POA 2023'!P82</f>
        <v>1</v>
      </c>
      <c r="J157" s="683">
        <f t="shared" si="280"/>
        <v>1</v>
      </c>
      <c r="K157" s="346">
        <f t="shared" si="281"/>
        <v>1</v>
      </c>
      <c r="L157" s="346">
        <f t="shared" si="282"/>
        <v>1</v>
      </c>
      <c r="M157" s="332">
        <f t="shared" si="283"/>
        <v>0.25</v>
      </c>
      <c r="N157" s="333">
        <f t="shared" si="284"/>
        <v>1</v>
      </c>
      <c r="O157" s="683">
        <f>+'1.Informe Seguimiento POA 2023'!Q82</f>
        <v>1</v>
      </c>
      <c r="P157" s="753">
        <f t="shared" si="285"/>
        <v>1</v>
      </c>
      <c r="Q157" s="683">
        <f>'1.Informe Seguimiento POA 2023'!R82</f>
        <v>1</v>
      </c>
      <c r="R157" s="333">
        <f>IFERROR(AVERAGE('1.Informe Seguimiento POA 2023'!P82,'1.Informe Seguimiento POA 2023'!R82),0)</f>
        <v>1</v>
      </c>
      <c r="S157" s="333">
        <f t="shared" si="286"/>
        <v>1</v>
      </c>
      <c r="T157" s="346">
        <f t="shared" si="274"/>
        <v>1</v>
      </c>
      <c r="U157" s="346">
        <f t="shared" si="275"/>
        <v>1</v>
      </c>
      <c r="V157" s="332">
        <f>IF(AND(N157&gt;0,$S157&gt;0),S157/$N157,0)*0.5</f>
        <v>0.5</v>
      </c>
      <c r="W157" s="333">
        <f t="shared" si="287"/>
        <v>1</v>
      </c>
      <c r="X157" s="361">
        <f>+'1.Informe Seguimiento POA 2023'!S82</f>
        <v>1</v>
      </c>
      <c r="Y157" s="333">
        <f>IFERROR(AVERAGE('1.Informe Seguimiento POA 2023'!O82,'1.Informe Seguimiento POA 2023'!Q82,'1.Informe Seguimiento POA 2023'!S82),0)</f>
        <v>1</v>
      </c>
      <c r="Z157" s="333">
        <f>+'1.Informe Seguimiento POA 2023'!T82</f>
        <v>0</v>
      </c>
      <c r="AA157" s="333">
        <f>IFERROR(AVERAGE('1.Informe Seguimiento POA 2023'!R82,'1.Informe Seguimiento POA 2023'!P82,'1.Informe Seguimiento POA 2023'!T82),0)</f>
        <v>0.66666666666666663</v>
      </c>
      <c r="AB157" s="333">
        <f t="shared" si="288"/>
        <v>0.66600000000000004</v>
      </c>
      <c r="AC157" s="346">
        <f t="shared" si="276"/>
        <v>0</v>
      </c>
      <c r="AD157" s="346">
        <f t="shared" si="277"/>
        <v>0.66666666666666663</v>
      </c>
      <c r="AE157" s="332">
        <f>IF(AND(W157&gt;0,$AB157&gt;0),AB157/$W157,0)*0.75</f>
        <v>0.49950000000000006</v>
      </c>
      <c r="AF157" s="333">
        <f t="shared" si="289"/>
        <v>1</v>
      </c>
      <c r="AG157" s="333" t="e">
        <f>+'1.Informe Seguimiento POA 2023'!#REF!</f>
        <v>#REF!</v>
      </c>
      <c r="AH157" s="333">
        <f>IFERROR(AVERAGE('1.Informe Seguimiento POA 2023'!O82,'1.Informe Seguimiento POA 2023'!Q82,'1.Informe Seguimiento POA 2023'!S82,'1.Informe Seguimiento POA 2023'!#REF!),0)</f>
        <v>0</v>
      </c>
      <c r="AI157" s="333">
        <f>+'1.Informe Seguimiento POA 2023'!V82</f>
        <v>0</v>
      </c>
      <c r="AJ157" s="333">
        <f>IFERROR(AVERAGE('1.Informe Seguimiento POA 2023'!P82,'1.Informe Seguimiento POA 2023'!R82,'1.Informe Seguimiento POA 2023'!T82,'1.Informe Seguimiento POA 2023'!V82),0)</f>
        <v>0.5</v>
      </c>
      <c r="AK157" s="333">
        <f t="shared" si="290"/>
        <v>0.5</v>
      </c>
      <c r="AL157" s="346" t="e">
        <f t="shared" si="278"/>
        <v>#REF!</v>
      </c>
      <c r="AM157" s="346" t="str">
        <f t="shared" si="279"/>
        <v>No programado</v>
      </c>
      <c r="AN157" s="332">
        <f>IF(AND(AF157&gt;0,$AK157&gt;0),AK157/$AF157,0)</f>
        <v>0.5</v>
      </c>
      <c r="AO157" s="336" t="str">
        <f>+'Rango indicadores'!H81</f>
        <v>Mayor A:</v>
      </c>
      <c r="AP157" s="331">
        <f>+'Rango indicadores'!I81</f>
        <v>95</v>
      </c>
      <c r="AQ157" s="331" t="str">
        <f>+'Rango indicadores'!J81</f>
        <v>Desde (&gt;=):</v>
      </c>
      <c r="AR157" s="331">
        <f>+'Rango indicadores'!K81</f>
        <v>75</v>
      </c>
      <c r="AS157" s="331" t="str">
        <f>+'Rango indicadores'!L81</f>
        <v>Hasta (&lt;=):</v>
      </c>
      <c r="AT157" s="331">
        <f>+'Rango indicadores'!M81</f>
        <v>95</v>
      </c>
      <c r="AU157" s="331" t="str">
        <f>+'Rango indicadores'!N81</f>
        <v>Menor A:</v>
      </c>
      <c r="AV157" s="331">
        <f>+'Rango indicadores'!O81</f>
        <v>75</v>
      </c>
      <c r="AW157" s="427" t="s">
        <v>1212</v>
      </c>
      <c r="AY157" s="483"/>
    </row>
    <row r="158" spans="2:53" ht="99" customHeight="1">
      <c r="B158" s="328">
        <f t="shared" si="291"/>
        <v>81</v>
      </c>
      <c r="C158" s="329" t="str">
        <f>+'Rango indicadores'!D82</f>
        <v>13-RI-05</v>
      </c>
      <c r="D158" s="329" t="str">
        <f>+'Rango indicadores'!E82</f>
        <v>Porcentaje de antecedentes disciplinarios expedidos</v>
      </c>
      <c r="E158" s="333">
        <f>+'Rango indicadores'!Q82</f>
        <v>1</v>
      </c>
      <c r="F158" s="361">
        <f>'1.Informe Seguimiento POA 2023'!O83</f>
        <v>1</v>
      </c>
      <c r="G158" s="361">
        <f>'1.Informe Seguimiento POA 2023'!O83</f>
        <v>1</v>
      </c>
      <c r="H158" s="683">
        <f>'1.Informe Seguimiento POA 2023'!P83</f>
        <v>1</v>
      </c>
      <c r="I158" s="683">
        <f>'1.Informe Seguimiento POA 2023'!P83</f>
        <v>1</v>
      </c>
      <c r="J158" s="683">
        <f t="shared" si="280"/>
        <v>1</v>
      </c>
      <c r="K158" s="346">
        <f t="shared" si="281"/>
        <v>1</v>
      </c>
      <c r="L158" s="346">
        <f t="shared" si="282"/>
        <v>1</v>
      </c>
      <c r="M158" s="332">
        <f t="shared" si="283"/>
        <v>0.25</v>
      </c>
      <c r="N158" s="333">
        <f t="shared" si="284"/>
        <v>1</v>
      </c>
      <c r="O158" s="683">
        <f>+'1.Informe Seguimiento POA 2023'!Q83</f>
        <v>1</v>
      </c>
      <c r="P158" s="753">
        <f t="shared" si="285"/>
        <v>1</v>
      </c>
      <c r="Q158" s="683">
        <f>'1.Informe Seguimiento POA 2023'!R83</f>
        <v>1</v>
      </c>
      <c r="R158" s="333">
        <f>IFERROR(AVERAGE('1.Informe Seguimiento POA 2023'!P83,'1.Informe Seguimiento POA 2023'!R83),0)</f>
        <v>1</v>
      </c>
      <c r="S158" s="333">
        <f t="shared" si="286"/>
        <v>1</v>
      </c>
      <c r="T158" s="346">
        <f t="shared" si="274"/>
        <v>1</v>
      </c>
      <c r="U158" s="346">
        <f t="shared" si="275"/>
        <v>1</v>
      </c>
      <c r="V158" s="332">
        <f>IF(AND(N158&gt;0,$S158&gt;0),S158/$N158,0)*0.5</f>
        <v>0.5</v>
      </c>
      <c r="W158" s="333">
        <f t="shared" si="287"/>
        <v>1</v>
      </c>
      <c r="X158" s="361">
        <f>+'1.Informe Seguimiento POA 2023'!S83</f>
        <v>1</v>
      </c>
      <c r="Y158" s="333">
        <f>IFERROR(AVERAGE('1.Informe Seguimiento POA 2023'!O83,'1.Informe Seguimiento POA 2023'!Q83,'1.Informe Seguimiento POA 2023'!S83),0)</f>
        <v>1</v>
      </c>
      <c r="Z158" s="333">
        <f>+'1.Informe Seguimiento POA 2023'!T83</f>
        <v>0</v>
      </c>
      <c r="AA158" s="333">
        <f>IFERROR(AVERAGE('1.Informe Seguimiento POA 2023'!R83,'1.Informe Seguimiento POA 2023'!P83,'1.Informe Seguimiento POA 2023'!T83),0)</f>
        <v>0.66666666666666663</v>
      </c>
      <c r="AB158" s="333">
        <f t="shared" si="288"/>
        <v>0.66600000000000004</v>
      </c>
      <c r="AC158" s="346">
        <f t="shared" si="276"/>
        <v>0</v>
      </c>
      <c r="AD158" s="346">
        <f t="shared" si="277"/>
        <v>0.66666666666666663</v>
      </c>
      <c r="AE158" s="332">
        <f>IF(AND(W158&gt;0,$AB158&gt;0),AB158/$W158,0)*0.75</f>
        <v>0.49950000000000006</v>
      </c>
      <c r="AF158" s="333">
        <f t="shared" si="289"/>
        <v>1</v>
      </c>
      <c r="AG158" s="333" t="e">
        <f>+'1.Informe Seguimiento POA 2023'!#REF!</f>
        <v>#REF!</v>
      </c>
      <c r="AH158" s="333">
        <f>IFERROR(AVERAGE('1.Informe Seguimiento POA 2023'!O83,'1.Informe Seguimiento POA 2023'!Q83,'1.Informe Seguimiento POA 2023'!S83,'1.Informe Seguimiento POA 2023'!#REF!),0)</f>
        <v>0</v>
      </c>
      <c r="AI158" s="333">
        <f>+'1.Informe Seguimiento POA 2023'!V83</f>
        <v>0</v>
      </c>
      <c r="AJ158" s="333">
        <f>IFERROR(AVERAGE('1.Informe Seguimiento POA 2023'!P83,'1.Informe Seguimiento POA 2023'!R83,'1.Informe Seguimiento POA 2023'!T83,'1.Informe Seguimiento POA 2023'!V83),0)</f>
        <v>0.5</v>
      </c>
      <c r="AK158" s="333">
        <f t="shared" si="290"/>
        <v>0.5</v>
      </c>
      <c r="AL158" s="346" t="e">
        <f t="shared" si="278"/>
        <v>#REF!</v>
      </c>
      <c r="AM158" s="346" t="str">
        <f t="shared" si="279"/>
        <v>No programado</v>
      </c>
      <c r="AN158" s="332">
        <f>IF(AND(AF158&gt;0,$AK158&gt;0),AK158/$AF158,0)</f>
        <v>0.5</v>
      </c>
      <c r="AO158" s="336" t="str">
        <f>+'Rango indicadores'!H82</f>
        <v>Mayor A:</v>
      </c>
      <c r="AP158" s="331">
        <f>+'Rango indicadores'!I82</f>
        <v>95</v>
      </c>
      <c r="AQ158" s="331" t="str">
        <f>+'Rango indicadores'!J82</f>
        <v>Desde (&gt;=):</v>
      </c>
      <c r="AR158" s="331">
        <f>+'Rango indicadores'!K82</f>
        <v>75</v>
      </c>
      <c r="AS158" s="331" t="str">
        <f>+'Rango indicadores'!L82</f>
        <v>Hasta (&lt;=):</v>
      </c>
      <c r="AT158" s="331">
        <f>+'Rango indicadores'!M82</f>
        <v>95</v>
      </c>
      <c r="AU158" s="331" t="str">
        <f>+'Rango indicadores'!N82</f>
        <v>Menor A:</v>
      </c>
      <c r="AV158" s="331">
        <f>+'Rango indicadores'!O82</f>
        <v>75</v>
      </c>
      <c r="AW158" s="427" t="s">
        <v>1212</v>
      </c>
      <c r="AY158" s="483"/>
    </row>
    <row r="159" spans="2:53" ht="15.6">
      <c r="C159" s="1319" t="s">
        <v>826</v>
      </c>
      <c r="D159" s="1320"/>
      <c r="E159" s="1320"/>
      <c r="F159" s="1320"/>
      <c r="G159" s="1320"/>
      <c r="H159" s="1320"/>
      <c r="I159" s="1320"/>
      <c r="J159" s="1320"/>
      <c r="K159" s="334">
        <f>IFERROR(AVERAGE(K154:K158),0)</f>
        <v>1</v>
      </c>
      <c r="L159" s="334">
        <f>IFERROR(AVERAGE(L154:L158),0)</f>
        <v>1</v>
      </c>
      <c r="M159" s="334">
        <f>IFERROR(AVERAGE(M154:M158),0)</f>
        <v>0.25</v>
      </c>
      <c r="N159" s="754"/>
      <c r="O159" s="754"/>
      <c r="P159" s="754"/>
      <c r="Q159" s="754"/>
      <c r="R159" s="754"/>
      <c r="S159" s="754"/>
      <c r="T159" s="334">
        <f>IFERROR(AVERAGE(T154:T158),0)</f>
        <v>1</v>
      </c>
      <c r="U159" s="334">
        <f>IFERROR(AVERAGE(U154:U158),0)</f>
        <v>1</v>
      </c>
      <c r="V159" s="334">
        <f>IFERROR(AVERAGE(V154:V158),0)</f>
        <v>0.5</v>
      </c>
      <c r="W159" s="754"/>
      <c r="X159" s="754"/>
      <c r="Y159" s="754"/>
      <c r="Z159" s="754"/>
      <c r="AA159" s="754"/>
      <c r="AB159" s="754"/>
      <c r="AC159" s="334">
        <f>IFERROR(AVERAGE(AC154:AC158),0)</f>
        <v>0</v>
      </c>
      <c r="AD159" s="334">
        <f>IFERROR(AVERAGE(AD154:AD158),0)</f>
        <v>0.66666666666666663</v>
      </c>
      <c r="AE159" s="334">
        <f>IFERROR(AVERAGE(AE154:AE158),0)</f>
        <v>0.49950000000000011</v>
      </c>
      <c r="AF159" s="754"/>
      <c r="AG159" s="754"/>
      <c r="AH159" s="754"/>
      <c r="AI159" s="754"/>
      <c r="AJ159" s="754"/>
      <c r="AK159" s="755"/>
      <c r="AL159" s="334">
        <f>IFERROR(AVERAGE(AL154:AL158),0)</f>
        <v>0</v>
      </c>
      <c r="AM159" s="334">
        <f>IFERROR(AVERAGE(AM154:AM158),0)</f>
        <v>0</v>
      </c>
      <c r="AN159" s="334">
        <f>IFERROR(AVERAGE(AN154:AN158),0)</f>
        <v>0.5</v>
      </c>
      <c r="AO159" s="341"/>
      <c r="AP159" s="341"/>
      <c r="AQ159" s="341"/>
      <c r="AR159" s="341"/>
      <c r="AS159" s="341"/>
      <c r="AT159" s="341"/>
      <c r="AU159" s="341"/>
      <c r="AV159" s="341"/>
      <c r="AW159" s="428"/>
      <c r="AY159" s="483"/>
    </row>
    <row r="160" spans="2:53" ht="25.2" customHeight="1" thickBot="1">
      <c r="C160" s="353"/>
      <c r="D160" s="360"/>
      <c r="E160" s="353"/>
      <c r="F160" s="353"/>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353"/>
      <c r="AK160" s="353"/>
      <c r="AL160" s="323"/>
      <c r="AM160" s="323"/>
      <c r="AN160" s="341"/>
      <c r="AO160" s="341"/>
      <c r="AP160" s="341"/>
      <c r="AQ160" s="341"/>
      <c r="AR160" s="341"/>
      <c r="AS160" s="341"/>
      <c r="AT160" s="341"/>
      <c r="AU160" s="341"/>
      <c r="AV160" s="341"/>
      <c r="AW160" s="428"/>
      <c r="AY160" s="483"/>
    </row>
    <row r="161" spans="2:52" s="324" customFormat="1" ht="16.2" thickBot="1">
      <c r="C161" s="327" t="s">
        <v>840</v>
      </c>
      <c r="D161" s="357"/>
      <c r="E161" s="1290" t="s">
        <v>1053</v>
      </c>
      <c r="F161" s="1291"/>
      <c r="G161" s="1291"/>
      <c r="H161" s="1291"/>
      <c r="I161" s="1291"/>
      <c r="J161" s="1291"/>
      <c r="K161" s="1291"/>
      <c r="L161" s="1291"/>
      <c r="M161" s="1292"/>
      <c r="N161" s="1293" t="s">
        <v>1054</v>
      </c>
      <c r="O161" s="1294"/>
      <c r="P161" s="1294"/>
      <c r="Q161" s="1294"/>
      <c r="R161" s="1294"/>
      <c r="S161" s="1294"/>
      <c r="T161" s="1294"/>
      <c r="U161" s="1294"/>
      <c r="V161" s="1295"/>
      <c r="W161" s="1287" t="s">
        <v>1055</v>
      </c>
      <c r="X161" s="1288"/>
      <c r="Y161" s="1288"/>
      <c r="Z161" s="1288"/>
      <c r="AA161" s="1288"/>
      <c r="AB161" s="1288"/>
      <c r="AC161" s="1288"/>
      <c r="AD161" s="1288"/>
      <c r="AE161" s="1289"/>
      <c r="AF161" s="1293" t="s">
        <v>1002</v>
      </c>
      <c r="AG161" s="1294"/>
      <c r="AH161" s="1294"/>
      <c r="AI161" s="1294"/>
      <c r="AJ161" s="1294"/>
      <c r="AK161" s="1294"/>
      <c r="AL161" s="1294"/>
      <c r="AM161" s="1294"/>
      <c r="AN161" s="1295"/>
      <c r="AW161" s="326"/>
      <c r="AY161" s="483"/>
      <c r="AZ161" s="310"/>
    </row>
    <row r="162" spans="2:52" ht="27" customHeight="1">
      <c r="C162" s="1284" t="str">
        <f>+$C$11</f>
        <v>Identificación del Indicador</v>
      </c>
      <c r="D162" s="1297" t="s">
        <v>821</v>
      </c>
      <c r="E162" s="1280" t="s">
        <v>822</v>
      </c>
      <c r="F162" s="1281"/>
      <c r="G162" s="1282"/>
      <c r="H162" s="1283" t="s">
        <v>1057</v>
      </c>
      <c r="I162" s="1285" t="str">
        <f>$I$9</f>
        <v>Ejecución 
Corte
31/03/2023</v>
      </c>
      <c r="J162" s="1283" t="s">
        <v>823</v>
      </c>
      <c r="K162" s="1283" t="s">
        <v>817</v>
      </c>
      <c r="L162" s="1283"/>
      <c r="M162" s="1283"/>
      <c r="N162" s="1280" t="s">
        <v>822</v>
      </c>
      <c r="O162" s="1281"/>
      <c r="P162" s="1282"/>
      <c r="Q162" s="1283" t="s">
        <v>1062</v>
      </c>
      <c r="R162" s="1285" t="str">
        <f>$R$9</f>
        <v>Ejecución 
Corte
30/06/2023</v>
      </c>
      <c r="S162" s="1283" t="s">
        <v>823</v>
      </c>
      <c r="T162" s="1283" t="s">
        <v>817</v>
      </c>
      <c r="U162" s="1283"/>
      <c r="V162" s="1283"/>
      <c r="W162" s="1280" t="s">
        <v>822</v>
      </c>
      <c r="X162" s="1281"/>
      <c r="Y162" s="1282"/>
      <c r="Z162" s="1283" t="s">
        <v>1063</v>
      </c>
      <c r="AA162" s="1285" t="s">
        <v>1059</v>
      </c>
      <c r="AB162" s="1283" t="s">
        <v>823</v>
      </c>
      <c r="AC162" s="1283" t="s">
        <v>817</v>
      </c>
      <c r="AD162" s="1283"/>
      <c r="AE162" s="1283"/>
      <c r="AF162" s="1280" t="s">
        <v>822</v>
      </c>
      <c r="AG162" s="1281"/>
      <c r="AH162" s="1282"/>
      <c r="AI162" s="1283" t="s">
        <v>1084</v>
      </c>
      <c r="AJ162" s="1285" t="s">
        <v>1085</v>
      </c>
      <c r="AK162" s="1283" t="s">
        <v>823</v>
      </c>
      <c r="AL162" s="1283" t="s">
        <v>817</v>
      </c>
      <c r="AM162" s="1283"/>
      <c r="AN162" s="1283"/>
      <c r="AO162" s="1296" t="s">
        <v>669</v>
      </c>
      <c r="AP162" s="1296"/>
      <c r="AQ162" s="1296"/>
      <c r="AR162" s="1296"/>
      <c r="AS162" s="1296"/>
      <c r="AT162" s="1296"/>
      <c r="AU162" s="1296"/>
      <c r="AV162" s="1296"/>
      <c r="AW162" s="1284" t="s">
        <v>842</v>
      </c>
      <c r="AY162" s="483"/>
    </row>
    <row r="163" spans="2:52" ht="46.2" customHeight="1">
      <c r="C163" s="1284"/>
      <c r="D163" s="1297"/>
      <c r="E163" s="907" t="str">
        <f>$E$9</f>
        <v>Año 2023</v>
      </c>
      <c r="F163" s="907" t="str">
        <f>+E161</f>
        <v>Primer Trimestre</v>
      </c>
      <c r="G163" s="908" t="str">
        <f>$G$9</f>
        <v>Acumulado
Corte 
31/03/2023</v>
      </c>
      <c r="H163" s="1284"/>
      <c r="I163" s="1286"/>
      <c r="J163" s="1284"/>
      <c r="K163" s="907" t="str">
        <f>+$D$6</f>
        <v>Segundo Trimestre</v>
      </c>
      <c r="L163" s="908" t="str">
        <f>$G$12</f>
        <v>Acumulado
Corte 
31/03/2023</v>
      </c>
      <c r="M163" s="909" t="s">
        <v>714</v>
      </c>
      <c r="N163" s="936" t="str">
        <f>$N$9</f>
        <v>Año 2023</v>
      </c>
      <c r="O163" s="907" t="str">
        <f>+N161</f>
        <v>Segundo Trimestre</v>
      </c>
      <c r="P163" s="951" t="str">
        <f>$P$9</f>
        <v>Acumulado
Corte 
30/06/2023</v>
      </c>
      <c r="Q163" s="1284"/>
      <c r="R163" s="1286"/>
      <c r="S163" s="1284"/>
      <c r="T163" s="950" t="str">
        <f>+O163</f>
        <v>Segundo Trimestre</v>
      </c>
      <c r="U163" s="951" t="str">
        <f>$P$12</f>
        <v>Acumulado
Corte 
30/06/2023</v>
      </c>
      <c r="V163" s="952" t="s">
        <v>714</v>
      </c>
      <c r="W163" s="907" t="s">
        <v>1064</v>
      </c>
      <c r="X163" s="907" t="str">
        <f>+W161</f>
        <v>Tercer Trimestre</v>
      </c>
      <c r="Y163" s="908" t="s">
        <v>1058</v>
      </c>
      <c r="Z163" s="1284"/>
      <c r="AA163" s="1286"/>
      <c r="AB163" s="1284"/>
      <c r="AC163" s="907" t="str">
        <f>+X163</f>
        <v>Tercer Trimestre</v>
      </c>
      <c r="AD163" s="908" t="str">
        <f>+Y163</f>
        <v>Acumulado Corte 
30/09/2022</v>
      </c>
      <c r="AE163" s="909" t="s">
        <v>714</v>
      </c>
      <c r="AF163" s="907" t="s">
        <v>1064</v>
      </c>
      <c r="AG163" s="907" t="s">
        <v>1083</v>
      </c>
      <c r="AH163" s="908" t="s">
        <v>1060</v>
      </c>
      <c r="AI163" s="1284"/>
      <c r="AJ163" s="1286"/>
      <c r="AK163" s="1284"/>
      <c r="AL163" s="907" t="str">
        <f>+AG163</f>
        <v>Cuarto Trimestre
31-12-2022</v>
      </c>
      <c r="AM163" s="908" t="str">
        <f>+AH163</f>
        <v>Acumulado Corte 
31/12/2022</v>
      </c>
      <c r="AN163" s="909" t="s">
        <v>714</v>
      </c>
      <c r="AO163" s="987" t="s">
        <v>824</v>
      </c>
      <c r="AP163" s="988"/>
      <c r="AQ163" s="989" t="s">
        <v>825</v>
      </c>
      <c r="AR163" s="990"/>
      <c r="AS163" s="990"/>
      <c r="AT163" s="991"/>
      <c r="AU163" s="992" t="s">
        <v>677</v>
      </c>
      <c r="AV163" s="993"/>
      <c r="AW163" s="1284"/>
      <c r="AY163" s="483"/>
    </row>
    <row r="164" spans="2:52" ht="128.4" customHeight="1">
      <c r="B164" s="328">
        <f>+B158+1</f>
        <v>82</v>
      </c>
      <c r="C164" s="329" t="str">
        <f>+'Rango indicadores'!D86</f>
        <v>15-RI-01</v>
      </c>
      <c r="D164" s="329" t="str">
        <f>+'Rango indicadores'!E86</f>
        <v>Medidas de preservación del orden interno emitidas</v>
      </c>
      <c r="E164" s="354">
        <f>+'Rango indicadores'!Q86</f>
        <v>40</v>
      </c>
      <c r="F164" s="343">
        <f>'1.Informe Seguimiento POA 2023'!O87</f>
        <v>10</v>
      </c>
      <c r="G164" s="343">
        <f>'1.Informe Seguimiento POA 2023'!O87</f>
        <v>10</v>
      </c>
      <c r="H164" s="343">
        <f>'1.Informe Seguimiento POA 2023'!P87</f>
        <v>6</v>
      </c>
      <c r="I164" s="343">
        <f>'1.Informe Seguimiento POA 2023'!P87</f>
        <v>6</v>
      </c>
      <c r="J164" s="343">
        <f t="shared" ref="J164" si="292">I164</f>
        <v>6</v>
      </c>
      <c r="K164" s="346">
        <f t="shared" ref="K164" si="293">IF(AND(F164&gt;0),H164/F164,"No programado")</f>
        <v>0.6</v>
      </c>
      <c r="L164" s="346">
        <f t="shared" ref="L164" si="294">IF(AND(G164&gt;0),I164/G164,"No programado")</f>
        <v>0.6</v>
      </c>
      <c r="M164" s="332">
        <f t="shared" ref="M164" si="295">IF(AND(E164&gt;0,$J164&gt;0),J164/$E164,0)</f>
        <v>0.15</v>
      </c>
      <c r="N164" s="354">
        <f>E164</f>
        <v>40</v>
      </c>
      <c r="O164" s="343">
        <f>+'1.Informe Seguimiento POA 2023'!Q87</f>
        <v>10</v>
      </c>
      <c r="P164" s="343">
        <f>+'1.Informe Seguimiento POA 2023'!O87+'1.Informe Seguimiento POA 2023'!Q87</f>
        <v>20</v>
      </c>
      <c r="Q164" s="343">
        <f>+'1.Informe Seguimiento POA 2023'!R87</f>
        <v>9</v>
      </c>
      <c r="R164" s="343">
        <f>+'1.Informe Seguimiento POA 2023'!P87+'1.Informe Seguimiento POA 2023'!R87</f>
        <v>15</v>
      </c>
      <c r="S164" s="343">
        <f t="shared" ref="S164" si="296">H164+Q164</f>
        <v>15</v>
      </c>
      <c r="T164" s="346">
        <f t="shared" ref="T164:T166" si="297">IF(AND(O164&gt;0),Q164/O164,"No programado")</f>
        <v>0.9</v>
      </c>
      <c r="U164" s="346">
        <f t="shared" ref="U164:U166" si="298">IF(AND(P164&gt;0),R164/P164,"No programado")</f>
        <v>0.75</v>
      </c>
      <c r="V164" s="332">
        <f>IF(AND(N164&gt;0,$S164&gt;0),S164/$N164,0)</f>
        <v>0.375</v>
      </c>
      <c r="W164" s="354">
        <f>N164</f>
        <v>40</v>
      </c>
      <c r="X164" s="343">
        <f>+'1.Informe Seguimiento POA 2023'!S87</f>
        <v>10</v>
      </c>
      <c r="Y164" s="343">
        <f>+'1.Informe Seguimiento POA 2023'!O87+'1.Informe Seguimiento POA 2023'!Q87+'1.Informe Seguimiento POA 2023'!S87</f>
        <v>30</v>
      </c>
      <c r="Z164" s="343">
        <f>+'1.Informe Seguimiento POA 2023'!T87</f>
        <v>0</v>
      </c>
      <c r="AA164" s="343">
        <f>+'1.Informe Seguimiento POA 2023'!R87+'1.Informe Seguimiento POA 2023'!T87+'1.Informe Seguimiento POA 2023'!P87</f>
        <v>15</v>
      </c>
      <c r="AB164" s="343">
        <f t="shared" ref="AB164" si="299">H164+Q164+Z164</f>
        <v>15</v>
      </c>
      <c r="AC164" s="346">
        <f t="shared" ref="AC164:AC166" si="300">IF(AND(X164&gt;0),Z164/X164,"No programado")</f>
        <v>0</v>
      </c>
      <c r="AD164" s="346">
        <f t="shared" ref="AD164:AD166" si="301">IF(AND(Y164&gt;0),AA164/Y164,"No programado")</f>
        <v>0.5</v>
      </c>
      <c r="AE164" s="332">
        <f>IF(AND(W164&gt;0,$AB164&gt;0),AB164/$W164,0)</f>
        <v>0.375</v>
      </c>
      <c r="AF164" s="354">
        <f>W164</f>
        <v>40</v>
      </c>
      <c r="AG164" s="354" t="e">
        <f>+'1.Informe Seguimiento POA 2023'!#REF!</f>
        <v>#REF!</v>
      </c>
      <c r="AH164" s="354" t="e">
        <f>+'1.Informe Seguimiento POA 2023'!O87+'1.Informe Seguimiento POA 2023'!Q87+'1.Informe Seguimiento POA 2023'!S87+'1.Informe Seguimiento POA 2023'!#REF!</f>
        <v>#REF!</v>
      </c>
      <c r="AI164" s="354">
        <f>+'1.Informe Seguimiento POA 2023'!V87</f>
        <v>0</v>
      </c>
      <c r="AJ164" s="354">
        <f>+'1.Informe Seguimiento POA 2023'!P87+'1.Informe Seguimiento POA 2023'!R87+'1.Informe Seguimiento POA 2023'!T87+'1.Informe Seguimiento POA 2023'!V87</f>
        <v>15</v>
      </c>
      <c r="AK164" s="343">
        <f t="shared" ref="AK164:AK166" si="302">H164+Q164+Z164+AI164</f>
        <v>15</v>
      </c>
      <c r="AL164" s="346" t="e">
        <f t="shared" ref="AL164:AL166" si="303">IF(AND(AG164&gt;0),AI164/AG164,"No programado")</f>
        <v>#REF!</v>
      </c>
      <c r="AM164" s="346" t="e">
        <f t="shared" ref="AM164:AM166" si="304">IF(AND(AH164&gt;0),AJ164/AH164,"No programado")</f>
        <v>#REF!</v>
      </c>
      <c r="AN164" s="332">
        <f>IF(AND(AF164&gt;0,$AK164&gt;0),AK164/$AF164,0)</f>
        <v>0.375</v>
      </c>
      <c r="AO164" s="336" t="str">
        <f>+'Rango indicadores'!H86</f>
        <v>Mayor A:</v>
      </c>
      <c r="AP164" s="331">
        <f>+'Rango indicadores'!I86</f>
        <v>95</v>
      </c>
      <c r="AQ164" s="331" t="str">
        <f>+'Rango indicadores'!J86</f>
        <v>Desde (&gt;=):</v>
      </c>
      <c r="AR164" s="331">
        <f>+'Rango indicadores'!K86</f>
        <v>75</v>
      </c>
      <c r="AS164" s="331" t="str">
        <f>+'Rango indicadores'!L86</f>
        <v>Hasta (&lt;=):</v>
      </c>
      <c r="AT164" s="331">
        <f>+'Rango indicadores'!M86</f>
        <v>95</v>
      </c>
      <c r="AU164" s="331" t="str">
        <f>+'Rango indicadores'!N86</f>
        <v>Menor A:</v>
      </c>
      <c r="AV164" s="331">
        <f>+'Rango indicadores'!O86</f>
        <v>75</v>
      </c>
      <c r="AW164" s="427" t="s">
        <v>1231</v>
      </c>
      <c r="AX164" s="659"/>
      <c r="AY164" s="659"/>
      <c r="AZ164" s="483">
        <f t="shared" ref="AZ164:AZ166" si="305">+Y164-AA164</f>
        <v>15</v>
      </c>
    </row>
    <row r="165" spans="2:52" ht="112.2" customHeight="1">
      <c r="B165" s="328">
        <f>B164+1</f>
        <v>83</v>
      </c>
      <c r="C165" s="329" t="str">
        <f>+'Rango indicadores'!D87</f>
        <v>15-RI-02</v>
      </c>
      <c r="D165" s="329" t="str">
        <f>+'Rango indicadores'!E87</f>
        <v>Jornadas de sensibilización realizadas</v>
      </c>
      <c r="E165" s="354">
        <f>+'Rango indicadores'!Q87</f>
        <v>6</v>
      </c>
      <c r="F165" s="343">
        <f>'1.Informe Seguimiento POA 2023'!O88</f>
        <v>1</v>
      </c>
      <c r="G165" s="343">
        <f>'1.Informe Seguimiento POA 2023'!O88</f>
        <v>1</v>
      </c>
      <c r="H165" s="343">
        <f>'1.Informe Seguimiento POA 2023'!P88</f>
        <v>0</v>
      </c>
      <c r="I165" s="343">
        <f>'1.Informe Seguimiento POA 2023'!P88</f>
        <v>0</v>
      </c>
      <c r="J165" s="343">
        <f t="shared" ref="J165:J166" si="306">I165</f>
        <v>0</v>
      </c>
      <c r="K165" s="346">
        <f t="shared" ref="K165:K166" si="307">IF(AND(F165&gt;0),H165/F165,"No programado")</f>
        <v>0</v>
      </c>
      <c r="L165" s="346">
        <f t="shared" ref="L165:L166" si="308">IF(AND(G165&gt;0),I165/G165,"No programado")</f>
        <v>0</v>
      </c>
      <c r="M165" s="332">
        <f t="shared" ref="M165:M166" si="309">IF(AND(E165&gt;0,$J165&gt;0),J165/$E165,0)</f>
        <v>0</v>
      </c>
      <c r="N165" s="354">
        <f t="shared" ref="N165:N166" si="310">E165</f>
        <v>6</v>
      </c>
      <c r="O165" s="343">
        <f>+'1.Informe Seguimiento POA 2023'!Q88</f>
        <v>2</v>
      </c>
      <c r="P165" s="343">
        <f>+'1.Informe Seguimiento POA 2023'!O88+'1.Informe Seguimiento POA 2023'!Q88</f>
        <v>3</v>
      </c>
      <c r="Q165" s="343">
        <f>+'1.Informe Seguimiento POA 2023'!R88</f>
        <v>3</v>
      </c>
      <c r="R165" s="343">
        <f>+'1.Informe Seguimiento POA 2023'!P88+'1.Informe Seguimiento POA 2023'!R88</f>
        <v>3</v>
      </c>
      <c r="S165" s="343">
        <f t="shared" ref="S165:S166" si="311">H165+Q165</f>
        <v>3</v>
      </c>
      <c r="T165" s="346">
        <f t="shared" si="297"/>
        <v>1.5</v>
      </c>
      <c r="U165" s="346">
        <f t="shared" si="298"/>
        <v>1</v>
      </c>
      <c r="V165" s="332">
        <f>IF(AND(N165&gt;0,$S165&gt;0),S165/$N165,0)</f>
        <v>0.5</v>
      </c>
      <c r="W165" s="354">
        <f t="shared" ref="W165:W166" si="312">N165</f>
        <v>6</v>
      </c>
      <c r="X165" s="343">
        <f>+'1.Informe Seguimiento POA 2023'!S88</f>
        <v>2</v>
      </c>
      <c r="Y165" s="343">
        <f>+'1.Informe Seguimiento POA 2023'!O88+'1.Informe Seguimiento POA 2023'!Q88+'1.Informe Seguimiento POA 2023'!S88</f>
        <v>5</v>
      </c>
      <c r="Z165" s="343">
        <f>+'1.Informe Seguimiento POA 2023'!T88</f>
        <v>0</v>
      </c>
      <c r="AA165" s="343">
        <f>+'1.Informe Seguimiento POA 2023'!R88+'1.Informe Seguimiento POA 2023'!T88+'1.Informe Seguimiento POA 2023'!P88</f>
        <v>3</v>
      </c>
      <c r="AB165" s="343">
        <f t="shared" ref="AB165:AB166" si="313">H165+Q165+Z165</f>
        <v>3</v>
      </c>
      <c r="AC165" s="346">
        <f t="shared" si="300"/>
        <v>0</v>
      </c>
      <c r="AD165" s="346">
        <f t="shared" si="301"/>
        <v>0.6</v>
      </c>
      <c r="AE165" s="332">
        <f>IF(AND(W165&gt;0,$AB165&gt;0),AB165/$W165,0)</f>
        <v>0.5</v>
      </c>
      <c r="AF165" s="354">
        <f t="shared" ref="AF165:AF166" si="314">W165</f>
        <v>6</v>
      </c>
      <c r="AG165" s="354" t="e">
        <f>+'1.Informe Seguimiento POA 2023'!#REF!</f>
        <v>#REF!</v>
      </c>
      <c r="AH165" s="354" t="e">
        <f>+'1.Informe Seguimiento POA 2023'!O88+'1.Informe Seguimiento POA 2023'!Q88+'1.Informe Seguimiento POA 2023'!S88+'1.Informe Seguimiento POA 2023'!#REF!</f>
        <v>#REF!</v>
      </c>
      <c r="AI165" s="354">
        <f>+'1.Informe Seguimiento POA 2023'!V88</f>
        <v>0</v>
      </c>
      <c r="AJ165" s="354">
        <f>+'1.Informe Seguimiento POA 2023'!P88+'1.Informe Seguimiento POA 2023'!R88+'1.Informe Seguimiento POA 2023'!T88+'1.Informe Seguimiento POA 2023'!V88</f>
        <v>3</v>
      </c>
      <c r="AK165" s="343">
        <f t="shared" si="302"/>
        <v>3</v>
      </c>
      <c r="AL165" s="346" t="e">
        <f t="shared" si="303"/>
        <v>#REF!</v>
      </c>
      <c r="AM165" s="346" t="e">
        <f t="shared" si="304"/>
        <v>#REF!</v>
      </c>
      <c r="AN165" s="332">
        <f>IF(AND(AF165&gt;0,$AK165&gt;0),AK165/$AF165,0)</f>
        <v>0.5</v>
      </c>
      <c r="AO165" s="336" t="str">
        <f>+'Rango indicadores'!H87</f>
        <v>Mayor A:</v>
      </c>
      <c r="AP165" s="331">
        <f>+'Rango indicadores'!I87</f>
        <v>95</v>
      </c>
      <c r="AQ165" s="331" t="str">
        <f>+'Rango indicadores'!J87</f>
        <v>Desde (&gt;=):</v>
      </c>
      <c r="AR165" s="331">
        <f>+'Rango indicadores'!K87</f>
        <v>75</v>
      </c>
      <c r="AS165" s="331" t="str">
        <f>+'Rango indicadores'!L87</f>
        <v>Hasta (&lt;=):</v>
      </c>
      <c r="AT165" s="331">
        <f>+'Rango indicadores'!M87</f>
        <v>95</v>
      </c>
      <c r="AU165" s="331" t="str">
        <f>+'Rango indicadores'!N87</f>
        <v>Menor A:</v>
      </c>
      <c r="AV165" s="331">
        <f>+'Rango indicadores'!O87</f>
        <v>75</v>
      </c>
      <c r="AW165" s="427" t="s">
        <v>1232</v>
      </c>
      <c r="AX165" s="659"/>
      <c r="AY165" s="659"/>
      <c r="AZ165" s="426"/>
    </row>
    <row r="166" spans="2:52" ht="112.5" customHeight="1">
      <c r="B166" s="328">
        <f t="shared" ref="B166" si="315">B165+1</f>
        <v>84</v>
      </c>
      <c r="C166" s="329" t="str">
        <f>+'Rango indicadores'!D88</f>
        <v>15-RI-03</v>
      </c>
      <c r="D166" s="329" t="str">
        <f>+'Rango indicadores'!E88</f>
        <v>Procesos disciplinarios con decisión de fondo proferida</v>
      </c>
      <c r="E166" s="354">
        <f>+'Rango indicadores'!Q88</f>
        <v>144</v>
      </c>
      <c r="F166" s="343">
        <f>'1.Informe Seguimiento POA 2023'!O89</f>
        <v>34</v>
      </c>
      <c r="G166" s="343">
        <f>'1.Informe Seguimiento POA 2023'!O89</f>
        <v>34</v>
      </c>
      <c r="H166" s="343">
        <f>'1.Informe Seguimiento POA 2023'!P89</f>
        <v>38</v>
      </c>
      <c r="I166" s="343">
        <f>'1.Informe Seguimiento POA 2023'!P89</f>
        <v>38</v>
      </c>
      <c r="J166" s="343">
        <f t="shared" si="306"/>
        <v>38</v>
      </c>
      <c r="K166" s="346">
        <f t="shared" si="307"/>
        <v>1.1176470588235294</v>
      </c>
      <c r="L166" s="346">
        <f t="shared" si="308"/>
        <v>1.1176470588235294</v>
      </c>
      <c r="M166" s="332">
        <f t="shared" si="309"/>
        <v>0.2638888888888889</v>
      </c>
      <c r="N166" s="354">
        <f t="shared" si="310"/>
        <v>144</v>
      </c>
      <c r="O166" s="343">
        <f>+'1.Informe Seguimiento POA 2023'!Q89</f>
        <v>37</v>
      </c>
      <c r="P166" s="343">
        <f>+'1.Informe Seguimiento POA 2023'!O89+'1.Informe Seguimiento POA 2023'!Q89</f>
        <v>71</v>
      </c>
      <c r="Q166" s="343">
        <f>+'1.Informe Seguimiento POA 2023'!R89</f>
        <v>46</v>
      </c>
      <c r="R166" s="343">
        <f>+'1.Informe Seguimiento POA 2023'!P89+'1.Informe Seguimiento POA 2023'!R89</f>
        <v>84</v>
      </c>
      <c r="S166" s="343">
        <f t="shared" si="311"/>
        <v>84</v>
      </c>
      <c r="T166" s="346">
        <f t="shared" si="297"/>
        <v>1.2432432432432432</v>
      </c>
      <c r="U166" s="346">
        <f t="shared" si="298"/>
        <v>1.1830985915492958</v>
      </c>
      <c r="V166" s="332">
        <f>IF(AND(N166&gt;0,$S166&gt;0),S166/$N166,0)</f>
        <v>0.58333333333333337</v>
      </c>
      <c r="W166" s="354">
        <f t="shared" si="312"/>
        <v>144</v>
      </c>
      <c r="X166" s="343">
        <f>+'1.Informe Seguimiento POA 2023'!S89</f>
        <v>39</v>
      </c>
      <c r="Y166" s="343">
        <f>+'1.Informe Seguimiento POA 2023'!O89+'1.Informe Seguimiento POA 2023'!Q89+'1.Informe Seguimiento POA 2023'!S89</f>
        <v>110</v>
      </c>
      <c r="Z166" s="343">
        <f>+'1.Informe Seguimiento POA 2023'!T89</f>
        <v>0</v>
      </c>
      <c r="AA166" s="343">
        <f>+'1.Informe Seguimiento POA 2023'!R89+'1.Informe Seguimiento POA 2023'!T89+'1.Informe Seguimiento POA 2023'!P89</f>
        <v>84</v>
      </c>
      <c r="AB166" s="343">
        <f t="shared" si="313"/>
        <v>84</v>
      </c>
      <c r="AC166" s="346">
        <f t="shared" si="300"/>
        <v>0</v>
      </c>
      <c r="AD166" s="346">
        <f t="shared" si="301"/>
        <v>0.76363636363636367</v>
      </c>
      <c r="AE166" s="332">
        <f>IF(AND(W166&gt;0,$AB166&gt;0),AB166/$W166,0)</f>
        <v>0.58333333333333337</v>
      </c>
      <c r="AF166" s="354">
        <f t="shared" si="314"/>
        <v>144</v>
      </c>
      <c r="AG166" s="354" t="e">
        <f>+'1.Informe Seguimiento POA 2023'!#REF!</f>
        <v>#REF!</v>
      </c>
      <c r="AH166" s="354" t="e">
        <f>+'1.Informe Seguimiento POA 2023'!O89+'1.Informe Seguimiento POA 2023'!Q89+'1.Informe Seguimiento POA 2023'!S89+'1.Informe Seguimiento POA 2023'!#REF!</f>
        <v>#REF!</v>
      </c>
      <c r="AI166" s="354">
        <f>+'1.Informe Seguimiento POA 2023'!V89</f>
        <v>0</v>
      </c>
      <c r="AJ166" s="354">
        <f>+'1.Informe Seguimiento POA 2023'!P89+'1.Informe Seguimiento POA 2023'!R89+'1.Informe Seguimiento POA 2023'!T89+'1.Informe Seguimiento POA 2023'!V89</f>
        <v>84</v>
      </c>
      <c r="AK166" s="343">
        <f t="shared" si="302"/>
        <v>84</v>
      </c>
      <c r="AL166" s="346" t="e">
        <f t="shared" si="303"/>
        <v>#REF!</v>
      </c>
      <c r="AM166" s="346" t="e">
        <f t="shared" si="304"/>
        <v>#REF!</v>
      </c>
      <c r="AN166" s="332">
        <f>IF(AND(AF166&gt;0,$AK166&gt;0),AK166/$AF166,0)</f>
        <v>0.58333333333333337</v>
      </c>
      <c r="AO166" s="336" t="str">
        <f>+'Rango indicadores'!H88</f>
        <v>Mayor A:</v>
      </c>
      <c r="AP166" s="331">
        <f>+'Rango indicadores'!I88</f>
        <v>95</v>
      </c>
      <c r="AQ166" s="331" t="str">
        <f>+'Rango indicadores'!J88</f>
        <v>Desde (&gt;=):</v>
      </c>
      <c r="AR166" s="331">
        <f>+'Rango indicadores'!K88</f>
        <v>75</v>
      </c>
      <c r="AS166" s="331" t="str">
        <f>+'Rango indicadores'!L88</f>
        <v>Hasta (&lt;=):</v>
      </c>
      <c r="AT166" s="331">
        <f>+'Rango indicadores'!M88</f>
        <v>95</v>
      </c>
      <c r="AU166" s="331" t="str">
        <f>+'Rango indicadores'!N88</f>
        <v>Menor A:</v>
      </c>
      <c r="AV166" s="331">
        <f>+'Rango indicadores'!O88</f>
        <v>75</v>
      </c>
      <c r="AW166" s="421" t="s">
        <v>1233</v>
      </c>
      <c r="AX166" s="659"/>
      <c r="AY166" s="659"/>
      <c r="AZ166" s="483">
        <f t="shared" si="305"/>
        <v>26</v>
      </c>
    </row>
    <row r="167" spans="2:52" ht="15.6">
      <c r="C167" s="1319" t="s">
        <v>826</v>
      </c>
      <c r="D167" s="1320"/>
      <c r="E167" s="1320"/>
      <c r="F167" s="1320"/>
      <c r="G167" s="1320"/>
      <c r="H167" s="1320"/>
      <c r="I167" s="1320"/>
      <c r="J167" s="1320"/>
      <c r="K167" s="334">
        <f>IFERROR(AVERAGE(K164:K166),0)</f>
        <v>0.57254901960784321</v>
      </c>
      <c r="L167" s="334">
        <f>IFERROR(AVERAGE(L164:L166),0)</f>
        <v>0.57254901960784321</v>
      </c>
      <c r="M167" s="334">
        <f>IFERROR(AVERAGE(M164:M166),0)</f>
        <v>0.13796296296296295</v>
      </c>
      <c r="N167" s="754"/>
      <c r="O167" s="754"/>
      <c r="P167" s="754"/>
      <c r="Q167" s="754"/>
      <c r="R167" s="754"/>
      <c r="S167" s="754"/>
      <c r="T167" s="334">
        <f>IFERROR(AVERAGE(T164:T166),0)</f>
        <v>1.2144144144144144</v>
      </c>
      <c r="U167" s="334">
        <f>IFERROR(AVERAGE(U164:U166),0)</f>
        <v>0.97769953051643199</v>
      </c>
      <c r="V167" s="334">
        <f>IFERROR(AVERAGE(V164:V166),0)</f>
        <v>0.48611111111111116</v>
      </c>
      <c r="W167" s="754"/>
      <c r="X167" s="754"/>
      <c r="Y167" s="754"/>
      <c r="Z167" s="754"/>
      <c r="AA167" s="754"/>
      <c r="AB167" s="754"/>
      <c r="AC167" s="334">
        <f>IFERROR(AVERAGE(AC164:AC166),0)</f>
        <v>0</v>
      </c>
      <c r="AD167" s="334">
        <f>IFERROR(AVERAGE(AD164:AD166),0)</f>
        <v>0.62121212121212122</v>
      </c>
      <c r="AE167" s="334">
        <f>IFERROR(AVERAGE(AE164:AE166),0)</f>
        <v>0.48611111111111116</v>
      </c>
      <c r="AF167" s="754"/>
      <c r="AG167" s="754"/>
      <c r="AH167" s="754"/>
      <c r="AI167" s="754"/>
      <c r="AJ167" s="754"/>
      <c r="AK167" s="755"/>
      <c r="AL167" s="334">
        <f>IFERROR(AVERAGE(AL164:AL166),0)</f>
        <v>0</v>
      </c>
      <c r="AM167" s="334">
        <f>IFERROR(AVERAGE(AM164:AM166),0)</f>
        <v>0</v>
      </c>
      <c r="AN167" s="334">
        <f>IFERROR(AVERAGE(AN164:AN166),0)</f>
        <v>0.48611111111111116</v>
      </c>
      <c r="AO167" s="341"/>
      <c r="AP167" s="341"/>
      <c r="AQ167" s="341"/>
      <c r="AR167" s="341"/>
      <c r="AS167" s="341"/>
      <c r="AT167" s="341"/>
      <c r="AU167" s="341"/>
      <c r="AV167" s="341"/>
      <c r="AW167" s="428"/>
      <c r="AY167" s="483"/>
    </row>
    <row r="168" spans="2:52" s="324" customFormat="1" ht="23.4" customHeight="1" thickBot="1">
      <c r="D168" s="326"/>
      <c r="AW168" s="326"/>
      <c r="AY168" s="483"/>
      <c r="AZ168" s="310"/>
    </row>
    <row r="169" spans="2:52" s="324" customFormat="1" ht="16.2" thickBot="1">
      <c r="C169" s="327" t="s">
        <v>841</v>
      </c>
      <c r="D169" s="357"/>
      <c r="E169" s="1290" t="s">
        <v>1053</v>
      </c>
      <c r="F169" s="1291"/>
      <c r="G169" s="1291"/>
      <c r="H169" s="1291"/>
      <c r="I169" s="1291"/>
      <c r="J169" s="1291"/>
      <c r="K169" s="1291"/>
      <c r="L169" s="1291"/>
      <c r="M169" s="1292"/>
      <c r="N169" s="1293" t="s">
        <v>1054</v>
      </c>
      <c r="O169" s="1294"/>
      <c r="P169" s="1294"/>
      <c r="Q169" s="1294"/>
      <c r="R169" s="1294"/>
      <c r="S169" s="1294"/>
      <c r="T169" s="1294"/>
      <c r="U169" s="1294"/>
      <c r="V169" s="1295"/>
      <c r="W169" s="1287" t="s">
        <v>1055</v>
      </c>
      <c r="X169" s="1288"/>
      <c r="Y169" s="1288"/>
      <c r="Z169" s="1288"/>
      <c r="AA169" s="1288"/>
      <c r="AB169" s="1288"/>
      <c r="AC169" s="1288"/>
      <c r="AD169" s="1288"/>
      <c r="AE169" s="1289"/>
      <c r="AF169" s="1293" t="s">
        <v>1002</v>
      </c>
      <c r="AG169" s="1294"/>
      <c r="AH169" s="1294"/>
      <c r="AI169" s="1294"/>
      <c r="AJ169" s="1294"/>
      <c r="AK169" s="1294"/>
      <c r="AL169" s="1294"/>
      <c r="AM169" s="1294"/>
      <c r="AN169" s="1295"/>
      <c r="AW169" s="326"/>
      <c r="AY169" s="483"/>
      <c r="AZ169" s="310"/>
    </row>
    <row r="170" spans="2:52" ht="24.6" customHeight="1">
      <c r="C170" s="1284" t="str">
        <f>+$C$11</f>
        <v>Identificación del Indicador</v>
      </c>
      <c r="D170" s="1297" t="s">
        <v>821</v>
      </c>
      <c r="E170" s="1280" t="s">
        <v>822</v>
      </c>
      <c r="F170" s="1281"/>
      <c r="G170" s="1282"/>
      <c r="H170" s="1283" t="s">
        <v>1057</v>
      </c>
      <c r="I170" s="1285" t="str">
        <f>$I$9</f>
        <v>Ejecución 
Corte
31/03/2023</v>
      </c>
      <c r="J170" s="1283" t="s">
        <v>823</v>
      </c>
      <c r="K170" s="1283" t="s">
        <v>817</v>
      </c>
      <c r="L170" s="1283"/>
      <c r="M170" s="1283"/>
      <c r="N170" s="1280" t="s">
        <v>822</v>
      </c>
      <c r="O170" s="1281"/>
      <c r="P170" s="1282"/>
      <c r="Q170" s="1283" t="s">
        <v>1062</v>
      </c>
      <c r="R170" s="1285" t="str">
        <f>$R$9</f>
        <v>Ejecución 
Corte
30/06/2023</v>
      </c>
      <c r="S170" s="1283" t="s">
        <v>823</v>
      </c>
      <c r="T170" s="1283" t="s">
        <v>817</v>
      </c>
      <c r="U170" s="1283"/>
      <c r="V170" s="1283"/>
      <c r="W170" s="1280" t="s">
        <v>822</v>
      </c>
      <c r="X170" s="1281"/>
      <c r="Y170" s="1282"/>
      <c r="Z170" s="1283" t="s">
        <v>1063</v>
      </c>
      <c r="AA170" s="1285" t="s">
        <v>1059</v>
      </c>
      <c r="AB170" s="1283" t="s">
        <v>823</v>
      </c>
      <c r="AC170" s="1283" t="s">
        <v>817</v>
      </c>
      <c r="AD170" s="1283"/>
      <c r="AE170" s="1283"/>
      <c r="AF170" s="1280" t="s">
        <v>822</v>
      </c>
      <c r="AG170" s="1281"/>
      <c r="AH170" s="1282"/>
      <c r="AI170" s="1283" t="s">
        <v>1084</v>
      </c>
      <c r="AJ170" s="1285" t="s">
        <v>1085</v>
      </c>
      <c r="AK170" s="1283" t="s">
        <v>823</v>
      </c>
      <c r="AL170" s="1283" t="s">
        <v>817</v>
      </c>
      <c r="AM170" s="1283"/>
      <c r="AN170" s="1283"/>
      <c r="AO170" s="1296" t="s">
        <v>669</v>
      </c>
      <c r="AP170" s="1296"/>
      <c r="AQ170" s="1296"/>
      <c r="AR170" s="1296"/>
      <c r="AS170" s="1296"/>
      <c r="AT170" s="1296"/>
      <c r="AU170" s="1296"/>
      <c r="AV170" s="1296"/>
      <c r="AW170" s="1284" t="s">
        <v>842</v>
      </c>
      <c r="AY170" s="483"/>
    </row>
    <row r="171" spans="2:52" ht="50.4" customHeight="1">
      <c r="C171" s="1284"/>
      <c r="D171" s="1297"/>
      <c r="E171" s="907" t="str">
        <f>$E$9</f>
        <v>Año 2023</v>
      </c>
      <c r="F171" s="907" t="str">
        <f>+E169</f>
        <v>Primer Trimestre</v>
      </c>
      <c r="G171" s="908" t="str">
        <f>$G$9</f>
        <v>Acumulado
Corte 
31/03/2023</v>
      </c>
      <c r="H171" s="1284"/>
      <c r="I171" s="1286"/>
      <c r="J171" s="1284"/>
      <c r="K171" s="907" t="str">
        <f>+$D$6</f>
        <v>Segundo Trimestre</v>
      </c>
      <c r="L171" s="908" t="str">
        <f>$G$12</f>
        <v>Acumulado
Corte 
31/03/2023</v>
      </c>
      <c r="M171" s="909" t="s">
        <v>714</v>
      </c>
      <c r="N171" s="936" t="str">
        <f>$N$9</f>
        <v>Año 2023</v>
      </c>
      <c r="O171" s="907" t="str">
        <f>+N169</f>
        <v>Segundo Trimestre</v>
      </c>
      <c r="P171" s="951" t="str">
        <f>$P$9</f>
        <v>Acumulado
Corte 
30/06/2023</v>
      </c>
      <c r="Q171" s="1284"/>
      <c r="R171" s="1286"/>
      <c r="S171" s="1284"/>
      <c r="T171" s="950" t="str">
        <f>+O171</f>
        <v>Segundo Trimestre</v>
      </c>
      <c r="U171" s="951" t="str">
        <f>$P$12</f>
        <v>Acumulado
Corte 
30/06/2023</v>
      </c>
      <c r="V171" s="952" t="s">
        <v>714</v>
      </c>
      <c r="W171" s="907" t="s">
        <v>1064</v>
      </c>
      <c r="X171" s="907" t="str">
        <f>+W169</f>
        <v>Tercer Trimestre</v>
      </c>
      <c r="Y171" s="908" t="s">
        <v>1058</v>
      </c>
      <c r="Z171" s="1284"/>
      <c r="AA171" s="1286"/>
      <c r="AB171" s="1284"/>
      <c r="AC171" s="907" t="str">
        <f>+X171</f>
        <v>Tercer Trimestre</v>
      </c>
      <c r="AD171" s="908" t="str">
        <f>+Y171</f>
        <v>Acumulado Corte 
30/09/2022</v>
      </c>
      <c r="AE171" s="909" t="s">
        <v>714</v>
      </c>
      <c r="AF171" s="907" t="s">
        <v>1064</v>
      </c>
      <c r="AG171" s="907" t="s">
        <v>1083</v>
      </c>
      <c r="AH171" s="908" t="s">
        <v>1060</v>
      </c>
      <c r="AI171" s="1284"/>
      <c r="AJ171" s="1286"/>
      <c r="AK171" s="1284"/>
      <c r="AL171" s="907" t="str">
        <f>+AG171</f>
        <v>Cuarto Trimestre
31-12-2022</v>
      </c>
      <c r="AM171" s="908" t="str">
        <f>+AH171</f>
        <v>Acumulado Corte 
31/12/2022</v>
      </c>
      <c r="AN171" s="909" t="s">
        <v>714</v>
      </c>
      <c r="AO171" s="987" t="s">
        <v>824</v>
      </c>
      <c r="AP171" s="988"/>
      <c r="AQ171" s="989" t="s">
        <v>825</v>
      </c>
      <c r="AR171" s="990"/>
      <c r="AS171" s="990"/>
      <c r="AT171" s="991"/>
      <c r="AU171" s="992" t="s">
        <v>677</v>
      </c>
      <c r="AV171" s="993"/>
      <c r="AW171" s="1284"/>
      <c r="AY171" s="483"/>
    </row>
    <row r="172" spans="2:52" ht="106.95" customHeight="1">
      <c r="B172" s="328">
        <f>+B166+1</f>
        <v>85</v>
      </c>
      <c r="C172" s="329" t="str">
        <f>+'Rango indicadores'!D89</f>
        <v>16-RI-01</v>
      </c>
      <c r="D172" s="329" t="str">
        <f>+'Rango indicadores'!E89</f>
        <v>Programa anual de auditorías ejecutado.</v>
      </c>
      <c r="E172" s="354">
        <f>+'Rango indicadores'!Q89</f>
        <v>1</v>
      </c>
      <c r="F172" s="369">
        <f>'1.Informe Seguimiento POA 2023'!O90</f>
        <v>0.14000000000000001</v>
      </c>
      <c r="G172" s="369">
        <f>'1.Informe Seguimiento POA 2023'!O90</f>
        <v>0.14000000000000001</v>
      </c>
      <c r="H172" s="369">
        <f>'1.Informe Seguimiento POA 2023'!P90</f>
        <v>0.14000000000000001</v>
      </c>
      <c r="I172" s="369">
        <f>'1.Informe Seguimiento POA 2023'!P90</f>
        <v>0.14000000000000001</v>
      </c>
      <c r="J172" s="369">
        <f t="shared" ref="J172:J174" si="316">I172</f>
        <v>0.14000000000000001</v>
      </c>
      <c r="K172" s="346">
        <f t="shared" ref="K172" si="317">IF(AND(F172&gt;0),H172/F172,"No programado")</f>
        <v>1</v>
      </c>
      <c r="L172" s="346">
        <f t="shared" ref="L172" si="318">IF(AND(G172&gt;0),I172/G172,"No programado")</f>
        <v>1</v>
      </c>
      <c r="M172" s="332">
        <f t="shared" ref="M172" si="319">IF(AND(E172&gt;0,$J172&gt;0),J172/$E172,0)</f>
        <v>0.14000000000000001</v>
      </c>
      <c r="N172" s="354">
        <f t="shared" ref="N172" si="320">E172</f>
        <v>1</v>
      </c>
      <c r="O172" s="369">
        <f>+'1.Informe Seguimiento POA 2023'!Q90</f>
        <v>0.1</v>
      </c>
      <c r="P172" s="369">
        <f>+'1.Informe Seguimiento POA 2023'!O90+'1.Informe Seguimiento POA 2023'!Q90</f>
        <v>0.24000000000000002</v>
      </c>
      <c r="Q172" s="369">
        <f>+'1.Informe Seguimiento POA 2023'!R90</f>
        <v>0.1</v>
      </c>
      <c r="R172" s="369">
        <f>+'1.Informe Seguimiento POA 2023'!P90+'1.Informe Seguimiento POA 2023'!R90</f>
        <v>0.24000000000000002</v>
      </c>
      <c r="S172" s="369">
        <f t="shared" ref="S172" si="321">H172+Q172</f>
        <v>0.24000000000000002</v>
      </c>
      <c r="T172" s="346">
        <f t="shared" ref="T172:T174" si="322">IF(AND(O172&gt;0),Q172/O172,"No programado")</f>
        <v>1</v>
      </c>
      <c r="U172" s="346">
        <f t="shared" ref="U172:U174" si="323">IF(AND(P172&gt;0),R172/P172,"No programado")</f>
        <v>1</v>
      </c>
      <c r="V172" s="332">
        <f>IF(AND(N172&gt;0,$S172&gt;0),S172/$N172,0)</f>
        <v>0.24000000000000002</v>
      </c>
      <c r="W172" s="354">
        <f t="shared" ref="W172:W174" si="324">N172</f>
        <v>1</v>
      </c>
      <c r="X172" s="369">
        <f>+'1.Informe Seguimiento POA 2023'!S90</f>
        <v>0.58000000000000007</v>
      </c>
      <c r="Y172" s="369">
        <f>+'1.Informe Seguimiento POA 2023'!O90+'1.Informe Seguimiento POA 2023'!Q90+'1.Informe Seguimiento POA 2023'!S90</f>
        <v>0.82000000000000006</v>
      </c>
      <c r="Z172" s="369">
        <f>+'1.Informe Seguimiento POA 2023'!T90</f>
        <v>0</v>
      </c>
      <c r="AA172" s="369">
        <f>+'1.Informe Seguimiento POA 2023'!R90+'1.Informe Seguimiento POA 2023'!T90+'1.Informe Seguimiento POA 2023'!P90</f>
        <v>0.24000000000000002</v>
      </c>
      <c r="AB172" s="369">
        <f t="shared" ref="AB172" si="325">H172+Q172+Z172</f>
        <v>0.24000000000000002</v>
      </c>
      <c r="AC172" s="346">
        <f t="shared" ref="AC172:AC174" si="326">IF(AND(X172&gt;0),Z172/X172,"No programado")</f>
        <v>0</v>
      </c>
      <c r="AD172" s="346">
        <f t="shared" ref="AD172:AD174" si="327">IF(AND(Y172&gt;0),AA172/Y172,"No programado")</f>
        <v>0.29268292682926828</v>
      </c>
      <c r="AE172" s="332">
        <f>IF(AND(W172&gt;0,$AB172&gt;0),AB172/$W172,0)</f>
        <v>0.24000000000000002</v>
      </c>
      <c r="AF172" s="354">
        <f t="shared" ref="AF172:AF174" si="328">W172</f>
        <v>1</v>
      </c>
      <c r="AG172" s="369" t="e">
        <f>+'1.Informe Seguimiento POA 2023'!#REF!</f>
        <v>#REF!</v>
      </c>
      <c r="AH172" s="369" t="e">
        <f>+'1.Informe Seguimiento POA 2023'!O90+'1.Informe Seguimiento POA 2023'!Q90+'1.Informe Seguimiento POA 2023'!S90+'1.Informe Seguimiento POA 2023'!#REF!</f>
        <v>#REF!</v>
      </c>
      <c r="AI172" s="369">
        <f>+'1.Informe Seguimiento POA 2023'!V90</f>
        <v>0</v>
      </c>
      <c r="AJ172" s="369">
        <f>+'1.Informe Seguimiento POA 2023'!P90+'1.Informe Seguimiento POA 2023'!R90+'1.Informe Seguimiento POA 2023'!T90+'1.Informe Seguimiento POA 2023'!V90</f>
        <v>0.24000000000000002</v>
      </c>
      <c r="AK172" s="343">
        <f t="shared" ref="AK172:AK174" si="329">H172+Q172+Z172+AI172</f>
        <v>0.24000000000000002</v>
      </c>
      <c r="AL172" s="346" t="e">
        <f t="shared" ref="AL172:AM174" si="330">IF(AND(AG172&gt;0),AI172/AG172,"No programado")</f>
        <v>#REF!</v>
      </c>
      <c r="AM172" s="346" t="e">
        <f>IF(AND(AH172&gt;0),AJ172/AH172,"No programado")</f>
        <v>#REF!</v>
      </c>
      <c r="AN172" s="332">
        <f>IF(AND(AF172&gt;0,$AK172&gt;0),AK172/$AF172,0)</f>
        <v>0.24000000000000002</v>
      </c>
      <c r="AO172" s="336" t="str">
        <f>+'Rango indicadores'!H89</f>
        <v>Mayor A:</v>
      </c>
      <c r="AP172" s="331">
        <f>+'Rango indicadores'!I89</f>
        <v>95</v>
      </c>
      <c r="AQ172" s="331" t="str">
        <f>+'Rango indicadores'!J89</f>
        <v>Desde (&gt;=):</v>
      </c>
      <c r="AR172" s="331">
        <f>+'Rango indicadores'!K89</f>
        <v>75</v>
      </c>
      <c r="AS172" s="331" t="str">
        <f>+'Rango indicadores'!L89</f>
        <v>Hasta (&lt;=):</v>
      </c>
      <c r="AT172" s="331">
        <f>+'Rango indicadores'!M89</f>
        <v>95</v>
      </c>
      <c r="AU172" s="331" t="str">
        <f>+'Rango indicadores'!N89</f>
        <v>Menor A:</v>
      </c>
      <c r="AV172" s="331">
        <f>+'Rango indicadores'!O89</f>
        <v>75</v>
      </c>
      <c r="AW172" s="427" t="s">
        <v>1212</v>
      </c>
      <c r="AX172" s="426"/>
      <c r="AY172" s="483"/>
      <c r="AZ172" s="426"/>
    </row>
    <row r="173" spans="2:52" ht="56.4" customHeight="1">
      <c r="B173" s="328">
        <f>B172+1</f>
        <v>86</v>
      </c>
      <c r="C173" s="329" t="str">
        <f>+'Rango indicadores'!D90</f>
        <v>16-RI-02</v>
      </c>
      <c r="D173" s="329" t="str">
        <f>+'Rango indicadores'!E90</f>
        <v>Estrategia de Sensibilización acerca de la Cultura del Control realizada</v>
      </c>
      <c r="E173" s="354">
        <f>+'Rango indicadores'!Q90</f>
        <v>1</v>
      </c>
      <c r="F173" s="369">
        <f>'1.Informe Seguimiento POA 2023'!O91</f>
        <v>0</v>
      </c>
      <c r="G173" s="369">
        <f>'1.Informe Seguimiento POA 2023'!O91</f>
        <v>0</v>
      </c>
      <c r="H173" s="369">
        <f>'1.Informe Seguimiento POA 2023'!P91</f>
        <v>0</v>
      </c>
      <c r="I173" s="369">
        <f>'1.Informe Seguimiento POA 2023'!P91</f>
        <v>0</v>
      </c>
      <c r="J173" s="369">
        <f t="shared" si="316"/>
        <v>0</v>
      </c>
      <c r="K173" s="368" t="str">
        <f t="shared" ref="K173:K174" si="331">IF(AND(F173&gt;0),H173/F173,"No programado")</f>
        <v>No programado</v>
      </c>
      <c r="L173" s="368" t="str">
        <f t="shared" ref="L173:L174" si="332">IF(AND(G173&gt;0),I173/G173,"No programado")</f>
        <v>No programado</v>
      </c>
      <c r="M173" s="332">
        <f t="shared" ref="M173:M174" si="333">IF(AND(E173&gt;0,$J173&gt;0),J173/$E173,0)</f>
        <v>0</v>
      </c>
      <c r="N173" s="354">
        <f t="shared" ref="N173:N174" si="334">E173</f>
        <v>1</v>
      </c>
      <c r="O173" s="369">
        <f>+'1.Informe Seguimiento POA 2023'!Q91</f>
        <v>0</v>
      </c>
      <c r="P173" s="369">
        <f>+'1.Informe Seguimiento POA 2023'!O91+'1.Informe Seguimiento POA 2023'!Q91</f>
        <v>0</v>
      </c>
      <c r="Q173" s="369">
        <f>+'1.Informe Seguimiento POA 2023'!R91</f>
        <v>0</v>
      </c>
      <c r="R173" s="369">
        <f>+'1.Informe Seguimiento POA 2023'!P91+'1.Informe Seguimiento POA 2023'!R91</f>
        <v>0</v>
      </c>
      <c r="S173" s="369">
        <f t="shared" ref="S173:S174" si="335">H173+Q173</f>
        <v>0</v>
      </c>
      <c r="T173" s="368" t="str">
        <f t="shared" si="322"/>
        <v>No programado</v>
      </c>
      <c r="U173" s="368" t="str">
        <f t="shared" si="323"/>
        <v>No programado</v>
      </c>
      <c r="V173" s="332">
        <f>IF(AND(N173&gt;0,$S173&gt;0),S173/$N173,0)</f>
        <v>0</v>
      </c>
      <c r="W173" s="354">
        <f t="shared" si="324"/>
        <v>1</v>
      </c>
      <c r="X173" s="369">
        <f>+'1.Informe Seguimiento POA 2023'!S91</f>
        <v>1</v>
      </c>
      <c r="Y173" s="369">
        <f>+'1.Informe Seguimiento POA 2023'!O91+'1.Informe Seguimiento POA 2023'!Q91+'1.Informe Seguimiento POA 2023'!S91</f>
        <v>1</v>
      </c>
      <c r="Z173" s="369">
        <f>+'1.Informe Seguimiento POA 2023'!T91</f>
        <v>0</v>
      </c>
      <c r="AA173" s="369">
        <f>+'1.Informe Seguimiento POA 2023'!R91+'1.Informe Seguimiento POA 2023'!T91+'1.Informe Seguimiento POA 2023'!P91</f>
        <v>0</v>
      </c>
      <c r="AB173" s="369">
        <f t="shared" ref="AB173:AB174" si="336">H173+Q173+Z173</f>
        <v>0</v>
      </c>
      <c r="AC173" s="368">
        <f t="shared" si="326"/>
        <v>0</v>
      </c>
      <c r="AD173" s="368">
        <f t="shared" si="327"/>
        <v>0</v>
      </c>
      <c r="AE173" s="332">
        <f>IF(AND(W173&gt;0,$AB173&gt;0),AB173/$W173,0)</f>
        <v>0</v>
      </c>
      <c r="AF173" s="354">
        <f t="shared" si="328"/>
        <v>1</v>
      </c>
      <c r="AG173" s="369" t="e">
        <f>+'1.Informe Seguimiento POA 2023'!#REF!</f>
        <v>#REF!</v>
      </c>
      <c r="AH173" s="369" t="e">
        <f>+'1.Informe Seguimiento POA 2023'!O91+'1.Informe Seguimiento POA 2023'!Q91+'1.Informe Seguimiento POA 2023'!S91+'1.Informe Seguimiento POA 2023'!#REF!</f>
        <v>#REF!</v>
      </c>
      <c r="AI173" s="369">
        <f>+'1.Informe Seguimiento POA 2023'!V91</f>
        <v>0</v>
      </c>
      <c r="AJ173" s="369">
        <f>+'1.Informe Seguimiento POA 2023'!P91+'1.Informe Seguimiento POA 2023'!R91+'1.Informe Seguimiento POA 2023'!T91+'1.Informe Seguimiento POA 2023'!V91</f>
        <v>0</v>
      </c>
      <c r="AK173" s="343">
        <f t="shared" si="329"/>
        <v>0</v>
      </c>
      <c r="AL173" s="368" t="e">
        <f t="shared" si="330"/>
        <v>#REF!</v>
      </c>
      <c r="AM173" s="368" t="e">
        <f t="shared" si="330"/>
        <v>#REF!</v>
      </c>
      <c r="AN173" s="332">
        <f>IF(AND(AF173&gt;0,$AK173&gt;0),AK173/$AF173,0)</f>
        <v>0</v>
      </c>
      <c r="AO173" s="336" t="str">
        <f>+'Rango indicadores'!H90</f>
        <v>Mayor A:</v>
      </c>
      <c r="AP173" s="331">
        <f>+'Rango indicadores'!I90</f>
        <v>95</v>
      </c>
      <c r="AQ173" s="331" t="str">
        <f>+'Rango indicadores'!J90</f>
        <v>Desde (&gt;=):</v>
      </c>
      <c r="AR173" s="331">
        <f>+'Rango indicadores'!K90</f>
        <v>75</v>
      </c>
      <c r="AS173" s="331" t="str">
        <f>+'Rango indicadores'!L90</f>
        <v>Hasta (&lt;=):</v>
      </c>
      <c r="AT173" s="331">
        <f>+'Rango indicadores'!M90</f>
        <v>95</v>
      </c>
      <c r="AU173" s="331" t="str">
        <f>+'Rango indicadores'!N90</f>
        <v>Menor A:</v>
      </c>
      <c r="AV173" s="331">
        <f>+'Rango indicadores'!O90</f>
        <v>75</v>
      </c>
      <c r="AW173" s="427" t="s">
        <v>1157</v>
      </c>
      <c r="AX173" s="426"/>
      <c r="AY173" s="483"/>
      <c r="AZ173" s="426"/>
    </row>
    <row r="174" spans="2:52" ht="80.400000000000006" customHeight="1">
      <c r="B174" s="328">
        <f t="shared" ref="B174" si="337">B173+1</f>
        <v>87</v>
      </c>
      <c r="C174" s="329" t="str">
        <f>+'Rango indicadores'!D91</f>
        <v>16-RI-03</v>
      </c>
      <c r="D174" s="329" t="str">
        <f>+'Rango indicadores'!E91</f>
        <v>Sensibilización a Directivos y Referentes de Gestión sobre la Séptima Dimensión del MIPG realizada</v>
      </c>
      <c r="E174" s="354">
        <f>+'Rango indicadores'!Q91</f>
        <v>1</v>
      </c>
      <c r="F174" s="369">
        <f>'1.Informe Seguimiento POA 2023'!O92</f>
        <v>0</v>
      </c>
      <c r="G174" s="369">
        <f>'1.Informe Seguimiento POA 2023'!O92</f>
        <v>0</v>
      </c>
      <c r="H174" s="369">
        <f>'1.Informe Seguimiento POA 2023'!P92</f>
        <v>0</v>
      </c>
      <c r="I174" s="369">
        <f>'1.Informe Seguimiento POA 2023'!P92</f>
        <v>0</v>
      </c>
      <c r="J174" s="369">
        <f t="shared" si="316"/>
        <v>0</v>
      </c>
      <c r="K174" s="368" t="str">
        <f t="shared" si="331"/>
        <v>No programado</v>
      </c>
      <c r="L174" s="368" t="str">
        <f t="shared" si="332"/>
        <v>No programado</v>
      </c>
      <c r="M174" s="332">
        <f t="shared" si="333"/>
        <v>0</v>
      </c>
      <c r="N174" s="354">
        <f t="shared" si="334"/>
        <v>1</v>
      </c>
      <c r="O174" s="369">
        <f>+'1.Informe Seguimiento POA 2023'!Q92</f>
        <v>1</v>
      </c>
      <c r="P174" s="369">
        <f>+'1.Informe Seguimiento POA 2023'!O92+'1.Informe Seguimiento POA 2023'!Q92</f>
        <v>1</v>
      </c>
      <c r="Q174" s="369">
        <f>+'1.Informe Seguimiento POA 2023'!R92</f>
        <v>1</v>
      </c>
      <c r="R174" s="369">
        <f>+'1.Informe Seguimiento POA 2023'!P92+'1.Informe Seguimiento POA 2023'!R92</f>
        <v>1</v>
      </c>
      <c r="S174" s="369">
        <f t="shared" si="335"/>
        <v>1</v>
      </c>
      <c r="T174" s="368">
        <f t="shared" si="322"/>
        <v>1</v>
      </c>
      <c r="U174" s="368">
        <f t="shared" si="323"/>
        <v>1</v>
      </c>
      <c r="V174" s="332">
        <f>IF(AND(N174&gt;0,$S174&gt;0),S174/$N174,0)</f>
        <v>1</v>
      </c>
      <c r="W174" s="354">
        <f t="shared" si="324"/>
        <v>1</v>
      </c>
      <c r="X174" s="369">
        <f>+'1.Informe Seguimiento POA 2023'!S92</f>
        <v>0</v>
      </c>
      <c r="Y174" s="369">
        <f>+'1.Informe Seguimiento POA 2023'!O92+'1.Informe Seguimiento POA 2023'!Q92+'1.Informe Seguimiento POA 2023'!S92</f>
        <v>1</v>
      </c>
      <c r="Z174" s="369">
        <f>+'1.Informe Seguimiento POA 2023'!T92</f>
        <v>0</v>
      </c>
      <c r="AA174" s="369">
        <f>+'1.Informe Seguimiento POA 2023'!R92+'1.Informe Seguimiento POA 2023'!T92+'1.Informe Seguimiento POA 2023'!P92</f>
        <v>1</v>
      </c>
      <c r="AB174" s="369">
        <f t="shared" si="336"/>
        <v>1</v>
      </c>
      <c r="AC174" s="368" t="str">
        <f t="shared" si="326"/>
        <v>No programado</v>
      </c>
      <c r="AD174" s="368">
        <f t="shared" si="327"/>
        <v>1</v>
      </c>
      <c r="AE174" s="332">
        <f>IF(AND(W174&gt;0,$AB174&gt;0),AB174/$W174,0)</f>
        <v>1</v>
      </c>
      <c r="AF174" s="354">
        <f t="shared" si="328"/>
        <v>1</v>
      </c>
      <c r="AG174" s="369" t="e">
        <f>+'1.Informe Seguimiento POA 2023'!#REF!</f>
        <v>#REF!</v>
      </c>
      <c r="AH174" s="369" t="e">
        <f>+'1.Informe Seguimiento POA 2023'!O92+'1.Informe Seguimiento POA 2023'!Q92+'1.Informe Seguimiento POA 2023'!S92+'1.Informe Seguimiento POA 2023'!#REF!</f>
        <v>#REF!</v>
      </c>
      <c r="AI174" s="369">
        <f>+'1.Informe Seguimiento POA 2023'!V92</f>
        <v>0</v>
      </c>
      <c r="AJ174" s="369">
        <f>+'1.Informe Seguimiento POA 2023'!P92+'1.Informe Seguimiento POA 2023'!R92+'1.Informe Seguimiento POA 2023'!T92+'1.Informe Seguimiento POA 2023'!V92</f>
        <v>1</v>
      </c>
      <c r="AK174" s="343">
        <f t="shared" si="329"/>
        <v>1</v>
      </c>
      <c r="AL174" s="368" t="e">
        <f t="shared" si="330"/>
        <v>#REF!</v>
      </c>
      <c r="AM174" s="368" t="e">
        <f t="shared" si="330"/>
        <v>#REF!</v>
      </c>
      <c r="AN174" s="332">
        <f>IF(AND(AF174&gt;0,$AK174&gt;0),AK174/$AF174,0)</f>
        <v>1</v>
      </c>
      <c r="AO174" s="336" t="str">
        <f>+'Rango indicadores'!H91</f>
        <v>Mayor A:</v>
      </c>
      <c r="AP174" s="331">
        <f>+'Rango indicadores'!I91</f>
        <v>95</v>
      </c>
      <c r="AQ174" s="331" t="str">
        <f>+'Rango indicadores'!J91</f>
        <v>Desde (&gt;=):</v>
      </c>
      <c r="AR174" s="331">
        <f>+'Rango indicadores'!K91</f>
        <v>75</v>
      </c>
      <c r="AS174" s="331" t="str">
        <f>+'Rango indicadores'!L91</f>
        <v>Hasta (&lt;=):</v>
      </c>
      <c r="AT174" s="331">
        <f>+'Rango indicadores'!M91</f>
        <v>95</v>
      </c>
      <c r="AU174" s="331" t="str">
        <f>+'Rango indicadores'!N91</f>
        <v>Menor A:</v>
      </c>
      <c r="AV174" s="331">
        <f>+'Rango indicadores'!O91</f>
        <v>75</v>
      </c>
      <c r="AW174" s="421" t="s">
        <v>1234</v>
      </c>
      <c r="AX174" s="426"/>
      <c r="AY174" s="483"/>
      <c r="AZ174" s="426"/>
    </row>
    <row r="175" spans="2:52" ht="15.6">
      <c r="C175" s="1319" t="s">
        <v>826</v>
      </c>
      <c r="D175" s="1320"/>
      <c r="E175" s="1320"/>
      <c r="F175" s="1320"/>
      <c r="G175" s="1320"/>
      <c r="H175" s="1320"/>
      <c r="I175" s="1320"/>
      <c r="J175" s="1320"/>
      <c r="K175" s="334">
        <f>IFERROR(AVERAGE(K172:K174),0)</f>
        <v>1</v>
      </c>
      <c r="L175" s="334">
        <f>IFERROR(AVERAGE(L172:L174),0)</f>
        <v>1</v>
      </c>
      <c r="M175" s="334">
        <f>IFERROR(AVERAGE(M172:M174),0)</f>
        <v>4.6666666666666669E-2</v>
      </c>
      <c r="N175" s="754"/>
      <c r="O175" s="754"/>
      <c r="P175" s="754"/>
      <c r="Q175" s="754"/>
      <c r="R175" s="754"/>
      <c r="S175" s="754"/>
      <c r="T175" s="334">
        <f>IFERROR(AVERAGE(T172:T174),0)</f>
        <v>1</v>
      </c>
      <c r="U175" s="334">
        <f>IFERROR(AVERAGE(U172:U174),0)</f>
        <v>1</v>
      </c>
      <c r="V175" s="334">
        <f>IFERROR(AVERAGE(V172:V174),0)</f>
        <v>0.41333333333333333</v>
      </c>
      <c r="W175" s="754"/>
      <c r="X175" s="754"/>
      <c r="Y175" s="754"/>
      <c r="Z175" s="754"/>
      <c r="AA175" s="754"/>
      <c r="AB175" s="754"/>
      <c r="AC175" s="334">
        <f>IFERROR(AVERAGE(AC172:AC174),0)</f>
        <v>0</v>
      </c>
      <c r="AD175" s="334">
        <f>IFERROR(AVERAGE(AD172:AD174),0)</f>
        <v>0.43089430894308944</v>
      </c>
      <c r="AE175" s="334">
        <f>IFERROR(AVERAGE(AE172:AE174),0)</f>
        <v>0.41333333333333333</v>
      </c>
      <c r="AF175" s="754"/>
      <c r="AG175" s="754"/>
      <c r="AH175" s="754"/>
      <c r="AI175" s="754"/>
      <c r="AJ175" s="754"/>
      <c r="AK175" s="755"/>
      <c r="AL175" s="334">
        <f>IFERROR(AVERAGE(AL172:AL174),0)</f>
        <v>0</v>
      </c>
      <c r="AM175" s="334">
        <f>IFERROR(AVERAGE(AM172:AM174),0)</f>
        <v>0</v>
      </c>
      <c r="AN175" s="334">
        <f>IFERROR(AVERAGE(AN172:AN174),0)</f>
        <v>0.41333333333333333</v>
      </c>
      <c r="AO175" s="341"/>
      <c r="AP175" s="341"/>
      <c r="AQ175" s="341"/>
      <c r="AR175" s="341"/>
      <c r="AS175" s="341"/>
      <c r="AT175" s="341"/>
      <c r="AU175" s="341"/>
      <c r="AV175" s="341"/>
      <c r="AW175" s="428"/>
    </row>
    <row r="176" spans="2:52" s="324" customFormat="1">
      <c r="D176" s="326"/>
      <c r="AW176" s="326"/>
      <c r="AY176" s="310"/>
      <c r="AZ176" s="310"/>
    </row>
    <row r="177" spans="3:32">
      <c r="C177" s="310" t="s">
        <v>1077</v>
      </c>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row>
    <row r="178" spans="3:32"/>
    <row r="179" spans="3:32">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row>
    <row r="180" spans="3:32">
      <c r="E180" s="310"/>
      <c r="F180" s="310"/>
      <c r="G180" s="310"/>
      <c r="H180" s="310"/>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row>
    <row r="181" spans="3:32">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row>
    <row r="182" spans="3:32">
      <c r="E182" s="310"/>
      <c r="F182" s="310"/>
      <c r="G182" s="310"/>
      <c r="H182" s="310"/>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row>
    <row r="183" spans="3:32">
      <c r="E183" s="310"/>
      <c r="F183" s="310"/>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row>
    <row r="184" spans="3:32">
      <c r="E184" s="310"/>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row>
    <row r="185" spans="3:32">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row>
    <row r="186" spans="3:32"/>
    <row r="187" spans="3:32"/>
    <row r="188" spans="3:32"/>
    <row r="189" spans="3:32"/>
    <row r="190" spans="3:32"/>
    <row r="191" spans="3:32"/>
    <row r="192" spans="3: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sheetData>
  <sheetProtection algorithmName="SHA-512" hashValue="CqafzHeDO5p3CZNPp1buu9nUVZP4V/4h/3st8avuztwzAoUxzC0DwgOm9ky6V2kcSdlB/v9UWaaTUyRpiEzD2Q==" saltValue="ujpCkgGZC8hPQ/UYCsjaug==" spinCount="100000" sheet="1" objects="1" scenarios="1"/>
  <mergeCells count="518">
    <mergeCell ref="C123:J123"/>
    <mergeCell ref="C131:J131"/>
    <mergeCell ref="C140:J140"/>
    <mergeCell ref="C149:J149"/>
    <mergeCell ref="C159:J159"/>
    <mergeCell ref="C167:J167"/>
    <mergeCell ref="C175:J175"/>
    <mergeCell ref="C17:J17"/>
    <mergeCell ref="C26:J26"/>
    <mergeCell ref="C38:J38"/>
    <mergeCell ref="C45:J45"/>
    <mergeCell ref="C53:J53"/>
    <mergeCell ref="C78:J78"/>
    <mergeCell ref="C90:J90"/>
    <mergeCell ref="C103:J103"/>
    <mergeCell ref="C116:J116"/>
    <mergeCell ref="E19:M19"/>
    <mergeCell ref="E28:M28"/>
    <mergeCell ref="E47:M47"/>
    <mergeCell ref="E55:M55"/>
    <mergeCell ref="E80:M80"/>
    <mergeCell ref="E92:M92"/>
    <mergeCell ref="E105:M105"/>
    <mergeCell ref="E118:M118"/>
    <mergeCell ref="E40:M40"/>
    <mergeCell ref="N40:V40"/>
    <mergeCell ref="W40:AE40"/>
    <mergeCell ref="AF40:AN40"/>
    <mergeCell ref="E41:G41"/>
    <mergeCell ref="H41:H42"/>
    <mergeCell ref="I41:I42"/>
    <mergeCell ref="J41:J42"/>
    <mergeCell ref="K41:M41"/>
    <mergeCell ref="N41:P41"/>
    <mergeCell ref="Q41:Q42"/>
    <mergeCell ref="R41:R42"/>
    <mergeCell ref="S41:S42"/>
    <mergeCell ref="T41:V41"/>
    <mergeCell ref="W41:Y41"/>
    <mergeCell ref="Z41:Z42"/>
    <mergeCell ref="AA41:AA42"/>
    <mergeCell ref="AB41:AB42"/>
    <mergeCell ref="AC41:AE41"/>
    <mergeCell ref="AF41:AH41"/>
    <mergeCell ref="AC119:AE119"/>
    <mergeCell ref="AF119:AH119"/>
    <mergeCell ref="N118:V118"/>
    <mergeCell ref="W118:AE118"/>
    <mergeCell ref="AF118:AN118"/>
    <mergeCell ref="S126:S127"/>
    <mergeCell ref="T126:V126"/>
    <mergeCell ref="W126:Y126"/>
    <mergeCell ref="Z126:Z127"/>
    <mergeCell ref="AA126:AA127"/>
    <mergeCell ref="AB126:AB127"/>
    <mergeCell ref="AC126:AE126"/>
    <mergeCell ref="AF126:AH126"/>
    <mergeCell ref="AL119:AN119"/>
    <mergeCell ref="AF93:AH93"/>
    <mergeCell ref="N92:V92"/>
    <mergeCell ref="W92:AE92"/>
    <mergeCell ref="AF92:AN92"/>
    <mergeCell ref="S106:S107"/>
    <mergeCell ref="T106:V106"/>
    <mergeCell ref="W106:Y106"/>
    <mergeCell ref="Z106:Z107"/>
    <mergeCell ref="AA106:AA107"/>
    <mergeCell ref="AB106:AB107"/>
    <mergeCell ref="AC106:AE106"/>
    <mergeCell ref="AF106:AH106"/>
    <mergeCell ref="AK93:AK94"/>
    <mergeCell ref="AL93:AN93"/>
    <mergeCell ref="N105:V105"/>
    <mergeCell ref="W105:AE105"/>
    <mergeCell ref="AF105:AN105"/>
    <mergeCell ref="AC56:AE56"/>
    <mergeCell ref="AF56:AH56"/>
    <mergeCell ref="N55:V55"/>
    <mergeCell ref="W55:AE55"/>
    <mergeCell ref="AF55:AN55"/>
    <mergeCell ref="S81:S82"/>
    <mergeCell ref="T81:V81"/>
    <mergeCell ref="W81:Y81"/>
    <mergeCell ref="Z81:Z82"/>
    <mergeCell ref="AA81:AA82"/>
    <mergeCell ref="AB81:AB82"/>
    <mergeCell ref="AC81:AE81"/>
    <mergeCell ref="AF81:AH81"/>
    <mergeCell ref="AL56:AN56"/>
    <mergeCell ref="N80:V80"/>
    <mergeCell ref="W80:AE80"/>
    <mergeCell ref="AF80:AN80"/>
    <mergeCell ref="AC29:AE29"/>
    <mergeCell ref="AF29:AH29"/>
    <mergeCell ref="N28:V28"/>
    <mergeCell ref="W28:AE28"/>
    <mergeCell ref="AF28:AN28"/>
    <mergeCell ref="S48:S49"/>
    <mergeCell ref="T48:V48"/>
    <mergeCell ref="W48:Y48"/>
    <mergeCell ref="Z48:Z49"/>
    <mergeCell ref="AA48:AA49"/>
    <mergeCell ref="AB48:AB49"/>
    <mergeCell ref="AC48:AE48"/>
    <mergeCell ref="AF48:AH48"/>
    <mergeCell ref="AL29:AN29"/>
    <mergeCell ref="AL41:AN41"/>
    <mergeCell ref="N47:V47"/>
    <mergeCell ref="W47:AE47"/>
    <mergeCell ref="AF47:AN47"/>
    <mergeCell ref="D11:D12"/>
    <mergeCell ref="AL11:AN11"/>
    <mergeCell ref="C2:C6"/>
    <mergeCell ref="AO11:AV11"/>
    <mergeCell ref="AW11:AW12"/>
    <mergeCell ref="AO12:AP12"/>
    <mergeCell ref="AQ12:AT12"/>
    <mergeCell ref="AU12:AV12"/>
    <mergeCell ref="C11:C12"/>
    <mergeCell ref="AI11:AI12"/>
    <mergeCell ref="AJ11:AJ12"/>
    <mergeCell ref="AK11:AK12"/>
    <mergeCell ref="D2:AK2"/>
    <mergeCell ref="D3:AK3"/>
    <mergeCell ref="D5:AK5"/>
    <mergeCell ref="D6:AK6"/>
    <mergeCell ref="E11:G11"/>
    <mergeCell ref="N11:P11"/>
    <mergeCell ref="D4:AK4"/>
    <mergeCell ref="W11:Y11"/>
    <mergeCell ref="AF10:AN10"/>
    <mergeCell ref="K11:M11"/>
    <mergeCell ref="E10:M10"/>
    <mergeCell ref="N10:V10"/>
    <mergeCell ref="AO20:AV20"/>
    <mergeCell ref="AW20:AW21"/>
    <mergeCell ref="AO21:AP21"/>
    <mergeCell ref="AQ21:AT21"/>
    <mergeCell ref="AU21:AV21"/>
    <mergeCell ref="C20:C21"/>
    <mergeCell ref="AI20:AI21"/>
    <mergeCell ref="AJ20:AJ21"/>
    <mergeCell ref="AK20:AK21"/>
    <mergeCell ref="D20:D21"/>
    <mergeCell ref="S20:S21"/>
    <mergeCell ref="T20:V20"/>
    <mergeCell ref="W20:Y20"/>
    <mergeCell ref="Z20:Z21"/>
    <mergeCell ref="AA20:AA21"/>
    <mergeCell ref="AB20:AB21"/>
    <mergeCell ref="AC20:AE20"/>
    <mergeCell ref="AF20:AH20"/>
    <mergeCell ref="N19:V19"/>
    <mergeCell ref="W19:AE19"/>
    <mergeCell ref="AF19:AN19"/>
    <mergeCell ref="E20:G20"/>
    <mergeCell ref="H20:H21"/>
    <mergeCell ref="I20:I21"/>
    <mergeCell ref="J20:J21"/>
    <mergeCell ref="K20:M20"/>
    <mergeCell ref="N20:P20"/>
    <mergeCell ref="Q20:Q21"/>
    <mergeCell ref="R20:R21"/>
    <mergeCell ref="AL20:AN20"/>
    <mergeCell ref="AO29:AV29"/>
    <mergeCell ref="AW29:AW30"/>
    <mergeCell ref="AO30:AP30"/>
    <mergeCell ref="AQ30:AT30"/>
    <mergeCell ref="AU30:AV30"/>
    <mergeCell ref="C29:C30"/>
    <mergeCell ref="AI29:AI30"/>
    <mergeCell ref="AJ29:AJ30"/>
    <mergeCell ref="AK29:AK30"/>
    <mergeCell ref="D29:D30"/>
    <mergeCell ref="E29:G29"/>
    <mergeCell ref="H29:H30"/>
    <mergeCell ref="I29:I30"/>
    <mergeCell ref="J29:J30"/>
    <mergeCell ref="K29:M29"/>
    <mergeCell ref="N29:P29"/>
    <mergeCell ref="Q29:Q30"/>
    <mergeCell ref="R29:R30"/>
    <mergeCell ref="S29:S30"/>
    <mergeCell ref="T29:V29"/>
    <mergeCell ref="W29:Y29"/>
    <mergeCell ref="Z29:Z30"/>
    <mergeCell ref="AA29:AA30"/>
    <mergeCell ref="AB29:AB30"/>
    <mergeCell ref="AO41:AV41"/>
    <mergeCell ref="AW41:AW42"/>
    <mergeCell ref="AO42:AP42"/>
    <mergeCell ref="AQ42:AT42"/>
    <mergeCell ref="AU42:AV42"/>
    <mergeCell ref="C41:C42"/>
    <mergeCell ref="AI41:AI42"/>
    <mergeCell ref="AJ41:AJ42"/>
    <mergeCell ref="AK41:AK42"/>
    <mergeCell ref="D41:D42"/>
    <mergeCell ref="AO48:AV48"/>
    <mergeCell ref="AW48:AW49"/>
    <mergeCell ref="AO49:AP49"/>
    <mergeCell ref="AQ49:AT49"/>
    <mergeCell ref="AU49:AV49"/>
    <mergeCell ref="C48:C49"/>
    <mergeCell ref="AI48:AI49"/>
    <mergeCell ref="AJ48:AJ49"/>
    <mergeCell ref="AK48:AK49"/>
    <mergeCell ref="D48:D49"/>
    <mergeCell ref="E48:G48"/>
    <mergeCell ref="H48:H49"/>
    <mergeCell ref="I48:I49"/>
    <mergeCell ref="J48:J49"/>
    <mergeCell ref="K48:M48"/>
    <mergeCell ref="N48:P48"/>
    <mergeCell ref="Q48:Q49"/>
    <mergeCell ref="R48:R49"/>
    <mergeCell ref="AL48:AN48"/>
    <mergeCell ref="AO56:AV56"/>
    <mergeCell ref="AW56:AW57"/>
    <mergeCell ref="AO57:AP57"/>
    <mergeCell ref="AQ57:AT57"/>
    <mergeCell ref="AU57:AV57"/>
    <mergeCell ref="C56:C57"/>
    <mergeCell ref="AI56:AI57"/>
    <mergeCell ref="AJ56:AJ57"/>
    <mergeCell ref="AK56:AK57"/>
    <mergeCell ref="D56:D57"/>
    <mergeCell ref="E56:G56"/>
    <mergeCell ref="H56:H57"/>
    <mergeCell ref="I56:I57"/>
    <mergeCell ref="J56:J57"/>
    <mergeCell ref="K56:M56"/>
    <mergeCell ref="N56:P56"/>
    <mergeCell ref="Q56:Q57"/>
    <mergeCell ref="R56:R57"/>
    <mergeCell ref="S56:S57"/>
    <mergeCell ref="T56:V56"/>
    <mergeCell ref="W56:Y56"/>
    <mergeCell ref="Z56:Z57"/>
    <mergeCell ref="AA56:AA57"/>
    <mergeCell ref="AB56:AB57"/>
    <mergeCell ref="AO81:AV81"/>
    <mergeCell ref="AW81:AW82"/>
    <mergeCell ref="AO82:AP82"/>
    <mergeCell ref="AQ82:AT82"/>
    <mergeCell ref="AU82:AV82"/>
    <mergeCell ref="C81:C82"/>
    <mergeCell ref="AI81:AI82"/>
    <mergeCell ref="AJ81:AJ82"/>
    <mergeCell ref="D81:D82"/>
    <mergeCell ref="E81:G81"/>
    <mergeCell ref="H81:H82"/>
    <mergeCell ref="I81:I82"/>
    <mergeCell ref="J81:J82"/>
    <mergeCell ref="K81:M81"/>
    <mergeCell ref="N81:P81"/>
    <mergeCell ref="Q81:Q82"/>
    <mergeCell ref="R81:R82"/>
    <mergeCell ref="AK81:AK82"/>
    <mergeCell ref="AL81:AN81"/>
    <mergeCell ref="AO93:AV93"/>
    <mergeCell ref="AW93:AW94"/>
    <mergeCell ref="AO94:AP94"/>
    <mergeCell ref="AQ94:AT94"/>
    <mergeCell ref="AU94:AV94"/>
    <mergeCell ref="C93:C94"/>
    <mergeCell ref="AI93:AI94"/>
    <mergeCell ref="AJ93:AJ94"/>
    <mergeCell ref="D93:D94"/>
    <mergeCell ref="E93:G93"/>
    <mergeCell ref="H93:H94"/>
    <mergeCell ref="I93:I94"/>
    <mergeCell ref="J93:J94"/>
    <mergeCell ref="K93:M93"/>
    <mergeCell ref="N93:P93"/>
    <mergeCell ref="Q93:Q94"/>
    <mergeCell ref="R93:R94"/>
    <mergeCell ref="S93:S94"/>
    <mergeCell ref="T93:V93"/>
    <mergeCell ref="W93:Y93"/>
    <mergeCell ref="Z93:Z94"/>
    <mergeCell ref="AA93:AA94"/>
    <mergeCell ref="AB93:AB94"/>
    <mergeCell ref="AC93:AE93"/>
    <mergeCell ref="AO106:AV106"/>
    <mergeCell ref="AW106:AW107"/>
    <mergeCell ref="AO107:AP107"/>
    <mergeCell ref="AQ107:AT107"/>
    <mergeCell ref="AU107:AV107"/>
    <mergeCell ref="C106:C107"/>
    <mergeCell ref="AI106:AI107"/>
    <mergeCell ref="AJ106:AJ107"/>
    <mergeCell ref="AK106:AK107"/>
    <mergeCell ref="D106:D107"/>
    <mergeCell ref="E106:G106"/>
    <mergeCell ref="H106:H107"/>
    <mergeCell ref="I106:I107"/>
    <mergeCell ref="J106:J107"/>
    <mergeCell ref="K106:M106"/>
    <mergeCell ref="N106:P106"/>
    <mergeCell ref="Q106:Q107"/>
    <mergeCell ref="R106:R107"/>
    <mergeCell ref="AL106:AN106"/>
    <mergeCell ref="AO119:AV119"/>
    <mergeCell ref="AW119:AW120"/>
    <mergeCell ref="AO120:AP120"/>
    <mergeCell ref="AQ120:AT120"/>
    <mergeCell ref="AU120:AV120"/>
    <mergeCell ref="C119:C120"/>
    <mergeCell ref="AI119:AI120"/>
    <mergeCell ref="AJ119:AJ120"/>
    <mergeCell ref="AK119:AK120"/>
    <mergeCell ref="D119:D120"/>
    <mergeCell ref="E119:G119"/>
    <mergeCell ref="H119:H120"/>
    <mergeCell ref="I119:I120"/>
    <mergeCell ref="J119:J120"/>
    <mergeCell ref="K119:M119"/>
    <mergeCell ref="N119:P119"/>
    <mergeCell ref="Q119:Q120"/>
    <mergeCell ref="R119:R120"/>
    <mergeCell ref="S119:S120"/>
    <mergeCell ref="T119:V119"/>
    <mergeCell ref="W119:Y119"/>
    <mergeCell ref="Z119:Z120"/>
    <mergeCell ref="AA119:AA120"/>
    <mergeCell ref="AB119:AB120"/>
    <mergeCell ref="AO126:AV126"/>
    <mergeCell ref="AW126:AW127"/>
    <mergeCell ref="AO127:AP127"/>
    <mergeCell ref="AQ127:AT127"/>
    <mergeCell ref="AU127:AV127"/>
    <mergeCell ref="C126:C127"/>
    <mergeCell ref="AI126:AI127"/>
    <mergeCell ref="AJ126:AJ127"/>
    <mergeCell ref="AK126:AK127"/>
    <mergeCell ref="D126:D127"/>
    <mergeCell ref="E125:M125"/>
    <mergeCell ref="N125:V125"/>
    <mergeCell ref="W125:AE125"/>
    <mergeCell ref="AF125:AN125"/>
    <mergeCell ref="E126:G126"/>
    <mergeCell ref="H126:H127"/>
    <mergeCell ref="I126:I127"/>
    <mergeCell ref="J126:J127"/>
    <mergeCell ref="K126:M126"/>
    <mergeCell ref="N126:P126"/>
    <mergeCell ref="Q126:Q127"/>
    <mergeCell ref="R126:R127"/>
    <mergeCell ref="AL126:AN126"/>
    <mergeCell ref="AO134:AV134"/>
    <mergeCell ref="AW134:AW135"/>
    <mergeCell ref="AO135:AP135"/>
    <mergeCell ref="AQ135:AT135"/>
    <mergeCell ref="AU135:AV135"/>
    <mergeCell ref="C134:C135"/>
    <mergeCell ref="AI134:AI135"/>
    <mergeCell ref="AJ134:AJ135"/>
    <mergeCell ref="AK134:AK135"/>
    <mergeCell ref="D134:D135"/>
    <mergeCell ref="R134:R135"/>
    <mergeCell ref="S134:S135"/>
    <mergeCell ref="T134:V134"/>
    <mergeCell ref="W134:Y134"/>
    <mergeCell ref="Z134:Z135"/>
    <mergeCell ref="AA134:AA135"/>
    <mergeCell ref="AB134:AB135"/>
    <mergeCell ref="AC134:AE134"/>
    <mergeCell ref="AF134:AH134"/>
    <mergeCell ref="E133:M133"/>
    <mergeCell ref="N133:V133"/>
    <mergeCell ref="W133:AE133"/>
    <mergeCell ref="AF133:AN133"/>
    <mergeCell ref="E134:G134"/>
    <mergeCell ref="H134:H135"/>
    <mergeCell ref="I134:I135"/>
    <mergeCell ref="J134:J135"/>
    <mergeCell ref="K134:M134"/>
    <mergeCell ref="N134:P134"/>
    <mergeCell ref="Q134:Q135"/>
    <mergeCell ref="AL134:AN134"/>
    <mergeCell ref="AO143:AV143"/>
    <mergeCell ref="AW143:AW144"/>
    <mergeCell ref="AO144:AP144"/>
    <mergeCell ref="AQ144:AT144"/>
    <mergeCell ref="AU144:AV144"/>
    <mergeCell ref="C143:C144"/>
    <mergeCell ref="AI143:AI144"/>
    <mergeCell ref="AJ143:AJ144"/>
    <mergeCell ref="AK143:AK144"/>
    <mergeCell ref="D143:D144"/>
    <mergeCell ref="S143:S144"/>
    <mergeCell ref="T143:V143"/>
    <mergeCell ref="W143:Y143"/>
    <mergeCell ref="Z143:Z144"/>
    <mergeCell ref="AA143:AA144"/>
    <mergeCell ref="AB143:AB144"/>
    <mergeCell ref="AC143:AE143"/>
    <mergeCell ref="AF143:AH143"/>
    <mergeCell ref="E142:M142"/>
    <mergeCell ref="N142:V142"/>
    <mergeCell ref="W142:AE142"/>
    <mergeCell ref="AF142:AN142"/>
    <mergeCell ref="E143:G143"/>
    <mergeCell ref="H143:H144"/>
    <mergeCell ref="I143:I144"/>
    <mergeCell ref="J143:J144"/>
    <mergeCell ref="K143:M143"/>
    <mergeCell ref="N143:P143"/>
    <mergeCell ref="Q143:Q144"/>
    <mergeCell ref="R143:R144"/>
    <mergeCell ref="AL143:AN143"/>
    <mergeCell ref="AO152:AV152"/>
    <mergeCell ref="AW152:AW153"/>
    <mergeCell ref="AO153:AP153"/>
    <mergeCell ref="AQ153:AT153"/>
    <mergeCell ref="AU153:AV153"/>
    <mergeCell ref="C152:C153"/>
    <mergeCell ref="AI152:AI153"/>
    <mergeCell ref="AJ152:AJ153"/>
    <mergeCell ref="AK152:AK153"/>
    <mergeCell ref="D152:D153"/>
    <mergeCell ref="S152:S153"/>
    <mergeCell ref="T152:V152"/>
    <mergeCell ref="W152:Y152"/>
    <mergeCell ref="Z152:Z153"/>
    <mergeCell ref="AA152:AA153"/>
    <mergeCell ref="AB152:AB153"/>
    <mergeCell ref="AC152:AE152"/>
    <mergeCell ref="AF152:AH152"/>
    <mergeCell ref="E151:M151"/>
    <mergeCell ref="N151:V151"/>
    <mergeCell ref="W151:AE151"/>
    <mergeCell ref="AF151:AN151"/>
    <mergeCell ref="E152:G152"/>
    <mergeCell ref="H152:H153"/>
    <mergeCell ref="I152:I153"/>
    <mergeCell ref="J152:J153"/>
    <mergeCell ref="K152:M152"/>
    <mergeCell ref="N152:P152"/>
    <mergeCell ref="Q152:Q153"/>
    <mergeCell ref="R152:R153"/>
    <mergeCell ref="AL152:AN152"/>
    <mergeCell ref="AO162:AV162"/>
    <mergeCell ref="AW162:AW163"/>
    <mergeCell ref="AO163:AP163"/>
    <mergeCell ref="AQ163:AT163"/>
    <mergeCell ref="AU163:AV163"/>
    <mergeCell ref="C162:C163"/>
    <mergeCell ref="AI162:AI163"/>
    <mergeCell ref="AJ162:AJ163"/>
    <mergeCell ref="AK162:AK163"/>
    <mergeCell ref="D162:D163"/>
    <mergeCell ref="AF162:AH162"/>
    <mergeCell ref="R162:R163"/>
    <mergeCell ref="S162:S163"/>
    <mergeCell ref="T162:V162"/>
    <mergeCell ref="W162:Y162"/>
    <mergeCell ref="Z162:Z163"/>
    <mergeCell ref="AA162:AA163"/>
    <mergeCell ref="AB162:AB163"/>
    <mergeCell ref="AC162:AE162"/>
    <mergeCell ref="E161:M161"/>
    <mergeCell ref="N161:V161"/>
    <mergeCell ref="W161:AE161"/>
    <mergeCell ref="AF161:AN161"/>
    <mergeCell ref="E162:G162"/>
    <mergeCell ref="H162:H163"/>
    <mergeCell ref="I162:I163"/>
    <mergeCell ref="J162:J163"/>
    <mergeCell ref="K162:M162"/>
    <mergeCell ref="N162:P162"/>
    <mergeCell ref="Q162:Q163"/>
    <mergeCell ref="AL162:AN162"/>
    <mergeCell ref="AO170:AV170"/>
    <mergeCell ref="AW170:AW171"/>
    <mergeCell ref="AO171:AP171"/>
    <mergeCell ref="AQ171:AT171"/>
    <mergeCell ref="AU171:AV171"/>
    <mergeCell ref="C170:C171"/>
    <mergeCell ref="AI170:AI171"/>
    <mergeCell ref="AJ170:AJ171"/>
    <mergeCell ref="AK170:AK171"/>
    <mergeCell ref="D170:D171"/>
    <mergeCell ref="W170:Y170"/>
    <mergeCell ref="Z170:Z171"/>
    <mergeCell ref="AA170:AA171"/>
    <mergeCell ref="AB170:AB171"/>
    <mergeCell ref="AC170:AE170"/>
    <mergeCell ref="AF170:AH170"/>
    <mergeCell ref="Q170:Q171"/>
    <mergeCell ref="R170:R171"/>
    <mergeCell ref="S170:S171"/>
    <mergeCell ref="E169:M169"/>
    <mergeCell ref="N169:V169"/>
    <mergeCell ref="W169:AE169"/>
    <mergeCell ref="AF169:AN169"/>
    <mergeCell ref="E170:G170"/>
    <mergeCell ref="H170:H171"/>
    <mergeCell ref="I170:I171"/>
    <mergeCell ref="J170:J171"/>
    <mergeCell ref="K170:M170"/>
    <mergeCell ref="N170:P170"/>
    <mergeCell ref="T170:V170"/>
    <mergeCell ref="AL170:AN170"/>
    <mergeCell ref="AF11:AH11"/>
    <mergeCell ref="H11:H12"/>
    <mergeCell ref="I11:I12"/>
    <mergeCell ref="J11:J12"/>
    <mergeCell ref="Q11:Q12"/>
    <mergeCell ref="R11:R12"/>
    <mergeCell ref="S11:S12"/>
    <mergeCell ref="T11:V11"/>
    <mergeCell ref="W10:AE10"/>
    <mergeCell ref="Z11:Z12"/>
    <mergeCell ref="AA11:AA12"/>
    <mergeCell ref="AB11:AB12"/>
    <mergeCell ref="AC11:AE11"/>
  </mergeCells>
  <conditionalFormatting sqref="K13:M16">
    <cfRule type="cellIs" dxfId="330" priority="266" operator="equal">
      <formula>"No programado"</formula>
    </cfRule>
    <cfRule type="cellIs" dxfId="329" priority="267" operator="lessThan">
      <formula>0.75</formula>
    </cfRule>
    <cfRule type="cellIs" dxfId="328" priority="268" operator="between">
      <formula>0.75</formula>
      <formula>0.95</formula>
    </cfRule>
    <cfRule type="cellIs" dxfId="327" priority="269" operator="greaterThan">
      <formula>1</formula>
    </cfRule>
    <cfRule type="cellIs" dxfId="326" priority="270" operator="between">
      <formula>0.9500001</formula>
      <formula>1</formula>
    </cfRule>
  </conditionalFormatting>
  <conditionalFormatting sqref="K22:M25 K31:M37 K43:M44 K50:M52 K58:M77">
    <cfRule type="cellIs" dxfId="325" priority="261" operator="equal">
      <formula>"No programado"</formula>
    </cfRule>
  </conditionalFormatting>
  <conditionalFormatting sqref="K22:M25 K31:M37 K43:M44 K50:M52 K58:M77">
    <cfRule type="cellIs" dxfId="324" priority="265" operator="between">
      <formula>0.950001</formula>
      <formula>1</formula>
    </cfRule>
  </conditionalFormatting>
  <conditionalFormatting sqref="K22:M25 K31:M37 K43:M44 K50:M52 K58:M77">
    <cfRule type="cellIs" dxfId="323" priority="264" operator="greaterThan">
      <formula>1</formula>
    </cfRule>
  </conditionalFormatting>
  <conditionalFormatting sqref="K22:M25 K31:M37 K43:M44 K50:M52 K58:M77">
    <cfRule type="cellIs" dxfId="322" priority="263" operator="lessThan">
      <formula>0.75</formula>
    </cfRule>
  </conditionalFormatting>
  <conditionalFormatting sqref="K22:M25 K31:M37 K43:M44 K50:M52 K58:M77">
    <cfRule type="cellIs" dxfId="321" priority="262" operator="between">
      <formula>0.95</formula>
      <formula>0.75</formula>
    </cfRule>
  </conditionalFormatting>
  <conditionalFormatting sqref="K83:M89 K108:M115 K121:M122 K128:M130 K136:M139 K145:M148 K154:M158 K164:M166 K172:M174 K95:M102">
    <cfRule type="cellIs" dxfId="320" priority="260" operator="between">
      <formula>0.950001</formula>
      <formula>1</formula>
    </cfRule>
  </conditionalFormatting>
  <conditionalFormatting sqref="K83:M89 K108:M115 K121:M122 K128:M130 K136:M139 K145:M148 K154:M158 K164:M166 K172:M174 K95:M102">
    <cfRule type="cellIs" dxfId="319" priority="259" operator="greaterThan">
      <formula>1</formula>
    </cfRule>
  </conditionalFormatting>
  <conditionalFormatting sqref="K83:M89 K108:M115 K121:M122 K128:M130 K136:M139 K145:M148 K154:M158 K164:M166 K172:M174 K95:M102">
    <cfRule type="cellIs" dxfId="318" priority="258" operator="lessThan">
      <formula>0.75</formula>
    </cfRule>
  </conditionalFormatting>
  <conditionalFormatting sqref="K83:M89 K108:M115 K121:M122 K128:M130 K136:M139 K145:M148 K154:M158 K164:M166 K172:M174 K95:M102">
    <cfRule type="cellIs" dxfId="317" priority="257" operator="between">
      <formula>0.95</formula>
      <formula>0.75</formula>
    </cfRule>
  </conditionalFormatting>
  <conditionalFormatting sqref="K83:M89 K108:M115 K121:M122 K128:M130 K136:M139 K145:M148 K154:M158 K164:M166 K172:M174 K95:M102">
    <cfRule type="cellIs" dxfId="316" priority="256" operator="equal">
      <formula>"No programado"</formula>
    </cfRule>
  </conditionalFormatting>
  <conditionalFormatting sqref="T13:V16">
    <cfRule type="cellIs" dxfId="315" priority="251" operator="equal">
      <formula>"No programado"</formula>
    </cfRule>
    <cfRule type="cellIs" dxfId="314" priority="252" operator="lessThan">
      <formula>0.75</formula>
    </cfRule>
    <cfRule type="cellIs" dxfId="313" priority="253" operator="between">
      <formula>0.75</formula>
      <formula>0.95</formula>
    </cfRule>
    <cfRule type="cellIs" dxfId="312" priority="254" operator="greaterThan">
      <formula>1</formula>
    </cfRule>
    <cfRule type="cellIs" dxfId="311" priority="255" operator="between">
      <formula>0.9500001</formula>
      <formula>1</formula>
    </cfRule>
  </conditionalFormatting>
  <conditionalFormatting sqref="AC13:AE16">
    <cfRule type="cellIs" dxfId="310" priority="246" operator="equal">
      <formula>"No programado"</formula>
    </cfRule>
    <cfRule type="cellIs" dxfId="309" priority="247" operator="lessThan">
      <formula>0.75</formula>
    </cfRule>
    <cfRule type="cellIs" dxfId="308" priority="248" operator="between">
      <formula>0.75</formula>
      <formula>0.95</formula>
    </cfRule>
    <cfRule type="cellIs" dxfId="307" priority="249" operator="greaterThan">
      <formula>1</formula>
    </cfRule>
    <cfRule type="cellIs" dxfId="306" priority="250" operator="between">
      <formula>0.9500001</formula>
      <formula>1</formula>
    </cfRule>
  </conditionalFormatting>
  <conditionalFormatting sqref="AL13:AN16">
    <cfRule type="cellIs" dxfId="305" priority="241" operator="equal">
      <formula>"No programado"</formula>
    </cfRule>
    <cfRule type="cellIs" dxfId="304" priority="242" operator="lessThan">
      <formula>0.75</formula>
    </cfRule>
    <cfRule type="cellIs" dxfId="303" priority="243" operator="between">
      <formula>0.75</formula>
      <formula>0.95</formula>
    </cfRule>
    <cfRule type="cellIs" dxfId="302" priority="244" operator="greaterThan">
      <formula>1</formula>
    </cfRule>
    <cfRule type="cellIs" dxfId="301" priority="245" operator="between">
      <formula>0.9500001</formula>
      <formula>1</formula>
    </cfRule>
  </conditionalFormatting>
  <conditionalFormatting sqref="T22:V25">
    <cfRule type="cellIs" dxfId="300" priority="236" operator="equal">
      <formula>"No programado"</formula>
    </cfRule>
  </conditionalFormatting>
  <conditionalFormatting sqref="T22:V25">
    <cfRule type="cellIs" dxfId="299" priority="240" operator="between">
      <formula>0.950001</formula>
      <formula>1</formula>
    </cfRule>
  </conditionalFormatting>
  <conditionalFormatting sqref="T22:V25">
    <cfRule type="cellIs" dxfId="298" priority="239" operator="greaterThan">
      <formula>1</formula>
    </cfRule>
  </conditionalFormatting>
  <conditionalFormatting sqref="T22:V25">
    <cfRule type="cellIs" dxfId="297" priority="238" operator="lessThan">
      <formula>0.75</formula>
    </cfRule>
  </conditionalFormatting>
  <conditionalFormatting sqref="T22:V25">
    <cfRule type="cellIs" dxfId="296" priority="237" operator="between">
      <formula>0.95</formula>
      <formula>0.75</formula>
    </cfRule>
  </conditionalFormatting>
  <conditionalFormatting sqref="AC22:AE25">
    <cfRule type="cellIs" dxfId="295" priority="231" operator="equal">
      <formula>"No programado"</formula>
    </cfRule>
  </conditionalFormatting>
  <conditionalFormatting sqref="AC22:AE25">
    <cfRule type="cellIs" dxfId="294" priority="235" operator="between">
      <formula>0.950001</formula>
      <formula>1</formula>
    </cfRule>
  </conditionalFormatting>
  <conditionalFormatting sqref="AC22:AE25">
    <cfRule type="cellIs" dxfId="293" priority="234" operator="greaterThan">
      <formula>1</formula>
    </cfRule>
  </conditionalFormatting>
  <conditionalFormatting sqref="AC22:AE25">
    <cfRule type="cellIs" dxfId="292" priority="233" operator="lessThan">
      <formula>0.75</formula>
    </cfRule>
  </conditionalFormatting>
  <conditionalFormatting sqref="AC22:AE25">
    <cfRule type="cellIs" dxfId="291" priority="232" operator="between">
      <formula>0.95</formula>
      <formula>0.75</formula>
    </cfRule>
  </conditionalFormatting>
  <conditionalFormatting sqref="AL22:AN25">
    <cfRule type="cellIs" dxfId="290" priority="226" operator="equal">
      <formula>"No programado"</formula>
    </cfRule>
  </conditionalFormatting>
  <conditionalFormatting sqref="AL22:AN25">
    <cfRule type="cellIs" dxfId="289" priority="230" operator="between">
      <formula>0.950001</formula>
      <formula>1</formula>
    </cfRule>
  </conditionalFormatting>
  <conditionalFormatting sqref="AL22:AN25">
    <cfRule type="cellIs" dxfId="288" priority="229" operator="greaterThan">
      <formula>1</formula>
    </cfRule>
  </conditionalFormatting>
  <conditionalFormatting sqref="AL22:AN25">
    <cfRule type="cellIs" dxfId="287" priority="228" operator="lessThan">
      <formula>0.75</formula>
    </cfRule>
  </conditionalFormatting>
  <conditionalFormatting sqref="AL22:AN25">
    <cfRule type="cellIs" dxfId="286" priority="227" operator="between">
      <formula>0.95</formula>
      <formula>0.75</formula>
    </cfRule>
  </conditionalFormatting>
  <conditionalFormatting sqref="T31:V37">
    <cfRule type="cellIs" dxfId="285" priority="221" operator="equal">
      <formula>"No programado"</formula>
    </cfRule>
  </conditionalFormatting>
  <conditionalFormatting sqref="T31:V37">
    <cfRule type="cellIs" dxfId="284" priority="225" operator="between">
      <formula>0.950001</formula>
      <formula>1</formula>
    </cfRule>
  </conditionalFormatting>
  <conditionalFormatting sqref="T31:V37">
    <cfRule type="cellIs" dxfId="283" priority="224" operator="greaterThan">
      <formula>1</formula>
    </cfRule>
  </conditionalFormatting>
  <conditionalFormatting sqref="T31:V37">
    <cfRule type="cellIs" dxfId="282" priority="223" operator="lessThan">
      <formula>0.75</formula>
    </cfRule>
  </conditionalFormatting>
  <conditionalFormatting sqref="T31:V37">
    <cfRule type="cellIs" dxfId="281" priority="222" operator="between">
      <formula>0.95</formula>
      <formula>0.75</formula>
    </cfRule>
  </conditionalFormatting>
  <conditionalFormatting sqref="AC31:AE37">
    <cfRule type="cellIs" dxfId="280" priority="216" operator="equal">
      <formula>"No programado"</formula>
    </cfRule>
  </conditionalFormatting>
  <conditionalFormatting sqref="AC31:AE37">
    <cfRule type="cellIs" dxfId="279" priority="220" operator="between">
      <formula>0.950001</formula>
      <formula>1</formula>
    </cfRule>
  </conditionalFormatting>
  <conditionalFormatting sqref="AC31:AE37">
    <cfRule type="cellIs" dxfId="278" priority="219" operator="greaterThan">
      <formula>1</formula>
    </cfRule>
  </conditionalFormatting>
  <conditionalFormatting sqref="AC31:AE37">
    <cfRule type="cellIs" dxfId="277" priority="218" operator="lessThan">
      <formula>0.75</formula>
    </cfRule>
  </conditionalFormatting>
  <conditionalFormatting sqref="AC31:AE37">
    <cfRule type="cellIs" dxfId="276" priority="217" operator="between">
      <formula>0.95</formula>
      <formula>0.75</formula>
    </cfRule>
  </conditionalFormatting>
  <conditionalFormatting sqref="AL31:AN37">
    <cfRule type="cellIs" dxfId="275" priority="211" operator="equal">
      <formula>"No programado"</formula>
    </cfRule>
  </conditionalFormatting>
  <conditionalFormatting sqref="AL31:AN37">
    <cfRule type="cellIs" dxfId="274" priority="215" operator="between">
      <formula>0.950001</formula>
      <formula>1</formula>
    </cfRule>
  </conditionalFormatting>
  <conditionalFormatting sqref="AL31:AN37">
    <cfRule type="cellIs" dxfId="273" priority="214" operator="greaterThan">
      <formula>1</formula>
    </cfRule>
  </conditionalFormatting>
  <conditionalFormatting sqref="AL31:AN37">
    <cfRule type="cellIs" dxfId="272" priority="213" operator="lessThan">
      <formula>0.75</formula>
    </cfRule>
  </conditionalFormatting>
  <conditionalFormatting sqref="AL31:AN37">
    <cfRule type="cellIs" dxfId="271" priority="212" operator="between">
      <formula>0.95</formula>
      <formula>0.75</formula>
    </cfRule>
  </conditionalFormatting>
  <conditionalFormatting sqref="T43:V44">
    <cfRule type="cellIs" dxfId="270" priority="206" operator="equal">
      <formula>"No programado"</formula>
    </cfRule>
  </conditionalFormatting>
  <conditionalFormatting sqref="T43:V44">
    <cfRule type="cellIs" dxfId="269" priority="210" operator="between">
      <formula>0.950001</formula>
      <formula>1</formula>
    </cfRule>
  </conditionalFormatting>
  <conditionalFormatting sqref="T43:V44">
    <cfRule type="cellIs" dxfId="268" priority="209" operator="greaterThan">
      <formula>1</formula>
    </cfRule>
  </conditionalFormatting>
  <conditionalFormatting sqref="T43:V44">
    <cfRule type="cellIs" dxfId="267" priority="208" operator="lessThan">
      <formula>0.75</formula>
    </cfRule>
  </conditionalFormatting>
  <conditionalFormatting sqref="T43:V44">
    <cfRule type="cellIs" dxfId="266" priority="207" operator="between">
      <formula>0.95</formula>
      <formula>0.75</formula>
    </cfRule>
  </conditionalFormatting>
  <conditionalFormatting sqref="AC43:AE44">
    <cfRule type="cellIs" dxfId="265" priority="201" operator="equal">
      <formula>"No programado"</formula>
    </cfRule>
  </conditionalFormatting>
  <conditionalFormatting sqref="AC43:AE44">
    <cfRule type="cellIs" dxfId="264" priority="205" operator="between">
      <formula>0.950001</formula>
      <formula>1</formula>
    </cfRule>
  </conditionalFormatting>
  <conditionalFormatting sqref="AC43:AE44">
    <cfRule type="cellIs" dxfId="263" priority="204" operator="greaterThan">
      <formula>1</formula>
    </cfRule>
  </conditionalFormatting>
  <conditionalFormatting sqref="AC43:AE44">
    <cfRule type="cellIs" dxfId="262" priority="203" operator="lessThan">
      <formula>0.75</formula>
    </cfRule>
  </conditionalFormatting>
  <conditionalFormatting sqref="AC43:AE44">
    <cfRule type="cellIs" dxfId="261" priority="202" operator="between">
      <formula>0.95</formula>
      <formula>0.75</formula>
    </cfRule>
  </conditionalFormatting>
  <conditionalFormatting sqref="AL43:AN44">
    <cfRule type="cellIs" dxfId="260" priority="196" operator="equal">
      <formula>"No programado"</formula>
    </cfRule>
  </conditionalFormatting>
  <conditionalFormatting sqref="AL43:AN44">
    <cfRule type="cellIs" dxfId="259" priority="200" operator="between">
      <formula>0.950001</formula>
      <formula>1</formula>
    </cfRule>
  </conditionalFormatting>
  <conditionalFormatting sqref="AL43:AN44">
    <cfRule type="cellIs" dxfId="258" priority="199" operator="greaterThan">
      <formula>1</formula>
    </cfRule>
  </conditionalFormatting>
  <conditionalFormatting sqref="AL43:AN44">
    <cfRule type="cellIs" dxfId="257" priority="198" operator="lessThan">
      <formula>0.75</formula>
    </cfRule>
  </conditionalFormatting>
  <conditionalFormatting sqref="AL43:AN44">
    <cfRule type="cellIs" dxfId="256" priority="197" operator="between">
      <formula>0.95</formula>
      <formula>0.75</formula>
    </cfRule>
  </conditionalFormatting>
  <conditionalFormatting sqref="T50:V52">
    <cfRule type="cellIs" dxfId="255" priority="191" operator="equal">
      <formula>"No programado"</formula>
    </cfRule>
  </conditionalFormatting>
  <conditionalFormatting sqref="T50:V52">
    <cfRule type="cellIs" dxfId="254" priority="195" operator="between">
      <formula>0.950001</formula>
      <formula>1</formula>
    </cfRule>
  </conditionalFormatting>
  <conditionalFormatting sqref="T50:V52">
    <cfRule type="cellIs" dxfId="253" priority="194" operator="greaterThan">
      <formula>1</formula>
    </cfRule>
  </conditionalFormatting>
  <conditionalFormatting sqref="T50:V52">
    <cfRule type="cellIs" dxfId="252" priority="193" operator="lessThan">
      <formula>0.75</formula>
    </cfRule>
  </conditionalFormatting>
  <conditionalFormatting sqref="T50:V52">
    <cfRule type="cellIs" dxfId="251" priority="192" operator="between">
      <formula>0.95</formula>
      <formula>0.75</formula>
    </cfRule>
  </conditionalFormatting>
  <conditionalFormatting sqref="AC50:AE52">
    <cfRule type="cellIs" dxfId="250" priority="186" operator="equal">
      <formula>"No programado"</formula>
    </cfRule>
  </conditionalFormatting>
  <conditionalFormatting sqref="AC50:AE52">
    <cfRule type="cellIs" dxfId="249" priority="190" operator="between">
      <formula>0.950001</formula>
      <formula>1</formula>
    </cfRule>
  </conditionalFormatting>
  <conditionalFormatting sqref="AC50:AE52">
    <cfRule type="cellIs" dxfId="248" priority="189" operator="greaterThan">
      <formula>1</formula>
    </cfRule>
  </conditionalFormatting>
  <conditionalFormatting sqref="AC50:AE52">
    <cfRule type="cellIs" dxfId="247" priority="188" operator="lessThan">
      <formula>0.75</formula>
    </cfRule>
  </conditionalFormatting>
  <conditionalFormatting sqref="AC50:AE52">
    <cfRule type="cellIs" dxfId="246" priority="187" operator="between">
      <formula>0.95</formula>
      <formula>0.75</formula>
    </cfRule>
  </conditionalFormatting>
  <conditionalFormatting sqref="AL50:AN52">
    <cfRule type="cellIs" dxfId="245" priority="181" operator="equal">
      <formula>"No programado"</formula>
    </cfRule>
  </conditionalFormatting>
  <conditionalFormatting sqref="AL50:AN52">
    <cfRule type="cellIs" dxfId="244" priority="185" operator="between">
      <formula>0.950001</formula>
      <formula>1</formula>
    </cfRule>
  </conditionalFormatting>
  <conditionalFormatting sqref="AL50:AN52">
    <cfRule type="cellIs" dxfId="243" priority="184" operator="greaterThan">
      <formula>1</formula>
    </cfRule>
  </conditionalFormatting>
  <conditionalFormatting sqref="AL50:AN52">
    <cfRule type="cellIs" dxfId="242" priority="183" operator="lessThan">
      <formula>0.75</formula>
    </cfRule>
  </conditionalFormatting>
  <conditionalFormatting sqref="AL50:AN52">
    <cfRule type="cellIs" dxfId="241" priority="182" operator="between">
      <formula>0.95</formula>
      <formula>0.75</formula>
    </cfRule>
  </conditionalFormatting>
  <conditionalFormatting sqref="T58:V77">
    <cfRule type="cellIs" dxfId="240" priority="176" operator="equal">
      <formula>"No programado"</formula>
    </cfRule>
  </conditionalFormatting>
  <conditionalFormatting sqref="T58:V77">
    <cfRule type="cellIs" dxfId="239" priority="180" operator="between">
      <formula>0.950001</formula>
      <formula>1</formula>
    </cfRule>
  </conditionalFormatting>
  <conditionalFormatting sqref="T58:V77">
    <cfRule type="cellIs" dxfId="238" priority="179" operator="greaterThan">
      <formula>1</formula>
    </cfRule>
  </conditionalFormatting>
  <conditionalFormatting sqref="T58:V77">
    <cfRule type="cellIs" dxfId="237" priority="178" operator="lessThan">
      <formula>0.75</formula>
    </cfRule>
  </conditionalFormatting>
  <conditionalFormatting sqref="T58:V77">
    <cfRule type="cellIs" dxfId="236" priority="177" operator="between">
      <formula>0.95</formula>
      <formula>0.75</formula>
    </cfRule>
  </conditionalFormatting>
  <conditionalFormatting sqref="AC58:AE77">
    <cfRule type="cellIs" dxfId="235" priority="171" operator="equal">
      <formula>"No programado"</formula>
    </cfRule>
  </conditionalFormatting>
  <conditionalFormatting sqref="AC58:AE77">
    <cfRule type="cellIs" dxfId="234" priority="175" operator="between">
      <formula>0.950001</formula>
      <formula>1</formula>
    </cfRule>
  </conditionalFormatting>
  <conditionalFormatting sqref="AC58:AE77">
    <cfRule type="cellIs" dxfId="233" priority="174" operator="greaterThan">
      <formula>1</formula>
    </cfRule>
  </conditionalFormatting>
  <conditionalFormatting sqref="AC58:AE77">
    <cfRule type="cellIs" dxfId="232" priority="173" operator="lessThan">
      <formula>0.75</formula>
    </cfRule>
  </conditionalFormatting>
  <conditionalFormatting sqref="AC58:AE77">
    <cfRule type="cellIs" dxfId="231" priority="172" operator="between">
      <formula>0.95</formula>
      <formula>0.75</formula>
    </cfRule>
  </conditionalFormatting>
  <conditionalFormatting sqref="AL58:AN77">
    <cfRule type="cellIs" dxfId="230" priority="166" operator="equal">
      <formula>"No programado"</formula>
    </cfRule>
  </conditionalFormatting>
  <conditionalFormatting sqref="AL58:AN77">
    <cfRule type="cellIs" dxfId="229" priority="170" operator="between">
      <formula>0.950001</formula>
      <formula>1</formula>
    </cfRule>
  </conditionalFormatting>
  <conditionalFormatting sqref="AL58:AN77">
    <cfRule type="cellIs" dxfId="228" priority="169" operator="greaterThan">
      <formula>1</formula>
    </cfRule>
  </conditionalFormatting>
  <conditionalFormatting sqref="AL58:AN77">
    <cfRule type="cellIs" dxfId="227" priority="168" operator="lessThan">
      <formula>0.75</formula>
    </cfRule>
  </conditionalFormatting>
  <conditionalFormatting sqref="AL58:AN77">
    <cfRule type="cellIs" dxfId="226" priority="167" operator="between">
      <formula>0.95</formula>
      <formula>0.75</formula>
    </cfRule>
  </conditionalFormatting>
  <conditionalFormatting sqref="T83:V89">
    <cfRule type="cellIs" dxfId="225" priority="165" operator="between">
      <formula>0.950001</formula>
      <formula>1</formula>
    </cfRule>
  </conditionalFormatting>
  <conditionalFormatting sqref="T83:V89">
    <cfRule type="cellIs" dxfId="224" priority="164" operator="greaterThan">
      <formula>1</formula>
    </cfRule>
  </conditionalFormatting>
  <conditionalFormatting sqref="T83:V89">
    <cfRule type="cellIs" dxfId="223" priority="163" operator="lessThan">
      <formula>0.75</formula>
    </cfRule>
  </conditionalFormatting>
  <conditionalFormatting sqref="T83:V89">
    <cfRule type="cellIs" dxfId="222" priority="162" operator="between">
      <formula>0.95</formula>
      <formula>0.75</formula>
    </cfRule>
  </conditionalFormatting>
  <conditionalFormatting sqref="T83:V89">
    <cfRule type="cellIs" dxfId="221" priority="161" operator="equal">
      <formula>"No programado"</formula>
    </cfRule>
  </conditionalFormatting>
  <conditionalFormatting sqref="AC83:AE89">
    <cfRule type="cellIs" dxfId="220" priority="160" operator="between">
      <formula>0.950001</formula>
      <formula>1</formula>
    </cfRule>
  </conditionalFormatting>
  <conditionalFormatting sqref="AC83:AE89">
    <cfRule type="cellIs" dxfId="219" priority="159" operator="greaterThan">
      <formula>1</formula>
    </cfRule>
  </conditionalFormatting>
  <conditionalFormatting sqref="AC83:AE89">
    <cfRule type="cellIs" dxfId="218" priority="158" operator="lessThan">
      <formula>0.75</formula>
    </cfRule>
  </conditionalFormatting>
  <conditionalFormatting sqref="AC83:AE89">
    <cfRule type="cellIs" dxfId="217" priority="157" operator="between">
      <formula>0.95</formula>
      <formula>0.75</formula>
    </cfRule>
  </conditionalFormatting>
  <conditionalFormatting sqref="AC83:AE89">
    <cfRule type="cellIs" dxfId="216" priority="156" operator="equal">
      <formula>"No programado"</formula>
    </cfRule>
  </conditionalFormatting>
  <conditionalFormatting sqref="AL83:AN89">
    <cfRule type="cellIs" dxfId="215" priority="155" operator="between">
      <formula>0.950001</formula>
      <formula>1</formula>
    </cfRule>
  </conditionalFormatting>
  <conditionalFormatting sqref="AL83:AN89">
    <cfRule type="cellIs" dxfId="214" priority="154" operator="greaterThan">
      <formula>1</formula>
    </cfRule>
  </conditionalFormatting>
  <conditionalFormatting sqref="AL83:AN89">
    <cfRule type="cellIs" dxfId="213" priority="153" operator="lessThan">
      <formula>0.75</formula>
    </cfRule>
  </conditionalFormatting>
  <conditionalFormatting sqref="AL83:AN89">
    <cfRule type="cellIs" dxfId="212" priority="152" operator="between">
      <formula>0.95</formula>
      <formula>0.75</formula>
    </cfRule>
  </conditionalFormatting>
  <conditionalFormatting sqref="AL83:AN89">
    <cfRule type="cellIs" dxfId="211" priority="151" operator="equal">
      <formula>"No programado"</formula>
    </cfRule>
  </conditionalFormatting>
  <conditionalFormatting sqref="T95:V99 T101:V102">
    <cfRule type="cellIs" dxfId="210" priority="150" operator="between">
      <formula>0.950001</formula>
      <formula>1</formula>
    </cfRule>
  </conditionalFormatting>
  <conditionalFormatting sqref="T95:V99 T101:V102">
    <cfRule type="cellIs" dxfId="209" priority="149" operator="greaterThan">
      <formula>1</formula>
    </cfRule>
  </conditionalFormatting>
  <conditionalFormatting sqref="T95:V99 T101:V102">
    <cfRule type="cellIs" dxfId="208" priority="148" operator="lessThan">
      <formula>0.75</formula>
    </cfRule>
  </conditionalFormatting>
  <conditionalFormatting sqref="T95:V99 T101:V102">
    <cfRule type="cellIs" dxfId="207" priority="147" operator="between">
      <formula>0.95</formula>
      <formula>0.75</formula>
    </cfRule>
  </conditionalFormatting>
  <conditionalFormatting sqref="T95:V99 T101:V102">
    <cfRule type="cellIs" dxfId="206" priority="146" operator="equal">
      <formula>"No programado"</formula>
    </cfRule>
  </conditionalFormatting>
  <conditionalFormatting sqref="AC95:AE102">
    <cfRule type="cellIs" dxfId="205" priority="145" operator="between">
      <formula>0.950001</formula>
      <formula>1</formula>
    </cfRule>
  </conditionalFormatting>
  <conditionalFormatting sqref="AC95:AE102">
    <cfRule type="cellIs" dxfId="204" priority="144" operator="greaterThan">
      <formula>1</formula>
    </cfRule>
  </conditionalFormatting>
  <conditionalFormatting sqref="AC95:AE102">
    <cfRule type="cellIs" dxfId="203" priority="143" operator="lessThan">
      <formula>0.75</formula>
    </cfRule>
  </conditionalFormatting>
  <conditionalFormatting sqref="AC95:AE102">
    <cfRule type="cellIs" dxfId="202" priority="142" operator="between">
      <formula>0.95</formula>
      <formula>0.75</formula>
    </cfRule>
  </conditionalFormatting>
  <conditionalFormatting sqref="AC95:AE102">
    <cfRule type="cellIs" dxfId="201" priority="141" operator="equal">
      <formula>"No programado"</formula>
    </cfRule>
  </conditionalFormatting>
  <conditionalFormatting sqref="AL95:AN102">
    <cfRule type="cellIs" dxfId="200" priority="135" operator="between">
      <formula>0.950001</formula>
      <formula>1</formula>
    </cfRule>
  </conditionalFormatting>
  <conditionalFormatting sqref="AL95:AN102">
    <cfRule type="cellIs" dxfId="199" priority="134" operator="greaterThan">
      <formula>1</formula>
    </cfRule>
  </conditionalFormatting>
  <conditionalFormatting sqref="AL95:AN102">
    <cfRule type="cellIs" dxfId="198" priority="133" operator="lessThan">
      <formula>0.75</formula>
    </cfRule>
  </conditionalFormatting>
  <conditionalFormatting sqref="AL95:AN102">
    <cfRule type="cellIs" dxfId="197" priority="132" operator="between">
      <formula>0.95</formula>
      <formula>0.75</formula>
    </cfRule>
  </conditionalFormatting>
  <conditionalFormatting sqref="AL95:AN102">
    <cfRule type="cellIs" dxfId="196" priority="131" operator="equal">
      <formula>"No programado"</formula>
    </cfRule>
  </conditionalFormatting>
  <conditionalFormatting sqref="T108:V115">
    <cfRule type="cellIs" dxfId="195" priority="130" operator="between">
      <formula>0.950001</formula>
      <formula>1</formula>
    </cfRule>
  </conditionalFormatting>
  <conditionalFormatting sqref="T108:V115">
    <cfRule type="cellIs" dxfId="194" priority="129" operator="greaterThan">
      <formula>1</formula>
    </cfRule>
  </conditionalFormatting>
  <conditionalFormatting sqref="T108:V115">
    <cfRule type="cellIs" dxfId="193" priority="128" operator="lessThan">
      <formula>0.75</formula>
    </cfRule>
  </conditionalFormatting>
  <conditionalFormatting sqref="T108:V115">
    <cfRule type="cellIs" dxfId="192" priority="127" operator="between">
      <formula>0.95</formula>
      <formula>0.75</formula>
    </cfRule>
  </conditionalFormatting>
  <conditionalFormatting sqref="T108:V115">
    <cfRule type="cellIs" dxfId="191" priority="126" operator="equal">
      <formula>"No programado"</formula>
    </cfRule>
  </conditionalFormatting>
  <conditionalFormatting sqref="AC108:AE115">
    <cfRule type="cellIs" dxfId="190" priority="125" operator="between">
      <formula>0.950001</formula>
      <formula>1</formula>
    </cfRule>
  </conditionalFormatting>
  <conditionalFormatting sqref="AC108:AE115">
    <cfRule type="cellIs" dxfId="189" priority="124" operator="greaterThan">
      <formula>1</formula>
    </cfRule>
  </conditionalFormatting>
  <conditionalFormatting sqref="AC108:AE115">
    <cfRule type="cellIs" dxfId="188" priority="123" operator="lessThan">
      <formula>0.75</formula>
    </cfRule>
  </conditionalFormatting>
  <conditionalFormatting sqref="AC108:AE115">
    <cfRule type="cellIs" dxfId="187" priority="122" operator="between">
      <formula>0.95</formula>
      <formula>0.75</formula>
    </cfRule>
  </conditionalFormatting>
  <conditionalFormatting sqref="AC108:AE115">
    <cfRule type="cellIs" dxfId="186" priority="121" operator="equal">
      <formula>"No programado"</formula>
    </cfRule>
  </conditionalFormatting>
  <conditionalFormatting sqref="AL108:AN115">
    <cfRule type="cellIs" dxfId="185" priority="120" operator="between">
      <formula>0.950001</formula>
      <formula>1</formula>
    </cfRule>
  </conditionalFormatting>
  <conditionalFormatting sqref="AL108:AN115">
    <cfRule type="cellIs" dxfId="184" priority="119" operator="greaterThan">
      <formula>1</formula>
    </cfRule>
  </conditionalFormatting>
  <conditionalFormatting sqref="AL108:AN115">
    <cfRule type="cellIs" dxfId="183" priority="118" operator="lessThan">
      <formula>0.75</formula>
    </cfRule>
  </conditionalFormatting>
  <conditionalFormatting sqref="AL108:AN115">
    <cfRule type="cellIs" dxfId="182" priority="117" operator="between">
      <formula>0.95</formula>
      <formula>0.75</formula>
    </cfRule>
  </conditionalFormatting>
  <conditionalFormatting sqref="AL108:AN115">
    <cfRule type="cellIs" dxfId="181" priority="116" operator="equal">
      <formula>"No programado"</formula>
    </cfRule>
  </conditionalFormatting>
  <conditionalFormatting sqref="T121:V122">
    <cfRule type="cellIs" dxfId="180" priority="115" operator="between">
      <formula>0.950001</formula>
      <formula>1</formula>
    </cfRule>
  </conditionalFormatting>
  <conditionalFormatting sqref="T121:V122">
    <cfRule type="cellIs" dxfId="179" priority="114" operator="greaterThan">
      <formula>1</formula>
    </cfRule>
  </conditionalFormatting>
  <conditionalFormatting sqref="T121:V122">
    <cfRule type="cellIs" dxfId="178" priority="113" operator="lessThan">
      <formula>0.75</formula>
    </cfRule>
  </conditionalFormatting>
  <conditionalFormatting sqref="T121:V122">
    <cfRule type="cellIs" dxfId="177" priority="112" operator="between">
      <formula>0.95</formula>
      <formula>0.75</formula>
    </cfRule>
  </conditionalFormatting>
  <conditionalFormatting sqref="T121:V122">
    <cfRule type="cellIs" dxfId="176" priority="111" operator="equal">
      <formula>"No programado"</formula>
    </cfRule>
  </conditionalFormatting>
  <conditionalFormatting sqref="AC121:AE122">
    <cfRule type="cellIs" dxfId="175" priority="110" operator="between">
      <formula>0.950001</formula>
      <formula>1</formula>
    </cfRule>
  </conditionalFormatting>
  <conditionalFormatting sqref="AC121:AE122">
    <cfRule type="cellIs" dxfId="174" priority="109" operator="greaterThan">
      <formula>1</formula>
    </cfRule>
  </conditionalFormatting>
  <conditionalFormatting sqref="AC121:AE122">
    <cfRule type="cellIs" dxfId="173" priority="108" operator="lessThan">
      <formula>0.75</formula>
    </cfRule>
  </conditionalFormatting>
  <conditionalFormatting sqref="AC121:AE122">
    <cfRule type="cellIs" dxfId="172" priority="107" operator="between">
      <formula>0.95</formula>
      <formula>0.75</formula>
    </cfRule>
  </conditionalFormatting>
  <conditionalFormatting sqref="AC121:AE122">
    <cfRule type="cellIs" dxfId="171" priority="106" operator="equal">
      <formula>"No programado"</formula>
    </cfRule>
  </conditionalFormatting>
  <conditionalFormatting sqref="AL121:AN122">
    <cfRule type="cellIs" dxfId="170" priority="105" operator="between">
      <formula>0.950001</formula>
      <formula>1</formula>
    </cfRule>
  </conditionalFormatting>
  <conditionalFormatting sqref="AL121:AN122">
    <cfRule type="cellIs" dxfId="169" priority="104" operator="greaterThan">
      <formula>1</formula>
    </cfRule>
  </conditionalFormatting>
  <conditionalFormatting sqref="AL121:AN122">
    <cfRule type="cellIs" dxfId="168" priority="103" operator="lessThan">
      <formula>0.75</formula>
    </cfRule>
  </conditionalFormatting>
  <conditionalFormatting sqref="AL121:AN122">
    <cfRule type="cellIs" dxfId="167" priority="102" operator="between">
      <formula>0.95</formula>
      <formula>0.75</formula>
    </cfRule>
  </conditionalFormatting>
  <conditionalFormatting sqref="AL121:AN122">
    <cfRule type="cellIs" dxfId="166" priority="101" operator="equal">
      <formula>"No programado"</formula>
    </cfRule>
  </conditionalFormatting>
  <conditionalFormatting sqref="T128:V130">
    <cfRule type="cellIs" dxfId="165" priority="100" operator="between">
      <formula>0.950001</formula>
      <formula>1</formula>
    </cfRule>
  </conditionalFormatting>
  <conditionalFormatting sqref="T128:V130">
    <cfRule type="cellIs" dxfId="164" priority="99" operator="greaterThan">
      <formula>1</formula>
    </cfRule>
  </conditionalFormatting>
  <conditionalFormatting sqref="T128:V130">
    <cfRule type="cellIs" dxfId="163" priority="98" operator="lessThan">
      <formula>0.75</formula>
    </cfRule>
  </conditionalFormatting>
  <conditionalFormatting sqref="T128:V130">
    <cfRule type="cellIs" dxfId="162" priority="97" operator="between">
      <formula>0.95</formula>
      <formula>0.75</formula>
    </cfRule>
  </conditionalFormatting>
  <conditionalFormatting sqref="T128:V130">
    <cfRule type="cellIs" dxfId="161" priority="96" operator="equal">
      <formula>"No programado"</formula>
    </cfRule>
  </conditionalFormatting>
  <conditionalFormatting sqref="AC128:AE130">
    <cfRule type="cellIs" dxfId="160" priority="95" operator="between">
      <formula>0.950001</formula>
      <formula>1</formula>
    </cfRule>
  </conditionalFormatting>
  <conditionalFormatting sqref="AC128:AE130">
    <cfRule type="cellIs" dxfId="159" priority="94" operator="greaterThan">
      <formula>1</formula>
    </cfRule>
  </conditionalFormatting>
  <conditionalFormatting sqref="AC128:AE130">
    <cfRule type="cellIs" dxfId="158" priority="93" operator="lessThan">
      <formula>0.75</formula>
    </cfRule>
  </conditionalFormatting>
  <conditionalFormatting sqref="AC128:AE130">
    <cfRule type="cellIs" dxfId="157" priority="92" operator="between">
      <formula>0.95</formula>
      <formula>0.75</formula>
    </cfRule>
  </conditionalFormatting>
  <conditionalFormatting sqref="AC128:AE130">
    <cfRule type="cellIs" dxfId="156" priority="91" operator="equal">
      <formula>"No programado"</formula>
    </cfRule>
  </conditionalFormatting>
  <conditionalFormatting sqref="AL128:AN130">
    <cfRule type="cellIs" dxfId="155" priority="90" operator="between">
      <formula>0.950001</formula>
      <formula>1</formula>
    </cfRule>
  </conditionalFormatting>
  <conditionalFormatting sqref="AL128:AN130">
    <cfRule type="cellIs" dxfId="154" priority="89" operator="greaterThan">
      <formula>1</formula>
    </cfRule>
  </conditionalFormatting>
  <conditionalFormatting sqref="AL128:AN130">
    <cfRule type="cellIs" dxfId="153" priority="88" operator="lessThan">
      <formula>0.75</formula>
    </cfRule>
  </conditionalFormatting>
  <conditionalFormatting sqref="AL128:AN130">
    <cfRule type="cellIs" dxfId="152" priority="87" operator="between">
      <formula>0.95</formula>
      <formula>0.75</formula>
    </cfRule>
  </conditionalFormatting>
  <conditionalFormatting sqref="AL128:AN130">
    <cfRule type="cellIs" dxfId="151" priority="86" operator="equal">
      <formula>"No programado"</formula>
    </cfRule>
  </conditionalFormatting>
  <conditionalFormatting sqref="T136:V139">
    <cfRule type="cellIs" dxfId="150" priority="85" operator="between">
      <formula>0.950001</formula>
      <formula>1</formula>
    </cfRule>
  </conditionalFormatting>
  <conditionalFormatting sqref="T136:V139">
    <cfRule type="cellIs" dxfId="149" priority="84" operator="greaterThan">
      <formula>1</formula>
    </cfRule>
  </conditionalFormatting>
  <conditionalFormatting sqref="T136:V139">
    <cfRule type="cellIs" dxfId="148" priority="83" operator="lessThan">
      <formula>0.75</formula>
    </cfRule>
  </conditionalFormatting>
  <conditionalFormatting sqref="T136:V139">
    <cfRule type="cellIs" dxfId="147" priority="82" operator="between">
      <formula>0.95</formula>
      <formula>0.75</formula>
    </cfRule>
  </conditionalFormatting>
  <conditionalFormatting sqref="T136:V139">
    <cfRule type="cellIs" dxfId="146" priority="81" operator="equal">
      <formula>"No programado"</formula>
    </cfRule>
  </conditionalFormatting>
  <conditionalFormatting sqref="AC136:AE139">
    <cfRule type="cellIs" dxfId="145" priority="80" operator="between">
      <formula>0.950001</formula>
      <formula>1</formula>
    </cfRule>
  </conditionalFormatting>
  <conditionalFormatting sqref="AC136:AE139">
    <cfRule type="cellIs" dxfId="144" priority="79" operator="greaterThan">
      <formula>1</formula>
    </cfRule>
  </conditionalFormatting>
  <conditionalFormatting sqref="AC136:AE139">
    <cfRule type="cellIs" dxfId="143" priority="78" operator="lessThan">
      <formula>0.75</formula>
    </cfRule>
  </conditionalFormatting>
  <conditionalFormatting sqref="AC136:AE139">
    <cfRule type="cellIs" dxfId="142" priority="77" operator="between">
      <formula>0.95</formula>
      <formula>0.75</formula>
    </cfRule>
  </conditionalFormatting>
  <conditionalFormatting sqref="AC136:AE139">
    <cfRule type="cellIs" dxfId="141" priority="76" operator="equal">
      <formula>"No programado"</formula>
    </cfRule>
  </conditionalFormatting>
  <conditionalFormatting sqref="AL136:AN139">
    <cfRule type="cellIs" dxfId="140" priority="75" operator="between">
      <formula>0.950001</formula>
      <formula>1</formula>
    </cfRule>
  </conditionalFormatting>
  <conditionalFormatting sqref="AL136:AN139">
    <cfRule type="cellIs" dxfId="139" priority="74" operator="greaterThan">
      <formula>1</formula>
    </cfRule>
  </conditionalFormatting>
  <conditionalFormatting sqref="AL136:AN139">
    <cfRule type="cellIs" dxfId="138" priority="73" operator="lessThan">
      <formula>0.75</formula>
    </cfRule>
  </conditionalFormatting>
  <conditionalFormatting sqref="AL136:AN139">
    <cfRule type="cellIs" dxfId="137" priority="72" operator="between">
      <formula>0.95</formula>
      <formula>0.75</formula>
    </cfRule>
  </conditionalFormatting>
  <conditionalFormatting sqref="AL136:AN139">
    <cfRule type="cellIs" dxfId="136" priority="71" operator="equal">
      <formula>"No programado"</formula>
    </cfRule>
  </conditionalFormatting>
  <conditionalFormatting sqref="T145:V148">
    <cfRule type="cellIs" dxfId="135" priority="70" operator="between">
      <formula>0.950001</formula>
      <formula>1</formula>
    </cfRule>
  </conditionalFormatting>
  <conditionalFormatting sqref="T145:V148">
    <cfRule type="cellIs" dxfId="134" priority="69" operator="greaterThan">
      <formula>1</formula>
    </cfRule>
  </conditionalFormatting>
  <conditionalFormatting sqref="T145:V148">
    <cfRule type="cellIs" dxfId="133" priority="68" operator="lessThan">
      <formula>0.75</formula>
    </cfRule>
  </conditionalFormatting>
  <conditionalFormatting sqref="T145:V148">
    <cfRule type="cellIs" dxfId="132" priority="67" operator="between">
      <formula>0.95</formula>
      <formula>0.75</formula>
    </cfRule>
  </conditionalFormatting>
  <conditionalFormatting sqref="T145:V148">
    <cfRule type="cellIs" dxfId="131" priority="66" operator="equal">
      <formula>"No programado"</formula>
    </cfRule>
  </conditionalFormatting>
  <conditionalFormatting sqref="AC145:AE148">
    <cfRule type="cellIs" dxfId="130" priority="65" operator="between">
      <formula>0.950001</formula>
      <formula>1</formula>
    </cfRule>
  </conditionalFormatting>
  <conditionalFormatting sqref="AC145:AE148">
    <cfRule type="cellIs" dxfId="129" priority="64" operator="greaterThan">
      <formula>1</formula>
    </cfRule>
  </conditionalFormatting>
  <conditionalFormatting sqref="AC145:AE148">
    <cfRule type="cellIs" dxfId="128" priority="63" operator="lessThan">
      <formula>0.75</formula>
    </cfRule>
  </conditionalFormatting>
  <conditionalFormatting sqref="AC145:AE148">
    <cfRule type="cellIs" dxfId="127" priority="62" operator="between">
      <formula>0.95</formula>
      <formula>0.75</formula>
    </cfRule>
  </conditionalFormatting>
  <conditionalFormatting sqref="AC145:AE148">
    <cfRule type="cellIs" dxfId="126" priority="61" operator="equal">
      <formula>"No programado"</formula>
    </cfRule>
  </conditionalFormatting>
  <conditionalFormatting sqref="AL145:AN148">
    <cfRule type="cellIs" dxfId="125" priority="60" operator="between">
      <formula>0.950001</formula>
      <formula>1</formula>
    </cfRule>
  </conditionalFormatting>
  <conditionalFormatting sqref="AL145:AN148">
    <cfRule type="cellIs" dxfId="124" priority="59" operator="greaterThan">
      <formula>1</formula>
    </cfRule>
  </conditionalFormatting>
  <conditionalFormatting sqref="AL145:AN148">
    <cfRule type="cellIs" dxfId="123" priority="58" operator="lessThan">
      <formula>0.75</formula>
    </cfRule>
  </conditionalFormatting>
  <conditionalFormatting sqref="AL145:AN148">
    <cfRule type="cellIs" dxfId="122" priority="57" operator="between">
      <formula>0.95</formula>
      <formula>0.75</formula>
    </cfRule>
  </conditionalFormatting>
  <conditionalFormatting sqref="AL145:AN148">
    <cfRule type="cellIs" dxfId="121" priority="56" operator="equal">
      <formula>"No programado"</formula>
    </cfRule>
  </conditionalFormatting>
  <conditionalFormatting sqref="T154:V158">
    <cfRule type="cellIs" dxfId="120" priority="55" operator="between">
      <formula>0.950001</formula>
      <formula>1</formula>
    </cfRule>
  </conditionalFormatting>
  <conditionalFormatting sqref="T154:V158">
    <cfRule type="cellIs" dxfId="119" priority="54" operator="greaterThan">
      <formula>1</formula>
    </cfRule>
  </conditionalFormatting>
  <conditionalFormatting sqref="T154:V158">
    <cfRule type="cellIs" dxfId="118" priority="53" operator="lessThan">
      <formula>0.75</formula>
    </cfRule>
  </conditionalFormatting>
  <conditionalFormatting sqref="T154:V158">
    <cfRule type="cellIs" dxfId="117" priority="52" operator="between">
      <formula>0.95</formula>
      <formula>0.75</formula>
    </cfRule>
  </conditionalFormatting>
  <conditionalFormatting sqref="T154:V158">
    <cfRule type="cellIs" dxfId="116" priority="51" operator="equal">
      <formula>"No programado"</formula>
    </cfRule>
  </conditionalFormatting>
  <conditionalFormatting sqref="AC154:AE158">
    <cfRule type="cellIs" dxfId="115" priority="50" operator="between">
      <formula>0.950001</formula>
      <formula>1</formula>
    </cfRule>
  </conditionalFormatting>
  <conditionalFormatting sqref="AC154:AE158">
    <cfRule type="cellIs" dxfId="114" priority="49" operator="greaterThan">
      <formula>1</formula>
    </cfRule>
  </conditionalFormatting>
  <conditionalFormatting sqref="AC154:AE158">
    <cfRule type="cellIs" dxfId="113" priority="48" operator="lessThan">
      <formula>0.75</formula>
    </cfRule>
  </conditionalFormatting>
  <conditionalFormatting sqref="AC154:AE158">
    <cfRule type="cellIs" dxfId="112" priority="47" operator="between">
      <formula>0.95</formula>
      <formula>0.75</formula>
    </cfRule>
  </conditionalFormatting>
  <conditionalFormatting sqref="AC154:AE158">
    <cfRule type="cellIs" dxfId="111" priority="46" operator="equal">
      <formula>"No programado"</formula>
    </cfRule>
  </conditionalFormatting>
  <conditionalFormatting sqref="AL154:AN158">
    <cfRule type="cellIs" dxfId="110" priority="40" operator="between">
      <formula>0.950001</formula>
      <formula>1</formula>
    </cfRule>
  </conditionalFormatting>
  <conditionalFormatting sqref="AL154:AN158">
    <cfRule type="cellIs" dxfId="109" priority="39" operator="greaterThan">
      <formula>1</formula>
    </cfRule>
  </conditionalFormatting>
  <conditionalFormatting sqref="AL154:AN158">
    <cfRule type="cellIs" dxfId="108" priority="38" operator="lessThan">
      <formula>0.75</formula>
    </cfRule>
  </conditionalFormatting>
  <conditionalFormatting sqref="AL154:AN158">
    <cfRule type="cellIs" dxfId="107" priority="37" operator="between">
      <formula>0.95</formula>
      <formula>0.75</formula>
    </cfRule>
  </conditionalFormatting>
  <conditionalFormatting sqref="AL154:AN158">
    <cfRule type="cellIs" dxfId="106" priority="36" operator="equal">
      <formula>"No programado"</formula>
    </cfRule>
  </conditionalFormatting>
  <conditionalFormatting sqref="T164:V166">
    <cfRule type="cellIs" dxfId="105" priority="35" operator="between">
      <formula>0.950001</formula>
      <formula>1</formula>
    </cfRule>
  </conditionalFormatting>
  <conditionalFormatting sqref="T164:V166">
    <cfRule type="cellIs" dxfId="104" priority="34" operator="greaterThan">
      <formula>1</formula>
    </cfRule>
  </conditionalFormatting>
  <conditionalFormatting sqref="T164:V166">
    <cfRule type="cellIs" dxfId="103" priority="33" operator="lessThan">
      <formula>0.75</formula>
    </cfRule>
  </conditionalFormatting>
  <conditionalFormatting sqref="T164:V166">
    <cfRule type="cellIs" dxfId="102" priority="32" operator="between">
      <formula>0.95</formula>
      <formula>0.75</formula>
    </cfRule>
  </conditionalFormatting>
  <conditionalFormatting sqref="T164:V166">
    <cfRule type="cellIs" dxfId="101" priority="31" operator="equal">
      <formula>"No programado"</formula>
    </cfRule>
  </conditionalFormatting>
  <conditionalFormatting sqref="AC164:AE166">
    <cfRule type="cellIs" dxfId="100" priority="30" operator="between">
      <formula>0.950001</formula>
      <formula>1</formula>
    </cfRule>
  </conditionalFormatting>
  <conditionalFormatting sqref="AC164:AE166">
    <cfRule type="cellIs" dxfId="99" priority="29" operator="greaterThan">
      <formula>1</formula>
    </cfRule>
  </conditionalFormatting>
  <conditionalFormatting sqref="AC164:AE166">
    <cfRule type="cellIs" dxfId="98" priority="28" operator="lessThan">
      <formula>0.75</formula>
    </cfRule>
  </conditionalFormatting>
  <conditionalFormatting sqref="AC164:AE166">
    <cfRule type="cellIs" dxfId="97" priority="27" operator="between">
      <formula>0.95</formula>
      <formula>0.75</formula>
    </cfRule>
  </conditionalFormatting>
  <conditionalFormatting sqref="AC164:AE166">
    <cfRule type="cellIs" dxfId="96" priority="26" operator="equal">
      <formula>"No programado"</formula>
    </cfRule>
  </conditionalFormatting>
  <conditionalFormatting sqref="AL164:AN166">
    <cfRule type="cellIs" dxfId="95" priority="25" operator="between">
      <formula>0.950001</formula>
      <formula>1</formula>
    </cfRule>
  </conditionalFormatting>
  <conditionalFormatting sqref="AL164:AN166">
    <cfRule type="cellIs" dxfId="94" priority="24" operator="greaterThan">
      <formula>1</formula>
    </cfRule>
  </conditionalFormatting>
  <conditionalFormatting sqref="AL164:AN166">
    <cfRule type="cellIs" dxfId="93" priority="23" operator="lessThan">
      <formula>0.75</formula>
    </cfRule>
  </conditionalFormatting>
  <conditionalFormatting sqref="AL164:AN166">
    <cfRule type="cellIs" dxfId="92" priority="22" operator="between">
      <formula>0.95</formula>
      <formula>0.75</formula>
    </cfRule>
  </conditionalFormatting>
  <conditionalFormatting sqref="AL164:AN166">
    <cfRule type="cellIs" dxfId="91" priority="21" operator="equal">
      <formula>"No programado"</formula>
    </cfRule>
  </conditionalFormatting>
  <conditionalFormatting sqref="T172:V174">
    <cfRule type="cellIs" dxfId="90" priority="20" operator="between">
      <formula>0.950001</formula>
      <formula>1</formula>
    </cfRule>
  </conditionalFormatting>
  <conditionalFormatting sqref="T172:V174">
    <cfRule type="cellIs" dxfId="89" priority="19" operator="greaterThan">
      <formula>1</formula>
    </cfRule>
  </conditionalFormatting>
  <conditionalFormatting sqref="T172:V174">
    <cfRule type="cellIs" dxfId="88" priority="18" operator="lessThan">
      <formula>0.75</formula>
    </cfRule>
  </conditionalFormatting>
  <conditionalFormatting sqref="T172:V174">
    <cfRule type="cellIs" dxfId="87" priority="17" operator="between">
      <formula>0.95</formula>
      <formula>0.75</formula>
    </cfRule>
  </conditionalFormatting>
  <conditionalFormatting sqref="T172:V174">
    <cfRule type="cellIs" dxfId="86" priority="16" operator="equal">
      <formula>"No programado"</formula>
    </cfRule>
  </conditionalFormatting>
  <conditionalFormatting sqref="AC172:AE174">
    <cfRule type="cellIs" dxfId="85" priority="15" operator="between">
      <formula>0.950001</formula>
      <formula>1</formula>
    </cfRule>
  </conditionalFormatting>
  <conditionalFormatting sqref="AC172:AE174">
    <cfRule type="cellIs" dxfId="84" priority="14" operator="greaterThan">
      <formula>1</formula>
    </cfRule>
  </conditionalFormatting>
  <conditionalFormatting sqref="AC172:AE174">
    <cfRule type="cellIs" dxfId="83" priority="13" operator="lessThan">
      <formula>0.75</formula>
    </cfRule>
  </conditionalFormatting>
  <conditionalFormatting sqref="AC172:AE174">
    <cfRule type="cellIs" dxfId="82" priority="12" operator="between">
      <formula>0.95</formula>
      <formula>0.75</formula>
    </cfRule>
  </conditionalFormatting>
  <conditionalFormatting sqref="AC172:AE174">
    <cfRule type="cellIs" dxfId="81" priority="11" operator="equal">
      <formula>"No programado"</formula>
    </cfRule>
  </conditionalFormatting>
  <conditionalFormatting sqref="AL172:AN174">
    <cfRule type="cellIs" dxfId="80" priority="10" operator="between">
      <formula>0.950001</formula>
      <formula>1</formula>
    </cfRule>
  </conditionalFormatting>
  <conditionalFormatting sqref="AL172:AN174">
    <cfRule type="cellIs" dxfId="79" priority="9" operator="greaterThan">
      <formula>1</formula>
    </cfRule>
  </conditionalFormatting>
  <conditionalFormatting sqref="AL172:AN174">
    <cfRule type="cellIs" dxfId="78" priority="8" operator="lessThan">
      <formula>0.75</formula>
    </cfRule>
  </conditionalFormatting>
  <conditionalFormatting sqref="AL172:AN174">
    <cfRule type="cellIs" dxfId="77" priority="7" operator="between">
      <formula>0.95</formula>
      <formula>0.75</formula>
    </cfRule>
  </conditionalFormatting>
  <conditionalFormatting sqref="AL172:AN174">
    <cfRule type="cellIs" dxfId="76" priority="6" operator="equal">
      <formula>"No programado"</formula>
    </cfRule>
  </conditionalFormatting>
  <conditionalFormatting sqref="T100:V100">
    <cfRule type="cellIs" dxfId="75" priority="5" operator="between">
      <formula>0.950001</formula>
      <formula>1</formula>
    </cfRule>
  </conditionalFormatting>
  <conditionalFormatting sqref="T100:V100">
    <cfRule type="cellIs" dxfId="74" priority="4" operator="greaterThan">
      <formula>1</formula>
    </cfRule>
  </conditionalFormatting>
  <conditionalFormatting sqref="T100:V100">
    <cfRule type="cellIs" dxfId="73" priority="3" operator="lessThan">
      <formula>0.75</formula>
    </cfRule>
  </conditionalFormatting>
  <conditionalFormatting sqref="T100:V100">
    <cfRule type="cellIs" dxfId="72" priority="2" operator="between">
      <formula>0.95</formula>
      <formula>0.75</formula>
    </cfRule>
  </conditionalFormatting>
  <conditionalFormatting sqref="T100:V100">
    <cfRule type="cellIs" dxfId="71" priority="1" operator="equal">
      <formula>"No programado"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86FFD3-99F0-47D1-9BF4-80548E22E067}">
          <x14:formula1>
            <xm:f>LISTAS!$I$11:$I$15</xm:f>
          </x14:formula1>
          <xm:sqref>D6:AK6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B0F0"/>
  </sheetPr>
  <dimension ref="B1:AJ105"/>
  <sheetViews>
    <sheetView showGridLines="0" zoomScale="55" zoomScaleNormal="55" workbookViewId="0">
      <selection activeCell="Z102" sqref="Z102"/>
    </sheetView>
  </sheetViews>
  <sheetFormatPr baseColWidth="10" defaultColWidth="17.33203125" defaultRowHeight="23.4"/>
  <cols>
    <col min="1" max="1" width="4.33203125" style="1" customWidth="1"/>
    <col min="2" max="2" width="50.44140625" style="3" customWidth="1"/>
    <col min="3" max="3" width="55.109375" style="3" customWidth="1"/>
    <col min="4" max="4" width="52.88671875" style="3" customWidth="1"/>
    <col min="5" max="5" width="25.44140625" style="5" customWidth="1"/>
    <col min="6" max="6" width="26.33203125" style="5" customWidth="1"/>
    <col min="7" max="7" width="18" style="5" customWidth="1"/>
    <col min="8" max="8" width="43.6640625" style="3" customWidth="1"/>
    <col min="9" max="9" width="29.44140625" style="3" customWidth="1"/>
    <col min="10" max="10" width="56.33203125" style="3" customWidth="1"/>
    <col min="11" max="18" width="25.6640625" style="3" customWidth="1"/>
    <col min="19" max="19" width="26.6640625" style="3" customWidth="1"/>
    <col min="20" max="20" width="25.6640625" style="3" customWidth="1"/>
    <col min="21" max="21" width="28.33203125" style="3" customWidth="1"/>
    <col min="22" max="22" width="28.44140625" style="3" customWidth="1"/>
    <col min="23" max="23" width="35.6640625" style="3" customWidth="1"/>
    <col min="24" max="24" width="23.6640625" style="165" customWidth="1"/>
    <col min="25" max="25" width="26.6640625" style="165" customWidth="1"/>
    <col min="26" max="26" width="36.6640625" style="165" customWidth="1"/>
    <col min="27" max="27" width="38.6640625" style="165" customWidth="1"/>
    <col min="28" max="28" width="38.6640625" style="1" customWidth="1"/>
    <col min="29" max="29" width="5.44140625" style="1" customWidth="1"/>
    <col min="30" max="30" width="12.44140625" style="1" hidden="1" customWidth="1"/>
    <col min="31" max="31" width="20.6640625" style="226" hidden="1" customWidth="1"/>
    <col min="32" max="32" width="8.6640625" style="1" hidden="1" customWidth="1"/>
    <col min="33" max="33" width="11.44140625" style="1" hidden="1" customWidth="1"/>
    <col min="34" max="34" width="11.5546875" style="1" hidden="1" customWidth="1"/>
    <col min="35" max="35" width="0" style="1" hidden="1" customWidth="1"/>
    <col min="36" max="16384" width="17.33203125" style="1"/>
  </cols>
  <sheetData>
    <row r="1" spans="2:36" ht="15" customHeight="1" thickBot="1"/>
    <row r="2" spans="2:36" ht="16.5" customHeight="1">
      <c r="B2" s="1329" t="s">
        <v>658</v>
      </c>
      <c r="C2" s="1329" t="s">
        <v>666</v>
      </c>
      <c r="D2" s="1336"/>
      <c r="E2" s="1336"/>
      <c r="F2" s="1336"/>
      <c r="G2" s="1336"/>
      <c r="H2" s="1336"/>
      <c r="I2" s="1336"/>
      <c r="J2" s="1336"/>
      <c r="K2" s="1336"/>
      <c r="L2" s="1336"/>
      <c r="M2" s="1336"/>
      <c r="N2" s="1336"/>
      <c r="O2" s="1336"/>
      <c r="P2" s="1336"/>
      <c r="Q2" s="1336"/>
      <c r="R2" s="1336"/>
      <c r="S2" s="1336"/>
      <c r="T2" s="1336"/>
      <c r="U2" s="1336"/>
      <c r="V2" s="1336"/>
      <c r="W2" s="1336"/>
      <c r="X2" s="1336"/>
      <c r="Y2" s="1336"/>
      <c r="Z2" s="1336"/>
      <c r="AA2" s="1336"/>
      <c r="AB2" s="1337"/>
    </row>
    <row r="3" spans="2:36" ht="16.5" customHeight="1">
      <c r="B3" s="1330"/>
      <c r="C3" s="1330"/>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9"/>
    </row>
    <row r="4" spans="2:36" ht="16.5" customHeight="1">
      <c r="B4" s="1330"/>
      <c r="C4" s="1330"/>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9"/>
    </row>
    <row r="5" spans="2:36" ht="16.5" customHeight="1">
      <c r="B5" s="1330"/>
      <c r="C5" s="1330"/>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9"/>
    </row>
    <row r="6" spans="2:36" ht="16.5" customHeight="1" thickBot="1">
      <c r="B6" s="1331"/>
      <c r="C6" s="1331"/>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1"/>
    </row>
    <row r="7" spans="2:36" ht="14.25" customHeight="1" thickBot="1">
      <c r="B7" s="2"/>
      <c r="C7" s="2"/>
      <c r="D7" s="2"/>
      <c r="E7" s="4"/>
      <c r="F7" s="4"/>
      <c r="G7" s="4"/>
      <c r="H7" s="2"/>
      <c r="I7" s="2"/>
      <c r="J7" s="2"/>
      <c r="K7" s="2"/>
      <c r="L7" s="2"/>
      <c r="M7" s="2"/>
      <c r="N7" s="2"/>
      <c r="O7" s="2"/>
      <c r="P7" s="2"/>
      <c r="Q7" s="2"/>
      <c r="R7" s="2"/>
      <c r="S7" s="2"/>
      <c r="T7" s="2"/>
      <c r="U7" s="2"/>
      <c r="V7" s="2"/>
      <c r="W7" s="2"/>
    </row>
    <row r="8" spans="2:36" ht="32.4" customHeight="1" thickBot="1">
      <c r="B8" s="266" t="s">
        <v>667</v>
      </c>
      <c r="C8" s="265" t="s">
        <v>1048</v>
      </c>
      <c r="D8" s="264">
        <v>2023</v>
      </c>
      <c r="E8" s="267"/>
      <c r="F8" s="267"/>
      <c r="G8" s="267"/>
      <c r="H8" s="267"/>
      <c r="I8" s="267"/>
      <c r="J8" s="267"/>
      <c r="K8" s="267"/>
      <c r="L8" s="267"/>
      <c r="M8" s="267"/>
      <c r="N8" s="267"/>
      <c r="O8" s="267"/>
      <c r="P8" s="267"/>
      <c r="Q8" s="267"/>
      <c r="R8" s="267"/>
      <c r="S8" s="267"/>
      <c r="T8" s="267"/>
      <c r="U8" s="267"/>
      <c r="V8" s="267"/>
      <c r="W8" s="267"/>
      <c r="X8" s="267"/>
      <c r="Y8" s="978" t="s">
        <v>640</v>
      </c>
      <c r="Z8" s="978" t="s">
        <v>641</v>
      </c>
      <c r="AA8" s="975"/>
      <c r="AB8" s="959"/>
      <c r="AC8" s="12"/>
    </row>
    <row r="9" spans="2:36" ht="14.25" customHeight="1">
      <c r="B9" s="2"/>
      <c r="C9" s="2"/>
      <c r="D9" s="2"/>
      <c r="E9" s="4"/>
      <c r="F9" s="4"/>
      <c r="G9" s="4"/>
      <c r="H9" s="2"/>
      <c r="I9" s="2"/>
      <c r="J9" s="2"/>
      <c r="K9" s="2"/>
      <c r="L9" s="2"/>
      <c r="M9" s="2"/>
      <c r="N9" s="2"/>
      <c r="O9" s="2"/>
      <c r="P9" s="2"/>
      <c r="Q9" s="2"/>
      <c r="R9" s="2"/>
      <c r="S9" s="2"/>
      <c r="T9" s="2"/>
      <c r="U9" s="2"/>
      <c r="V9" s="2"/>
      <c r="W9" s="2"/>
      <c r="X9" s="229"/>
      <c r="Y9" s="229"/>
      <c r="Z9" s="974"/>
      <c r="AA9" s="974"/>
      <c r="AB9" s="976"/>
    </row>
    <row r="10" spans="2:36" ht="55.2" customHeight="1">
      <c r="B10" s="1140" t="s">
        <v>0</v>
      </c>
      <c r="C10" s="1140" t="s">
        <v>52</v>
      </c>
      <c r="D10" s="1140" t="s">
        <v>54</v>
      </c>
      <c r="E10" s="1332" t="s">
        <v>55</v>
      </c>
      <c r="F10" s="1140" t="s">
        <v>56</v>
      </c>
      <c r="G10" s="1140" t="s">
        <v>70</v>
      </c>
      <c r="H10" s="1140" t="s">
        <v>57</v>
      </c>
      <c r="I10" s="1140" t="s">
        <v>41</v>
      </c>
      <c r="J10" s="1140" t="s">
        <v>42</v>
      </c>
      <c r="K10" s="1170" t="s">
        <v>75</v>
      </c>
      <c r="L10" s="1170"/>
      <c r="M10" s="1170"/>
      <c r="N10" s="1170"/>
      <c r="O10" s="1154">
        <f>+D8</f>
        <v>2023</v>
      </c>
      <c r="P10" s="1155"/>
      <c r="Q10" s="1155"/>
      <c r="R10" s="1155"/>
      <c r="S10" s="1155"/>
      <c r="T10" s="1155"/>
      <c r="U10" s="1155"/>
      <c r="V10" s="1155"/>
      <c r="W10" s="1155"/>
      <c r="X10" s="1155"/>
      <c r="Y10" s="1156"/>
      <c r="Z10" s="1157" t="s">
        <v>663</v>
      </c>
      <c r="AA10" s="1342"/>
      <c r="AB10" s="1158"/>
    </row>
    <row r="11" spans="2:36" ht="69" customHeight="1">
      <c r="B11" s="1140"/>
      <c r="C11" s="1140"/>
      <c r="D11" s="1140"/>
      <c r="E11" s="1146"/>
      <c r="F11" s="1140"/>
      <c r="G11" s="1140"/>
      <c r="H11" s="1140"/>
      <c r="I11" s="1140"/>
      <c r="J11" s="1140"/>
      <c r="K11" s="411" t="s">
        <v>59</v>
      </c>
      <c r="L11" s="411" t="s">
        <v>59</v>
      </c>
      <c r="M11" s="411" t="s">
        <v>59</v>
      </c>
      <c r="N11" s="411" t="s">
        <v>59</v>
      </c>
      <c r="O11" s="1157" t="s">
        <v>21</v>
      </c>
      <c r="P11" s="1158"/>
      <c r="Q11" s="1157" t="s">
        <v>22</v>
      </c>
      <c r="R11" s="1158"/>
      <c r="S11" s="1157" t="s">
        <v>23</v>
      </c>
      <c r="T11" s="1158"/>
      <c r="U11" s="1157" t="s">
        <v>24</v>
      </c>
      <c r="V11" s="1158"/>
      <c r="W11" s="1332" t="s">
        <v>665</v>
      </c>
      <c r="X11" s="1332" t="s">
        <v>661</v>
      </c>
      <c r="Y11" s="777" t="s">
        <v>887</v>
      </c>
      <c r="Z11" s="1345" t="s">
        <v>1166</v>
      </c>
      <c r="AA11" s="1332" t="s">
        <v>1167</v>
      </c>
      <c r="AB11" s="1343" t="s">
        <v>1168</v>
      </c>
    </row>
    <row r="12" spans="2:36" ht="31.95" customHeight="1">
      <c r="B12" s="1140"/>
      <c r="C12" s="1140"/>
      <c r="D12" s="1140"/>
      <c r="E12" s="1147"/>
      <c r="F12" s="1140"/>
      <c r="G12" s="1140"/>
      <c r="H12" s="1140"/>
      <c r="I12" s="1140"/>
      <c r="J12" s="1140"/>
      <c r="K12" s="417">
        <v>2021</v>
      </c>
      <c r="L12" s="417">
        <v>2022</v>
      </c>
      <c r="M12" s="417">
        <v>2023</v>
      </c>
      <c r="N12" s="417">
        <v>2024</v>
      </c>
      <c r="O12" s="410" t="s">
        <v>659</v>
      </c>
      <c r="P12" s="410" t="s">
        <v>660</v>
      </c>
      <c r="Q12" s="410" t="s">
        <v>659</v>
      </c>
      <c r="R12" s="410" t="s">
        <v>660</v>
      </c>
      <c r="S12" s="410" t="s">
        <v>659</v>
      </c>
      <c r="T12" s="410" t="s">
        <v>660</v>
      </c>
      <c r="U12" s="410" t="s">
        <v>659</v>
      </c>
      <c r="V12" s="410" t="s">
        <v>660</v>
      </c>
      <c r="W12" s="1147"/>
      <c r="X12" s="1147"/>
      <c r="Y12" s="949" t="s">
        <v>1164</v>
      </c>
      <c r="Z12" s="1162"/>
      <c r="AA12" s="1147"/>
      <c r="AB12" s="1344"/>
    </row>
    <row r="13" spans="2:36" ht="103.5" customHeight="1">
      <c r="B13" s="1326" t="s">
        <v>130</v>
      </c>
      <c r="C13" s="1325" t="str">
        <f>+'01-FR-03 POA INSTITUCIONAL'!C13:C23</f>
        <v>1.1. Realizar 914.879 acciones que promuevan la defensa, garantía y restablecimiento de los derechos de las personas en el Distrito Capital.</v>
      </c>
      <c r="D13" s="28" t="str">
        <f>+'01-FR-03 POA INSTITUCIONAL'!D13</f>
        <v>1.1.1 Realizar 373.106 intervenciones dentro del ejercicio del Ministerio Público para prevenir la vulneración de derechos y/o lograr el  restablecimiento de los mismos.</v>
      </c>
      <c r="E13" s="46">
        <f>+'01-FR-03 POA INSTITUCIONAL'!E13</f>
        <v>0.38</v>
      </c>
      <c r="F13" s="72">
        <f>+'01-FR-03 POA INSTITUCIONAL'!F13</f>
        <v>373106</v>
      </c>
      <c r="G13" s="35">
        <f>+'01-FR-03 POA INSTITUCIONAL'!G13</f>
        <v>102450</v>
      </c>
      <c r="H13" s="73" t="str">
        <f>+'01-FR-03 POA INSTITUCIONAL'!H13</f>
        <v>Intervenciones realizadas en defensa de los derechos</v>
      </c>
      <c r="I13" s="74" t="str">
        <f>+'01-FR-03 POA INSTITUCIONAL'!I13</f>
        <v>Promoción y Defensa de Derechos</v>
      </c>
      <c r="J13" s="75" t="str">
        <f>+'01-FR-03 POA INSTITUCIONAL'!J13</f>
        <v>P.D. para Asuntos Penales I, Penales II, Derechos Humanos y Policivos y Civiles
P.D. para los Sectores Planeación y Movilidad y la P.D. para los Sectores Educación y Cultura, Recreación y Deporte</v>
      </c>
      <c r="K13" s="76">
        <f>+'01-FR-03 POA INSTITUCIONAL'!K13</f>
        <v>102450</v>
      </c>
      <c r="L13" s="76">
        <f>+'01-FR-03 POA INSTITUCIONAL'!L13</f>
        <v>106660</v>
      </c>
      <c r="M13" s="76">
        <f>+'01-FR-03 POA INSTITUCIONAL'!M13</f>
        <v>114746</v>
      </c>
      <c r="N13" s="76">
        <f>+'01-FR-03 POA INSTITUCIONAL'!N13</f>
        <v>49250</v>
      </c>
      <c r="O13" s="219">
        <f>'05-POA PROM DEFENSA DERECHOS'!V16</f>
        <v>27678</v>
      </c>
      <c r="P13" s="219">
        <f>'05-POA PROM DEFENSA DERECHOS'!W16</f>
        <v>35504</v>
      </c>
      <c r="Q13" s="219">
        <f>+'05-POA PROM DEFENSA DERECHOS'!AD16</f>
        <v>30819</v>
      </c>
      <c r="R13" s="219">
        <f>+'05-POA PROM DEFENSA DERECHOS'!AE16</f>
        <v>31739</v>
      </c>
      <c r="S13" s="219">
        <f>+'05-POA PROM DEFENSA DERECHOS'!AL16</f>
        <v>29500</v>
      </c>
      <c r="T13" s="219">
        <f>+'05-POA PROM DEFENSA DERECHOS'!AM16</f>
        <v>0</v>
      </c>
      <c r="U13" s="219">
        <f>+'05-POA PROM DEFENSA DERECHOS'!AT16</f>
        <v>26749</v>
      </c>
      <c r="V13" s="219">
        <f>+'05-POA PROM DEFENSA DERECHOS'!AU16</f>
        <v>0</v>
      </c>
      <c r="W13" s="219">
        <f>+'05-POA PROM DEFENSA DERECHOS'!AV16</f>
        <v>114746</v>
      </c>
      <c r="X13" s="221">
        <f>+'05-POA PROM DEFENSA DERECHOS'!AX16</f>
        <v>67243</v>
      </c>
      <c r="Y13" s="502">
        <f>+'05-POA PROM DEFENSA DERECHOS'!BB16</f>
        <v>0.58601607027695957</v>
      </c>
      <c r="Z13" s="222">
        <f>+'05-POA PROM DEFENSA DERECHOS'!BF16</f>
        <v>0.18022492267612958</v>
      </c>
      <c r="AA13" s="228">
        <f t="shared" ref="AA13:AA44" si="0">IF(AND(Z13&gt;0,E13&gt;0),Z13*E13,0)</f>
        <v>6.8485470616929237E-2</v>
      </c>
      <c r="AB13" s="1095">
        <f>SUM(AA13:AA23)</f>
        <v>0.18634190752682903</v>
      </c>
      <c r="AD13" s="225">
        <f>+'05-POA PROM DEFENSA DERECHOS'!BD16</f>
        <v>0.58601607027695957</v>
      </c>
      <c r="AE13" s="227">
        <f t="shared" ref="AE13:AE44" si="1">Y13-AD13</f>
        <v>0</v>
      </c>
      <c r="AG13" s="225">
        <f>+'05-POA PROM DEFENSA DERECHOS'!BH16</f>
        <v>0.18022492267612958</v>
      </c>
      <c r="AH13" s="227">
        <f>+Z13-AG13</f>
        <v>0</v>
      </c>
      <c r="AJ13" s="224"/>
    </row>
    <row r="14" spans="2:36" ht="142.5" customHeight="1">
      <c r="B14" s="1012"/>
      <c r="C14" s="1077"/>
      <c r="D14" s="28" t="str">
        <f>+'01-FR-03 POA INSTITUCIONAL'!D14</f>
        <v>1.1.2 Orientar 317.663 personas en garantía de derechos.</v>
      </c>
      <c r="E14" s="46">
        <f>+'01-FR-03 POA INSTITUCIONAL'!E14</f>
        <v>0.3</v>
      </c>
      <c r="F14" s="72">
        <f>+'01-FR-03 POA INSTITUCIONAL'!F14</f>
        <v>317663</v>
      </c>
      <c r="G14" s="35">
        <f>+'01-FR-03 POA INSTITUCIONAL'!G14</f>
        <v>78750</v>
      </c>
      <c r="H14" s="73" t="str">
        <f>+'01-FR-03 POA INSTITUCIONAL'!H14</f>
        <v>Personas orientadas en garantía de derechos</v>
      </c>
      <c r="I14" s="74" t="str">
        <f>+'01-FR-03 POA INSTITUCIONAL'!I14</f>
        <v>Promoción y Defensa de Derechos</v>
      </c>
      <c r="J14" s="75"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76">
        <f>+'01-FR-03 POA INSTITUCIONAL'!K14</f>
        <v>78750</v>
      </c>
      <c r="L14" s="76">
        <f>+'01-FR-03 POA INSTITUCIONAL'!L14</f>
        <v>97105</v>
      </c>
      <c r="M14" s="76">
        <f>+'01-FR-03 POA INSTITUCIONAL'!M14</f>
        <v>101508</v>
      </c>
      <c r="N14" s="76">
        <f>+'01-FR-03 POA INSTITUCIONAL'!N14</f>
        <v>40300</v>
      </c>
      <c r="O14" s="219">
        <f>'05-POA PROM DEFENSA DERECHOS'!V17</f>
        <v>22597</v>
      </c>
      <c r="P14" s="219">
        <f>'05-POA PROM DEFENSA DERECHOS'!W17</f>
        <v>28592</v>
      </c>
      <c r="Q14" s="219">
        <f>+'05-POA PROM DEFENSA DERECHOS'!AD17</f>
        <v>27765</v>
      </c>
      <c r="R14" s="219">
        <f>+'05-POA PROM DEFENSA DERECHOS'!AE17</f>
        <v>31929</v>
      </c>
      <c r="S14" s="219">
        <f>+'05-POA PROM DEFENSA DERECHOS'!AL17</f>
        <v>28298</v>
      </c>
      <c r="T14" s="219">
        <f>+'05-POA PROM DEFENSA DERECHOS'!AM17</f>
        <v>0</v>
      </c>
      <c r="U14" s="219">
        <f>+'05-POA PROM DEFENSA DERECHOS'!AT17</f>
        <v>22848</v>
      </c>
      <c r="V14" s="219">
        <f>+'05-POA PROM DEFENSA DERECHOS'!AU17</f>
        <v>0</v>
      </c>
      <c r="W14" s="219">
        <f>+'05-POA PROM DEFENSA DERECHOS'!AV17</f>
        <v>101508</v>
      </c>
      <c r="X14" s="221">
        <f>+'05-POA PROM DEFENSA DERECHOS'!AX17</f>
        <v>60521</v>
      </c>
      <c r="Y14" s="502">
        <f>+'05-POA PROM DEFENSA DERECHOS'!BB17</f>
        <v>0.59621901722031756</v>
      </c>
      <c r="Z14" s="222">
        <f>+'05-POA PROM DEFENSA DERECHOS'!BF17</f>
        <v>0.19051951281704196</v>
      </c>
      <c r="AA14" s="228">
        <f t="shared" si="0"/>
        <v>5.7155853845112584E-2</v>
      </c>
      <c r="AB14" s="1005"/>
      <c r="AD14" s="225">
        <f>+'05-POA PROM DEFENSA DERECHOS'!BD17</f>
        <v>0.59621901722031756</v>
      </c>
      <c r="AE14" s="227">
        <f t="shared" si="1"/>
        <v>0</v>
      </c>
      <c r="AG14" s="225">
        <f>+'05-POA PROM DEFENSA DERECHOS'!BH17</f>
        <v>0.19051951281704196</v>
      </c>
      <c r="AH14" s="227">
        <f t="shared" ref="AH14:AH48" si="2">+Z14-AG14</f>
        <v>0</v>
      </c>
    </row>
    <row r="15" spans="2:36" ht="185.25" customHeight="1">
      <c r="B15" s="1012"/>
      <c r="C15" s="1077"/>
      <c r="D15" s="28" t="str">
        <f>+'01-FR-03 POA INSTITUCIONAL'!D15</f>
        <v>1.1.3 Asistir 111.931 personas en garantía de derechos.</v>
      </c>
      <c r="E15" s="46">
        <f>+'01-FR-03 POA INSTITUCIONAL'!E15</f>
        <v>0.15</v>
      </c>
      <c r="F15" s="72">
        <f>+'01-FR-03 POA INSTITUCIONAL'!F15</f>
        <v>111931</v>
      </c>
      <c r="G15" s="35">
        <f>+'01-FR-03 POA INSTITUCIONAL'!G15</f>
        <v>28695</v>
      </c>
      <c r="H15" s="73" t="str">
        <f>+'01-FR-03 POA INSTITUCIONAL'!H15</f>
        <v>Personas asistidas en garantía de derechos</v>
      </c>
      <c r="I15" s="74" t="str">
        <f>+'01-FR-03 POA INSTITUCIONAL'!I15</f>
        <v>Promoción y Defensa de Derechos</v>
      </c>
      <c r="J15" s="75"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76">
        <f>+'01-FR-03 POA INSTITUCIONAL'!K15</f>
        <v>28695</v>
      </c>
      <c r="L15" s="76">
        <f>+'01-FR-03 POA INSTITUCIONAL'!L15</f>
        <v>26115</v>
      </c>
      <c r="M15" s="76">
        <f>+'01-FR-03 POA INSTITUCIONAL'!M15</f>
        <v>33521</v>
      </c>
      <c r="N15" s="76">
        <f>+'01-FR-03 POA INSTITUCIONAL'!N15</f>
        <v>23600</v>
      </c>
      <c r="O15" s="219">
        <f>'05-POA PROM DEFENSA DERECHOS'!V18</f>
        <v>8374</v>
      </c>
      <c r="P15" s="219">
        <f>'05-POA PROM DEFENSA DERECHOS'!W18</f>
        <v>9857</v>
      </c>
      <c r="Q15" s="219">
        <f>+'05-POA PROM DEFENSA DERECHOS'!AD18</f>
        <v>9237</v>
      </c>
      <c r="R15" s="219">
        <f>+'05-POA PROM DEFENSA DERECHOS'!AE18</f>
        <v>10828</v>
      </c>
      <c r="S15" s="219">
        <f>+'05-POA PROM DEFENSA DERECHOS'!AL18</f>
        <v>9559</v>
      </c>
      <c r="T15" s="219">
        <f>+'05-POA PROM DEFENSA DERECHOS'!AM18</f>
        <v>0</v>
      </c>
      <c r="U15" s="219">
        <f>+'05-POA PROM DEFENSA DERECHOS'!AT18</f>
        <v>6351</v>
      </c>
      <c r="V15" s="219">
        <f>+'05-POA PROM DEFENSA DERECHOS'!AU18</f>
        <v>0</v>
      </c>
      <c r="W15" s="219">
        <f>+'05-POA PROM DEFENSA DERECHOS'!AV18</f>
        <v>33521</v>
      </c>
      <c r="X15" s="221">
        <f>+'05-POA PROM DEFENSA DERECHOS'!AX18</f>
        <v>20685</v>
      </c>
      <c r="Y15" s="502">
        <f>+'05-POA PROM DEFENSA DERECHOS'!BB18</f>
        <v>0.61707586289191851</v>
      </c>
      <c r="Z15" s="222">
        <f>+'05-POA PROM DEFENSA DERECHOS'!BF18</f>
        <v>0.18480135083220914</v>
      </c>
      <c r="AA15" s="228">
        <f t="shared" si="0"/>
        <v>2.772020262483137E-2</v>
      </c>
      <c r="AB15" s="1005"/>
      <c r="AD15" s="225">
        <f>+'05-POA PROM DEFENSA DERECHOS'!BD18</f>
        <v>0.61707586289191851</v>
      </c>
      <c r="AE15" s="227">
        <f t="shared" si="1"/>
        <v>0</v>
      </c>
      <c r="AG15" s="225">
        <f>+'05-POA PROM DEFENSA DERECHOS'!BH18</f>
        <v>0.18480135083220914</v>
      </c>
      <c r="AH15" s="227">
        <f t="shared" si="2"/>
        <v>0</v>
      </c>
    </row>
    <row r="16" spans="2:36" ht="51" customHeight="1">
      <c r="B16" s="1012"/>
      <c r="C16" s="1077"/>
      <c r="D16" s="28" t="str">
        <f>+'01-FR-03 POA INSTITUCIONAL'!D16</f>
        <v>1.1.4 Asistir a 27.767 personas en mecanismos alternativos de solución de conflictos.</v>
      </c>
      <c r="E16" s="46">
        <f>+'01-FR-03 POA INSTITUCIONAL'!E16</f>
        <v>0.04</v>
      </c>
      <c r="F16" s="72">
        <f>+'01-FR-03 POA INSTITUCIONAL'!F16</f>
        <v>27767</v>
      </c>
      <c r="G16" s="35">
        <f>+'01-FR-03 POA INSTITUCIONAL'!G16</f>
        <v>6810</v>
      </c>
      <c r="H16" s="73" t="str">
        <f>+'01-FR-03 POA INSTITUCIONAL'!H16</f>
        <v>Personas asistidas en Mecanismos Alternativos de Solución de Conflictos</v>
      </c>
      <c r="I16" s="74" t="str">
        <f>+'01-FR-03 POA INSTITUCIONAL'!I16</f>
        <v>Promoción y Defensa de Derechos</v>
      </c>
      <c r="J16" s="75" t="str">
        <f>+'01-FR-03 POA INSTITUCIONAL'!J16</f>
        <v>Dirección de Conciliación y M.A.S.C.</v>
      </c>
      <c r="K16" s="76">
        <f>+'01-FR-03 POA INSTITUCIONAL'!K16</f>
        <v>6810</v>
      </c>
      <c r="L16" s="76">
        <f>+'01-FR-03 POA INSTITUCIONAL'!L16</f>
        <v>6900</v>
      </c>
      <c r="M16" s="76">
        <f>+'01-FR-03 POA INSTITUCIONAL'!M16</f>
        <v>9681</v>
      </c>
      <c r="N16" s="76">
        <f>+'01-FR-03 POA INSTITUCIONAL'!N16</f>
        <v>4376</v>
      </c>
      <c r="O16" s="219">
        <f>'05-POA PROM DEFENSA DERECHOS'!V19</f>
        <v>1596</v>
      </c>
      <c r="P16" s="219">
        <f>'05-POA PROM DEFENSA DERECHOS'!W19</f>
        <v>2984</v>
      </c>
      <c r="Q16" s="219">
        <f>+'05-POA PROM DEFENSA DERECHOS'!AD19</f>
        <v>1894</v>
      </c>
      <c r="R16" s="219">
        <f>+'05-POA PROM DEFENSA DERECHOS'!AE19</f>
        <v>3692</v>
      </c>
      <c r="S16" s="219">
        <f>+'05-POA PROM DEFENSA DERECHOS'!AL19</f>
        <v>3096</v>
      </c>
      <c r="T16" s="219">
        <f>+'05-POA PROM DEFENSA DERECHOS'!AM19</f>
        <v>0</v>
      </c>
      <c r="U16" s="219">
        <f>+'05-POA PROM DEFENSA DERECHOS'!AT19</f>
        <v>3095</v>
      </c>
      <c r="V16" s="219">
        <f>+'05-POA PROM DEFENSA DERECHOS'!AU19</f>
        <v>0</v>
      </c>
      <c r="W16" s="219">
        <f>+'05-POA PROM DEFENSA DERECHOS'!AV19</f>
        <v>9681</v>
      </c>
      <c r="X16" s="221">
        <f>+'05-POA PROM DEFENSA DERECHOS'!AX19</f>
        <v>6676</v>
      </c>
      <c r="Y16" s="502">
        <f>+'05-POA PROM DEFENSA DERECHOS'!BB19</f>
        <v>0.6895981820059911</v>
      </c>
      <c r="Z16" s="222">
        <f>+'05-POA PROM DEFENSA DERECHOS'!BF19</f>
        <v>0.24042928656318652</v>
      </c>
      <c r="AA16" s="228">
        <f t="shared" si="0"/>
        <v>9.6171714625274615E-3</v>
      </c>
      <c r="AB16" s="1005"/>
      <c r="AD16" s="225">
        <f>+'05-POA PROM DEFENSA DERECHOS'!BD19</f>
        <v>0.6895981820059911</v>
      </c>
      <c r="AE16" s="227">
        <f t="shared" si="1"/>
        <v>0</v>
      </c>
      <c r="AG16" s="225">
        <f>+'05-POA PROM DEFENSA DERECHOS'!BH19</f>
        <v>0.24042928656318652</v>
      </c>
      <c r="AH16" s="227">
        <f t="shared" si="2"/>
        <v>0</v>
      </c>
    </row>
    <row r="17" spans="2:34" ht="136.5" customHeight="1">
      <c r="B17" s="1012"/>
      <c r="C17" s="1077"/>
      <c r="D17" s="28" t="str">
        <f>+'01-FR-03 POA INSTITUCIONAL'!D17</f>
        <v>1.1.5 Atender y gestionar 53.992 peticiones y/o requerimientos presentados por la comunidad en garantía de derechos.</v>
      </c>
      <c r="E17" s="46">
        <f>+'01-FR-03 POA INSTITUCIONAL'!E17</f>
        <v>0.06</v>
      </c>
      <c r="F17" s="72">
        <f>+'01-FR-03 POA INSTITUCIONAL'!F17</f>
        <v>53992</v>
      </c>
      <c r="G17" s="35">
        <f>+'01-FR-03 POA INSTITUCIONAL'!G17</f>
        <v>14307</v>
      </c>
      <c r="H17" s="73" t="str">
        <f>+'01-FR-03 POA INSTITUCIONAL'!H17</f>
        <v>Peticiones o requerimientos ciudadanos atendidos en garantía de derechos</v>
      </c>
      <c r="I17" s="74" t="str">
        <f>+'01-FR-03 POA INSTITUCIONAL'!I17</f>
        <v>Promoción y Defensa de Derechos</v>
      </c>
      <c r="J17" s="75"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76">
        <f>+'01-FR-03 POA INSTITUCIONAL'!K17</f>
        <v>14307</v>
      </c>
      <c r="L17" s="76">
        <f>+'01-FR-03 POA INSTITUCIONAL'!L17</f>
        <v>16115</v>
      </c>
      <c r="M17" s="76">
        <f>+'01-FR-03 POA INSTITUCIONAL'!M17</f>
        <v>19470</v>
      </c>
      <c r="N17" s="76">
        <f>+'01-FR-03 POA INSTITUCIONAL'!N17</f>
        <v>4100</v>
      </c>
      <c r="O17" s="219">
        <f>'05-POA PROM DEFENSA DERECHOS'!V20</f>
        <v>4607</v>
      </c>
      <c r="P17" s="219">
        <f>'05-POA PROM DEFENSA DERECHOS'!W20</f>
        <v>6041</v>
      </c>
      <c r="Q17" s="219">
        <f>+'05-POA PROM DEFENSA DERECHOS'!AD20</f>
        <v>5458</v>
      </c>
      <c r="R17" s="219">
        <f>+'05-POA PROM DEFENSA DERECHOS'!AE20</f>
        <v>7617</v>
      </c>
      <c r="S17" s="219">
        <f>+'05-POA PROM DEFENSA DERECHOS'!AL20</f>
        <v>5458</v>
      </c>
      <c r="T17" s="219">
        <f>+'05-POA PROM DEFENSA DERECHOS'!AM20</f>
        <v>0</v>
      </c>
      <c r="U17" s="219">
        <f>+'05-POA PROM DEFENSA DERECHOS'!AT20</f>
        <v>3947</v>
      </c>
      <c r="V17" s="219">
        <f>+'05-POA PROM DEFENSA DERECHOS'!AU20</f>
        <v>0</v>
      </c>
      <c r="W17" s="219">
        <f>+'05-POA PROM DEFENSA DERECHOS'!AV20</f>
        <v>19470</v>
      </c>
      <c r="X17" s="221">
        <f>+'05-POA PROM DEFENSA DERECHOS'!AX20</f>
        <v>13658</v>
      </c>
      <c r="Y17" s="502">
        <f>+'05-POA PROM DEFENSA DERECHOS'!BB20</f>
        <v>0.70148947098099645</v>
      </c>
      <c r="Z17" s="222">
        <f>+'05-POA PROM DEFENSA DERECHOS'!BF20</f>
        <v>0.25296340198547934</v>
      </c>
      <c r="AA17" s="228">
        <f t="shared" si="0"/>
        <v>1.517780411912876E-2</v>
      </c>
      <c r="AB17" s="1005"/>
      <c r="AD17" s="225">
        <f>+'05-POA PROM DEFENSA DERECHOS'!BD20</f>
        <v>0.70148947098099645</v>
      </c>
      <c r="AE17" s="227">
        <f t="shared" si="1"/>
        <v>0</v>
      </c>
      <c r="AG17" s="225">
        <f>+'05-POA PROM DEFENSA DERECHOS'!BH20</f>
        <v>0.25296340198547934</v>
      </c>
      <c r="AH17" s="227">
        <f t="shared" si="2"/>
        <v>0</v>
      </c>
    </row>
    <row r="18" spans="2:34" ht="114.6" customHeight="1">
      <c r="B18" s="1012"/>
      <c r="C18" s="1077"/>
      <c r="D18" s="28" t="str">
        <f>+'01-FR-03 POA INSTITUCIONAL'!D18</f>
        <v>1.1.6 Generar 80 espacios de mejora, de transferencia de conocimientos y buenas prácticas que permitan brindar una atención idónea a las personas que acuden a la Personería de Bogotá, D. C</v>
      </c>
      <c r="E18" s="46">
        <f>+'01-FR-03 POA INSTITUCIONAL'!E18</f>
        <v>0.01</v>
      </c>
      <c r="F18" s="72">
        <f>+'01-FR-03 POA INSTITUCIONAL'!F18</f>
        <v>80</v>
      </c>
      <c r="G18" s="35">
        <f>+'01-FR-03 POA INSTITUCIONAL'!G18</f>
        <v>20</v>
      </c>
      <c r="H18" s="73" t="str">
        <f>+'01-FR-03 POA INSTITUCIONAL'!H18</f>
        <v>Espacios de mejora y transferencia de conocimiento realizados</v>
      </c>
      <c r="I18" s="74" t="str">
        <f>+'01-FR-03 POA INSTITUCIONAL'!I18</f>
        <v>Promoción y Defensa de Derechos</v>
      </c>
      <c r="J18" s="75" t="str">
        <f>+'01-FR-03 POA INSTITUCIONAL'!J18</f>
        <v>P.D. para la Coordinación del MP y DDHH y sus dependencias adscritas.</v>
      </c>
      <c r="K18" s="76">
        <f>+'01-FR-03 POA INSTITUCIONAL'!K18</f>
        <v>20</v>
      </c>
      <c r="L18" s="76">
        <f>+'01-FR-03 POA INSTITUCIONAL'!L18</f>
        <v>20</v>
      </c>
      <c r="M18" s="76">
        <f>+'01-FR-03 POA INSTITUCIONAL'!M18</f>
        <v>20</v>
      </c>
      <c r="N18" s="76">
        <f>+'01-FR-03 POA INSTITUCIONAL'!N18</f>
        <v>20</v>
      </c>
      <c r="O18" s="219">
        <f>'05-POA PROM DEFENSA DERECHOS'!V21</f>
        <v>0</v>
      </c>
      <c r="P18" s="219">
        <f>'05-POA PROM DEFENSA DERECHOS'!W21</f>
        <v>2</v>
      </c>
      <c r="Q18" s="219">
        <f>+'05-POA PROM DEFENSA DERECHOS'!AD21</f>
        <v>7</v>
      </c>
      <c r="R18" s="219">
        <f>+'05-POA PROM DEFENSA DERECHOS'!AE21</f>
        <v>5</v>
      </c>
      <c r="S18" s="219">
        <f>+'05-POA PROM DEFENSA DERECHOS'!AL21</f>
        <v>9</v>
      </c>
      <c r="T18" s="219">
        <f>+'05-POA PROM DEFENSA DERECHOS'!AM21</f>
        <v>0</v>
      </c>
      <c r="U18" s="219">
        <f>+'05-POA PROM DEFENSA DERECHOS'!AT21</f>
        <v>4</v>
      </c>
      <c r="V18" s="219">
        <f>+'05-POA PROM DEFENSA DERECHOS'!AU21</f>
        <v>0</v>
      </c>
      <c r="W18" s="219">
        <f>+'05-POA PROM DEFENSA DERECHOS'!AV21</f>
        <v>20</v>
      </c>
      <c r="X18" s="221">
        <f>+'05-POA PROM DEFENSA DERECHOS'!AX21</f>
        <v>7</v>
      </c>
      <c r="Y18" s="502">
        <f>+'05-POA PROM DEFENSA DERECHOS'!BB21</f>
        <v>0.35</v>
      </c>
      <c r="Z18" s="222">
        <f>+'05-POA PROM DEFENSA DERECHOS'!BF21</f>
        <v>8.7499999999999994E-2</v>
      </c>
      <c r="AA18" s="228">
        <f t="shared" si="0"/>
        <v>8.7499999999999991E-4</v>
      </c>
      <c r="AB18" s="1005"/>
      <c r="AD18" s="225">
        <f>+'05-POA PROM DEFENSA DERECHOS'!BD21</f>
        <v>0.35</v>
      </c>
      <c r="AE18" s="227">
        <f t="shared" si="1"/>
        <v>0</v>
      </c>
      <c r="AG18" s="225">
        <f>+'05-POA PROM DEFENSA DERECHOS'!BH21</f>
        <v>8.7499999999999994E-2</v>
      </c>
      <c r="AH18" s="227">
        <f>+Z18-AG18</f>
        <v>0</v>
      </c>
    </row>
    <row r="19" spans="2:34" ht="88.5" customHeight="1">
      <c r="B19" s="1012"/>
      <c r="C19" s="1077"/>
      <c r="D19" s="28" t="str">
        <f>+'01-FR-03 POA INSTITUCIONAL'!D19</f>
        <v>1.1.7 Entregar en un termino menor a los cinco (5) días hábiles, mas del 95% de las solicitudes de elaboración de tutelas, desacatos e impugnaciones que realicen las personas en el Distrito Capital.</v>
      </c>
      <c r="E19" s="46">
        <f>+'01-FR-03 POA INSTITUCIONAL'!E19</f>
        <v>0.01</v>
      </c>
      <c r="F19" s="72" t="str">
        <f>+'01-FR-03 POA INSTITUCIONAL'!F19</f>
        <v>&gt;=95%</v>
      </c>
      <c r="G19" s="35" t="str">
        <f>+'01-FR-03 POA INSTITUCIONAL'!G19</f>
        <v>S.I.</v>
      </c>
      <c r="H19" s="73" t="str">
        <f>+'01-FR-03 POA INSTITUCIONAL'!H19</f>
        <v>Porcentaje de Acciones de Tutela, Desacatos e Impugnaciones Entregadas en un Termino Menor a Cinco (5) Días Hábiles</v>
      </c>
      <c r="I19" s="74" t="str">
        <f>+'01-FR-03 POA INSTITUCIONAL'!I19</f>
        <v>Promoción y Defensa de Derechos</v>
      </c>
      <c r="J19" s="75" t="str">
        <f>+'01-FR-03 POA INSTITUCIONAL'!J19</f>
        <v>P.D. para Asuntos Jurisdiccionales, Víctimas y Penal II.
P.D. para la Coordinación de la Gestión de Personerías Locales y sus Personerías Locales adscritas</v>
      </c>
      <c r="K19" s="76" t="str">
        <f>+'01-FR-03 POA INSTITUCIONAL'!K19</f>
        <v>&gt;=95%</v>
      </c>
      <c r="L19" s="76" t="str">
        <f>+'01-FR-03 POA INSTITUCIONAL'!L19</f>
        <v>&gt;=95%</v>
      </c>
      <c r="M19" s="76" t="str">
        <f>+'01-FR-03 POA INSTITUCIONAL'!M19</f>
        <v>&gt;=95%</v>
      </c>
      <c r="N19" s="76" t="str">
        <f>+'01-FR-03 POA INSTITUCIONAL'!N19</f>
        <v>&gt;=95%</v>
      </c>
      <c r="O19" s="220">
        <f>'05-POA PROM DEFENSA DERECHOS'!V22</f>
        <v>0.94999999999999984</v>
      </c>
      <c r="P19" s="220">
        <f>'05-POA PROM DEFENSA DERECHOS'!W22</f>
        <v>1</v>
      </c>
      <c r="Q19" s="220">
        <f>+'05-POA PROM DEFENSA DERECHOS'!AD22</f>
        <v>0.94999999999999984</v>
      </c>
      <c r="R19" s="220">
        <f>'05-POA PROM DEFENSA DERECHOS'!AE22</f>
        <v>1</v>
      </c>
      <c r="S19" s="220">
        <f>+'05-POA PROM DEFENSA DERECHOS'!AL22</f>
        <v>0.94999999999999984</v>
      </c>
      <c r="T19" s="220">
        <f>'05-POA PROM DEFENSA DERECHOS'!AM22</f>
        <v>0</v>
      </c>
      <c r="U19" s="220">
        <f>+'05-POA PROM DEFENSA DERECHOS'!AT22</f>
        <v>0.94999999999999984</v>
      </c>
      <c r="V19" s="220">
        <f>+'05-POA PROM DEFENSA DERECHOS'!AU22</f>
        <v>0</v>
      </c>
      <c r="W19" s="29">
        <f>+'05-POA PROM DEFENSA DERECHOS'!AV22</f>
        <v>0.94999999999999984</v>
      </c>
      <c r="X19" s="222">
        <f>+'05-POA PROM DEFENSA DERECHOS'!AX22</f>
        <v>1</v>
      </c>
      <c r="Y19" s="502">
        <f>+'05-POA PROM DEFENSA DERECHOS'!BB22</f>
        <v>0.52631578947368429</v>
      </c>
      <c r="Z19" s="222">
        <f>+'05-POA PROM DEFENSA DERECHOS'!BF22</f>
        <v>0.13157894736842105</v>
      </c>
      <c r="AA19" s="228">
        <f t="shared" si="0"/>
        <v>1.3157894736842105E-3</v>
      </c>
      <c r="AB19" s="1005"/>
      <c r="AD19" s="225">
        <f>+'05-POA PROM DEFENSA DERECHOS'!BD22</f>
        <v>1.0526315789473686</v>
      </c>
      <c r="AE19" s="227">
        <f t="shared" si="1"/>
        <v>-0.52631578947368429</v>
      </c>
      <c r="AG19" s="225">
        <f>+'05-POA PROM DEFENSA DERECHOS'!BH22</f>
        <v>0.26315789473684209</v>
      </c>
      <c r="AH19" s="227">
        <f t="shared" si="2"/>
        <v>-0.13157894736842105</v>
      </c>
    </row>
    <row r="20" spans="2:34" ht="121.5" customHeight="1">
      <c r="B20" s="1012"/>
      <c r="C20" s="1077"/>
      <c r="D20" s="28"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46">
        <f>+'01-FR-03 POA INSTITUCIONAL'!E20</f>
        <v>0.02</v>
      </c>
      <c r="F20" s="72">
        <f>+'01-FR-03 POA INSTITUCIONAL'!F20</f>
        <v>19500</v>
      </c>
      <c r="G20" s="35">
        <f>+'01-FR-03 POA INSTITUCIONAL'!G20</f>
        <v>5000</v>
      </c>
      <c r="H20" s="73" t="str">
        <f>+'01-FR-03 POA INSTITUCIONAL'!H20</f>
        <v>Audiencias Publicas Realizadas con Asistencia del Ministerio Público</v>
      </c>
      <c r="I20" s="74" t="str">
        <f>+'01-FR-03 POA INSTITUCIONAL'!I20</f>
        <v>Promoción y Defensa de Derechos</v>
      </c>
      <c r="J20" s="75" t="str">
        <f>+'01-FR-03 POA INSTITUCIONAL'!J20</f>
        <v>P.D. para la Coordinación de la Gestión de Personerías Locales y sus Personerías Locales adscritas</v>
      </c>
      <c r="K20" s="76">
        <f>+'01-FR-03 POA INSTITUCIONAL'!K20</f>
        <v>5000</v>
      </c>
      <c r="L20" s="76">
        <f>+'01-FR-03 POA INSTITUCIONAL'!L20</f>
        <v>6000</v>
      </c>
      <c r="M20" s="76">
        <f>+'01-FR-03 POA INSTITUCIONAL'!M20</f>
        <v>6500</v>
      </c>
      <c r="N20" s="76">
        <f>+'01-FR-03 POA INSTITUCIONAL'!N20</f>
        <v>2000</v>
      </c>
      <c r="O20" s="219">
        <f>'05-POA PROM DEFENSA DERECHOS'!V23</f>
        <v>1300</v>
      </c>
      <c r="P20" s="219">
        <f>'05-POA PROM DEFENSA DERECHOS'!W23</f>
        <v>1879</v>
      </c>
      <c r="Q20" s="219">
        <f>+'05-POA PROM DEFENSA DERECHOS'!AD23</f>
        <v>1950</v>
      </c>
      <c r="R20" s="219">
        <f>+'05-POA PROM DEFENSA DERECHOS'!AE23</f>
        <v>1980</v>
      </c>
      <c r="S20" s="219">
        <f>+'05-POA PROM DEFENSA DERECHOS'!AL23</f>
        <v>1950</v>
      </c>
      <c r="T20" s="219">
        <f>+'05-POA PROM DEFENSA DERECHOS'!AM23</f>
        <v>0</v>
      </c>
      <c r="U20" s="219">
        <f>+'05-POA PROM DEFENSA DERECHOS'!AT23</f>
        <v>1300</v>
      </c>
      <c r="V20" s="219">
        <f>+'05-POA PROM DEFENSA DERECHOS'!AU23</f>
        <v>0</v>
      </c>
      <c r="W20" s="219">
        <f>+'05-POA PROM DEFENSA DERECHOS'!AV23</f>
        <v>6500</v>
      </c>
      <c r="X20" s="221">
        <f>+'05-POA PROM DEFENSA DERECHOS'!AX23</f>
        <v>3859</v>
      </c>
      <c r="Y20" s="502">
        <f>+'05-POA PROM DEFENSA DERECHOS'!BB23</f>
        <v>0.59369230769230774</v>
      </c>
      <c r="Z20" s="222">
        <f>+'05-POA PROM DEFENSA DERECHOS'!BF23</f>
        <v>0.19789743589743589</v>
      </c>
      <c r="AA20" s="228">
        <f t="shared" si="0"/>
        <v>3.957948717948718E-3</v>
      </c>
      <c r="AB20" s="1005"/>
      <c r="AD20" s="225">
        <f>+'05-POA PROM DEFENSA DERECHOS'!BD23</f>
        <v>0.59369230769230774</v>
      </c>
      <c r="AE20" s="227">
        <f t="shared" si="1"/>
        <v>0</v>
      </c>
      <c r="AG20" s="225">
        <f>+'05-POA PROM DEFENSA DERECHOS'!BH23</f>
        <v>0.19789743589743589</v>
      </c>
      <c r="AH20" s="227">
        <f t="shared" si="2"/>
        <v>0</v>
      </c>
    </row>
    <row r="21" spans="2:34" ht="84.75" customHeight="1">
      <c r="B21" s="1012"/>
      <c r="C21" s="1077"/>
      <c r="D21" s="28" t="str">
        <f>+'01-FR-03 POA INSTITUCIONAL'!D21</f>
        <v>1.1.9 Realizar 9.000 intervenciones de manera oportuna para evitar situaciones de caducidad y perdida de fuerza ejecutoria en las actuaciones administrativas y policivas</v>
      </c>
      <c r="E21" s="46">
        <f>+'01-FR-03 POA INSTITUCIONAL'!E21</f>
        <v>0.01</v>
      </c>
      <c r="F21" s="72">
        <f>+'01-FR-03 POA INSTITUCIONAL'!F21</f>
        <v>9000</v>
      </c>
      <c r="G21" s="35">
        <f>+'01-FR-03 POA INSTITUCIONAL'!G21</f>
        <v>3000</v>
      </c>
      <c r="H21" s="73" t="str">
        <f>+'01-FR-03 POA INSTITUCIONAL'!H21</f>
        <v>Intervenciones realizadas oportunamente para evitar la caducidad y perdida de fuerza ejecutoria (Impulsos procesales)</v>
      </c>
      <c r="I21" s="74" t="str">
        <f>+'01-FR-03 POA INSTITUCIONAL'!I21</f>
        <v>Promoción y Defensa de Derechos</v>
      </c>
      <c r="J21" s="75" t="str">
        <f>+'01-FR-03 POA INSTITUCIONAL'!J21</f>
        <v>P.D. para la Coordinación de la Gestión de Personerías Locales y sus Personerías Locales adscritas</v>
      </c>
      <c r="K21" s="76">
        <f>+'01-FR-03 POA INSTITUCIONAL'!K21</f>
        <v>3000</v>
      </c>
      <c r="L21" s="76">
        <f>+'01-FR-03 POA INSTITUCIONAL'!L21</f>
        <v>3000</v>
      </c>
      <c r="M21" s="76">
        <f>+'01-FR-03 POA INSTITUCIONAL'!M21</f>
        <v>2000</v>
      </c>
      <c r="N21" s="76">
        <f>+'01-FR-03 POA INSTITUCIONAL'!N21</f>
        <v>1000</v>
      </c>
      <c r="O21" s="219">
        <f>'05-POA PROM DEFENSA DERECHOS'!V24</f>
        <v>400</v>
      </c>
      <c r="P21" s="219">
        <f>'05-POA PROM DEFENSA DERECHOS'!W24</f>
        <v>407</v>
      </c>
      <c r="Q21" s="219">
        <f>+'05-POA PROM DEFENSA DERECHOS'!AD24</f>
        <v>600</v>
      </c>
      <c r="R21" s="219">
        <f>+'05-POA PROM DEFENSA DERECHOS'!AE24</f>
        <v>571</v>
      </c>
      <c r="S21" s="219">
        <f>+'05-POA PROM DEFENSA DERECHOS'!AL24</f>
        <v>600</v>
      </c>
      <c r="T21" s="219">
        <f>+'05-POA PROM DEFENSA DERECHOS'!AM24</f>
        <v>0</v>
      </c>
      <c r="U21" s="219">
        <f>+'05-POA PROM DEFENSA DERECHOS'!AT24</f>
        <v>400</v>
      </c>
      <c r="V21" s="219">
        <f>+'05-POA PROM DEFENSA DERECHOS'!AU24</f>
        <v>0</v>
      </c>
      <c r="W21" s="219">
        <f>+'05-POA PROM DEFENSA DERECHOS'!AV24</f>
        <v>2000</v>
      </c>
      <c r="X21" s="221">
        <f>+'05-POA PROM DEFENSA DERECHOS'!AX24</f>
        <v>978</v>
      </c>
      <c r="Y21" s="502">
        <f>+'05-POA PROM DEFENSA DERECHOS'!BB24</f>
        <v>0.48899999999999999</v>
      </c>
      <c r="Z21" s="222">
        <f>+'05-POA PROM DEFENSA DERECHOS'!BF24</f>
        <v>0.10866666666666666</v>
      </c>
      <c r="AA21" s="228">
        <f t="shared" si="0"/>
        <v>1.0866666666666666E-3</v>
      </c>
      <c r="AB21" s="1005"/>
      <c r="AD21" s="225">
        <f>+'05-POA PROM DEFENSA DERECHOS'!BD24</f>
        <v>0.48899999999999999</v>
      </c>
      <c r="AE21" s="227">
        <f t="shared" si="1"/>
        <v>0</v>
      </c>
      <c r="AG21" s="225">
        <f>+'05-POA PROM DEFENSA DERECHOS'!BH24</f>
        <v>0.10866666666666666</v>
      </c>
      <c r="AH21" s="227">
        <f t="shared" si="2"/>
        <v>0</v>
      </c>
    </row>
    <row r="22" spans="2:34" ht="83.25" customHeight="1">
      <c r="B22" s="1012"/>
      <c r="C22" s="1077"/>
      <c r="D22" s="28" t="str">
        <f>+'01-FR-03 POA INSTITUCIONAL'!D22</f>
        <v>1.1.10 Impulsar 1.800 expedientes que contengan orden de policía (MULTA) en firme y ejecutoriada, para que se efectúen cobros persuasivos y/o se de traslado para el cobro coactivo.</v>
      </c>
      <c r="E22" s="46">
        <f>+'01-FR-03 POA INSTITUCIONAL'!E22</f>
        <v>0.01</v>
      </c>
      <c r="F22" s="72">
        <f>+'01-FR-03 POA INSTITUCIONAL'!F22</f>
        <v>1800</v>
      </c>
      <c r="G22" s="35">
        <f>+'01-FR-03 POA INSTITUCIONAL'!G22</f>
        <v>700</v>
      </c>
      <c r="H22" s="73" t="str">
        <f>+'01-FR-03 POA INSTITUCIONAL'!H22</f>
        <v>Expedientes con impulso procesal para la gestión de multas</v>
      </c>
      <c r="I22" s="74" t="str">
        <f>+'01-FR-03 POA INSTITUCIONAL'!I22</f>
        <v>Promoción y Defensa de Derechos</v>
      </c>
      <c r="J22" s="75" t="str">
        <f>+'01-FR-03 POA INSTITUCIONAL'!J22</f>
        <v>P.D. para la Coordinación de la Gestión de Personerías Locales y sus Personerías Locales adscritas</v>
      </c>
      <c r="K22" s="76">
        <f>+'01-FR-03 POA INSTITUCIONAL'!K22</f>
        <v>700</v>
      </c>
      <c r="L22" s="76">
        <f>+'01-FR-03 POA INSTITUCIONAL'!L22</f>
        <v>500</v>
      </c>
      <c r="M22" s="76">
        <f>+'01-FR-03 POA INSTITUCIONAL'!M22</f>
        <v>300</v>
      </c>
      <c r="N22" s="76">
        <f>+'01-FR-03 POA INSTITUCIONAL'!N22</f>
        <v>300</v>
      </c>
      <c r="O22" s="219">
        <f>'05-POA PROM DEFENSA DERECHOS'!V25</f>
        <v>60</v>
      </c>
      <c r="P22" s="219">
        <f>'05-POA PROM DEFENSA DERECHOS'!W25</f>
        <v>72</v>
      </c>
      <c r="Q22" s="219">
        <f>+'05-POA PROM DEFENSA DERECHOS'!AD25</f>
        <v>90</v>
      </c>
      <c r="R22" s="219">
        <f>+'05-POA PROM DEFENSA DERECHOS'!AE25</f>
        <v>99</v>
      </c>
      <c r="S22" s="219">
        <f>+'05-POA PROM DEFENSA DERECHOS'!AL25</f>
        <v>90</v>
      </c>
      <c r="T22" s="219">
        <f>+'05-POA PROM DEFENSA DERECHOS'!AM25</f>
        <v>0</v>
      </c>
      <c r="U22" s="219">
        <f>+'05-POA PROM DEFENSA DERECHOS'!AT25</f>
        <v>60</v>
      </c>
      <c r="V22" s="219">
        <f>+'05-POA PROM DEFENSA DERECHOS'!AU25</f>
        <v>0</v>
      </c>
      <c r="W22" s="219">
        <f>+'05-POA PROM DEFENSA DERECHOS'!AV25</f>
        <v>300</v>
      </c>
      <c r="X22" s="221">
        <f>+'05-POA PROM DEFENSA DERECHOS'!AX25</f>
        <v>171</v>
      </c>
      <c r="Y22" s="502">
        <f>+'05-POA PROM DEFENSA DERECHOS'!BB25</f>
        <v>0.56999999999999995</v>
      </c>
      <c r="Z22" s="222">
        <f>+'05-POA PROM DEFENSA DERECHOS'!BF25</f>
        <v>9.5000000000000001E-2</v>
      </c>
      <c r="AA22" s="228">
        <f t="shared" si="0"/>
        <v>9.5E-4</v>
      </c>
      <c r="AB22" s="1005"/>
      <c r="AD22" s="225">
        <f>+'05-POA PROM DEFENSA DERECHOS'!BD25</f>
        <v>0.56999999999999995</v>
      </c>
      <c r="AE22" s="227">
        <f t="shared" si="1"/>
        <v>0</v>
      </c>
      <c r="AG22" s="225">
        <f>+'05-POA PROM DEFENSA DERECHOS'!BH25</f>
        <v>9.5000000000000001E-2</v>
      </c>
      <c r="AH22" s="227">
        <f t="shared" si="2"/>
        <v>0</v>
      </c>
    </row>
    <row r="23" spans="2:34" ht="93.75" customHeight="1">
      <c r="B23" s="1012"/>
      <c r="C23" s="1072"/>
      <c r="D23" s="28" t="str">
        <f>+'01-FR-03 POA INSTITUCIONAL'!D23</f>
        <v>1.1.11 Establecer de forma periódica, 40 estados de la vulneración de  los derechos humanos en las localidades, dando a conocer a las Entidades correspondientes los hechos observados que requieren su intervención.</v>
      </c>
      <c r="E23" s="46">
        <f>+'01-FR-03 POA INSTITUCIONAL'!E23</f>
        <v>0.01</v>
      </c>
      <c r="F23" s="72">
        <f>+'01-FR-03 POA INSTITUCIONAL'!F23</f>
        <v>40</v>
      </c>
      <c r="G23" s="35" t="str">
        <f>+'01-FR-03 POA INSTITUCIONAL'!G23</f>
        <v>S.I.</v>
      </c>
      <c r="H23" s="73" t="str">
        <f>+'01-FR-03 POA INSTITUCIONAL'!H23</f>
        <v>Estados de vulneración establecidos</v>
      </c>
      <c r="I23" s="74" t="str">
        <f>+'01-FR-03 POA INSTITUCIONAL'!I23</f>
        <v>Promoción y Defensa de Derechos</v>
      </c>
      <c r="J23" s="75" t="str">
        <f>+'01-FR-03 POA INSTITUCIONAL'!J23</f>
        <v>P.D. para la Coordinación de la Gestión de Personerías Locales y sus Personerías Locales adscritas</v>
      </c>
      <c r="K23" s="76">
        <f>+'01-FR-03 POA INSTITUCIONAL'!K23</f>
        <v>0</v>
      </c>
      <c r="L23" s="76">
        <f>+'01-FR-03 POA INSTITUCIONAL'!L23</f>
        <v>0</v>
      </c>
      <c r="M23" s="76">
        <f>+'01-FR-03 POA INSTITUCIONAL'!M23</f>
        <v>20</v>
      </c>
      <c r="N23" s="76">
        <f>+'01-FR-03 POA INSTITUCIONAL'!N23</f>
        <v>20</v>
      </c>
      <c r="O23" s="219">
        <f>'05-POA PROM DEFENSA DERECHOS'!V26</f>
        <v>0</v>
      </c>
      <c r="P23" s="219">
        <f>'05-POA PROM DEFENSA DERECHOS'!W26</f>
        <v>0</v>
      </c>
      <c r="Q23" s="219">
        <f>+'05-POA PROM DEFENSA DERECHOS'!AD26</f>
        <v>0</v>
      </c>
      <c r="R23" s="219">
        <f>+'05-POA PROM DEFENSA DERECHOS'!AE26</f>
        <v>0</v>
      </c>
      <c r="S23" s="219">
        <f>+'05-POA PROM DEFENSA DERECHOS'!AL26</f>
        <v>0</v>
      </c>
      <c r="T23" s="219">
        <f>+'05-POA PROM DEFENSA DERECHOS'!AM26</f>
        <v>0</v>
      </c>
      <c r="U23" s="219">
        <f>+'05-POA PROM DEFENSA DERECHOS'!AT26</f>
        <v>20</v>
      </c>
      <c r="V23" s="219">
        <f>+'05-POA PROM DEFENSA DERECHOS'!AU26</f>
        <v>0</v>
      </c>
      <c r="W23" s="219">
        <f>+'05-POA PROM DEFENSA DERECHOS'!AV26</f>
        <v>20</v>
      </c>
      <c r="X23" s="221">
        <f>+'05-POA PROM DEFENSA DERECHOS'!AX26</f>
        <v>0</v>
      </c>
      <c r="Y23" s="502">
        <f>+'05-POA PROM DEFENSA DERECHOS'!BB26</f>
        <v>0</v>
      </c>
      <c r="Z23" s="222">
        <f>+'05-POA PROM DEFENSA DERECHOS'!BF26</f>
        <v>0</v>
      </c>
      <c r="AA23" s="228">
        <f t="shared" si="0"/>
        <v>0</v>
      </c>
      <c r="AB23" s="1096"/>
      <c r="AD23" s="225">
        <f>+'05-POA PROM DEFENSA DERECHOS'!BD26</f>
        <v>0</v>
      </c>
      <c r="AE23" s="227">
        <f t="shared" si="1"/>
        <v>0</v>
      </c>
      <c r="AG23" s="225">
        <f>+'05-POA PROM DEFENSA DERECHOS'!BH26</f>
        <v>0</v>
      </c>
      <c r="AH23" s="227">
        <f t="shared" si="2"/>
        <v>0</v>
      </c>
    </row>
    <row r="24" spans="2:34" ht="135.75" customHeight="1">
      <c r="B24" s="1012"/>
      <c r="C24" s="1325" t="str">
        <f>+'01-FR-03 POA INSTITUCIONAL'!C24:C29</f>
        <v>1.2. Realizar 284.891 acciones que propendan por la efectiva defensa y garantía de los derechos de los sujetos de especial protección constitucional, con énfasis en las personas mayores, mujeres y la población migrante en el Distrito Capital</v>
      </c>
      <c r="D24" s="28"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46">
        <f>+'01-FR-03 POA INSTITUCIONAL'!E24</f>
        <v>0.75</v>
      </c>
      <c r="F24" s="72">
        <f>+'01-FR-03 POA INSTITUCIONAL'!F24</f>
        <v>231061</v>
      </c>
      <c r="G24" s="35">
        <f>+'01-FR-03 POA INSTITUCIONAL'!G24</f>
        <v>62360</v>
      </c>
      <c r="H24" s="73" t="str">
        <f>+'01-FR-03 POA INSTITUCIONAL'!H24</f>
        <v>Personas sensibilizadas en el Distrito Capital</v>
      </c>
      <c r="I24" s="74" t="str">
        <f>+'01-FR-03 POA INSTITUCIONAL'!I24</f>
        <v>Promoción y Defensa de Derechos</v>
      </c>
      <c r="J24" s="75" t="str">
        <f>+'01-FR-03 POA INSTITUCIONAL'!J24</f>
        <v>P.D. para la Coordinación del MP y DDHH y sus dependencias adscritas
P.D. para la Coordinación de la Gestión de Personerías Locales y sus Personerías Locales adscritas</v>
      </c>
      <c r="K24" s="76">
        <f>+'01-FR-03 POA INSTITUCIONAL'!K24</f>
        <v>62360</v>
      </c>
      <c r="L24" s="76">
        <f>+'01-FR-03 POA INSTITUCIONAL'!L24</f>
        <v>71570</v>
      </c>
      <c r="M24" s="76">
        <f>+'01-FR-03 POA INSTITUCIONAL'!M24</f>
        <v>78131</v>
      </c>
      <c r="N24" s="76">
        <f>+'01-FR-03 POA INSTITUCIONAL'!N24</f>
        <v>19000</v>
      </c>
      <c r="O24" s="219">
        <f>'05-POA PROM DEFENSA DERECHOS'!V27</f>
        <v>12130</v>
      </c>
      <c r="P24" s="219">
        <f>'05-POA PROM DEFENSA DERECHOS'!W27</f>
        <v>17431</v>
      </c>
      <c r="Q24" s="219">
        <f>+'05-POA PROM DEFENSA DERECHOS'!AD27</f>
        <v>23258</v>
      </c>
      <c r="R24" s="219">
        <f>+'05-POA PROM DEFENSA DERECHOS'!AE27</f>
        <v>25433</v>
      </c>
      <c r="S24" s="219">
        <f>+'05-POA PROM DEFENSA DERECHOS'!AL27</f>
        <v>25340</v>
      </c>
      <c r="T24" s="219">
        <f>+'05-POA PROM DEFENSA DERECHOS'!AM27</f>
        <v>0</v>
      </c>
      <c r="U24" s="219">
        <f>+'05-POA PROM DEFENSA DERECHOS'!AT27</f>
        <v>17403</v>
      </c>
      <c r="V24" s="219">
        <f>+'05-POA PROM DEFENSA DERECHOS'!AU27</f>
        <v>0</v>
      </c>
      <c r="W24" s="219">
        <f>+'05-POA PROM DEFENSA DERECHOS'!AV27</f>
        <v>78131</v>
      </c>
      <c r="X24" s="221">
        <f>+'05-POA PROM DEFENSA DERECHOS'!AX27</f>
        <v>42864</v>
      </c>
      <c r="Y24" s="502">
        <f>+'05-POA PROM DEFENSA DERECHOS'!BB27</f>
        <v>0.54861706620931516</v>
      </c>
      <c r="Z24" s="222">
        <f>+'05-POA PROM DEFENSA DERECHOS'!BF27</f>
        <v>0.18550945421338955</v>
      </c>
      <c r="AA24" s="228">
        <f t="shared" si="0"/>
        <v>0.13913209066004217</v>
      </c>
      <c r="AB24" s="1107">
        <f>+AA24+AA25+AA26+AA27+AA28+AA29</f>
        <v>0.19124619353723635</v>
      </c>
      <c r="AD24" s="225">
        <f>+'05-POA PROM DEFENSA DERECHOS'!BD27</f>
        <v>0.54861706620931516</v>
      </c>
      <c r="AE24" s="227">
        <f t="shared" si="1"/>
        <v>0</v>
      </c>
      <c r="AG24" s="225">
        <f>+'05-POA PROM DEFENSA DERECHOS'!BH27</f>
        <v>0.18550945421338955</v>
      </c>
      <c r="AH24" s="227">
        <f t="shared" si="2"/>
        <v>0</v>
      </c>
    </row>
    <row r="25" spans="2:34" ht="115.2" customHeight="1">
      <c r="B25" s="1012"/>
      <c r="C25" s="1077"/>
      <c r="D25" s="28" t="str">
        <f>+'01-FR-03 POA INSTITUCIONAL'!D25</f>
        <v>1.2.2 Adelantar 22.448 acciones necesarias en favor de la población víctima del conflicto armado interno mediante el apoyo jurídico, la atención psicosocial, la gestión para acceso a derechos, la toma de declaraciones y la elaboración de derechos de petición.</v>
      </c>
      <c r="E25" s="46">
        <f>+'01-FR-03 POA INSTITUCIONAL'!E25</f>
        <v>0.12</v>
      </c>
      <c r="F25" s="72">
        <f>+'01-FR-03 POA INSTITUCIONAL'!F25</f>
        <v>22448</v>
      </c>
      <c r="G25" s="35">
        <f>+'01-FR-03 POA INSTITUCIONAL'!G25</f>
        <v>5480</v>
      </c>
      <c r="H25" s="73" t="str">
        <f>+'01-FR-03 POA INSTITUCIONAL'!H25</f>
        <v>Acciones en favor de las víctimas del conflicto armado interno adelantadas</v>
      </c>
      <c r="I25" s="74" t="str">
        <f>+'01-FR-03 POA INSTITUCIONAL'!I25</f>
        <v>Promoción y Defensa de Derechos</v>
      </c>
      <c r="J25" s="75" t="str">
        <f>+'01-FR-03 POA INSTITUCIONAL'!J25</f>
        <v>P.D. para la Protección de las Víctimas del Conflicto Armado Interno
P.D. para la Coordinación de la Gestión de Personerías Locales y sus Personerías Locales adscritas</v>
      </c>
      <c r="K25" s="76">
        <f>+'01-FR-03 POA INSTITUCIONAL'!K25</f>
        <v>5480</v>
      </c>
      <c r="L25" s="76">
        <f>+'01-FR-03 POA INSTITUCIONAL'!L25</f>
        <v>5480</v>
      </c>
      <c r="M25" s="76">
        <f>+'01-FR-03 POA INSTITUCIONAL'!M25</f>
        <v>7188</v>
      </c>
      <c r="N25" s="76">
        <f>+'01-FR-03 POA INSTITUCIONAL'!N25</f>
        <v>4300</v>
      </c>
      <c r="O25" s="219">
        <f>'05-POA PROM DEFENSA DERECHOS'!V28</f>
        <v>1338</v>
      </c>
      <c r="P25" s="219">
        <f>'05-POA PROM DEFENSA DERECHOS'!W28</f>
        <v>2015</v>
      </c>
      <c r="Q25" s="219">
        <f>+'05-POA PROM DEFENSA DERECHOS'!AD28</f>
        <v>2168</v>
      </c>
      <c r="R25" s="219">
        <f>+'05-POA PROM DEFENSA DERECHOS'!AE28</f>
        <v>2566</v>
      </c>
      <c r="S25" s="219">
        <f>+'05-POA PROM DEFENSA DERECHOS'!AL28</f>
        <v>2088</v>
      </c>
      <c r="T25" s="219">
        <f>+'05-POA PROM DEFENSA DERECHOS'!AM28</f>
        <v>0</v>
      </c>
      <c r="U25" s="219">
        <f>+'05-POA PROM DEFENSA DERECHOS'!AT28</f>
        <v>1594</v>
      </c>
      <c r="V25" s="219">
        <f>+'05-POA PROM DEFENSA DERECHOS'!AU28</f>
        <v>0</v>
      </c>
      <c r="W25" s="219">
        <f>+'05-POA PROM DEFENSA DERECHOS'!AV28</f>
        <v>7188</v>
      </c>
      <c r="X25" s="221">
        <f>+'05-POA PROM DEFENSA DERECHOS'!AX28</f>
        <v>4581</v>
      </c>
      <c r="Y25" s="502">
        <f>+'05-POA PROM DEFENSA DERECHOS'!BB28</f>
        <v>0.63731218697829717</v>
      </c>
      <c r="Z25" s="222">
        <f>+'05-POA PROM DEFENSA DERECHOS'!BF28</f>
        <v>0.20407163221667854</v>
      </c>
      <c r="AA25" s="228">
        <f t="shared" si="0"/>
        <v>2.4488595866001425E-2</v>
      </c>
      <c r="AB25" s="1108"/>
      <c r="AD25" s="225">
        <f>+'05-POA PROM DEFENSA DERECHOS'!BD28</f>
        <v>0.63731218697829717</v>
      </c>
      <c r="AE25" s="227">
        <f t="shared" si="1"/>
        <v>0</v>
      </c>
      <c r="AG25" s="225">
        <f>+'05-POA PROM DEFENSA DERECHOS'!BH28</f>
        <v>0.20407163221667854</v>
      </c>
      <c r="AH25" s="227">
        <f t="shared" si="2"/>
        <v>0</v>
      </c>
    </row>
    <row r="26" spans="2:34" ht="60">
      <c r="B26" s="1012"/>
      <c r="C26" s="1077"/>
      <c r="D26" s="28" t="str">
        <f>+'01-FR-03 POA INSTITUCIONAL'!D26</f>
        <v>1.2.3 Prevenir mediante la elaboración de 18.412 acciones constitucionales, la vulneración de derechos  con énfasis en sujetos de especial protección constitucional.</v>
      </c>
      <c r="E26" s="46">
        <f>+'01-FR-03 POA INSTITUCIONAL'!E26</f>
        <v>0.09</v>
      </c>
      <c r="F26" s="72">
        <f>+'01-FR-03 POA INSTITUCIONAL'!F26</f>
        <v>18412</v>
      </c>
      <c r="G26" s="35">
        <f>+'01-FR-03 POA INSTITUCIONAL'!G26</f>
        <v>4790</v>
      </c>
      <c r="H26" s="73" t="str">
        <f>+'01-FR-03 POA INSTITUCIONAL'!H26</f>
        <v>Acciones constitucionales elaboradas para prevenir vulneración de derechos</v>
      </c>
      <c r="I26" s="74" t="str">
        <f>+'01-FR-03 POA INSTITUCIONAL'!I26</f>
        <v>Promoción y Defensa de Derechos</v>
      </c>
      <c r="J26" s="75" t="str">
        <f>+'01-FR-03 POA INSTITUCIONAL'!J26</f>
        <v>P.D. para Asuntos Jurisdiccionales y Víctimas.
P.D. para la Coordinación de la Gestión de Personerías Locales y sus Personerías Locales adscritas</v>
      </c>
      <c r="K26" s="76">
        <f>+'01-FR-03 POA INSTITUCIONAL'!K26</f>
        <v>4790</v>
      </c>
      <c r="L26" s="76">
        <f>+'01-FR-03 POA INSTITUCIONAL'!L26</f>
        <v>4790</v>
      </c>
      <c r="M26" s="76">
        <f>+'01-FR-03 POA INSTITUCIONAL'!M26</f>
        <v>5832</v>
      </c>
      <c r="N26" s="76">
        <f>+'01-FR-03 POA INSTITUCIONAL'!N26</f>
        <v>3000</v>
      </c>
      <c r="O26" s="219">
        <f>'05-POA PROM DEFENSA DERECHOS'!V29</f>
        <v>1307</v>
      </c>
      <c r="P26" s="219">
        <f>'05-POA PROM DEFENSA DERECHOS'!W29</f>
        <v>2040</v>
      </c>
      <c r="Q26" s="219">
        <f>+'05-POA PROM DEFENSA DERECHOS'!AD29</f>
        <v>1545</v>
      </c>
      <c r="R26" s="219">
        <f>+'05-POA PROM DEFENSA DERECHOS'!AE29</f>
        <v>2544</v>
      </c>
      <c r="S26" s="219">
        <f>+'05-POA PROM DEFENSA DERECHOS'!AL29</f>
        <v>1565</v>
      </c>
      <c r="T26" s="219">
        <f>+'05-POA PROM DEFENSA DERECHOS'!AM29</f>
        <v>0</v>
      </c>
      <c r="U26" s="219">
        <f>+'05-POA PROM DEFENSA DERECHOS'!AT29</f>
        <v>1415</v>
      </c>
      <c r="V26" s="219">
        <f>+'05-POA PROM DEFENSA DERECHOS'!AU29</f>
        <v>0</v>
      </c>
      <c r="W26" s="219">
        <f>+'05-POA PROM DEFENSA DERECHOS'!AV29</f>
        <v>5832</v>
      </c>
      <c r="X26" s="221">
        <f>+'05-POA PROM DEFENSA DERECHOS'!AX29</f>
        <v>4584</v>
      </c>
      <c r="Y26" s="502">
        <f>+'05-POA PROM DEFENSA DERECHOS'!BB29</f>
        <v>0.78600823045267487</v>
      </c>
      <c r="Z26" s="222">
        <f>+'05-POA PROM DEFENSA DERECHOS'!BF29</f>
        <v>0.24896806430588747</v>
      </c>
      <c r="AA26" s="228">
        <f t="shared" si="0"/>
        <v>2.2407125787529871E-2</v>
      </c>
      <c r="AB26" s="1108"/>
      <c r="AD26" s="225">
        <f>+'05-POA PROM DEFENSA DERECHOS'!BD29</f>
        <v>0.78600823045267487</v>
      </c>
      <c r="AE26" s="227">
        <f t="shared" si="1"/>
        <v>0</v>
      </c>
      <c r="AG26" s="225">
        <f>+'05-POA PROM DEFENSA DERECHOS'!BH29</f>
        <v>0.24896806430588747</v>
      </c>
      <c r="AH26" s="227">
        <f t="shared" si="2"/>
        <v>0</v>
      </c>
    </row>
    <row r="27" spans="2:34" ht="100.95" customHeight="1">
      <c r="B27" s="1012"/>
      <c r="C27" s="1077"/>
      <c r="D27" s="28" t="str">
        <f>+'01-FR-03 POA INSTITUCIONAL'!D27</f>
        <v>1.2.4 Fortalecer el ejercicio del ministerio público ante las comisarías de familia, verificando el cumplimiento a 3.154 medidas de protección que se imponen.</v>
      </c>
      <c r="E27" s="46">
        <f>+'01-FR-03 POA INSTITUCIONAL'!E27</f>
        <v>0.02</v>
      </c>
      <c r="F27" s="72">
        <f>+'01-FR-03 POA INSTITUCIONAL'!F27</f>
        <v>3154</v>
      </c>
      <c r="G27" s="35">
        <f>+'01-FR-03 POA INSTITUCIONAL'!G27</f>
        <v>940</v>
      </c>
      <c r="H27" s="73" t="str">
        <f>+'01-FR-03 POA INSTITUCIONAL'!H27</f>
        <v>Verificaciones de cumplimiento realizadas por el Ministerio Público a las medidas de protección impuestas por las Comisarías de Familia</v>
      </c>
      <c r="I27" s="74" t="str">
        <f>+'01-FR-03 POA INSTITUCIONAL'!I27</f>
        <v>Promoción y Defensa de Derechos</v>
      </c>
      <c r="J27" s="75" t="str">
        <f>+'01-FR-03 POA INSTITUCIONAL'!J27</f>
        <v>P.D. para la Familia y Sujetos de Especial Protección Constitucional</v>
      </c>
      <c r="K27" s="76">
        <f>+'01-FR-03 POA INSTITUCIONAL'!K27</f>
        <v>940</v>
      </c>
      <c r="L27" s="76">
        <f>+'01-FR-03 POA INSTITUCIONAL'!L27</f>
        <v>800</v>
      </c>
      <c r="M27" s="76">
        <f>+'01-FR-03 POA INSTITUCIONAL'!M27</f>
        <v>814</v>
      </c>
      <c r="N27" s="76">
        <f>+'01-FR-03 POA INSTITUCIONAL'!N27</f>
        <v>600</v>
      </c>
      <c r="O27" s="219">
        <f>'05-POA PROM DEFENSA DERECHOS'!V30</f>
        <v>142</v>
      </c>
      <c r="P27" s="219">
        <f>'05-POA PROM DEFENSA DERECHOS'!W30</f>
        <v>175</v>
      </c>
      <c r="Q27" s="219">
        <f>+'05-POA PROM DEFENSA DERECHOS'!AD30</f>
        <v>276</v>
      </c>
      <c r="R27" s="219">
        <f>+'05-POA PROM DEFENSA DERECHOS'!AE30</f>
        <v>156</v>
      </c>
      <c r="S27" s="219">
        <f>+'05-POA PROM DEFENSA DERECHOS'!AL30</f>
        <v>245</v>
      </c>
      <c r="T27" s="219">
        <f>+'05-POA PROM DEFENSA DERECHOS'!AM30</f>
        <v>0</v>
      </c>
      <c r="U27" s="219">
        <f>+'05-POA PROM DEFENSA DERECHOS'!AT30</f>
        <v>151</v>
      </c>
      <c r="V27" s="219">
        <f>+'05-POA PROM DEFENSA DERECHOS'!AU30</f>
        <v>0</v>
      </c>
      <c r="W27" s="219">
        <f>+'05-POA PROM DEFENSA DERECHOS'!AV30</f>
        <v>814</v>
      </c>
      <c r="X27" s="221">
        <f>+'05-POA PROM DEFENSA DERECHOS'!AX30</f>
        <v>331</v>
      </c>
      <c r="Y27" s="502">
        <f>+'05-POA PROM DEFENSA DERECHOS'!BB30</f>
        <v>0.40663390663390664</v>
      </c>
      <c r="Z27" s="222">
        <f>+'05-POA PROM DEFENSA DERECHOS'!BF30</f>
        <v>0.10494610019023462</v>
      </c>
      <c r="AA27" s="228">
        <f t="shared" si="0"/>
        <v>2.0989220038046923E-3</v>
      </c>
      <c r="AB27" s="1108"/>
      <c r="AD27" s="225">
        <f>+'05-POA PROM DEFENSA DERECHOS'!BD30</f>
        <v>0.40663390663390664</v>
      </c>
      <c r="AE27" s="227">
        <f t="shared" si="1"/>
        <v>0</v>
      </c>
      <c r="AG27" s="225">
        <f>+'05-POA PROM DEFENSA DERECHOS'!BH30</f>
        <v>0.10494610019023462</v>
      </c>
      <c r="AH27" s="227">
        <f t="shared" si="2"/>
        <v>0</v>
      </c>
    </row>
    <row r="28" spans="2:34" ht="120" customHeight="1">
      <c r="B28" s="1012"/>
      <c r="C28" s="1077"/>
      <c r="D28" s="28"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28" s="46">
        <f>+'01-FR-03 POA INSTITUCIONAL'!E28</f>
        <v>0.01</v>
      </c>
      <c r="F28" s="72">
        <f>+'01-FR-03 POA INSTITUCIONAL'!F28</f>
        <v>9024</v>
      </c>
      <c r="G28" s="35">
        <f>+'01-FR-03 POA INSTITUCIONAL'!G28</f>
        <v>2802</v>
      </c>
      <c r="H28" s="73" t="str">
        <f>+'01-FR-03 POA INSTITUCIONAL'!H28</f>
        <v>Espacios Interinstitucionales con participación</v>
      </c>
      <c r="I28" s="74" t="str">
        <f>+'01-FR-03 POA INSTITUCIONAL'!I28</f>
        <v>Promoción y Defensa de Derechos</v>
      </c>
      <c r="J28" s="75"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76">
        <f>+'01-FR-03 POA INSTITUCIONAL'!K28</f>
        <v>2802</v>
      </c>
      <c r="L28" s="76">
        <f>+'01-FR-03 POA INSTITUCIONAL'!L28</f>
        <v>2771</v>
      </c>
      <c r="M28" s="76">
        <f>+'01-FR-03 POA INSTITUCIONAL'!M28</f>
        <v>2405</v>
      </c>
      <c r="N28" s="76">
        <f>+'01-FR-03 POA INSTITUCIONAL'!N28</f>
        <v>1046</v>
      </c>
      <c r="O28" s="219">
        <f>'05-POA PROM DEFENSA DERECHOS'!V31</f>
        <v>544</v>
      </c>
      <c r="P28" s="219">
        <f>'05-POA PROM DEFENSA DERECHOS'!W31</f>
        <v>483</v>
      </c>
      <c r="Q28" s="219">
        <f>+'05-POA PROM DEFENSA DERECHOS'!AD31</f>
        <v>652</v>
      </c>
      <c r="R28" s="219">
        <f>+'05-POA PROM DEFENSA DERECHOS'!AE31</f>
        <v>828</v>
      </c>
      <c r="S28" s="219">
        <f>+'05-POA PROM DEFENSA DERECHOS'!AL31</f>
        <v>657</v>
      </c>
      <c r="T28" s="219">
        <f>+'05-POA PROM DEFENSA DERECHOS'!AM31</f>
        <v>0</v>
      </c>
      <c r="U28" s="219">
        <f>+'05-POA PROM DEFENSA DERECHOS'!AT31</f>
        <v>552</v>
      </c>
      <c r="V28" s="219">
        <f>+'05-POA PROM DEFENSA DERECHOS'!AU31</f>
        <v>0</v>
      </c>
      <c r="W28" s="219">
        <f>+'05-POA PROM DEFENSA DERECHOS'!AV31</f>
        <v>2405</v>
      </c>
      <c r="X28" s="221">
        <f>+'05-POA PROM DEFENSA DERECHOS'!AX31</f>
        <v>1311</v>
      </c>
      <c r="Y28" s="502">
        <f>+'05-POA PROM DEFENSA DERECHOS'!BB31</f>
        <v>0.54511434511434509</v>
      </c>
      <c r="Z28" s="222">
        <f>+'05-POA PROM DEFENSA DERECHOS'!BF31</f>
        <v>0.14527925531914893</v>
      </c>
      <c r="AA28" s="228">
        <f t="shared" si="0"/>
        <v>1.4527925531914892E-3</v>
      </c>
      <c r="AB28" s="1108"/>
      <c r="AD28" s="225">
        <f>+'05-POA PROM DEFENSA DERECHOS'!BD31</f>
        <v>0.54511434511434509</v>
      </c>
      <c r="AE28" s="227">
        <f t="shared" si="1"/>
        <v>0</v>
      </c>
      <c r="AG28" s="225">
        <f>+'05-POA PROM DEFENSA DERECHOS'!BH31</f>
        <v>0.14527925531914893</v>
      </c>
      <c r="AH28" s="227">
        <f t="shared" si="2"/>
        <v>0</v>
      </c>
    </row>
    <row r="29" spans="2:34" ht="105">
      <c r="B29" s="1012"/>
      <c r="C29" s="1072"/>
      <c r="D29" s="28" t="str">
        <f>+'01-FR-03 POA INSTITUCIONAL'!D29</f>
        <v>1.2.6 Realizar 792 seguimientos a la amenaza y vulneración de los derechos, con énfasis en sujetos de especial protección constitucional, en particular, persona mayor, mujer y población migrante</v>
      </c>
      <c r="E29" s="46">
        <f>+'01-FR-03 POA INSTITUCIONAL'!E29</f>
        <v>0.01</v>
      </c>
      <c r="F29" s="72">
        <f>+'01-FR-03 POA INSTITUCIONAL'!F29</f>
        <v>792</v>
      </c>
      <c r="G29" s="35">
        <f>+'01-FR-03 POA INSTITUCIONAL'!G29</f>
        <v>228</v>
      </c>
      <c r="H29" s="73" t="str">
        <f>+'01-FR-03 POA INSTITUCIONAL'!H29</f>
        <v>Seguimientos a la Amenaza y Vulneración de los Derechos, realizados</v>
      </c>
      <c r="I29" s="74" t="str">
        <f>+'01-FR-03 POA INSTITUCIONAL'!I29</f>
        <v>Promoción y Defensa de Derechos</v>
      </c>
      <c r="J29" s="75"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76">
        <f>+'01-FR-03 POA INSTITUCIONAL'!K29</f>
        <v>228</v>
      </c>
      <c r="L29" s="76">
        <f>+'01-FR-03 POA INSTITUCIONAL'!L29</f>
        <v>208</v>
      </c>
      <c r="M29" s="76">
        <f>+'01-FR-03 POA INSTITUCIONAL'!M29</f>
        <v>236</v>
      </c>
      <c r="N29" s="76">
        <f>+'01-FR-03 POA INSTITUCIONAL'!N29</f>
        <v>120</v>
      </c>
      <c r="O29" s="219">
        <f>'05-POA PROM DEFENSA DERECHOS'!V32</f>
        <v>44</v>
      </c>
      <c r="P29" s="219">
        <f>'05-POA PROM DEFENSA DERECHOS'!W32</f>
        <v>50</v>
      </c>
      <c r="Q29" s="219">
        <f>+'05-POA PROM DEFENSA DERECHOS'!AD32</f>
        <v>76</v>
      </c>
      <c r="R29" s="219">
        <f>+'05-POA PROM DEFENSA DERECHOS'!AE32</f>
        <v>82</v>
      </c>
      <c r="S29" s="219">
        <f>+'05-POA PROM DEFENSA DERECHOS'!AL32</f>
        <v>69</v>
      </c>
      <c r="T29" s="219">
        <f>+'05-POA PROM DEFENSA DERECHOS'!AM32</f>
        <v>0</v>
      </c>
      <c r="U29" s="219">
        <f>+'05-POA PROM DEFENSA DERECHOS'!AT32</f>
        <v>47</v>
      </c>
      <c r="V29" s="219">
        <f>+'05-POA PROM DEFENSA DERECHOS'!AU32</f>
        <v>0</v>
      </c>
      <c r="W29" s="219">
        <f>+'05-POA PROM DEFENSA DERECHOS'!AV32</f>
        <v>236</v>
      </c>
      <c r="X29" s="221">
        <f>+'05-POA PROM DEFENSA DERECHOS'!AX32</f>
        <v>132</v>
      </c>
      <c r="Y29" s="502">
        <f>+'05-POA PROM DEFENSA DERECHOS'!BB32</f>
        <v>0.55932203389830504</v>
      </c>
      <c r="Z29" s="222">
        <f>+'05-POA PROM DEFENSA DERECHOS'!BF32</f>
        <v>0.16666666666666666</v>
      </c>
      <c r="AA29" s="228">
        <f t="shared" si="0"/>
        <v>1.6666666666666666E-3</v>
      </c>
      <c r="AB29" s="1182"/>
      <c r="AD29" s="225">
        <f>+'05-POA PROM DEFENSA DERECHOS'!BD32</f>
        <v>0.55932203389830504</v>
      </c>
      <c r="AE29" s="227">
        <f t="shared" si="1"/>
        <v>0</v>
      </c>
      <c r="AG29" s="225">
        <f>+'05-POA PROM DEFENSA DERECHOS'!BH32</f>
        <v>0.16666666666666666</v>
      </c>
      <c r="AH29" s="227">
        <f t="shared" si="2"/>
        <v>0</v>
      </c>
    </row>
    <row r="30" spans="2:34" ht="90" customHeight="1">
      <c r="B30" s="1012"/>
      <c r="C30" s="1325" t="str">
        <f>+'01-FR-03 POA INSTITUCIONAL'!C30:C32</f>
        <v>1.3. Construir e Implementar 35 estrategias que permitan incrementar la oferta y cobertura de los servicios prestados por la Entidad.</v>
      </c>
      <c r="D30" s="28" t="str">
        <f>+'01-FR-03 POA INSTITUCIONAL'!D30</f>
        <v>1.3.1 Realizar 20 actividades que permitan el acercamiento de la Entidad a la Comunidad.</v>
      </c>
      <c r="E30" s="46">
        <f>+'01-FR-03 POA INSTITUCIONAL'!E30</f>
        <v>0.56000000000000005</v>
      </c>
      <c r="F30" s="72">
        <f>+'01-FR-03 POA INSTITUCIONAL'!F30</f>
        <v>20</v>
      </c>
      <c r="G30" s="35">
        <f>+'01-FR-03 POA INSTITUCIONAL'!G30</f>
        <v>2</v>
      </c>
      <c r="H30" s="73" t="str">
        <f>+'01-FR-03 POA INSTITUCIONAL'!H30</f>
        <v>Actividades de acercamiento de la Entidad a la comunidad realizadas</v>
      </c>
      <c r="I30" s="74" t="str">
        <f>+'01-FR-03 POA INSTITUCIONAL'!I30</f>
        <v>Promoción y Defensa de Derechos</v>
      </c>
      <c r="J30" s="75" t="str">
        <f>+'01-FR-03 POA INSTITUCIONAL'!J30</f>
        <v>P.D. para la Coordinación del MP y DDHH y sus dependencias adscritas
 P.D. para la Coordinación de la Gestión de Personerías Locales y sus Personerías Locales adscritas</v>
      </c>
      <c r="K30" s="76">
        <f>+'01-FR-03 POA INSTITUCIONAL'!K30</f>
        <v>2</v>
      </c>
      <c r="L30" s="76">
        <f>+'01-FR-03 POA INSTITUCIONAL'!L30</f>
        <v>8</v>
      </c>
      <c r="M30" s="76">
        <f>+'01-FR-03 POA INSTITUCIONAL'!M30</f>
        <v>8</v>
      </c>
      <c r="N30" s="76">
        <f>+'01-FR-03 POA INSTITUCIONAL'!N30</f>
        <v>2</v>
      </c>
      <c r="O30" s="219">
        <f>'05-POA PROM DEFENSA DERECHOS'!V33</f>
        <v>0</v>
      </c>
      <c r="P30" s="219">
        <f>'05-POA PROM DEFENSA DERECHOS'!W33</f>
        <v>0.4</v>
      </c>
      <c r="Q30" s="219">
        <f>+'05-POA PROM DEFENSA DERECHOS'!AD33</f>
        <v>2</v>
      </c>
      <c r="R30" s="219">
        <f>+'05-POA PROM DEFENSA DERECHOS'!AE33</f>
        <v>6.4</v>
      </c>
      <c r="S30" s="219">
        <f>+'05-POA PROM DEFENSA DERECHOS'!AL33</f>
        <v>5.6</v>
      </c>
      <c r="T30" s="219">
        <f>+'05-POA PROM DEFENSA DERECHOS'!AM33</f>
        <v>0</v>
      </c>
      <c r="U30" s="219">
        <f>+'05-POA PROM DEFENSA DERECHOS'!AT33</f>
        <v>0.4</v>
      </c>
      <c r="V30" s="219">
        <f>+'05-POA PROM DEFENSA DERECHOS'!AU33</f>
        <v>0</v>
      </c>
      <c r="W30" s="219">
        <f>+'05-POA PROM DEFENSA DERECHOS'!AV33</f>
        <v>8</v>
      </c>
      <c r="X30" s="221">
        <f>+'05-POA PROM DEFENSA DERECHOS'!AX33</f>
        <v>6.8000000000000007</v>
      </c>
      <c r="Y30" s="502">
        <f>+'05-POA PROM DEFENSA DERECHOS'!BB33</f>
        <v>0.85000000000000009</v>
      </c>
      <c r="Z30" s="222">
        <f>+'05-POA PROM DEFENSA DERECHOS'!BF33</f>
        <v>0.34</v>
      </c>
      <c r="AA30" s="228">
        <f t="shared" si="0"/>
        <v>0.19040000000000004</v>
      </c>
      <c r="AB30" s="1107">
        <f>+AA30+AA31+AA32</f>
        <v>0.21858181818181821</v>
      </c>
      <c r="AD30" s="225">
        <f>+'05-POA PROM DEFENSA DERECHOS'!BD33</f>
        <v>0.85000000000000009</v>
      </c>
      <c r="AE30" s="227">
        <f t="shared" si="1"/>
        <v>0</v>
      </c>
      <c r="AG30" s="225">
        <f>+'05-POA PROM DEFENSA DERECHOS'!BH33</f>
        <v>0.34</v>
      </c>
      <c r="AH30" s="227">
        <f t="shared" si="2"/>
        <v>0</v>
      </c>
    </row>
    <row r="31" spans="2:34" ht="92.25" customHeight="1">
      <c r="B31" s="1012"/>
      <c r="C31" s="1077"/>
      <c r="D31" s="28" t="str">
        <f>+'01-FR-03 POA INSTITUCIONAL'!D31</f>
        <v>1.3.2 Incrementar la cobertura de los servicios que presta el proceso de Promoción y Defensa de Derechos, mediante la implementación de 11 acciones que propendan por el mejoramiento de los mismos.</v>
      </c>
      <c r="E31" s="46">
        <f>+'01-FR-03 POA INSTITUCIONAL'!E31</f>
        <v>0.31</v>
      </c>
      <c r="F31" s="72">
        <f>+'01-FR-03 POA INSTITUCIONAL'!F31</f>
        <v>11</v>
      </c>
      <c r="G31" s="35">
        <f>+'01-FR-03 POA INSTITUCIONAL'!G31</f>
        <v>3</v>
      </c>
      <c r="H31" s="73" t="str">
        <f>+'01-FR-03 POA INSTITUCIONAL'!H31</f>
        <v>Acciones realizadas para incrementar la cobertura de los servicios</v>
      </c>
      <c r="I31" s="74" t="str">
        <f>+'01-FR-03 POA INSTITUCIONAL'!I31</f>
        <v>Promoción y Defensa de Derechos</v>
      </c>
      <c r="J31" s="75" t="str">
        <f>+'01-FR-03 POA INSTITUCIONAL'!J31</f>
        <v>P.D. para la Coordinación del MP y DDHH y sus dependencias adscritas
 P.D. para la Coordinación de la Gestión de Personerías Locales y sus Personerías Locales adscritas</v>
      </c>
      <c r="K31" s="76">
        <f>+'01-FR-03 POA INSTITUCIONAL'!K31</f>
        <v>3</v>
      </c>
      <c r="L31" s="76">
        <f>+'01-FR-03 POA INSTITUCIONAL'!L31</f>
        <v>3</v>
      </c>
      <c r="M31" s="76">
        <f>+'01-FR-03 POA INSTITUCIONAL'!M31</f>
        <v>3</v>
      </c>
      <c r="N31" s="76">
        <f>+'01-FR-03 POA INSTITUCIONAL'!N31</f>
        <v>2</v>
      </c>
      <c r="O31" s="219">
        <f>'05-POA PROM DEFENSA DERECHOS'!V34</f>
        <v>0</v>
      </c>
      <c r="P31" s="219">
        <f>'05-POA PROM DEFENSA DERECHOS'!W34</f>
        <v>0</v>
      </c>
      <c r="Q31" s="219">
        <f>+'05-POA PROM DEFENSA DERECHOS'!AD34</f>
        <v>1</v>
      </c>
      <c r="R31" s="219">
        <f>+'05-POA PROM DEFENSA DERECHOS'!AE34</f>
        <v>1</v>
      </c>
      <c r="S31" s="219">
        <f>+'05-POA PROM DEFENSA DERECHOS'!AL34</f>
        <v>0</v>
      </c>
      <c r="T31" s="219">
        <f>+'05-POA PROM DEFENSA DERECHOS'!AM34</f>
        <v>0</v>
      </c>
      <c r="U31" s="219">
        <f>+'05-POA PROM DEFENSA DERECHOS'!AT34</f>
        <v>2</v>
      </c>
      <c r="V31" s="219">
        <f>+'05-POA PROM DEFENSA DERECHOS'!AU34</f>
        <v>0</v>
      </c>
      <c r="W31" s="219">
        <f>+'05-POA PROM DEFENSA DERECHOS'!AV34</f>
        <v>3</v>
      </c>
      <c r="X31" s="221">
        <f>+'05-POA PROM DEFENSA DERECHOS'!AX34</f>
        <v>1</v>
      </c>
      <c r="Y31" s="502">
        <f>+'05-POA PROM DEFENSA DERECHOS'!BB34</f>
        <v>0.33333333333333331</v>
      </c>
      <c r="Z31" s="222">
        <f>+'05-POA PROM DEFENSA DERECHOS'!BF34</f>
        <v>9.0909090909090912E-2</v>
      </c>
      <c r="AA31" s="228">
        <f t="shared" si="0"/>
        <v>2.8181818181818183E-2</v>
      </c>
      <c r="AB31" s="1108"/>
      <c r="AD31" s="225">
        <f>+'05-POA PROM DEFENSA DERECHOS'!BD34</f>
        <v>0.33333333333333331</v>
      </c>
      <c r="AE31" s="227">
        <f t="shared" si="1"/>
        <v>0</v>
      </c>
      <c r="AG31" s="225">
        <f>+'05-POA PROM DEFENSA DERECHOS'!BH34</f>
        <v>9.0909090909090912E-2</v>
      </c>
      <c r="AH31" s="227">
        <f t="shared" si="2"/>
        <v>0</v>
      </c>
    </row>
    <row r="32" spans="2:34" ht="83.25" customHeight="1">
      <c r="B32" s="1012"/>
      <c r="C32" s="1077"/>
      <c r="D32" s="28" t="str">
        <f>+'01-FR-03 POA INSTITUCIONAL'!D32</f>
        <v>1.3.3 Implementar 4 herramientas para la promoción y prevención a infracciones del Derecho Internacional Humanitario en el Distrito Capital</v>
      </c>
      <c r="E32" s="46">
        <f>+'01-FR-03 POA INSTITUCIONAL'!E32</f>
        <v>0.13</v>
      </c>
      <c r="F32" s="72">
        <f>+'01-FR-03 POA INSTITUCIONAL'!F32</f>
        <v>4</v>
      </c>
      <c r="G32" s="35">
        <f>+'01-FR-03 POA INSTITUCIONAL'!G32</f>
        <v>1</v>
      </c>
      <c r="H32" s="73" t="str">
        <f>+'01-FR-03 POA INSTITUCIONAL'!H32</f>
        <v>Herramientas de promoción y prevención a infracciones del Derecho Internacional Humanitario implementadas</v>
      </c>
      <c r="I32" s="74" t="str">
        <f>+'01-FR-03 POA INSTITUCIONAL'!I32</f>
        <v>Promoción y Defensa de Derechos</v>
      </c>
      <c r="J32" s="75" t="str">
        <f>+'01-FR-03 POA INSTITUCIONAL'!J32</f>
        <v>P.D. para la Coordinación del MP y DDHH y sus dependencias adscritas
 P.D. para la Coordinación de la Gestión de Personerías Locales y sus Personerías Locales adscritas</v>
      </c>
      <c r="K32" s="76">
        <f>+'01-FR-03 POA INSTITUCIONAL'!K32</f>
        <v>1</v>
      </c>
      <c r="L32" s="76">
        <f>+'01-FR-03 POA INSTITUCIONAL'!L32</f>
        <v>1</v>
      </c>
      <c r="M32" s="76">
        <f>+'01-FR-03 POA INSTITUCIONAL'!M32</f>
        <v>1</v>
      </c>
      <c r="N32" s="76">
        <f>+'01-FR-03 POA INSTITUCIONAL'!N32</f>
        <v>1</v>
      </c>
      <c r="O32" s="219">
        <f>'05-POA PROM DEFENSA DERECHOS'!V35</f>
        <v>0</v>
      </c>
      <c r="P32" s="219">
        <f>'05-POA PROM DEFENSA DERECHOS'!W35</f>
        <v>0</v>
      </c>
      <c r="Q32" s="219">
        <f>+'05-POA PROM DEFENSA DERECHOS'!AD35</f>
        <v>0</v>
      </c>
      <c r="R32" s="219">
        <f>+'05-POA PROM DEFENSA DERECHOS'!AE35</f>
        <v>0</v>
      </c>
      <c r="S32" s="219">
        <f>+'05-POA PROM DEFENSA DERECHOS'!AL35</f>
        <v>0</v>
      </c>
      <c r="T32" s="219">
        <f>+'05-POA PROM DEFENSA DERECHOS'!AM35</f>
        <v>0</v>
      </c>
      <c r="U32" s="219">
        <f>+'05-POA PROM DEFENSA DERECHOS'!AT35</f>
        <v>1</v>
      </c>
      <c r="V32" s="219">
        <f>+'05-POA PROM DEFENSA DERECHOS'!AU35</f>
        <v>0</v>
      </c>
      <c r="W32" s="219">
        <f>+'05-POA PROM DEFENSA DERECHOS'!AV35</f>
        <v>1</v>
      </c>
      <c r="X32" s="221">
        <f>+'05-POA PROM DEFENSA DERECHOS'!AX35</f>
        <v>0</v>
      </c>
      <c r="Y32" s="502">
        <f>+'05-POA PROM DEFENSA DERECHOS'!BB35</f>
        <v>0</v>
      </c>
      <c r="Z32" s="222">
        <f>+'05-POA PROM DEFENSA DERECHOS'!BF35</f>
        <v>0</v>
      </c>
      <c r="AA32" s="228">
        <f t="shared" si="0"/>
        <v>0</v>
      </c>
      <c r="AB32" s="1108"/>
      <c r="AD32" s="225">
        <f>+'05-POA PROM DEFENSA DERECHOS'!BD35</f>
        <v>0</v>
      </c>
      <c r="AE32" s="227">
        <f t="shared" si="1"/>
        <v>0</v>
      </c>
      <c r="AG32" s="225">
        <f>+'05-POA PROM DEFENSA DERECHOS'!BH35</f>
        <v>0</v>
      </c>
      <c r="AH32" s="227">
        <f t="shared" si="2"/>
        <v>0</v>
      </c>
    </row>
    <row r="33" spans="2:34" ht="102" customHeight="1">
      <c r="B33" s="1333" t="s">
        <v>131</v>
      </c>
      <c r="C33" s="1324" t="str">
        <f>+'01-FR-03 POA INSTITUCIONAL'!C33:C34</f>
        <v>2.1. Realizar 22 acciones de prevención y control a la función pública en medio ambiente, agua, protección y bienestar animal y desarrollo urbano.</v>
      </c>
      <c r="D33" s="80" t="str">
        <f>+'01-FR-03 POA INSTITUCIONAL'!D33</f>
        <v>2.1.1 Realizar 16 informes en los cuales se evalúen las políticas ambientales, el manejo de recursos hídricos, protección y bienestar animal y desarrollo urbano en el Distrito Capital.</v>
      </c>
      <c r="E33" s="81">
        <f>+'01-FR-03 POA INSTITUCIONAL'!E33</f>
        <v>0.72727272727272696</v>
      </c>
      <c r="F33" s="82">
        <f>+'01-FR-03 POA INSTITUCIONAL'!F33</f>
        <v>16</v>
      </c>
      <c r="G33" s="83" t="str">
        <f>+'01-FR-03 POA INSTITUCIONAL'!G33</f>
        <v>S.I.</v>
      </c>
      <c r="H33" s="84" t="str">
        <f>+'01-FR-03 POA INSTITUCIONAL'!H33</f>
        <v>Informes realizados en temas específicos.</v>
      </c>
      <c r="I33" s="85" t="str">
        <f>+'01-FR-03 POA INSTITUCIONAL'!I33</f>
        <v>Prevención y Control a la Función Pública</v>
      </c>
      <c r="J33" s="86"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87">
        <f>+'01-FR-03 POA INSTITUCIONAL'!K33</f>
        <v>2</v>
      </c>
      <c r="L33" s="87">
        <f>+'01-FR-03 POA INSTITUCIONAL'!L33</f>
        <v>7</v>
      </c>
      <c r="M33" s="87">
        <f>+'01-FR-03 POA INSTITUCIONAL'!M33</f>
        <v>6</v>
      </c>
      <c r="N33" s="87">
        <f>+'01-FR-03 POA INSTITUCIONAL'!N33</f>
        <v>1</v>
      </c>
      <c r="O33" s="223">
        <f>+'06-PREV CTRL FUN PÚBLICA'!V16</f>
        <v>0</v>
      </c>
      <c r="P33" s="223">
        <f>+'06-PREV CTRL FUN PÚBLICA'!W16</f>
        <v>0</v>
      </c>
      <c r="Q33" s="223">
        <f>+'06-PREV CTRL FUN PÚBLICA'!AD16</f>
        <v>3</v>
      </c>
      <c r="R33" s="223">
        <f>+'06-PREV CTRL FUN PÚBLICA'!AE16</f>
        <v>0</v>
      </c>
      <c r="S33" s="223">
        <f>+'06-PREV CTRL FUN PÚBLICA'!AL16</f>
        <v>0</v>
      </c>
      <c r="T33" s="223">
        <f>+'06-PREV CTRL FUN PÚBLICA'!AM16</f>
        <v>0</v>
      </c>
      <c r="U33" s="223">
        <f>+'06-PREV CTRL FUN PÚBLICA'!AT16</f>
        <v>3</v>
      </c>
      <c r="V33" s="223">
        <f>+'06-PREV CTRL FUN PÚBLICA'!AU16</f>
        <v>0</v>
      </c>
      <c r="W33" s="223">
        <f>+'06-PREV CTRL FUN PÚBLICA'!AV16</f>
        <v>6</v>
      </c>
      <c r="X33" s="891">
        <f>+'06-PREV CTRL FUN PÚBLICA'!AX16</f>
        <v>0</v>
      </c>
      <c r="Y33" s="503">
        <f>+'06-PREV CTRL FUN PÚBLICA'!BB16</f>
        <v>0</v>
      </c>
      <c r="Z33" s="230">
        <f>+'06-PREV CTRL FUN PÚBLICA'!BF16</f>
        <v>0</v>
      </c>
      <c r="AA33" s="231">
        <f t="shared" si="0"/>
        <v>0</v>
      </c>
      <c r="AB33" s="1362">
        <f>+AA33+AA34</f>
        <v>9.0909090909090995E-2</v>
      </c>
      <c r="AD33" s="225">
        <f>+'06-PREV CTRL FUN PÚBLICA'!BD16</f>
        <v>0</v>
      </c>
      <c r="AE33" s="227">
        <f t="shared" si="1"/>
        <v>0</v>
      </c>
      <c r="AG33" s="225">
        <f>+'06-PREV CTRL FUN PÚBLICA'!BH16</f>
        <v>0</v>
      </c>
      <c r="AH33" s="227">
        <f t="shared" si="2"/>
        <v>0</v>
      </c>
    </row>
    <row r="34" spans="2:34" ht="120" customHeight="1">
      <c r="B34" s="1037"/>
      <c r="C34" s="1114"/>
      <c r="D34" s="80"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81">
        <f>+'01-FR-03 POA INSTITUCIONAL'!E34</f>
        <v>0.27272727272727298</v>
      </c>
      <c r="F34" s="82">
        <f>+'01-FR-03 POA INSTITUCIONAL'!F34</f>
        <v>6</v>
      </c>
      <c r="G34" s="83" t="str">
        <f>+'01-FR-03 POA INSTITUCIONAL'!G34</f>
        <v>S.I.</v>
      </c>
      <c r="H34" s="84" t="str">
        <f>+'01-FR-03 POA INSTITUCIONAL'!H34</f>
        <v>Informes de seguimientos realizados en temas específicos.</v>
      </c>
      <c r="I34" s="85" t="str">
        <f>+'01-FR-03 POA INSTITUCIONAL'!I34</f>
        <v>Prevención y Control a la Función Pública</v>
      </c>
      <c r="J34" s="86"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87">
        <f>+'01-FR-03 POA INSTITUCIONAL'!K34</f>
        <v>1</v>
      </c>
      <c r="L34" s="87">
        <f>+'01-FR-03 POA INSTITUCIONAL'!L34</f>
        <v>1</v>
      </c>
      <c r="M34" s="87">
        <f>+'01-FR-03 POA INSTITUCIONAL'!M34</f>
        <v>3</v>
      </c>
      <c r="N34" s="87">
        <f>+'01-FR-03 POA INSTITUCIONAL'!N34</f>
        <v>1</v>
      </c>
      <c r="O34" s="223">
        <f>+'06-PREV CTRL FUN PÚBLICA'!V17</f>
        <v>0</v>
      </c>
      <c r="P34" s="223">
        <f>+'06-PREV CTRL FUN PÚBLICA'!W17</f>
        <v>0</v>
      </c>
      <c r="Q34" s="223">
        <f>+'06-PREV CTRL FUN PÚBLICA'!AD17</f>
        <v>1</v>
      </c>
      <c r="R34" s="223">
        <f>+'06-PREV CTRL FUN PÚBLICA'!AE17</f>
        <v>2</v>
      </c>
      <c r="S34" s="223">
        <f>+'06-PREV CTRL FUN PÚBLICA'!AL17</f>
        <v>1</v>
      </c>
      <c r="T34" s="223">
        <f>+'06-PREV CTRL FUN PÚBLICA'!AM17</f>
        <v>0</v>
      </c>
      <c r="U34" s="223">
        <f>+'06-PREV CTRL FUN PÚBLICA'!AT17</f>
        <v>1</v>
      </c>
      <c r="V34" s="223">
        <f>+'06-PREV CTRL FUN PÚBLICA'!AU17</f>
        <v>0</v>
      </c>
      <c r="W34" s="223">
        <f>+'06-PREV CTRL FUN PÚBLICA'!AV17</f>
        <v>3</v>
      </c>
      <c r="X34" s="891">
        <f>+'06-PREV CTRL FUN PÚBLICA'!AX17</f>
        <v>2</v>
      </c>
      <c r="Y34" s="503">
        <f>+'06-PREV CTRL FUN PÚBLICA'!BB17</f>
        <v>0.66666666666666663</v>
      </c>
      <c r="Z34" s="230">
        <f>+'06-PREV CTRL FUN PÚBLICA'!BF17</f>
        <v>0.33333333333333331</v>
      </c>
      <c r="AA34" s="231">
        <f t="shared" si="0"/>
        <v>9.0909090909090995E-2</v>
      </c>
      <c r="AB34" s="1177"/>
      <c r="AD34" s="225">
        <f>+'06-PREV CTRL FUN PÚBLICA'!BD17</f>
        <v>0.66666666666666663</v>
      </c>
      <c r="AE34" s="227">
        <f t="shared" si="1"/>
        <v>0</v>
      </c>
      <c r="AG34" s="225">
        <f>+'06-PREV CTRL FUN PÚBLICA'!BH17</f>
        <v>0.33333333333333331</v>
      </c>
      <c r="AH34" s="227">
        <f t="shared" si="2"/>
        <v>0</v>
      </c>
    </row>
    <row r="35" spans="2:34" ht="100.5" customHeight="1">
      <c r="B35" s="1037"/>
      <c r="C35" s="1324" t="str">
        <f>+'01-FR-03 POA INSTITUCIONAL'!C35:C36</f>
        <v>2.2. Fortalecer la moralidad publica realizando  952 acciones de prevención y control a la función pública.</v>
      </c>
      <c r="D35" s="80" t="str">
        <f>+'01-FR-03 POA INSTITUCIONAL'!D35</f>
        <v>2.2.1 Realizar 817 acciones de prevención y control a la función pública para fortalecer la moralidad pública.</v>
      </c>
      <c r="E35" s="81">
        <f>+'01-FR-03 POA INSTITUCIONAL'!E35</f>
        <v>0.89</v>
      </c>
      <c r="F35" s="82">
        <f>+'01-FR-03 POA INSTITUCIONAL'!F35</f>
        <v>817</v>
      </c>
      <c r="G35" s="83" t="str">
        <f>+'01-FR-03 POA INSTITUCIONAL'!G35</f>
        <v>S.I.</v>
      </c>
      <c r="H35" s="84" t="str">
        <f>+'01-FR-03 POA INSTITUCIONAL'!H35</f>
        <v>Acciones de Prevención y Control a la Función Pública realizadas, con informe.</v>
      </c>
      <c r="I35" s="85" t="str">
        <f>+'01-FR-03 POA INSTITUCIONAL'!I35</f>
        <v>Prevención y Control a la Función Pública</v>
      </c>
      <c r="J35" s="86"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87">
        <f>+'01-FR-03 POA INSTITUCIONAL'!K35</f>
        <v>200</v>
      </c>
      <c r="L35" s="87">
        <f>+'01-FR-03 POA INSTITUCIONAL'!L35</f>
        <v>286</v>
      </c>
      <c r="M35" s="87">
        <f>+'01-FR-03 POA INSTITUCIONAL'!M35</f>
        <v>259</v>
      </c>
      <c r="N35" s="87">
        <f>+'01-FR-03 POA INSTITUCIONAL'!N35</f>
        <v>72</v>
      </c>
      <c r="O35" s="223">
        <f>+'06-PREV CTRL FUN PÚBLICA'!V18</f>
        <v>43</v>
      </c>
      <c r="P35" s="223">
        <f>+'06-PREV CTRL FUN PÚBLICA'!W18</f>
        <v>29</v>
      </c>
      <c r="Q35" s="223">
        <f>+'06-PREV CTRL FUN PÚBLICA'!AD18</f>
        <v>88</v>
      </c>
      <c r="R35" s="223">
        <f>+'06-PREV CTRL FUN PÚBLICA'!AE18</f>
        <v>56</v>
      </c>
      <c r="S35" s="223">
        <f>+'06-PREV CTRL FUN PÚBLICA'!AL18</f>
        <v>91</v>
      </c>
      <c r="T35" s="223">
        <f>+'06-PREV CTRL FUN PÚBLICA'!AM18</f>
        <v>0</v>
      </c>
      <c r="U35" s="223">
        <f>+'06-PREV CTRL FUN PÚBLICA'!AT18</f>
        <v>37</v>
      </c>
      <c r="V35" s="223">
        <f>+'06-PREV CTRL FUN PÚBLICA'!AU18</f>
        <v>0</v>
      </c>
      <c r="W35" s="223">
        <f>+'06-PREV CTRL FUN PÚBLICA'!AV18</f>
        <v>259</v>
      </c>
      <c r="X35" s="891">
        <f>+'06-PREV CTRL FUN PÚBLICA'!AX18</f>
        <v>85</v>
      </c>
      <c r="Y35" s="503">
        <f>+'06-PREV CTRL FUN PÚBLICA'!BB18</f>
        <v>0.3281853281853282</v>
      </c>
      <c r="Z35" s="230">
        <f>+'06-PREV CTRL FUN PÚBLICA'!BF18</f>
        <v>0.10403916768665851</v>
      </c>
      <c r="AA35" s="231">
        <f t="shared" si="0"/>
        <v>9.2594859241126079E-2</v>
      </c>
      <c r="AB35" s="1362">
        <f>+AA35+AA36</f>
        <v>9.5039303685570523E-2</v>
      </c>
      <c r="AD35" s="225">
        <f>+'06-PREV CTRL FUN PÚBLICA'!BD18</f>
        <v>0.3281853281853282</v>
      </c>
      <c r="AE35" s="227">
        <f t="shared" si="1"/>
        <v>0</v>
      </c>
      <c r="AG35" s="225">
        <f>+'06-PREV CTRL FUN PÚBLICA'!BH18</f>
        <v>0.10403916768665851</v>
      </c>
      <c r="AH35" s="227">
        <f t="shared" si="2"/>
        <v>0</v>
      </c>
    </row>
    <row r="36" spans="2:34" ht="100.5" customHeight="1">
      <c r="B36" s="1037"/>
      <c r="C36" s="1114"/>
      <c r="D36" s="80" t="str">
        <f>+'01-FR-03 POA INSTITUCIONAL'!D36</f>
        <v>2.2.2 Realizar 135 acciones de prevención y control a la función pública - seguimientos, para fortalecer la moralidad pública en el Distrito Capital.</v>
      </c>
      <c r="E36" s="81">
        <f>+'01-FR-03 POA INSTITUCIONAL'!E36</f>
        <v>0.11</v>
      </c>
      <c r="F36" s="82">
        <f>+'01-FR-03 POA INSTITUCIONAL'!F36</f>
        <v>135</v>
      </c>
      <c r="G36" s="83" t="str">
        <f>+'01-FR-03 POA INSTITUCIONAL'!G36</f>
        <v>S.I.</v>
      </c>
      <c r="H36" s="84" t="str">
        <f>+'01-FR-03 POA INSTITUCIONAL'!H36</f>
        <v>Seguimientos realizados sobre acciones previas, con informe</v>
      </c>
      <c r="I36" s="85" t="str">
        <f>+'01-FR-03 POA INSTITUCIONAL'!I36</f>
        <v>Prevención y Control a la Función Pública</v>
      </c>
      <c r="J36" s="86"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87">
        <f>+'01-FR-03 POA INSTITUCIONAL'!K36</f>
        <v>28</v>
      </c>
      <c r="L36" s="87">
        <f>+'01-FR-03 POA INSTITUCIONAL'!L36</f>
        <v>67</v>
      </c>
      <c r="M36" s="87">
        <f>+'01-FR-03 POA INSTITUCIONAL'!M36</f>
        <v>30</v>
      </c>
      <c r="N36" s="87">
        <f>+'01-FR-03 POA INSTITUCIONAL'!N36</f>
        <v>10</v>
      </c>
      <c r="O36" s="223">
        <f>+'06-PREV CTRL FUN PÚBLICA'!V19</f>
        <v>1</v>
      </c>
      <c r="P36" s="223">
        <f>+'06-PREV CTRL FUN PÚBLICA'!W19</f>
        <v>1</v>
      </c>
      <c r="Q36" s="223">
        <f>+'06-PREV CTRL FUN PÚBLICA'!AD19</f>
        <v>3</v>
      </c>
      <c r="R36" s="223">
        <f>+'06-PREV CTRL FUN PÚBLICA'!AE19</f>
        <v>2</v>
      </c>
      <c r="S36" s="223">
        <f>+'06-PREV CTRL FUN PÚBLICA'!AL19</f>
        <v>20</v>
      </c>
      <c r="T36" s="223">
        <f>+'06-PREV CTRL FUN PÚBLICA'!AM19</f>
        <v>0</v>
      </c>
      <c r="U36" s="223">
        <f>+'06-PREV CTRL FUN PÚBLICA'!AT19</f>
        <v>6</v>
      </c>
      <c r="V36" s="223">
        <f>+'06-PREV CTRL FUN PÚBLICA'!AU19</f>
        <v>0</v>
      </c>
      <c r="W36" s="223">
        <f>+'06-PREV CTRL FUN PÚBLICA'!AV19</f>
        <v>30</v>
      </c>
      <c r="X36" s="891">
        <f>+'06-PREV CTRL FUN PÚBLICA'!AX19</f>
        <v>3</v>
      </c>
      <c r="Y36" s="503">
        <f>+'06-PREV CTRL FUN PÚBLICA'!BB19</f>
        <v>0.1</v>
      </c>
      <c r="Z36" s="230">
        <f>+'06-PREV CTRL FUN PÚBLICA'!BF19</f>
        <v>2.2222222222222223E-2</v>
      </c>
      <c r="AA36" s="231">
        <f t="shared" si="0"/>
        <v>2.4444444444444444E-3</v>
      </c>
      <c r="AB36" s="1177"/>
      <c r="AD36" s="225">
        <f>+'06-PREV CTRL FUN PÚBLICA'!BD19</f>
        <v>0.1</v>
      </c>
      <c r="AE36" s="227">
        <f t="shared" si="1"/>
        <v>0</v>
      </c>
      <c r="AG36" s="225">
        <f>+'06-PREV CTRL FUN PÚBLICA'!BH19</f>
        <v>2.2222222222222223E-2</v>
      </c>
      <c r="AH36" s="227">
        <f t="shared" si="2"/>
        <v>0</v>
      </c>
    </row>
    <row r="37" spans="2:34" ht="65.25" customHeight="1">
      <c r="B37" s="1037"/>
      <c r="C37" s="1324" t="str">
        <f>+'01-FR-03 POA INSTITUCIONAL'!C37:C39</f>
        <v>2.3. Fortalecer 312 espacios de participación ciudadana en la Personería de Bogotá</v>
      </c>
      <c r="D37" s="80" t="str">
        <f>+'01-FR-03 POA INSTITUCIONAL'!D37</f>
        <v>2.3.1 Realizar 52 audiencias públicas y/o mesas de trabajo, las cuales permitan la participación ciudadana, con énfasis en los Derechos e intereses colectivos.</v>
      </c>
      <c r="E37" s="81">
        <f>+'01-FR-03 POA INSTITUCIONAL'!E37</f>
        <v>0.2</v>
      </c>
      <c r="F37" s="82">
        <f>+'01-FR-03 POA INSTITUCIONAL'!F37</f>
        <v>52</v>
      </c>
      <c r="G37" s="83">
        <f>+'01-FR-03 POA INSTITUCIONAL'!G37</f>
        <v>75</v>
      </c>
      <c r="H37" s="84" t="str">
        <f>+'01-FR-03 POA INSTITUCIONAL'!H37</f>
        <v>Audiencias públicas y/o mesas de trabajo realizadas.</v>
      </c>
      <c r="I37" s="85" t="str">
        <f>+'01-FR-03 POA INSTITUCIONAL'!I37</f>
        <v>Prevención y Control a la Función Pública</v>
      </c>
      <c r="J37" s="86" t="str">
        <f>+'01-FR-03 POA INSTITUCIONAL'!J37</f>
        <v>Personería Delegada para la Coordinación de Prevención y Control a la Función Pública y sus Personerías Delegadas.</v>
      </c>
      <c r="K37" s="87">
        <f>+'01-FR-03 POA INSTITUCIONAL'!K37</f>
        <v>12</v>
      </c>
      <c r="L37" s="87">
        <f>+'01-FR-03 POA INSTITUCIONAL'!L37</f>
        <v>21</v>
      </c>
      <c r="M37" s="87">
        <f>+'01-FR-03 POA INSTITUCIONAL'!M37</f>
        <v>15</v>
      </c>
      <c r="N37" s="87">
        <f>+'01-FR-03 POA INSTITUCIONAL'!N37</f>
        <v>4</v>
      </c>
      <c r="O37" s="223">
        <f>+'06-PREV CTRL FUN PÚBLICA'!V20</f>
        <v>5</v>
      </c>
      <c r="P37" s="223">
        <f>+'06-PREV CTRL FUN PÚBLICA'!W20</f>
        <v>5</v>
      </c>
      <c r="Q37" s="223">
        <f>+'06-PREV CTRL FUN PÚBLICA'!AD20</f>
        <v>9</v>
      </c>
      <c r="R37" s="223">
        <f>+'06-PREV CTRL FUN PÚBLICA'!AE20</f>
        <v>8</v>
      </c>
      <c r="S37" s="223">
        <f>+'06-PREV CTRL FUN PÚBLICA'!AL20</f>
        <v>0</v>
      </c>
      <c r="T37" s="223">
        <f>+'06-PREV CTRL FUN PÚBLICA'!AM20</f>
        <v>0</v>
      </c>
      <c r="U37" s="223">
        <f>+'06-PREV CTRL FUN PÚBLICA'!AT20</f>
        <v>1</v>
      </c>
      <c r="V37" s="223">
        <f>+'06-PREV CTRL FUN PÚBLICA'!AU20</f>
        <v>0</v>
      </c>
      <c r="W37" s="223">
        <f>+'06-PREV CTRL FUN PÚBLICA'!AV20</f>
        <v>15</v>
      </c>
      <c r="X37" s="891">
        <f>+'06-PREV CTRL FUN PÚBLICA'!AX20</f>
        <v>13</v>
      </c>
      <c r="Y37" s="503">
        <f>+'06-PREV CTRL FUN PÚBLICA'!BB20</f>
        <v>0.8666666666666667</v>
      </c>
      <c r="Z37" s="230">
        <f>+'06-PREV CTRL FUN PÚBLICA'!BF20</f>
        <v>0.25</v>
      </c>
      <c r="AA37" s="231">
        <f t="shared" si="0"/>
        <v>0.05</v>
      </c>
      <c r="AB37" s="1362">
        <f>+AA37+AA38+AA39</f>
        <v>0.19914750000000003</v>
      </c>
      <c r="AD37" s="225">
        <f>+'06-PREV CTRL FUN PÚBLICA'!BD20</f>
        <v>0.8666666666666667</v>
      </c>
      <c r="AE37" s="227">
        <f t="shared" si="1"/>
        <v>0</v>
      </c>
      <c r="AG37" s="225">
        <f>+'06-PREV CTRL FUN PÚBLICA'!BH20</f>
        <v>0.25</v>
      </c>
      <c r="AH37" s="227">
        <f t="shared" si="2"/>
        <v>0</v>
      </c>
    </row>
    <row r="38" spans="2:34" ht="63.75" customHeight="1">
      <c r="B38" s="1037"/>
      <c r="C38" s="1113"/>
      <c r="D38" s="80" t="str">
        <f>+'01-FR-03 POA INSTITUCIONAL'!D38</f>
        <v>2.3.2 Realizar 160 acompañamientos a los ciudadanos que intervienen en los diferentes espacios de participación ciudadana.</v>
      </c>
      <c r="E38" s="81">
        <f>+'01-FR-03 POA INSTITUCIONAL'!E38</f>
        <v>0.46700000000000003</v>
      </c>
      <c r="F38" s="82">
        <f>+'01-FR-03 POA INSTITUCIONAL'!F38</f>
        <v>160</v>
      </c>
      <c r="G38" s="83" t="str">
        <f>+'01-FR-03 POA INSTITUCIONAL'!G38</f>
        <v>S.I.</v>
      </c>
      <c r="H38" s="84" t="str">
        <f>+'01-FR-03 POA INSTITUCIONAL'!H38</f>
        <v>Acompañamientos a los ciudadanos realizados.</v>
      </c>
      <c r="I38" s="85" t="str">
        <f>+'01-FR-03 POA INSTITUCIONAL'!I38</f>
        <v>Prevención y Control a la Función Pública</v>
      </c>
      <c r="J38" s="86" t="str">
        <f>+'01-FR-03 POA INSTITUCIONAL'!J38</f>
        <v xml:space="preserve">Personería Delegada para la Coordinación de Gestión de las Personerías Locales y sus Personerías Locales. </v>
      </c>
      <c r="K38" s="87">
        <f>+'01-FR-03 POA INSTITUCIONAL'!K38</f>
        <v>40</v>
      </c>
      <c r="L38" s="87">
        <f>+'01-FR-03 POA INSTITUCIONAL'!L38</f>
        <v>60</v>
      </c>
      <c r="M38" s="87">
        <f>+'01-FR-03 POA INSTITUCIONAL'!M38</f>
        <v>40</v>
      </c>
      <c r="N38" s="87">
        <f>+'01-FR-03 POA INSTITUCIONAL'!N38</f>
        <v>20</v>
      </c>
      <c r="O38" s="223">
        <f>+'06-PREV CTRL FUN PÚBLICA'!V21</f>
        <v>8</v>
      </c>
      <c r="P38" s="223">
        <f>+'06-PREV CTRL FUN PÚBLICA'!W21</f>
        <v>24</v>
      </c>
      <c r="Q38" s="223">
        <f>+'06-PREV CTRL FUN PÚBLICA'!AD21</f>
        <v>12</v>
      </c>
      <c r="R38" s="223">
        <f>+'06-PREV CTRL FUN PÚBLICA'!AE21</f>
        <v>2</v>
      </c>
      <c r="S38" s="223">
        <f>+'06-PREV CTRL FUN PÚBLICA'!AL21</f>
        <v>12</v>
      </c>
      <c r="T38" s="223">
        <f>+'06-PREV CTRL FUN PÚBLICA'!AM21</f>
        <v>0</v>
      </c>
      <c r="U38" s="223">
        <f>+'06-PREV CTRL FUN PÚBLICA'!AT21</f>
        <v>8</v>
      </c>
      <c r="V38" s="223">
        <f>+'06-PREV CTRL FUN PÚBLICA'!AU21</f>
        <v>0</v>
      </c>
      <c r="W38" s="223">
        <f>+'06-PREV CTRL FUN PÚBLICA'!AV21</f>
        <v>40</v>
      </c>
      <c r="X38" s="891">
        <f>+'06-PREV CTRL FUN PÚBLICA'!AX21</f>
        <v>26</v>
      </c>
      <c r="Y38" s="503">
        <f>+'06-PREV CTRL FUN PÚBLICA'!BB21</f>
        <v>0.65</v>
      </c>
      <c r="Z38" s="230">
        <f>+'06-PREV CTRL FUN PÚBLICA'!BF21</f>
        <v>0.16250000000000001</v>
      </c>
      <c r="AA38" s="231">
        <f t="shared" si="0"/>
        <v>7.5887500000000011E-2</v>
      </c>
      <c r="AB38" s="1176"/>
      <c r="AD38" s="225">
        <f>+'06-PREV CTRL FUN PÚBLICA'!BD21</f>
        <v>0.65</v>
      </c>
      <c r="AE38" s="227">
        <f t="shared" si="1"/>
        <v>0</v>
      </c>
      <c r="AG38" s="225">
        <f>+'06-PREV CTRL FUN PÚBLICA'!BH21</f>
        <v>0.16250000000000001</v>
      </c>
      <c r="AH38" s="227">
        <f t="shared" si="2"/>
        <v>0</v>
      </c>
    </row>
    <row r="39" spans="2:34" ht="102" customHeight="1">
      <c r="B39" s="1038"/>
      <c r="C39" s="1114"/>
      <c r="D39" s="80" t="str">
        <f>+'01-FR-03 POA INSTITUCIONAL'!D39</f>
        <v>2.3.3 Realizar 100 espacios de diálogo con las personas para retroalimentar las actividades de participación ciudadana</v>
      </c>
      <c r="E39" s="81">
        <f>+'01-FR-03 POA INSTITUCIONAL'!E39</f>
        <v>0.33300000000000002</v>
      </c>
      <c r="F39" s="82">
        <f>+'01-FR-03 POA INSTITUCIONAL'!F39</f>
        <v>100</v>
      </c>
      <c r="G39" s="83" t="str">
        <f>+'01-FR-03 POA INSTITUCIONAL'!G39</f>
        <v>S.I.</v>
      </c>
      <c r="H39" s="84" t="str">
        <f>+'01-FR-03 POA INSTITUCIONAL'!H39</f>
        <v>Espacios de dialogo realizados.</v>
      </c>
      <c r="I39" s="85" t="str">
        <f>+'01-FR-03 POA INSTITUCIONAL'!I39</f>
        <v>Prevención y Control a la Función Pública</v>
      </c>
      <c r="J39" s="86" t="str">
        <f>+'01-FR-03 POA INSTITUCIONAL'!J39</f>
        <v>Personería Delegada para la Coordinación de Gestión de las Personerías Locales y sus Personerías Locales. 
Personería Delegada para la Coordinación de Prevención y Control a la Función Pública y sus Personerías Delegadas.</v>
      </c>
      <c r="K39" s="87">
        <f>+'01-FR-03 POA INSTITUCIONAL'!K39</f>
        <v>20</v>
      </c>
      <c r="L39" s="87">
        <f>+'01-FR-03 POA INSTITUCIONAL'!L39</f>
        <v>30</v>
      </c>
      <c r="M39" s="87">
        <f>+'01-FR-03 POA INSTITUCIONAL'!M39</f>
        <v>30</v>
      </c>
      <c r="N39" s="87">
        <f>+'01-FR-03 POA INSTITUCIONAL'!N39</f>
        <v>20</v>
      </c>
      <c r="O39" s="223">
        <f>+'06-PREV CTRL FUN PÚBLICA'!V22</f>
        <v>2</v>
      </c>
      <c r="P39" s="223">
        <f>+'06-PREV CTRL FUN PÚBLICA'!W22</f>
        <v>17</v>
      </c>
      <c r="Q39" s="223">
        <f>+'06-PREV CTRL FUN PÚBLICA'!AD22</f>
        <v>10</v>
      </c>
      <c r="R39" s="223">
        <f>+'06-PREV CTRL FUN PÚBLICA'!AE22</f>
        <v>5</v>
      </c>
      <c r="S39" s="223">
        <f>+'06-PREV CTRL FUN PÚBLICA'!AL22</f>
        <v>10</v>
      </c>
      <c r="T39" s="223">
        <f>+'06-PREV CTRL FUN PÚBLICA'!AM22</f>
        <v>0</v>
      </c>
      <c r="U39" s="223">
        <f>+'06-PREV CTRL FUN PÚBLICA'!AT22</f>
        <v>8</v>
      </c>
      <c r="V39" s="223">
        <f>+'06-PREV CTRL FUN PÚBLICA'!AU22</f>
        <v>0</v>
      </c>
      <c r="W39" s="223">
        <f>+'06-PREV CTRL FUN PÚBLICA'!AV22</f>
        <v>30</v>
      </c>
      <c r="X39" s="891">
        <f>+'06-PREV CTRL FUN PÚBLICA'!AX22</f>
        <v>22</v>
      </c>
      <c r="Y39" s="503">
        <f>+'06-PREV CTRL FUN PÚBLICA'!BB22</f>
        <v>0.73333333333333328</v>
      </c>
      <c r="Z39" s="230">
        <f>+'06-PREV CTRL FUN PÚBLICA'!BF22</f>
        <v>0.22</v>
      </c>
      <c r="AA39" s="231">
        <f t="shared" si="0"/>
        <v>7.3260000000000006E-2</v>
      </c>
      <c r="AB39" s="1177"/>
      <c r="AD39" s="225">
        <f>+'06-PREV CTRL FUN PÚBLICA'!BD22</f>
        <v>0.73333333333333328</v>
      </c>
      <c r="AE39" s="227">
        <f t="shared" si="1"/>
        <v>0</v>
      </c>
      <c r="AG39" s="225">
        <f>+'06-PREV CTRL FUN PÚBLICA'!BH22</f>
        <v>0.22</v>
      </c>
      <c r="AH39" s="227">
        <f t="shared" si="2"/>
        <v>0</v>
      </c>
    </row>
    <row r="40" spans="2:34" ht="93.75" customHeight="1">
      <c r="B40" s="1326" t="s">
        <v>133</v>
      </c>
      <c r="C40" s="1325" t="str">
        <f>+'01-FR-03 POA INSTITUCIONAL'!C40:C41</f>
        <v>3.1. Descongestionar 6.700 procesos disciplinarios con criterios de calidad, efectividad y garantía del debido proceso.</v>
      </c>
      <c r="D40" s="28" t="str">
        <f>+'01-FR-03 POA INSTITUCIONAL'!D40</f>
        <v xml:space="preserve">3.1.1 Identificar y decidir de fondo 6.700  procesos, priorizando aquellos que se encuentren con riesgo de prescripción y/o vencidos en su etapa procesal (indagación, investigación y juzgamiento). </v>
      </c>
      <c r="E40" s="46">
        <f>+'01-FR-03 POA INSTITUCIONAL'!E40</f>
        <v>0.8</v>
      </c>
      <c r="F40" s="72">
        <f>+'01-FR-03 POA INSTITUCIONAL'!F40</f>
        <v>6700</v>
      </c>
      <c r="G40" s="35">
        <f>+'01-FR-03 POA INSTITUCIONAL'!G40</f>
        <v>6287</v>
      </c>
      <c r="H40" s="73" t="str">
        <f>+'01-FR-03 POA INSTITUCIONAL'!H40</f>
        <v>Procesos priorizados identificados y decididos de fondo</v>
      </c>
      <c r="I40" s="74" t="str">
        <f>+'01-FR-03 POA INSTITUCIONAL'!I40</f>
        <v>Potestad Disciplinaria</v>
      </c>
      <c r="J40" s="75" t="str">
        <f>+'01-FR-03 POA INSTITUCIONAL'!J40</f>
        <v>Personería Delegada para la Coordinación de Potestad Disciplinaria</v>
      </c>
      <c r="K40" s="76">
        <f>+'01-FR-03 POA INSTITUCIONAL'!K40</f>
        <v>1600</v>
      </c>
      <c r="L40" s="76">
        <f>+'01-FR-03 POA INSTITUCIONAL'!L40</f>
        <v>1800</v>
      </c>
      <c r="M40" s="76">
        <f>+'01-FR-03 POA INSTITUCIONAL'!M40</f>
        <v>1800</v>
      </c>
      <c r="N40" s="76">
        <f>+'01-FR-03 POA INSTITUCIONAL'!N40</f>
        <v>1500</v>
      </c>
      <c r="O40" s="232">
        <f>+'07-POTESTAD DISCIPLINARIA'!V16</f>
        <v>320</v>
      </c>
      <c r="P40" s="232">
        <f>+'07-POTESTAD DISCIPLINARIA'!W16</f>
        <v>294</v>
      </c>
      <c r="Q40" s="232">
        <f>+'07-POTESTAD DISCIPLINARIA'!AD16</f>
        <v>396</v>
      </c>
      <c r="R40" s="232">
        <f>+'07-POTESTAD DISCIPLINARIA'!AE16</f>
        <v>360</v>
      </c>
      <c r="S40" s="232">
        <f>+'07-POTESTAD DISCIPLINARIA'!AL16</f>
        <v>481</v>
      </c>
      <c r="T40" s="232">
        <f>+'07-POTESTAD DISCIPLINARIA'!AM16</f>
        <v>0</v>
      </c>
      <c r="U40" s="232">
        <f>+'07-POTESTAD DISCIPLINARIA'!AT16</f>
        <v>603</v>
      </c>
      <c r="V40" s="232">
        <f>+'07-POTESTAD DISCIPLINARIA'!AU16</f>
        <v>0</v>
      </c>
      <c r="W40" s="232">
        <f>+'07-POTESTAD DISCIPLINARIA'!AV16</f>
        <v>1800</v>
      </c>
      <c r="X40" s="234">
        <f>'07-POTESTAD DISCIPLINARIA'!AX16</f>
        <v>654</v>
      </c>
      <c r="Y40" s="499">
        <f>+'07-POTESTAD DISCIPLINARIA'!BB16</f>
        <v>0.36333333333333334</v>
      </c>
      <c r="Z40" s="222">
        <f>+'07-POTESTAD DISCIPLINARIA'!BF16</f>
        <v>9.7611940298507463E-2</v>
      </c>
      <c r="AA40" s="228">
        <f t="shared" si="0"/>
        <v>7.8089552238805982E-2</v>
      </c>
      <c r="AB40" s="1004">
        <f>SUM(AA40:AA41)</f>
        <v>0.10003955223880598</v>
      </c>
      <c r="AD40" s="225">
        <f>+'07-POTESTAD DISCIPLINARIA'!BD16</f>
        <v>0.36333333333333334</v>
      </c>
      <c r="AE40" s="227">
        <f t="shared" si="1"/>
        <v>0</v>
      </c>
      <c r="AG40" s="225">
        <f>+'07-POTESTAD DISCIPLINARIA'!BH16</f>
        <v>9.7611940298507463E-2</v>
      </c>
      <c r="AH40" s="227">
        <f t="shared" si="2"/>
        <v>0</v>
      </c>
    </row>
    <row r="41" spans="2:34" ht="67.5" customHeight="1">
      <c r="B41" s="1012"/>
      <c r="C41" s="1072"/>
      <c r="D41" s="28" t="str">
        <f>+'01-FR-03 POA INSTITUCIONAL'!D41</f>
        <v>3.1.2 Evaluar y dar impulso procesal al 100% las noticias disciplinarias (quejas) puestas en conocimiento de la Entidad.</v>
      </c>
      <c r="E41" s="46">
        <f>+'01-FR-03 POA INSTITUCIONAL'!E41</f>
        <v>0.2</v>
      </c>
      <c r="F41" s="72">
        <f>+'01-FR-03 POA INSTITUCIONAL'!F41</f>
        <v>1</v>
      </c>
      <c r="G41" s="35">
        <f>+'01-FR-03 POA INSTITUCIONAL'!G41</f>
        <v>0.98</v>
      </c>
      <c r="H41" s="73" t="str">
        <f>+'01-FR-03 POA INSTITUCIONAL'!H41</f>
        <v>Noticias disciplinarias  evaluadas y con impulso procesal</v>
      </c>
      <c r="I41" s="74" t="str">
        <f>+'01-FR-03 POA INSTITUCIONAL'!I41</f>
        <v>Potestad Disciplinaria</v>
      </c>
      <c r="J41" s="75" t="str">
        <f>+'01-FR-03 POA INSTITUCIONAL'!J41</f>
        <v>Personería Delegada para la Coordinación de Potestad Disciplinaria</v>
      </c>
      <c r="K41" s="76">
        <f>+'01-FR-03 POA INSTITUCIONAL'!K41</f>
        <v>1</v>
      </c>
      <c r="L41" s="76">
        <f>+'01-FR-03 POA INSTITUCIONAL'!L41</f>
        <v>1</v>
      </c>
      <c r="M41" s="76">
        <f>+'01-FR-03 POA INSTITUCIONAL'!M41</f>
        <v>1</v>
      </c>
      <c r="N41" s="76">
        <f>+'01-FR-03 POA INSTITUCIONAL'!N41</f>
        <v>1</v>
      </c>
      <c r="O41" s="220">
        <f>+'07-POTESTAD DISCIPLINARIA'!V17</f>
        <v>1</v>
      </c>
      <c r="P41" s="220">
        <f>+'07-POTESTAD DISCIPLINARIA'!W17</f>
        <v>0.85099999999999998</v>
      </c>
      <c r="Q41" s="220">
        <f>+'07-POTESTAD DISCIPLINARIA'!AD17</f>
        <v>1</v>
      </c>
      <c r="R41" s="220">
        <f>+'07-POTESTAD DISCIPLINARIA'!AE17</f>
        <v>0.90600000000000003</v>
      </c>
      <c r="S41" s="220">
        <f>+'07-POTESTAD DISCIPLINARIA'!AL17</f>
        <v>1</v>
      </c>
      <c r="T41" s="220">
        <f>+'07-POTESTAD DISCIPLINARIA'!AM17</f>
        <v>0</v>
      </c>
      <c r="U41" s="29">
        <f>+'07-POTESTAD DISCIPLINARIA'!AT17</f>
        <v>1</v>
      </c>
      <c r="V41" s="29">
        <f>+'07-POTESTAD DISCIPLINARIA'!AU17</f>
        <v>0</v>
      </c>
      <c r="W41" s="220">
        <f>+'07-POTESTAD DISCIPLINARIA'!AV17</f>
        <v>1</v>
      </c>
      <c r="X41" s="222">
        <f>'07-POTESTAD DISCIPLINARIA'!AX17</f>
        <v>0.878</v>
      </c>
      <c r="Y41" s="499">
        <f>+'07-POTESTAD DISCIPLINARIA'!BB17</f>
        <v>0.439</v>
      </c>
      <c r="Z41" s="222">
        <f>+'07-POTESTAD DISCIPLINARIA'!BF17</f>
        <v>0.10975</v>
      </c>
      <c r="AA41" s="228">
        <f t="shared" si="0"/>
        <v>2.1950000000000001E-2</v>
      </c>
      <c r="AB41" s="1005"/>
      <c r="AD41" s="225">
        <f>+'07-POTESTAD DISCIPLINARIA'!BD17</f>
        <v>0.878</v>
      </c>
      <c r="AE41" s="227">
        <f t="shared" si="1"/>
        <v>-0.439</v>
      </c>
      <c r="AG41" s="225">
        <f>+'07-POTESTAD DISCIPLINARIA'!BH17</f>
        <v>0.2195</v>
      </c>
      <c r="AH41" s="227">
        <f t="shared" si="2"/>
        <v>-0.10975</v>
      </c>
    </row>
    <row r="42" spans="2:34" ht="95.25" customHeight="1">
      <c r="B42" s="1012"/>
      <c r="C42" s="1325" t="str">
        <f>+'01-FR-03 POA INSTITUCIONAL'!C42:C43</f>
        <v xml:space="preserve">3.2. Identificar el 100% de los hechos constitutivos de faltas disciplinarias para ejercer el poder preferente en las Oficinas de Control Interno Disciplinario, en temas de interés e impacto para el Distrito Capital. </v>
      </c>
      <c r="D42" s="28" t="str">
        <f>+'01-FR-03 POA INSTITUCIONAL'!D42</f>
        <v>3.2.1 Realizar una visita de seguimiento a las 51 Oficinas de Control Interno Disciplinario del Distrito e identificar hechos constitutivos de faltas relevantes en temas de interés e impacto en cada anualidad.</v>
      </c>
      <c r="E42" s="46">
        <f>+'01-FR-03 POA INSTITUCIONAL'!E42</f>
        <v>0.5</v>
      </c>
      <c r="F42" s="72">
        <f>+'01-FR-03 POA INSTITUCIONAL'!F42</f>
        <v>204</v>
      </c>
      <c r="G42" s="35">
        <f>+'01-FR-03 POA INSTITUCIONAL'!G42</f>
        <v>204</v>
      </c>
      <c r="H42" s="73" t="str">
        <f>+'01-FR-03 POA INSTITUCIONAL'!H42</f>
        <v>Visitas de seguimiento a Oficinas de Control Interno Disciplinario realizadas</v>
      </c>
      <c r="I42" s="74" t="str">
        <f>+'01-FR-03 POA INSTITUCIONAL'!I42</f>
        <v>Potestad Disciplinaria</v>
      </c>
      <c r="J42" s="75" t="str">
        <f>+'01-FR-03 POA INSTITUCIONAL'!J42</f>
        <v>Personería Delegada para la Coordinación de Potestad Disciplinaria</v>
      </c>
      <c r="K42" s="76">
        <f>+'01-FR-03 POA INSTITUCIONAL'!K42</f>
        <v>51</v>
      </c>
      <c r="L42" s="76">
        <f>+'01-FR-03 POA INSTITUCIONAL'!L42</f>
        <v>51</v>
      </c>
      <c r="M42" s="76">
        <f>+'01-FR-03 POA INSTITUCIONAL'!M42</f>
        <v>51</v>
      </c>
      <c r="N42" s="76">
        <f>+'01-FR-03 POA INSTITUCIONAL'!N42</f>
        <v>51</v>
      </c>
      <c r="O42" s="232">
        <f>+'07-POTESTAD DISCIPLINARIA'!V18</f>
        <v>0</v>
      </c>
      <c r="P42" s="232">
        <f>+'07-POTESTAD DISCIPLINARIA'!W18</f>
        <v>0</v>
      </c>
      <c r="Q42" s="232">
        <f>+'07-POTESTAD DISCIPLINARIA'!AD18</f>
        <v>21</v>
      </c>
      <c r="R42" s="232">
        <f>+'07-POTESTAD DISCIPLINARIA'!AE18</f>
        <v>10</v>
      </c>
      <c r="S42" s="232">
        <f>+'07-POTESTAD DISCIPLINARIA'!AL18</f>
        <v>18</v>
      </c>
      <c r="T42" s="232">
        <f>+'07-POTESTAD DISCIPLINARIA'!AM18</f>
        <v>0</v>
      </c>
      <c r="U42" s="232">
        <f>+'07-POTESTAD DISCIPLINARIA'!AT18</f>
        <v>12</v>
      </c>
      <c r="V42" s="232">
        <f>+'07-POTESTAD DISCIPLINARIA'!AU18</f>
        <v>0</v>
      </c>
      <c r="W42" s="232">
        <f>+'07-POTESTAD DISCIPLINARIA'!AV18</f>
        <v>51</v>
      </c>
      <c r="X42" s="234">
        <f>'07-POTESTAD DISCIPLINARIA'!AX18</f>
        <v>10</v>
      </c>
      <c r="Y42" s="499">
        <f>+'07-POTESTAD DISCIPLINARIA'!BB18</f>
        <v>0.19607843137254902</v>
      </c>
      <c r="Z42" s="222">
        <f>+'07-POTESTAD DISCIPLINARIA'!BF18</f>
        <v>4.9019607843137254E-2</v>
      </c>
      <c r="AA42" s="228">
        <f t="shared" si="0"/>
        <v>2.4509803921568627E-2</v>
      </c>
      <c r="AB42" s="1004">
        <f>SUM(AA42:AA43)</f>
        <v>8.7009803921568624E-2</v>
      </c>
      <c r="AD42" s="225">
        <f>+'07-POTESTAD DISCIPLINARIA'!BD18</f>
        <v>0.19607843137254902</v>
      </c>
      <c r="AE42" s="227">
        <f t="shared" si="1"/>
        <v>0</v>
      </c>
      <c r="AG42" s="225">
        <f>+'07-POTESTAD DISCIPLINARIA'!BH18</f>
        <v>4.9019607843137254E-2</v>
      </c>
      <c r="AH42" s="227">
        <f t="shared" si="2"/>
        <v>0</v>
      </c>
    </row>
    <row r="43" spans="2:34" ht="95.25" customHeight="1">
      <c r="B43" s="1012"/>
      <c r="C43" s="1072"/>
      <c r="D43" s="28" t="str">
        <f>+'01-FR-03 POA INSTITUCIONAL'!D43</f>
        <v>3.2.2 Asumir por competencia preferente el 100% de los procesos cuyos temas sean considerados de interés e impacto el Distrito Capital.</v>
      </c>
      <c r="E43" s="46">
        <f>+'01-FR-03 POA INSTITUCIONAL'!E43</f>
        <v>0.5</v>
      </c>
      <c r="F43" s="29">
        <f>+'01-FR-03 POA INSTITUCIONAL'!F43</f>
        <v>1</v>
      </c>
      <c r="G43" s="96">
        <f>+'01-FR-03 POA INSTITUCIONAL'!G43</f>
        <v>1</v>
      </c>
      <c r="H43" s="73" t="str">
        <f>+'01-FR-03 POA INSTITUCIONAL'!H43</f>
        <v>Procesos de interés e impacto asumidos por competencia</v>
      </c>
      <c r="I43" s="74" t="str">
        <f>+'01-FR-03 POA INSTITUCIONAL'!I43</f>
        <v>Potestad Disciplinaria</v>
      </c>
      <c r="J43" s="75" t="str">
        <f>+'01-FR-03 POA INSTITUCIONAL'!J43</f>
        <v>Personería Delegada para la Coordinación de Potestad Disciplinaria</v>
      </c>
      <c r="K43" s="77">
        <f>+'01-FR-03 POA INSTITUCIONAL'!K43</f>
        <v>1</v>
      </c>
      <c r="L43" s="77">
        <f>+'01-FR-03 POA INSTITUCIONAL'!L43</f>
        <v>1</v>
      </c>
      <c r="M43" s="77">
        <f>+'01-FR-03 POA INSTITUCIONAL'!M43</f>
        <v>1</v>
      </c>
      <c r="N43" s="77">
        <f>+'01-FR-03 POA INSTITUCIONAL'!N43</f>
        <v>1</v>
      </c>
      <c r="O43" s="29">
        <f>+'07-POTESTAD DISCIPLINARIA'!V19</f>
        <v>1</v>
      </c>
      <c r="P43" s="29">
        <f>+'07-POTESTAD DISCIPLINARIA'!W19</f>
        <v>1</v>
      </c>
      <c r="Q43" s="220">
        <f>+'07-POTESTAD DISCIPLINARIA'!AD19</f>
        <v>1</v>
      </c>
      <c r="R43" s="220">
        <f>+'07-POTESTAD DISCIPLINARIA'!AE19</f>
        <v>1</v>
      </c>
      <c r="S43" s="220">
        <f>+'07-POTESTAD DISCIPLINARIA'!AL19</f>
        <v>1</v>
      </c>
      <c r="T43" s="220">
        <f>+'07-POTESTAD DISCIPLINARIA'!AM19</f>
        <v>0</v>
      </c>
      <c r="U43" s="29">
        <f>+'07-POTESTAD DISCIPLINARIA'!AT19</f>
        <v>1</v>
      </c>
      <c r="V43" s="29">
        <f>+'07-POTESTAD DISCIPLINARIA'!AU19</f>
        <v>0</v>
      </c>
      <c r="W43" s="220">
        <f>+'07-POTESTAD DISCIPLINARIA'!AV19</f>
        <v>1</v>
      </c>
      <c r="X43" s="222">
        <f>'07-POTESTAD DISCIPLINARIA'!AX19</f>
        <v>1</v>
      </c>
      <c r="Y43" s="499">
        <f>+'07-POTESTAD DISCIPLINARIA'!BB19</f>
        <v>0.5</v>
      </c>
      <c r="Z43" s="222">
        <f>+'07-POTESTAD DISCIPLINARIA'!BF19</f>
        <v>0.125</v>
      </c>
      <c r="AA43" s="228">
        <f t="shared" si="0"/>
        <v>6.25E-2</v>
      </c>
      <c r="AB43" s="1006"/>
      <c r="AD43" s="225">
        <f>+'07-POTESTAD DISCIPLINARIA'!BD19</f>
        <v>0.996</v>
      </c>
      <c r="AE43" s="227">
        <f t="shared" si="1"/>
        <v>-0.496</v>
      </c>
      <c r="AG43" s="225">
        <f>+'07-POTESTAD DISCIPLINARIA'!BH19</f>
        <v>0.249</v>
      </c>
      <c r="AH43" s="227">
        <f t="shared" si="2"/>
        <v>-0.124</v>
      </c>
    </row>
    <row r="44" spans="2:34" ht="126.75" customHeight="1">
      <c r="B44" s="1012"/>
      <c r="C44" s="89" t="str">
        <f>+'01-FR-03 POA INSTITUCIONAL'!C44</f>
        <v>3.3. Generar 8 escenarios que fortalezcan el conocimiento y las competencias del operador disciplinario, que apoya el cumplimiento de la labor misional, extendiendo el alcance a los jueces naturales en el Distrito Capital.</v>
      </c>
      <c r="D44" s="28" t="str">
        <f>+'01-FR-03 POA INSTITUCIONAL'!D44</f>
        <v>3.3.1 Generar 8 escenarios de intercambio de conocimiento con los(as) servidores(as) públicos(as) para fortalecer el conocimiento en la sustanciación de procesos disciplinarios en el Distrito Capital.</v>
      </c>
      <c r="E44" s="46">
        <f>+'01-FR-03 POA INSTITUCIONAL'!E44</f>
        <v>1</v>
      </c>
      <c r="F44" s="72">
        <f>+'01-FR-03 POA INSTITUCIONAL'!F44</f>
        <v>8</v>
      </c>
      <c r="G44" s="35">
        <f>+'01-FR-03 POA INSTITUCIONAL'!G44</f>
        <v>8</v>
      </c>
      <c r="H44" s="73" t="str">
        <f>+'01-FR-03 POA INSTITUCIONAL'!H44</f>
        <v>Escenarios de intercambio de conocimiento generados</v>
      </c>
      <c r="I44" s="74" t="str">
        <f>+'01-FR-03 POA INSTITUCIONAL'!I44</f>
        <v>Potestad Disciplinaria</v>
      </c>
      <c r="J44" s="75" t="str">
        <f>+'01-FR-03 POA INSTITUCIONAL'!J44</f>
        <v>Personería Delegada para la Coordinación de Potestad Disciplinaria</v>
      </c>
      <c r="K44" s="76">
        <f>+'01-FR-03 POA INSTITUCIONAL'!K44</f>
        <v>2</v>
      </c>
      <c r="L44" s="76">
        <f>+'01-FR-03 POA INSTITUCIONAL'!L44</f>
        <v>2</v>
      </c>
      <c r="M44" s="76">
        <f>+'01-FR-03 POA INSTITUCIONAL'!M44</f>
        <v>2</v>
      </c>
      <c r="N44" s="76">
        <f>+'01-FR-03 POA INSTITUCIONAL'!N44</f>
        <v>2</v>
      </c>
      <c r="O44" s="232">
        <f>+'07-POTESTAD DISCIPLINARIA'!V20</f>
        <v>0</v>
      </c>
      <c r="P44" s="232">
        <f>+'07-POTESTAD DISCIPLINARIA'!W20</f>
        <v>0</v>
      </c>
      <c r="Q44" s="232">
        <f>+'07-POTESTAD DISCIPLINARIA'!AD20</f>
        <v>0</v>
      </c>
      <c r="R44" s="232">
        <f>+'07-POTESTAD DISCIPLINARIA'!AE20</f>
        <v>1</v>
      </c>
      <c r="S44" s="232">
        <f>+'07-POTESTAD DISCIPLINARIA'!AL20</f>
        <v>1</v>
      </c>
      <c r="T44" s="232">
        <f>+'07-POTESTAD DISCIPLINARIA'!AM20</f>
        <v>0</v>
      </c>
      <c r="U44" s="232">
        <f>+'07-POTESTAD DISCIPLINARIA'!AT20</f>
        <v>1</v>
      </c>
      <c r="V44" s="232">
        <f>+'07-POTESTAD DISCIPLINARIA'!AU20</f>
        <v>0</v>
      </c>
      <c r="W44" s="233">
        <f>+'07-POTESTAD DISCIPLINARIA'!AV20</f>
        <v>2</v>
      </c>
      <c r="X44" s="234">
        <f>'07-POTESTAD DISCIPLINARIA'!AX20</f>
        <v>1</v>
      </c>
      <c r="Y44" s="499">
        <f>+'07-POTESTAD DISCIPLINARIA'!BB20</f>
        <v>0.5</v>
      </c>
      <c r="Z44" s="222">
        <f>+'07-POTESTAD DISCIPLINARIA'!BF20</f>
        <v>0.125</v>
      </c>
      <c r="AA44" s="228">
        <f t="shared" si="0"/>
        <v>0.125</v>
      </c>
      <c r="AB44" s="505">
        <f>SUM(AA44)</f>
        <v>0.125</v>
      </c>
      <c r="AD44" s="225">
        <f>+'07-POTESTAD DISCIPLINARIA'!BD20</f>
        <v>0.5</v>
      </c>
      <c r="AE44" s="227">
        <f t="shared" si="1"/>
        <v>0</v>
      </c>
      <c r="AG44" s="225">
        <f>+'07-POTESTAD DISCIPLINARIA'!BH20</f>
        <v>0.125</v>
      </c>
      <c r="AH44" s="227">
        <f t="shared" si="2"/>
        <v>0</v>
      </c>
    </row>
    <row r="45" spans="2:34" ht="61.5" customHeight="1">
      <c r="B45" s="1012"/>
      <c r="C45" s="1325" t="str">
        <f>+'01-FR-03 POA INSTITUCIONAL'!C45:C47</f>
        <v>3.4. Implementar al 100% tres soluciones informáticas propias para la ejecución y gestión de la Potestad Disciplinaria.</v>
      </c>
      <c r="D45" s="28" t="str">
        <f>+'01-FR-03 POA INSTITUCIONAL'!D45</f>
        <v>3.4.1 Implementar un sistema de comunicación efectiva y eficiente con las Oficinas de Control Interno del Distrito Capital.</v>
      </c>
      <c r="E45" s="46">
        <f>+'01-FR-03 POA INSTITUCIONAL'!E45</f>
        <v>0.2</v>
      </c>
      <c r="F45" s="72">
        <f>+'01-FR-03 POA INSTITUCIONAL'!F45</f>
        <v>1</v>
      </c>
      <c r="G45" s="35" t="str">
        <f>+'01-FR-03 POA INSTITUCIONAL'!G45</f>
        <v>S.I.</v>
      </c>
      <c r="H45" s="73" t="str">
        <f>+'01-FR-03 POA INSTITUCIONAL'!H45</f>
        <v xml:space="preserve">Sistema de Comunicación con las Oficinas de Control Interno Disciplinario implementado </v>
      </c>
      <c r="I45" s="74" t="str">
        <f>+'01-FR-03 POA INSTITUCIONAL'!I45</f>
        <v>Potestad Disciplinaria</v>
      </c>
      <c r="J45" s="75" t="str">
        <f>+'01-FR-03 POA INSTITUCIONAL'!J45</f>
        <v>Personería Delegada para la Coordinación de Potestad Disciplinaria</v>
      </c>
      <c r="K45" s="443">
        <f>+'01-FR-03 POA INSTITUCIONAL'!K45</f>
        <v>0.5</v>
      </c>
      <c r="L45" s="443">
        <f>+'01-FR-03 POA INSTITUCIONAL'!L45</f>
        <v>0.5</v>
      </c>
      <c r="M45" s="443">
        <f>+'01-FR-03 POA INSTITUCIONAL'!M45</f>
        <v>0</v>
      </c>
      <c r="N45" s="443">
        <f>+'01-FR-03 POA INSTITUCIONAL'!N45</f>
        <v>0</v>
      </c>
      <c r="O45" s="233">
        <f>+'07-POTESTAD DISCIPLINARIA'!V21</f>
        <v>0</v>
      </c>
      <c r="P45" s="233">
        <f>+'07-POTESTAD DISCIPLINARIA'!W21</f>
        <v>0</v>
      </c>
      <c r="Q45" s="233">
        <f>+'07-POTESTAD DISCIPLINARIA'!AD21</f>
        <v>0</v>
      </c>
      <c r="R45" s="233">
        <f>+'07-POTESTAD DISCIPLINARIA'!AE21</f>
        <v>0</v>
      </c>
      <c r="S45" s="233">
        <f>+'07-POTESTAD DISCIPLINARIA'!AL21</f>
        <v>0</v>
      </c>
      <c r="T45" s="233">
        <f>+'07-POTESTAD DISCIPLINARIA'!AM21</f>
        <v>0</v>
      </c>
      <c r="U45" s="233">
        <f>+'07-POTESTAD DISCIPLINARIA'!AT21</f>
        <v>0</v>
      </c>
      <c r="V45" s="233">
        <f>+'07-POTESTAD DISCIPLINARIA'!AU21</f>
        <v>0</v>
      </c>
      <c r="W45" s="233">
        <f>+'07-POTESTAD DISCIPLINARIA'!AV21</f>
        <v>0</v>
      </c>
      <c r="X45" s="234">
        <f>'07-POTESTAD DISCIPLINARIA'!AX21</f>
        <v>0</v>
      </c>
      <c r="Y45" s="499">
        <f>+'07-POTESTAD DISCIPLINARIA'!BB21</f>
        <v>0</v>
      </c>
      <c r="Z45" s="222">
        <f>+'07-POTESTAD DISCIPLINARIA'!BF21</f>
        <v>0</v>
      </c>
      <c r="AA45" s="953">
        <f t="shared" ref="AA45:AA76" si="3">IF(AND(Z45&gt;0,E45&gt;0),Z45*E45,0)</f>
        <v>0</v>
      </c>
      <c r="AB45" s="1053">
        <f>SUM(AA44:AA47)</f>
        <v>0.23800000000000002</v>
      </c>
      <c r="AD45" s="225">
        <f>+'07-POTESTAD DISCIPLINARIA'!BD21</f>
        <v>0</v>
      </c>
      <c r="AE45" s="227">
        <f t="shared" ref="AE45:AE76" si="4">Y45-AD45</f>
        <v>0</v>
      </c>
      <c r="AG45" s="225">
        <f>+'07-POTESTAD DISCIPLINARIA'!BH21</f>
        <v>0</v>
      </c>
      <c r="AH45" s="227">
        <f t="shared" si="2"/>
        <v>0</v>
      </c>
    </row>
    <row r="46" spans="2:34" ht="61.5" customHeight="1">
      <c r="B46" s="1012"/>
      <c r="C46" s="1077"/>
      <c r="D46" s="28" t="str">
        <f>+'01-FR-03 POA INSTITUCIONAL'!D46</f>
        <v xml:space="preserve">3.4.2 Diseñar e implementar un sistema de información misional que generé el expediente electrónico  </v>
      </c>
      <c r="E46" s="46">
        <f>+'01-FR-03 POA INSTITUCIONAL'!E46</f>
        <v>0.7</v>
      </c>
      <c r="F46" s="72">
        <f>+'01-FR-03 POA INSTITUCIONAL'!F46</f>
        <v>1</v>
      </c>
      <c r="G46" s="35" t="str">
        <f>+'01-FR-03 POA INSTITUCIONAL'!G46</f>
        <v>S.I.</v>
      </c>
      <c r="H46" s="73" t="str">
        <f>+'01-FR-03 POA INSTITUCIONAL'!H46</f>
        <v xml:space="preserve">Sistema de información misional implementado </v>
      </c>
      <c r="I46" s="74" t="str">
        <f>+'01-FR-03 POA INSTITUCIONAL'!I46</f>
        <v>Potestad Disciplinaria</v>
      </c>
      <c r="J46" s="75" t="str">
        <f>+'01-FR-03 POA INSTITUCIONAL'!J46</f>
        <v>Personería Delegada para la Coordinación de Potestad Disciplinaria</v>
      </c>
      <c r="K46" s="443">
        <f>+'01-FR-03 POA INSTITUCIONAL'!K46</f>
        <v>0.2</v>
      </c>
      <c r="L46" s="443">
        <f>+'01-FR-03 POA INSTITUCIONAL'!L46</f>
        <v>0.4</v>
      </c>
      <c r="M46" s="443">
        <f>+'01-FR-03 POA INSTITUCIONAL'!M46</f>
        <v>0.3</v>
      </c>
      <c r="N46" s="443">
        <f>+'01-FR-03 POA INSTITUCIONAL'!N46</f>
        <v>0.1</v>
      </c>
      <c r="O46" s="233">
        <f>+'07-POTESTAD DISCIPLINARIA'!V22</f>
        <v>0.06</v>
      </c>
      <c r="P46" s="233">
        <f>+'07-POTESTAD DISCIPLINARIA'!W22</f>
        <v>0.06</v>
      </c>
      <c r="Q46" s="233">
        <f>+'07-POTESTAD DISCIPLINARIA'!AD22</f>
        <v>0.09</v>
      </c>
      <c r="R46" s="233">
        <f>+'07-POTESTAD DISCIPLINARIA'!AE22</f>
        <v>0.05</v>
      </c>
      <c r="S46" s="233">
        <f>+'07-POTESTAD DISCIPLINARIA'!AL22</f>
        <v>0.09</v>
      </c>
      <c r="T46" s="233">
        <f>+'07-POTESTAD DISCIPLINARIA'!AM22</f>
        <v>0</v>
      </c>
      <c r="U46" s="233">
        <f>+'07-POTESTAD DISCIPLINARIA'!AT22</f>
        <v>0.06</v>
      </c>
      <c r="V46" s="233">
        <f>+'07-POTESTAD DISCIPLINARIA'!AU22</f>
        <v>0</v>
      </c>
      <c r="W46" s="233">
        <f>+'07-POTESTAD DISCIPLINARIA'!AV22</f>
        <v>0.3</v>
      </c>
      <c r="X46" s="234">
        <f>'07-POTESTAD DISCIPLINARIA'!AX22</f>
        <v>0.11</v>
      </c>
      <c r="Y46" s="499">
        <f>+'07-POTESTAD DISCIPLINARIA'!BB22</f>
        <v>0.3666666666666667</v>
      </c>
      <c r="Z46" s="222">
        <f>+'07-POTESTAD DISCIPLINARIA'!BF22</f>
        <v>0.11</v>
      </c>
      <c r="AA46" s="228">
        <f t="shared" si="3"/>
        <v>7.6999999999999999E-2</v>
      </c>
      <c r="AB46" s="1053"/>
      <c r="AD46" s="225">
        <f>+'07-POTESTAD DISCIPLINARIA'!BD22</f>
        <v>0.3666666666666667</v>
      </c>
      <c r="AE46" s="227">
        <f t="shared" si="4"/>
        <v>0</v>
      </c>
      <c r="AG46" s="225">
        <f>+'07-POTESTAD DISCIPLINARIA'!BH22</f>
        <v>0.11</v>
      </c>
      <c r="AH46" s="227">
        <f t="shared" si="2"/>
        <v>0</v>
      </c>
    </row>
    <row r="47" spans="2:34" ht="61.5" customHeight="1">
      <c r="B47" s="1019"/>
      <c r="C47" s="1072"/>
      <c r="D47" s="28" t="str">
        <f>+'01-FR-03 POA INSTITUCIONAL'!D47</f>
        <v xml:space="preserve">3.4.3 Diseñar e implementar una relatoría de las decisiones de fondo adoptadas en ejercicio de la potestad disciplinaria  </v>
      </c>
      <c r="E47" s="46">
        <f>+'01-FR-03 POA INSTITUCIONAL'!E47</f>
        <v>0.1</v>
      </c>
      <c r="F47" s="72">
        <f>+'01-FR-03 POA INSTITUCIONAL'!F47</f>
        <v>1</v>
      </c>
      <c r="G47" s="35" t="str">
        <f>+'01-FR-03 POA INSTITUCIONAL'!G47</f>
        <v>S.I.</v>
      </c>
      <c r="H47" s="73" t="str">
        <f>+'01-FR-03 POA INSTITUCIONAL'!H47</f>
        <v>Relatoría diseñada e implementada</v>
      </c>
      <c r="I47" s="74" t="str">
        <f>+'01-FR-03 POA INSTITUCIONAL'!I47</f>
        <v>Potestad Disciplinaria</v>
      </c>
      <c r="J47" s="75" t="str">
        <f>+'01-FR-03 POA INSTITUCIONAL'!J47</f>
        <v>Personería Delegada para la Coordinación de Potestad Disciplinaria</v>
      </c>
      <c r="K47" s="443">
        <f>+'01-FR-03 POA INSTITUCIONAL'!K47</f>
        <v>0.1</v>
      </c>
      <c r="L47" s="443">
        <f>+'01-FR-03 POA INSTITUCIONAL'!L47</f>
        <v>0.3</v>
      </c>
      <c r="M47" s="443">
        <f>+'01-FR-03 POA INSTITUCIONAL'!M47</f>
        <v>0.4</v>
      </c>
      <c r="N47" s="443">
        <f>+'01-FR-03 POA INSTITUCIONAL'!N47</f>
        <v>0.2</v>
      </c>
      <c r="O47" s="233">
        <f>+'07-POTESTAD DISCIPLINARIA'!V23</f>
        <v>0.08</v>
      </c>
      <c r="P47" s="233">
        <f>+'07-POTESTAD DISCIPLINARIA'!W23</f>
        <v>0.08</v>
      </c>
      <c r="Q47" s="233">
        <f>+'07-POTESTAD DISCIPLINARIA'!AD23</f>
        <v>0.12</v>
      </c>
      <c r="R47" s="233">
        <f>+'07-POTESTAD DISCIPLINARIA'!AE23</f>
        <v>0.28000000000000003</v>
      </c>
      <c r="S47" s="233">
        <f>+'07-POTESTAD DISCIPLINARIA'!AL23</f>
        <v>0.12</v>
      </c>
      <c r="T47" s="233">
        <f>+'07-POTESTAD DISCIPLINARIA'!AM23</f>
        <v>0</v>
      </c>
      <c r="U47" s="233">
        <f>+'07-POTESTAD DISCIPLINARIA'!AT23</f>
        <v>0.08</v>
      </c>
      <c r="V47" s="233">
        <f>+'07-POTESTAD DISCIPLINARIA'!AU23</f>
        <v>0</v>
      </c>
      <c r="W47" s="233">
        <f>+'07-POTESTAD DISCIPLINARIA'!AV23</f>
        <v>0.4</v>
      </c>
      <c r="X47" s="234">
        <f>'07-POTESTAD DISCIPLINARIA'!AX23</f>
        <v>0.36000000000000004</v>
      </c>
      <c r="Y47" s="499">
        <f>+'07-POTESTAD DISCIPLINARIA'!BB23</f>
        <v>0.9</v>
      </c>
      <c r="Z47" s="222">
        <f>+'07-POTESTAD DISCIPLINARIA'!BF23</f>
        <v>0.36000000000000004</v>
      </c>
      <c r="AA47" s="228">
        <f t="shared" si="3"/>
        <v>3.6000000000000004E-2</v>
      </c>
      <c r="AB47" s="1053"/>
      <c r="AD47" s="225">
        <f>+'07-POTESTAD DISCIPLINARIA'!BD23</f>
        <v>0.9</v>
      </c>
      <c r="AE47" s="227">
        <f t="shared" si="4"/>
        <v>0</v>
      </c>
      <c r="AG47" s="225">
        <f>+'07-POTESTAD DISCIPLINARIA'!BH23</f>
        <v>0.36000000000000004</v>
      </c>
      <c r="AH47" s="227">
        <f t="shared" si="2"/>
        <v>0</v>
      </c>
    </row>
    <row r="48" spans="2:34" ht="75" customHeight="1">
      <c r="B48" s="1037" t="s">
        <v>136</v>
      </c>
      <c r="C48" s="1324" t="str">
        <f>+'01-FR-03 POA INSTITUCIONAL'!C48:C54</f>
        <v>4.1. Implementar el 100% de las acciones que impulsen el crecimiento del Modelo de Madurez de Transformación Digital de la Entidad, aplicando los principios , lineamientos y normas que lo enmarcan.</v>
      </c>
      <c r="D48" s="80" t="str">
        <f>+'01-FR-03 POA INSTITUCIONAL'!D48</f>
        <v>4.1.1 Implementar el 100 % de los proyectos de hoja de ruta del Plan Estratégico de Tecnología de la Información de tal forma que se optimicen los procesos de la Entidad</v>
      </c>
      <c r="E48" s="90">
        <f>+'01-FR-03 POA INSTITUCIONAL'!E48</f>
        <v>0.14000000000000001</v>
      </c>
      <c r="F48" s="91">
        <f>+'01-FR-03 POA INSTITUCIONAL'!F48</f>
        <v>1</v>
      </c>
      <c r="G48" s="83" t="str">
        <f>+'01-FR-03 POA INSTITUCIONAL'!G48</f>
        <v>S.I.</v>
      </c>
      <c r="H48" s="80" t="str">
        <f>+'01-FR-03 POA INSTITUCIONAL'!H48</f>
        <v>Porcentaje de proyectos implementados de acuerdo al plan de tecnologías de la Información</v>
      </c>
      <c r="I48" s="80" t="str">
        <f>+'01-FR-03 POA INSTITUCIONAL'!I48</f>
        <v>Direccionamiento TIC</v>
      </c>
      <c r="J48" s="92" t="str">
        <f>+'01-FR-03 POA INSTITUCIONAL'!J48</f>
        <v>Dirección de Tecnologías de la  Información y las Comunicaciones</v>
      </c>
      <c r="K48" s="93">
        <f>+'01-FR-03 POA INSTITUCIONAL'!K48</f>
        <v>0.3</v>
      </c>
      <c r="L48" s="93">
        <f>+'01-FR-03 POA INSTITUCIONAL'!L48</f>
        <v>0.4</v>
      </c>
      <c r="M48" s="93">
        <f>+'01-FR-03 POA INSTITUCIONAL'!M48</f>
        <v>0.25</v>
      </c>
      <c r="N48" s="93">
        <f>+'01-FR-03 POA INSTITUCIONAL'!N48</f>
        <v>0.05</v>
      </c>
      <c r="O48" s="236">
        <f>+'03-DIRECCIONAMIENTO TIC'!V16</f>
        <v>0.05</v>
      </c>
      <c r="P48" s="236">
        <f>+'03-DIRECCIONAMIENTO TIC'!W16</f>
        <v>0.05</v>
      </c>
      <c r="Q48" s="236">
        <f>+'03-DIRECCIONAMIENTO TIC'!AD16</f>
        <v>7.0000000000000007E-2</v>
      </c>
      <c r="R48" s="236">
        <f>+'03-DIRECCIONAMIENTO TIC'!AE16</f>
        <v>7.0000000000000007E-2</v>
      </c>
      <c r="S48" s="236">
        <f>+'03-DIRECCIONAMIENTO TIC'!AL16</f>
        <v>7.0000000000000007E-2</v>
      </c>
      <c r="T48" s="236">
        <f>+'03-DIRECCIONAMIENTO TIC'!AM16</f>
        <v>0</v>
      </c>
      <c r="U48" s="236">
        <f>+'03-DIRECCIONAMIENTO TIC'!AT16</f>
        <v>0.06</v>
      </c>
      <c r="V48" s="236">
        <f>+'03-DIRECCIONAMIENTO TIC'!AU16</f>
        <v>0</v>
      </c>
      <c r="W48" s="236">
        <f>+'03-DIRECCIONAMIENTO TIC'!AV16</f>
        <v>0.25</v>
      </c>
      <c r="X48" s="237">
        <f>'03-DIRECCIONAMIENTO TIC'!AX16</f>
        <v>0.12000000000000001</v>
      </c>
      <c r="Y48" s="501">
        <f>+'03-DIRECCIONAMIENTO TIC'!BB16</f>
        <v>0.48000000000000004</v>
      </c>
      <c r="Z48" s="236">
        <f t="shared" ref="Z48" si="5">IF(AND(X48&gt;0,$F48&gt;0),X48/$F48,0)</f>
        <v>0.12000000000000001</v>
      </c>
      <c r="AA48" s="236">
        <f t="shared" si="3"/>
        <v>1.6800000000000002E-2</v>
      </c>
      <c r="AB48" s="1348">
        <f>SUM(AA48:AA54)</f>
        <v>0.11720000000000001</v>
      </c>
      <c r="AD48" s="225">
        <f>+'03-DIRECCIONAMIENTO TIC'!BD16</f>
        <v>0.48000000000000004</v>
      </c>
      <c r="AE48" s="227">
        <f t="shared" si="4"/>
        <v>0</v>
      </c>
      <c r="AG48" s="225">
        <f>+'03-DIRECCIONAMIENTO TIC'!BH16</f>
        <v>0.12000000000000001</v>
      </c>
      <c r="AH48" s="227">
        <f t="shared" si="2"/>
        <v>0</v>
      </c>
    </row>
    <row r="49" spans="2:34" ht="80.25" customHeight="1">
      <c r="B49" s="1037"/>
      <c r="C49" s="1113"/>
      <c r="D49" s="80" t="str">
        <f>+'01-FR-03 POA INSTITUCIONAL'!D49</f>
        <v>4.1.2 Ejecutar en un 100 % las actividades programadas en el plan de Seguridad de la Información, garantizando la disponibilidad, confiabilidad e integridad de los activos de información</v>
      </c>
      <c r="E49" s="90">
        <f>+'01-FR-03 POA INSTITUCIONAL'!E49</f>
        <v>0.14000000000000001</v>
      </c>
      <c r="F49" s="91">
        <f>+'01-FR-03 POA INSTITUCIONAL'!F49</f>
        <v>1</v>
      </c>
      <c r="G49" s="83" t="str">
        <f>+'01-FR-03 POA INSTITUCIONAL'!G49</f>
        <v>S.I.</v>
      </c>
      <c r="H49" s="80" t="str">
        <f>+'01-FR-03 POA INSTITUCIONAL'!H49</f>
        <v>Porcentaje de actividades ejecutadas de acuerdo al plan de Seguridad de información</v>
      </c>
      <c r="I49" s="80" t="str">
        <f>+'01-FR-03 POA INSTITUCIONAL'!I49</f>
        <v>Direccionamiento TIC</v>
      </c>
      <c r="J49" s="92" t="str">
        <f>+'01-FR-03 POA INSTITUCIONAL'!J49</f>
        <v>Dirección de Tecnologías de la  Información y las Comunicaciones</v>
      </c>
      <c r="K49" s="93">
        <f>+'01-FR-03 POA INSTITUCIONAL'!K49</f>
        <v>0.3</v>
      </c>
      <c r="L49" s="93">
        <f>+'01-FR-03 POA INSTITUCIONAL'!L49</f>
        <v>0.4</v>
      </c>
      <c r="M49" s="93">
        <f>+'01-FR-03 POA INSTITUCIONAL'!M49</f>
        <v>0.25</v>
      </c>
      <c r="N49" s="93">
        <f>+'01-FR-03 POA INSTITUCIONAL'!N49</f>
        <v>0.05</v>
      </c>
      <c r="O49" s="236">
        <f>+'03-DIRECCIONAMIENTO TIC'!V17</f>
        <v>0.05</v>
      </c>
      <c r="P49" s="236">
        <f>+'03-DIRECCIONAMIENTO TIC'!W17</f>
        <v>0.05</v>
      </c>
      <c r="Q49" s="236">
        <f>+'03-DIRECCIONAMIENTO TIC'!AD17</f>
        <v>7.0000000000000007E-2</v>
      </c>
      <c r="R49" s="236">
        <f>+'03-DIRECCIONAMIENTO TIC'!AE17</f>
        <v>7.0000000000000007E-2</v>
      </c>
      <c r="S49" s="236">
        <f>+'03-DIRECCIONAMIENTO TIC'!AL17</f>
        <v>7.0000000000000007E-2</v>
      </c>
      <c r="T49" s="236">
        <f>+'03-DIRECCIONAMIENTO TIC'!AM17</f>
        <v>0</v>
      </c>
      <c r="U49" s="236">
        <f>+'03-DIRECCIONAMIENTO TIC'!AT17</f>
        <v>0.06</v>
      </c>
      <c r="V49" s="236">
        <f>+'03-DIRECCIONAMIENTO TIC'!AU17</f>
        <v>0</v>
      </c>
      <c r="W49" s="236">
        <f>+'03-DIRECCIONAMIENTO TIC'!AV17</f>
        <v>0.25</v>
      </c>
      <c r="X49" s="237">
        <f>'03-DIRECCIONAMIENTO TIC'!AX17</f>
        <v>0.12000000000000001</v>
      </c>
      <c r="Y49" s="501">
        <f t="shared" ref="Y49" si="6">IF(AND(X49&gt;0,$W49&gt;0),X49/$W49,0)</f>
        <v>0.48000000000000004</v>
      </c>
      <c r="Z49" s="236">
        <f>+'03-DIRECCIONAMIENTO TIC'!BF16</f>
        <v>0.12000000000000001</v>
      </c>
      <c r="AA49" s="236">
        <f t="shared" si="3"/>
        <v>1.6800000000000002E-2</v>
      </c>
      <c r="AB49" s="1349"/>
      <c r="AD49" s="225">
        <f>+'03-DIRECCIONAMIENTO TIC'!BD17</f>
        <v>0.48000000000000004</v>
      </c>
      <c r="AE49" s="227">
        <f t="shared" si="4"/>
        <v>0</v>
      </c>
      <c r="AG49" s="225">
        <f>+'03-DIRECCIONAMIENTO TIC'!BH17</f>
        <v>0.12000000000000001</v>
      </c>
      <c r="AH49" s="227">
        <f t="shared" ref="AH49:AH51" si="7">+Z49-AG49</f>
        <v>0</v>
      </c>
    </row>
    <row r="50" spans="2:34" ht="111" customHeight="1">
      <c r="B50" s="1037"/>
      <c r="C50" s="1113"/>
      <c r="D50" s="80" t="str">
        <f>+'01-FR-03 POA INSTITUCIONAL'!D50</f>
        <v>4.1.3 Realizar el 100% de las actividades definidas en la estrategia de servicios ciudadanos digitales, que permitan acceder a los tramites y servicios de la Entidad a través de canales digitales rápidos, fiables y seguros</v>
      </c>
      <c r="E50" s="90">
        <f>+'01-FR-03 POA INSTITUCIONAL'!E50</f>
        <v>0.14000000000000001</v>
      </c>
      <c r="F50" s="91">
        <f>+'01-FR-03 POA INSTITUCIONAL'!F50</f>
        <v>1</v>
      </c>
      <c r="G50" s="83" t="str">
        <f>+'01-FR-03 POA INSTITUCIONAL'!G50</f>
        <v>S.I.</v>
      </c>
      <c r="H50" s="80" t="str">
        <f>+'01-FR-03 POA INSTITUCIONAL'!H50</f>
        <v xml:space="preserve">Porcentaje de actividades ejecutadas  en la estrategia de servicios ciudadanos digitales </v>
      </c>
      <c r="I50" s="80" t="str">
        <f>+'01-FR-03 POA INSTITUCIONAL'!I50</f>
        <v>Direccionamiento TIC</v>
      </c>
      <c r="J50" s="92" t="str">
        <f>+'01-FR-03 POA INSTITUCIONAL'!J50</f>
        <v>Dirección de Tecnologías de la  Información y las Comunicaciones</v>
      </c>
      <c r="K50" s="93">
        <f>+'01-FR-03 POA INSTITUCIONAL'!K50</f>
        <v>0.3</v>
      </c>
      <c r="L50" s="93">
        <f>+'01-FR-03 POA INSTITUCIONAL'!L50</f>
        <v>0.4</v>
      </c>
      <c r="M50" s="93">
        <f>+'01-FR-03 POA INSTITUCIONAL'!M50</f>
        <v>0.25</v>
      </c>
      <c r="N50" s="93">
        <f>+'01-FR-03 POA INSTITUCIONAL'!N50</f>
        <v>0.05</v>
      </c>
      <c r="O50" s="236">
        <f>+'03-DIRECCIONAMIENTO TIC'!V18</f>
        <v>0.05</v>
      </c>
      <c r="P50" s="236">
        <f>+'03-DIRECCIONAMIENTO TIC'!W18</f>
        <v>0.05</v>
      </c>
      <c r="Q50" s="236">
        <f>+'03-DIRECCIONAMIENTO TIC'!AD18</f>
        <v>7.0000000000000007E-2</v>
      </c>
      <c r="R50" s="236">
        <f>+'03-DIRECCIONAMIENTO TIC'!AE18</f>
        <v>7.0000000000000007E-2</v>
      </c>
      <c r="S50" s="236">
        <f>+'03-DIRECCIONAMIENTO TIC'!AL18</f>
        <v>7.0000000000000007E-2</v>
      </c>
      <c r="T50" s="236">
        <f>+'03-DIRECCIONAMIENTO TIC'!AM18</f>
        <v>0</v>
      </c>
      <c r="U50" s="236">
        <f>+'03-DIRECCIONAMIENTO TIC'!AT18</f>
        <v>0.06</v>
      </c>
      <c r="V50" s="236">
        <f>+'03-DIRECCIONAMIENTO TIC'!AU18</f>
        <v>0</v>
      </c>
      <c r="W50" s="236">
        <f>+'03-DIRECCIONAMIENTO TIC'!AV18</f>
        <v>0.25</v>
      </c>
      <c r="X50" s="237">
        <f>'03-DIRECCIONAMIENTO TIC'!AX18</f>
        <v>0.12000000000000001</v>
      </c>
      <c r="Y50" s="501">
        <f t="shared" ref="Y50" si="8">IF(AND(X50&gt;0,$W50&gt;0),X50/$W50,0)</f>
        <v>0.48000000000000004</v>
      </c>
      <c r="Z50" s="236">
        <f>+'03-DIRECCIONAMIENTO TIC'!BF17</f>
        <v>0.12000000000000001</v>
      </c>
      <c r="AA50" s="236">
        <f t="shared" si="3"/>
        <v>1.6800000000000002E-2</v>
      </c>
      <c r="AB50" s="1349"/>
      <c r="AD50" s="225">
        <f>+'03-DIRECCIONAMIENTO TIC'!BD18</f>
        <v>0.48000000000000004</v>
      </c>
      <c r="AE50" s="227">
        <f t="shared" si="4"/>
        <v>0</v>
      </c>
      <c r="AG50" s="225">
        <f>+'03-DIRECCIONAMIENTO TIC'!BH18</f>
        <v>0.12000000000000001</v>
      </c>
      <c r="AH50" s="227">
        <f t="shared" si="7"/>
        <v>0</v>
      </c>
    </row>
    <row r="51" spans="2:34" ht="82.5" customHeight="1">
      <c r="B51" s="1037"/>
      <c r="C51" s="1113"/>
      <c r="D51" s="80" t="str">
        <f>+'01-FR-03 POA INSTITUCIONAL'!D51</f>
        <v>4.1.4 Implementar en un 100% los lineamientos que adopte la Entidad para mejorar la gestión de datos que facilite la toma de decisiones</v>
      </c>
      <c r="E51" s="90">
        <f>+'01-FR-03 POA INSTITUCIONAL'!E51</f>
        <v>0.14000000000000001</v>
      </c>
      <c r="F51" s="91">
        <f>+'01-FR-03 POA INSTITUCIONAL'!F51</f>
        <v>1</v>
      </c>
      <c r="G51" s="83" t="str">
        <f>+'01-FR-03 POA INSTITUCIONAL'!G51</f>
        <v>S.I.</v>
      </c>
      <c r="H51" s="80" t="str">
        <f>+'01-FR-03 POA INSTITUCIONAL'!H51</f>
        <v>Porcentaje de lineamientos adoptados  en la estrategia de gestión de datos</v>
      </c>
      <c r="I51" s="80" t="str">
        <f>+'01-FR-03 POA INSTITUCIONAL'!I51</f>
        <v>Direccionamiento TIC</v>
      </c>
      <c r="J51" s="92" t="str">
        <f>+'01-FR-03 POA INSTITUCIONAL'!J51</f>
        <v>Dirección de Tecnologías de la  Información y las Comunicaciones</v>
      </c>
      <c r="K51" s="93">
        <f>+'01-FR-03 POA INSTITUCIONAL'!K51</f>
        <v>0.3</v>
      </c>
      <c r="L51" s="93">
        <f>+'01-FR-03 POA INSTITUCIONAL'!L51</f>
        <v>0.4</v>
      </c>
      <c r="M51" s="93">
        <f>+'01-FR-03 POA INSTITUCIONAL'!M51</f>
        <v>0.25</v>
      </c>
      <c r="N51" s="93">
        <f>+'01-FR-03 POA INSTITUCIONAL'!N51</f>
        <v>0.05</v>
      </c>
      <c r="O51" s="236">
        <f>+'03-DIRECCIONAMIENTO TIC'!V19</f>
        <v>0.05</v>
      </c>
      <c r="P51" s="236">
        <f>+'03-DIRECCIONAMIENTO TIC'!W19</f>
        <v>0.03</v>
      </c>
      <c r="Q51" s="236">
        <f>+'03-DIRECCIONAMIENTO TIC'!AD19</f>
        <v>7.0000000000000007E-2</v>
      </c>
      <c r="R51" s="236">
        <f>+'03-DIRECCIONAMIENTO TIC'!AE19</f>
        <v>7.0000000000000007E-2</v>
      </c>
      <c r="S51" s="236">
        <f>+'03-DIRECCIONAMIENTO TIC'!AL19</f>
        <v>7.0000000000000007E-2</v>
      </c>
      <c r="T51" s="236">
        <f>+'03-DIRECCIONAMIENTO TIC'!AM19</f>
        <v>0</v>
      </c>
      <c r="U51" s="236">
        <f>+'03-DIRECCIONAMIENTO TIC'!AT19</f>
        <v>0.06</v>
      </c>
      <c r="V51" s="236">
        <f>+'03-DIRECCIONAMIENTO TIC'!AU19</f>
        <v>0</v>
      </c>
      <c r="W51" s="236">
        <f>+'03-DIRECCIONAMIENTO TIC'!AV19</f>
        <v>0.25</v>
      </c>
      <c r="X51" s="237">
        <f>'03-DIRECCIONAMIENTO TIC'!AX19</f>
        <v>0.1</v>
      </c>
      <c r="Y51" s="501">
        <f t="shared" ref="Y51" si="9">IF(AND(X51&gt;0,$W51&gt;0),X51/$W51,0)</f>
        <v>0.4</v>
      </c>
      <c r="Z51" s="236">
        <f>+'03-DIRECCIONAMIENTO TIC'!BF18</f>
        <v>0.12000000000000001</v>
      </c>
      <c r="AA51" s="236">
        <f t="shared" si="3"/>
        <v>1.6800000000000002E-2</v>
      </c>
      <c r="AB51" s="1349"/>
      <c r="AD51" s="225">
        <f>+'03-DIRECCIONAMIENTO TIC'!BD19</f>
        <v>0.4</v>
      </c>
      <c r="AE51" s="227">
        <f t="shared" si="4"/>
        <v>0</v>
      </c>
      <c r="AG51" s="225">
        <f>+'03-DIRECCIONAMIENTO TIC'!BH19</f>
        <v>0.1</v>
      </c>
      <c r="AH51" s="227">
        <f t="shared" si="7"/>
        <v>2.0000000000000004E-2</v>
      </c>
    </row>
    <row r="52" spans="2:34" ht="94.5" customHeight="1">
      <c r="B52" s="1037"/>
      <c r="C52" s="1113"/>
      <c r="D52" s="80" t="str">
        <f>+'01-FR-03 POA INSTITUCIONAL'!D52</f>
        <v>4.1.5 Desarrollar el 100% de los requerimientos prioritarios a Sistemas de Información y de apoyo que garanticen el óptimo desempeño de la gestión de los procesos en la Entidad</v>
      </c>
      <c r="E52" s="90">
        <f>+'01-FR-03 POA INSTITUCIONAL'!E52</f>
        <v>0.14000000000000001</v>
      </c>
      <c r="F52" s="91">
        <f>+'01-FR-03 POA INSTITUCIONAL'!F52</f>
        <v>1</v>
      </c>
      <c r="G52" s="83" t="str">
        <f>+'01-FR-03 POA INSTITUCIONAL'!G52</f>
        <v>S.I.</v>
      </c>
      <c r="H52" s="80" t="str">
        <f>+'01-FR-03 POA INSTITUCIONAL'!H52</f>
        <v>Cantidad de requerimientos prioritarios desarrollados para los sistemas información</v>
      </c>
      <c r="I52" s="80" t="str">
        <f>+'01-FR-03 POA INSTITUCIONAL'!I52</f>
        <v>Direccionamiento TIC</v>
      </c>
      <c r="J52" s="92" t="str">
        <f>+'01-FR-03 POA INSTITUCIONAL'!J52</f>
        <v>Dirección de Tecnologías de la  Información y las Comunicaciones</v>
      </c>
      <c r="K52" s="93">
        <f>+'01-FR-03 POA INSTITUCIONAL'!K52</f>
        <v>0.3</v>
      </c>
      <c r="L52" s="93">
        <f>+'01-FR-03 POA INSTITUCIONAL'!L52</f>
        <v>0.4</v>
      </c>
      <c r="M52" s="93">
        <f>+'01-FR-03 POA INSTITUCIONAL'!M52</f>
        <v>0.25</v>
      </c>
      <c r="N52" s="93">
        <f>+'01-FR-03 POA INSTITUCIONAL'!N52</f>
        <v>0.05</v>
      </c>
      <c r="O52" s="236">
        <f>+'03-DIRECCIONAMIENTO TIC'!V20</f>
        <v>0.05</v>
      </c>
      <c r="P52" s="236">
        <f>+'03-DIRECCIONAMIENTO TIC'!W20</f>
        <v>0.05</v>
      </c>
      <c r="Q52" s="236">
        <f>+'03-DIRECCIONAMIENTO TIC'!AD20</f>
        <v>7.0000000000000007E-2</v>
      </c>
      <c r="R52" s="236">
        <f>+'03-DIRECCIONAMIENTO TIC'!AE20</f>
        <v>7.0000000000000007E-2</v>
      </c>
      <c r="S52" s="236">
        <f>+'03-DIRECCIONAMIENTO TIC'!AL20</f>
        <v>7.0000000000000007E-2</v>
      </c>
      <c r="T52" s="236">
        <f>+'03-DIRECCIONAMIENTO TIC'!AM20</f>
        <v>0</v>
      </c>
      <c r="U52" s="236">
        <f>+'03-DIRECCIONAMIENTO TIC'!AT20</f>
        <v>0.06</v>
      </c>
      <c r="V52" s="236">
        <f>+'03-DIRECCIONAMIENTO TIC'!AU20</f>
        <v>0</v>
      </c>
      <c r="W52" s="236">
        <f>+'03-DIRECCIONAMIENTO TIC'!AV20</f>
        <v>0.25</v>
      </c>
      <c r="X52" s="237">
        <f>'03-DIRECCIONAMIENTO TIC'!AX20</f>
        <v>0.12000000000000001</v>
      </c>
      <c r="Y52" s="501">
        <f t="shared" ref="Y52:Y54" si="10">IF(AND(X52&gt;0,$W52&gt;0),X52/$W52,0)</f>
        <v>0.48000000000000004</v>
      </c>
      <c r="Z52" s="236">
        <f>+'03-DIRECCIONAMIENTO TIC'!BF19</f>
        <v>0.1</v>
      </c>
      <c r="AA52" s="236">
        <f t="shared" si="3"/>
        <v>1.4000000000000002E-2</v>
      </c>
      <c r="AB52" s="1349"/>
      <c r="AD52" s="225">
        <f>+'03-DIRECCIONAMIENTO TIC'!BD20</f>
        <v>0.48000000000000004</v>
      </c>
      <c r="AE52" s="227">
        <f t="shared" si="4"/>
        <v>0</v>
      </c>
      <c r="AG52" s="225">
        <f>+'03-DIRECCIONAMIENTO TIC'!BH20</f>
        <v>0.12000000000000001</v>
      </c>
      <c r="AH52" s="227">
        <f t="shared" ref="AH52:AH55" si="11">+Z52-AG52</f>
        <v>-2.0000000000000004E-2</v>
      </c>
    </row>
    <row r="53" spans="2:34" ht="71.25" customHeight="1">
      <c r="B53" s="1037"/>
      <c r="C53" s="1113"/>
      <c r="D53" s="80" t="str">
        <f>+'01-FR-03 POA INSTITUCIONAL'!D53</f>
        <v>4.1.6 Implementar en un 100% las actividades programadas en el plan de uso y apropiación de las TIC, para una óptima gestión institucional</v>
      </c>
      <c r="E53" s="90">
        <f>+'01-FR-03 POA INSTITUCIONAL'!E53</f>
        <v>0.15</v>
      </c>
      <c r="F53" s="91">
        <f>+'01-FR-03 POA INSTITUCIONAL'!F53</f>
        <v>1</v>
      </c>
      <c r="G53" s="83" t="str">
        <f>+'01-FR-03 POA INSTITUCIONAL'!G53</f>
        <v>S.I.</v>
      </c>
      <c r="H53" s="80" t="str">
        <f>+'01-FR-03 POA INSTITUCIONAL'!H53</f>
        <v>Porcentaje de actividades ejecutadas del plan de uso y apropiación</v>
      </c>
      <c r="I53" s="80" t="str">
        <f>+'01-FR-03 POA INSTITUCIONAL'!I53</f>
        <v>Direccionamiento TIC</v>
      </c>
      <c r="J53" s="92" t="str">
        <f>+'01-FR-03 POA INSTITUCIONAL'!J53</f>
        <v>Dirección de Tecnologías de la  Información y las Comunicaciones</v>
      </c>
      <c r="K53" s="93">
        <f>+'01-FR-03 POA INSTITUCIONAL'!K53</f>
        <v>0.3</v>
      </c>
      <c r="L53" s="93">
        <f>+'01-FR-03 POA INSTITUCIONAL'!L53</f>
        <v>0.4</v>
      </c>
      <c r="M53" s="93">
        <f>+'01-FR-03 POA INSTITUCIONAL'!M53</f>
        <v>0.25</v>
      </c>
      <c r="N53" s="93">
        <f>+'01-FR-03 POA INSTITUCIONAL'!N53</f>
        <v>0.05</v>
      </c>
      <c r="O53" s="236">
        <f>+'03-DIRECCIONAMIENTO TIC'!V21</f>
        <v>0.05</v>
      </c>
      <c r="P53" s="236">
        <f>+'03-DIRECCIONAMIENTO TIC'!W21</f>
        <v>0.05</v>
      </c>
      <c r="Q53" s="236">
        <f>+'03-DIRECCIONAMIENTO TIC'!AD21</f>
        <v>7.0000000000000007E-2</v>
      </c>
      <c r="R53" s="236">
        <f>+'03-DIRECCIONAMIENTO TIC'!AE21</f>
        <v>7.0000000000000007E-2</v>
      </c>
      <c r="S53" s="236">
        <f>+'03-DIRECCIONAMIENTO TIC'!AL21</f>
        <v>7.0000000000000007E-2</v>
      </c>
      <c r="T53" s="236">
        <f>+'03-DIRECCIONAMIENTO TIC'!AM21</f>
        <v>0</v>
      </c>
      <c r="U53" s="236">
        <f>+'03-DIRECCIONAMIENTO TIC'!AT21</f>
        <v>0.06</v>
      </c>
      <c r="V53" s="236">
        <f>+'03-DIRECCIONAMIENTO TIC'!AU21</f>
        <v>0</v>
      </c>
      <c r="W53" s="236">
        <f>+'03-DIRECCIONAMIENTO TIC'!AV21</f>
        <v>0.25</v>
      </c>
      <c r="X53" s="237">
        <f>'03-DIRECCIONAMIENTO TIC'!AX21</f>
        <v>0.12000000000000001</v>
      </c>
      <c r="Y53" s="501">
        <f t="shared" si="10"/>
        <v>0.48000000000000004</v>
      </c>
      <c r="Z53" s="236">
        <f>+'03-DIRECCIONAMIENTO TIC'!BF20</f>
        <v>0.12000000000000001</v>
      </c>
      <c r="AA53" s="236">
        <f t="shared" si="3"/>
        <v>1.8000000000000002E-2</v>
      </c>
      <c r="AB53" s="1349"/>
      <c r="AD53" s="225">
        <f>+'03-DIRECCIONAMIENTO TIC'!BD21</f>
        <v>0.48000000000000004</v>
      </c>
      <c r="AE53" s="227">
        <f t="shared" si="4"/>
        <v>0</v>
      </c>
      <c r="AG53" s="225">
        <f>+'03-DIRECCIONAMIENTO TIC'!BH21</f>
        <v>0.12000000000000001</v>
      </c>
      <c r="AH53" s="227">
        <f t="shared" si="11"/>
        <v>0</v>
      </c>
    </row>
    <row r="54" spans="2:34" ht="87.75" customHeight="1">
      <c r="B54" s="1037"/>
      <c r="C54" s="1114"/>
      <c r="D54" s="80" t="str">
        <f>+'01-FR-03 POA INSTITUCIONAL'!D54</f>
        <v>4.1.7 Optimizar la infraestructura tecnológica cumpliendo el 100% de las actividades de la hoja de ruta proyectada para garantizar la prestación continua de los servicios en la Entidad</v>
      </c>
      <c r="E54" s="90">
        <f>+'01-FR-03 POA INSTITUCIONAL'!E54</f>
        <v>0.15</v>
      </c>
      <c r="F54" s="91">
        <f>+'01-FR-03 POA INSTITUCIONAL'!F54</f>
        <v>1</v>
      </c>
      <c r="G54" s="83" t="str">
        <f>+'01-FR-03 POA INSTITUCIONAL'!G54</f>
        <v>S.I</v>
      </c>
      <c r="H54" s="80" t="str">
        <f>+'01-FR-03 POA INSTITUCIONAL'!H54</f>
        <v>Porcentaje de actividades ejecutadas de la hoja de ruta de optimización tecnológica</v>
      </c>
      <c r="I54" s="80" t="str">
        <f>+'01-FR-03 POA INSTITUCIONAL'!I54</f>
        <v>Direccionamiento TIC</v>
      </c>
      <c r="J54" s="92" t="str">
        <f>+'01-FR-03 POA INSTITUCIONAL'!J54</f>
        <v>Dirección de Tecnologías de la  Información y las Comunicaciones</v>
      </c>
      <c r="K54" s="93">
        <f>+'01-FR-03 POA INSTITUCIONAL'!K54</f>
        <v>0.3</v>
      </c>
      <c r="L54" s="93">
        <f>+'01-FR-03 POA INSTITUCIONAL'!L54</f>
        <v>0.4</v>
      </c>
      <c r="M54" s="93">
        <f>+'01-FR-03 POA INSTITUCIONAL'!M54</f>
        <v>0.25</v>
      </c>
      <c r="N54" s="93">
        <f>+'01-FR-03 POA INSTITUCIONAL'!N54</f>
        <v>0.05</v>
      </c>
      <c r="O54" s="236">
        <f>+'03-DIRECCIONAMIENTO TIC'!V22</f>
        <v>0.05</v>
      </c>
      <c r="P54" s="236">
        <f>+'03-DIRECCIONAMIENTO TIC'!W22</f>
        <v>0.05</v>
      </c>
      <c r="Q54" s="236">
        <f>+'03-DIRECCIONAMIENTO TIC'!AD22</f>
        <v>7.0000000000000007E-2</v>
      </c>
      <c r="R54" s="236">
        <f>+'03-DIRECCIONAMIENTO TIC'!AE22</f>
        <v>7.0000000000000007E-2</v>
      </c>
      <c r="S54" s="236">
        <f>+'03-DIRECCIONAMIENTO TIC'!AL22</f>
        <v>7.0000000000000007E-2</v>
      </c>
      <c r="T54" s="236">
        <f>+'03-DIRECCIONAMIENTO TIC'!AM22</f>
        <v>0</v>
      </c>
      <c r="U54" s="236">
        <f>+'03-DIRECCIONAMIENTO TIC'!AT22</f>
        <v>0.06</v>
      </c>
      <c r="V54" s="236">
        <f>+'03-DIRECCIONAMIENTO TIC'!AU22</f>
        <v>0</v>
      </c>
      <c r="W54" s="236">
        <f>+'03-DIRECCIONAMIENTO TIC'!AV22</f>
        <v>0.25</v>
      </c>
      <c r="X54" s="237">
        <f>'03-DIRECCIONAMIENTO TIC'!AX22</f>
        <v>0.12000000000000001</v>
      </c>
      <c r="Y54" s="501">
        <f t="shared" si="10"/>
        <v>0.48000000000000004</v>
      </c>
      <c r="Z54" s="236">
        <f>+'03-DIRECCIONAMIENTO TIC'!BF21</f>
        <v>0.12000000000000001</v>
      </c>
      <c r="AA54" s="236">
        <f t="shared" si="3"/>
        <v>1.8000000000000002E-2</v>
      </c>
      <c r="AB54" s="1350"/>
      <c r="AD54" s="225">
        <f>+'03-DIRECCIONAMIENTO TIC'!BD22</f>
        <v>0.48000000000000004</v>
      </c>
      <c r="AE54" s="227">
        <f t="shared" si="4"/>
        <v>0</v>
      </c>
      <c r="AG54" s="225">
        <f>+'03-DIRECCIONAMIENTO TIC'!BH22</f>
        <v>0.12000000000000001</v>
      </c>
      <c r="AH54" s="227">
        <f t="shared" si="11"/>
        <v>0</v>
      </c>
    </row>
    <row r="55" spans="2:34" ht="105" customHeight="1">
      <c r="B55" s="1037"/>
      <c r="C55" s="1325" t="str">
        <f>+'01-FR-03 POA INSTITUCIONAL'!C55:C60</f>
        <v>4.2. Consolidar el 90% del Modelo Integrado de Planeación y Gestión –MIPG- y sus sistemas de gestión articulados, como compromiso con la Calidad, la Excelencia, la Responsabilidad Ambiental y la Mejora en la prestación del Servicio.</v>
      </c>
      <c r="D55" s="28" t="str">
        <f>+'01-FR-03 POA INSTITUCIONAL'!D55</f>
        <v>4.2.1 Formular e implementar el 100% de las acciones para la Sostenibilidad y mejora del Sistema de Gestión de la Calidad 
-SGC- (Meta Transversal)</v>
      </c>
      <c r="E55" s="46">
        <f>+'01-FR-03 POA INSTITUCIONAL'!E55</f>
        <v>0.2</v>
      </c>
      <c r="F55" s="29">
        <f>+'01-FR-03 POA INSTITUCIONAL'!F55</f>
        <v>1</v>
      </c>
      <c r="G55" s="96">
        <f>+'01-FR-03 POA INSTITUCIONAL'!G55</f>
        <v>1</v>
      </c>
      <c r="H55" s="73" t="str">
        <f>+'01-FR-03 POA INSTITUCIONAL'!H55</f>
        <v xml:space="preserve">Porcentaje de acciones implementadas para la sostenibilidad y mejora del SGC </v>
      </c>
      <c r="I55" s="74" t="str">
        <f>+'01-FR-03 POA INSTITUCIONAL'!I55</f>
        <v>Direccionamiento Estratégico</v>
      </c>
      <c r="J55" s="75" t="str">
        <f>+'01-FR-03 POA INSTITUCIONAL'!J55</f>
        <v>Dirección de Planeación
Aportan: Dependencias lideradas por  Responsables de procesos y operativos de todos los procesos institucionales</v>
      </c>
      <c r="K55" s="77">
        <f>+'01-FR-03 POA INSTITUCIONAL'!K55</f>
        <v>1</v>
      </c>
      <c r="L55" s="77">
        <f>+'01-FR-03 POA INSTITUCIONAL'!L55</f>
        <v>1</v>
      </c>
      <c r="M55" s="77">
        <f>+'01-FR-03 POA INSTITUCIONAL'!M55</f>
        <v>1</v>
      </c>
      <c r="N55" s="77">
        <f>+'01-FR-03 POA INSTITUCIONAL'!N55</f>
        <v>1</v>
      </c>
      <c r="O55" s="240">
        <f>+'01-DIRECCIONAMIENTO ESTRATÉGICO'!V16</f>
        <v>0.24000000000000002</v>
      </c>
      <c r="P55" s="456">
        <f>+'01-DIRECCIONAMIENTO ESTRATÉGICO'!W16</f>
        <v>0.24000000000000002</v>
      </c>
      <c r="Q55" s="240">
        <f>+'01-DIRECCIONAMIENTO ESTRATÉGICO'!AD16</f>
        <v>0.27</v>
      </c>
      <c r="R55" s="456">
        <f>+'01-DIRECCIONAMIENTO ESTRATÉGICO'!AE16</f>
        <v>0.26890000000000003</v>
      </c>
      <c r="S55" s="240">
        <f>+'01-DIRECCIONAMIENTO ESTRATÉGICO'!AL16</f>
        <v>0.27</v>
      </c>
      <c r="T55" s="240">
        <f>+'01-DIRECCIONAMIENTO ESTRATÉGICO'!AM16</f>
        <v>0</v>
      </c>
      <c r="U55" s="240">
        <f>+'01-DIRECCIONAMIENTO ESTRATÉGICO'!AT16</f>
        <v>0.22</v>
      </c>
      <c r="V55" s="682">
        <f>+'01-DIRECCIONAMIENTO ESTRATÉGICO'!AU16</f>
        <v>0</v>
      </c>
      <c r="W55" s="240">
        <f>+'01-DIRECCIONAMIENTO ESTRATÉGICO'!AV16</f>
        <v>1</v>
      </c>
      <c r="X55" s="257">
        <f>'01-DIRECCIONAMIENTO ESTRATÉGICO'!AX16</f>
        <v>0.50890000000000002</v>
      </c>
      <c r="Y55" s="498">
        <f>+'01-DIRECCIONAMIENTO ESTRATÉGICO'!BB16</f>
        <v>0.50890000000000002</v>
      </c>
      <c r="Z55" s="257">
        <f>+'01-DIRECCIONAMIENTO ESTRATÉGICO'!BF16</f>
        <v>0.127225</v>
      </c>
      <c r="AA55" s="228">
        <f t="shared" si="3"/>
        <v>2.5445000000000002E-2</v>
      </c>
      <c r="AB55" s="1107">
        <f>SUM(AA55:AA60)</f>
        <v>0.12407357142857142</v>
      </c>
      <c r="AD55" s="225">
        <f>+'01-DIRECCIONAMIENTO ESTRATÉGICO'!BD16</f>
        <v>0.50890000000000002</v>
      </c>
      <c r="AE55" s="227">
        <f t="shared" si="4"/>
        <v>0</v>
      </c>
      <c r="AG55" s="225">
        <f>+'01-DIRECCIONAMIENTO ESTRATÉGICO'!BH16</f>
        <v>0.127225</v>
      </c>
      <c r="AH55" s="227">
        <f t="shared" si="11"/>
        <v>0</v>
      </c>
    </row>
    <row r="56" spans="2:34" ht="96" customHeight="1">
      <c r="B56" s="1037"/>
      <c r="C56" s="1077"/>
      <c r="D56" s="28" t="str">
        <f>+'01-FR-03 POA INSTITUCIONAL'!D56</f>
        <v>4.2.2 Implementar el 40% de las actividades requeridas para la sostenibilidad y mejora del MIPG, de acuerdo con la metodología establecida por la Función Pública. (Meta Transversal)</v>
      </c>
      <c r="E56" s="46">
        <f>+'01-FR-03 POA INSTITUCIONAL'!E56</f>
        <v>0.2</v>
      </c>
      <c r="F56" s="29">
        <f>+'01-FR-03 POA INSTITUCIONAL'!F56</f>
        <v>0.4</v>
      </c>
      <c r="G56" s="96">
        <f>+'01-FR-03 POA INSTITUCIONAL'!G56</f>
        <v>0.6</v>
      </c>
      <c r="H56" s="73" t="str">
        <f>+'01-FR-03 POA INSTITUCIONAL'!H56</f>
        <v>Porcentaje de actividades implementadas para la sostenibilidad  y mejora del MIPG</v>
      </c>
      <c r="I56" s="74" t="str">
        <f>+'01-FR-03 POA INSTITUCIONAL'!I56</f>
        <v>Direccionamiento Estratégico</v>
      </c>
      <c r="J56" s="75" t="str">
        <f>+'01-FR-03 POA INSTITUCIONAL'!J56</f>
        <v>Dirección de Planeación
Aportan: Dependencias lideradas por  Responsables de procesos y operativos de todos los procesos institucionales</v>
      </c>
      <c r="K56" s="77">
        <f>+'01-FR-03 POA INSTITUCIONAL'!K56</f>
        <v>0.22</v>
      </c>
      <c r="L56" s="77">
        <f>+'01-FR-03 POA INSTITUCIONAL'!L56</f>
        <v>0.14000000000000001</v>
      </c>
      <c r="M56" s="77">
        <f>+'01-FR-03 POA INSTITUCIONAL'!M56</f>
        <v>0.02</v>
      </c>
      <c r="N56" s="77">
        <f>+'01-FR-03 POA INSTITUCIONAL'!N56</f>
        <v>0.02</v>
      </c>
      <c r="O56" s="240">
        <f>+'01-DIRECCIONAMIENTO ESTRATÉGICO'!V17</f>
        <v>5.0000000000000001E-3</v>
      </c>
      <c r="P56" s="240">
        <f>+'01-DIRECCIONAMIENTO ESTRATÉGICO'!W17</f>
        <v>5.0000000000000001E-3</v>
      </c>
      <c r="Q56" s="240">
        <f>+'01-DIRECCIONAMIENTO ESTRATÉGICO'!AD17</f>
        <v>5.0000000000000001E-3</v>
      </c>
      <c r="R56" s="240">
        <f>+'01-DIRECCIONAMIENTO ESTRATÉGICO'!AE17</f>
        <v>4.8999999999999998E-3</v>
      </c>
      <c r="S56" s="240">
        <f>+'01-DIRECCIONAMIENTO ESTRATÉGICO'!AL17</f>
        <v>6.0000000000000001E-3</v>
      </c>
      <c r="T56" s="240">
        <f>+'01-DIRECCIONAMIENTO ESTRATÉGICO'!AM17</f>
        <v>0</v>
      </c>
      <c r="U56" s="240">
        <f>+'01-DIRECCIONAMIENTO ESTRATÉGICO'!AT17</f>
        <v>4.0000000000000001E-3</v>
      </c>
      <c r="V56" s="240">
        <f>+'01-DIRECCIONAMIENTO ESTRATÉGICO'!AU17</f>
        <v>0</v>
      </c>
      <c r="W56" s="240">
        <f>+'01-DIRECCIONAMIENTO ESTRATÉGICO'!AV17</f>
        <v>0.02</v>
      </c>
      <c r="X56" s="257">
        <f>'01-DIRECCIONAMIENTO ESTRATÉGICO'!AX17</f>
        <v>9.8999999999999991E-3</v>
      </c>
      <c r="Y56" s="498">
        <f>+'01-DIRECCIONAMIENTO ESTRATÉGICO'!BB17</f>
        <v>0.49499999999999994</v>
      </c>
      <c r="Z56" s="257">
        <f>+'01-DIRECCIONAMIENTO ESTRATÉGICO'!BF17</f>
        <v>2.4749999999999998E-2</v>
      </c>
      <c r="AA56" s="228">
        <f t="shared" si="3"/>
        <v>4.9499999999999995E-3</v>
      </c>
      <c r="AB56" s="1351"/>
      <c r="AD56" s="225">
        <f>+'01-DIRECCIONAMIENTO ESTRATÉGICO'!BD17</f>
        <v>0.49499999999999994</v>
      </c>
      <c r="AE56" s="227">
        <f t="shared" si="4"/>
        <v>0</v>
      </c>
      <c r="AG56" s="225">
        <f>+'01-DIRECCIONAMIENTO ESTRATÉGICO'!BH17</f>
        <v>2.4749999999999998E-2</v>
      </c>
      <c r="AH56" s="227">
        <f t="shared" ref="AH56:AH61" si="12">+Z56-AG56</f>
        <v>0</v>
      </c>
    </row>
    <row r="57" spans="2:34" ht="74.25" customHeight="1">
      <c r="B57" s="1037"/>
      <c r="C57" s="1077"/>
      <c r="D57" s="28" t="str">
        <f>+'01-FR-03 POA INSTITUCIONAL'!D57</f>
        <v>4.2.3 Implementar el 100% de los requisitos del Sistema de Gestión Ambiental –SGA-, bajo los estándares de la norma ISO 14001</v>
      </c>
      <c r="E57" s="46">
        <f>+'01-FR-03 POA INSTITUCIONAL'!E57</f>
        <v>0.15</v>
      </c>
      <c r="F57" s="29">
        <f>+'01-FR-03 POA INSTITUCIONAL'!F57</f>
        <v>1</v>
      </c>
      <c r="G57" s="96" t="str">
        <f>+'01-FR-03 POA INSTITUCIONAL'!G57</f>
        <v>S.I.</v>
      </c>
      <c r="H57" s="73" t="str">
        <f>+'01-FR-03 POA INSTITUCIONAL'!H57</f>
        <v xml:space="preserve">Porcentaje de requisitos del  SGA implementados bajo los estándares de la norma ISO 14001 </v>
      </c>
      <c r="I57" s="74" t="str">
        <f>+'01-FR-03 POA INSTITUCIONAL'!I57</f>
        <v>Direccionamiento Estratégico</v>
      </c>
      <c r="J57" s="75" t="str">
        <f>+'01-FR-03 POA INSTITUCIONAL'!J57</f>
        <v>Dirección de Planeación</v>
      </c>
      <c r="K57" s="77">
        <f>+'01-FR-03 POA INSTITUCIONAL'!K57</f>
        <v>0.38</v>
      </c>
      <c r="L57" s="77">
        <f>+'01-FR-03 POA INSTITUCIONAL'!L57</f>
        <v>0.33</v>
      </c>
      <c r="M57" s="77">
        <f>+'01-FR-03 POA INSTITUCIONAL'!M57</f>
        <v>0.28999999999999998</v>
      </c>
      <c r="N57" s="77">
        <f>+'01-FR-03 POA INSTITUCIONAL'!N57</f>
        <v>0</v>
      </c>
      <c r="O57" s="240">
        <f>+'01-DIRECCIONAMIENTO ESTRATÉGICO'!V18</f>
        <v>8.0600000000000005E-2</v>
      </c>
      <c r="P57" s="240">
        <f>+'01-DIRECCIONAMIENTO ESTRATÉGICO'!W18</f>
        <v>8.0600000000000005E-2</v>
      </c>
      <c r="Q57" s="240">
        <f>+'01-DIRECCIONAMIENTO ESTRATÉGICO'!AD18</f>
        <v>0.1094</v>
      </c>
      <c r="R57" s="240">
        <f>+'01-DIRECCIONAMIENTO ESTRATÉGICO'!AE18</f>
        <v>0.1094</v>
      </c>
      <c r="S57" s="240">
        <f>+'01-DIRECCIONAMIENTO ESTRATÉGICO'!AL18</f>
        <v>4.5100000000000001E-2</v>
      </c>
      <c r="T57" s="240">
        <f>+'01-DIRECCIONAMIENTO ESTRATÉGICO'!AM18</f>
        <v>0</v>
      </c>
      <c r="U57" s="240">
        <f>+'01-DIRECCIONAMIENTO ESTRATÉGICO'!AT18</f>
        <v>5.4900000000000004E-2</v>
      </c>
      <c r="V57" s="240">
        <f>+'01-DIRECCIONAMIENTO ESTRATÉGICO'!AU18</f>
        <v>0</v>
      </c>
      <c r="W57" s="240">
        <f>+'01-DIRECCIONAMIENTO ESTRATÉGICO'!AV18</f>
        <v>0.29000000000000004</v>
      </c>
      <c r="X57" s="257">
        <f>'01-DIRECCIONAMIENTO ESTRATÉGICO'!AX18</f>
        <v>0.19</v>
      </c>
      <c r="Y57" s="498">
        <f>+'01-DIRECCIONAMIENTO ESTRATÉGICO'!BB18</f>
        <v>0.65517241379310343</v>
      </c>
      <c r="Z57" s="257">
        <f>+'01-DIRECCIONAMIENTO ESTRATÉGICO'!BF18</f>
        <v>0.19</v>
      </c>
      <c r="AA57" s="228">
        <f t="shared" si="3"/>
        <v>2.8499999999999998E-2</v>
      </c>
      <c r="AB57" s="1351"/>
      <c r="AD57" s="225">
        <f>+'01-DIRECCIONAMIENTO ESTRATÉGICO'!BD18</f>
        <v>0.65517241379310343</v>
      </c>
      <c r="AE57" s="227">
        <f t="shared" si="4"/>
        <v>0</v>
      </c>
      <c r="AG57" s="225">
        <f>+'01-DIRECCIONAMIENTO ESTRATÉGICO'!BH18</f>
        <v>0.19</v>
      </c>
      <c r="AH57" s="227">
        <f t="shared" si="12"/>
        <v>0</v>
      </c>
    </row>
    <row r="58" spans="2:34" ht="63" customHeight="1">
      <c r="B58" s="1037"/>
      <c r="C58" s="1077"/>
      <c r="D58" s="28" t="str">
        <f>+'01-FR-03 POA INSTITUCIONAL'!D58</f>
        <v>4.2.4 Realizar 12 acciones de monitoreo y revisión  al Plan Anticorrupción y de Atención al Ciudadano -PAAC- de la vigencia.</v>
      </c>
      <c r="E58" s="46">
        <f>+'01-FR-03 POA INSTITUCIONAL'!E58</f>
        <v>0.1</v>
      </c>
      <c r="F58" s="72">
        <f>+'01-FR-03 POA INSTITUCIONAL'!F58</f>
        <v>12</v>
      </c>
      <c r="G58" s="35" t="str">
        <f>+'01-FR-03 POA INSTITUCIONAL'!G58</f>
        <v>3 
(En el último año)</v>
      </c>
      <c r="H58" s="73" t="str">
        <f>+'01-FR-03 POA INSTITUCIONAL'!H58</f>
        <v>Acciones de monitoreo y revisión realizadas al PAAC</v>
      </c>
      <c r="I58" s="74" t="str">
        <f>+'01-FR-03 POA INSTITUCIONAL'!I58</f>
        <v>Direccionamiento Estratégico</v>
      </c>
      <c r="J58" s="75" t="str">
        <f>+'01-FR-03 POA INSTITUCIONAL'!J58</f>
        <v>Dirección de Planeación</v>
      </c>
      <c r="K58" s="76">
        <f>+'01-FR-03 POA INSTITUCIONAL'!K58</f>
        <v>3</v>
      </c>
      <c r="L58" s="76">
        <f>+'01-FR-03 POA INSTITUCIONAL'!L58</f>
        <v>3</v>
      </c>
      <c r="M58" s="76">
        <f>+'01-FR-03 POA INSTITUCIONAL'!M58</f>
        <v>3</v>
      </c>
      <c r="N58" s="76">
        <f>+'01-FR-03 POA INSTITUCIONAL'!N58</f>
        <v>3</v>
      </c>
      <c r="O58" s="95">
        <f>+'01-DIRECCIONAMIENTO ESTRATÉGICO'!V19</f>
        <v>1</v>
      </c>
      <c r="P58" s="95">
        <f>+'01-DIRECCIONAMIENTO ESTRATÉGICO'!W19</f>
        <v>1</v>
      </c>
      <c r="Q58" s="94">
        <f>+'01-DIRECCIONAMIENTO ESTRATÉGICO'!AD19</f>
        <v>1</v>
      </c>
      <c r="R58" s="94">
        <f>+'01-DIRECCIONAMIENTO ESTRATÉGICO'!AE19</f>
        <v>1</v>
      </c>
      <c r="S58" s="94">
        <f>+'01-DIRECCIONAMIENTO ESTRATÉGICO'!AL19</f>
        <v>1</v>
      </c>
      <c r="T58" s="94">
        <f>+'01-DIRECCIONAMIENTO ESTRATÉGICO'!AM19</f>
        <v>0</v>
      </c>
      <c r="U58" s="94">
        <f>+'01-DIRECCIONAMIENTO ESTRATÉGICO'!AT19</f>
        <v>0</v>
      </c>
      <c r="V58" s="94">
        <f>+'01-DIRECCIONAMIENTO ESTRATÉGICO'!AU19</f>
        <v>0</v>
      </c>
      <c r="W58" s="94">
        <f>+'01-DIRECCIONAMIENTO ESTRATÉGICO'!AV19</f>
        <v>3</v>
      </c>
      <c r="X58" s="235">
        <f>'01-DIRECCIONAMIENTO ESTRATÉGICO'!AX19</f>
        <v>2</v>
      </c>
      <c r="Y58" s="498">
        <f>+'01-DIRECCIONAMIENTO ESTRATÉGICO'!BB19</f>
        <v>0.66666666666666663</v>
      </c>
      <c r="Z58" s="257">
        <f>+'01-DIRECCIONAMIENTO ESTRATÉGICO'!BF19</f>
        <v>0.16666666666666666</v>
      </c>
      <c r="AA58" s="228">
        <f t="shared" si="3"/>
        <v>1.6666666666666666E-2</v>
      </c>
      <c r="AB58" s="1351"/>
      <c r="AD58" s="225">
        <f>+'01-DIRECCIONAMIENTO ESTRATÉGICO'!BD19</f>
        <v>0.66666666666666663</v>
      </c>
      <c r="AE58" s="227">
        <f t="shared" si="4"/>
        <v>0</v>
      </c>
      <c r="AG58" s="225">
        <f>+'01-DIRECCIONAMIENTO ESTRATÉGICO'!BH19</f>
        <v>0.16666666666666666</v>
      </c>
      <c r="AH58" s="227">
        <f t="shared" si="12"/>
        <v>0</v>
      </c>
    </row>
    <row r="59" spans="2:34" ht="63" customHeight="1">
      <c r="B59" s="1037"/>
      <c r="C59" s="1077"/>
      <c r="D59" s="28" t="str">
        <f>+'01-FR-03 POA INSTITUCIONAL'!D59</f>
        <v>4.2.5 Incrementar al 90% la percepción de los usuarios que califican como excelente y bueno el servicio en la Personería de Bogotá</v>
      </c>
      <c r="E59" s="46">
        <f>+'01-FR-03 POA INSTITUCIONAL'!E59</f>
        <v>0.2</v>
      </c>
      <c r="F59" s="29">
        <f>+'01-FR-03 POA INSTITUCIONAL'!F59</f>
        <v>0.9</v>
      </c>
      <c r="G59" s="96">
        <f>+'01-FR-03 POA INSTITUCIONAL'!G59</f>
        <v>0.86</v>
      </c>
      <c r="H59" s="73" t="str">
        <f>+'01-FR-03 POA INSTITUCIONAL'!H59</f>
        <v>Porcentaje de Percepción de los usuarios en calificación excelente y bueno incrementado</v>
      </c>
      <c r="I59" s="74" t="str">
        <f>+'01-FR-03 POA INSTITUCIONAL'!I59</f>
        <v>Servicio al Usuario</v>
      </c>
      <c r="J59" s="75" t="str">
        <f>+'01-FR-03 POA INSTITUCIONAL'!J59</f>
        <v>Secretaría General</v>
      </c>
      <c r="K59" s="77">
        <f>+'01-FR-03 POA INSTITUCIONAL'!K59</f>
        <v>0.9</v>
      </c>
      <c r="L59" s="77">
        <f>+'01-FR-03 POA INSTITUCIONAL'!L59</f>
        <v>0.9</v>
      </c>
      <c r="M59" s="77">
        <f>+'01-FR-03 POA INSTITUCIONAL'!M59</f>
        <v>0.9</v>
      </c>
      <c r="N59" s="77">
        <f>+'01-FR-03 POA INSTITUCIONAL'!N59</f>
        <v>0.9</v>
      </c>
      <c r="O59" s="259">
        <f>+'14-SERVICIO AL USUARIO'!V16</f>
        <v>0.9</v>
      </c>
      <c r="P59" s="260">
        <f>+'14-SERVICIO AL USUARIO'!W16</f>
        <v>0.97499999999999998</v>
      </c>
      <c r="Q59" s="259">
        <f>+'14-SERVICIO AL USUARIO'!AD16</f>
        <v>0</v>
      </c>
      <c r="R59" s="259">
        <f>+'14-SERVICIO AL USUARIO'!AE16</f>
        <v>0</v>
      </c>
      <c r="S59" s="259">
        <f>+'14-SERVICIO AL USUARIO'!AL16</f>
        <v>0.9</v>
      </c>
      <c r="T59" s="259">
        <f>+'14-SERVICIO AL USUARIO'!AM16</f>
        <v>0</v>
      </c>
      <c r="U59" s="259">
        <f>+'14-SERVICIO AL USUARIO'!AT16</f>
        <v>0</v>
      </c>
      <c r="V59" s="240">
        <f>+'14-SERVICIO AL USUARIO'!AU16</f>
        <v>0</v>
      </c>
      <c r="W59" s="259">
        <f>+'14-SERVICIO AL USUARIO'!AV16</f>
        <v>0.9</v>
      </c>
      <c r="X59" s="246">
        <f>'14-SERVICIO AL USUARIO'!AX16</f>
        <v>0.97499999999999998</v>
      </c>
      <c r="Y59" s="499">
        <f>+'14-SERVICIO AL USUARIO'!BB16</f>
        <v>0.54166666666666663</v>
      </c>
      <c r="Z59" s="257">
        <f>+'14-SERVICIO AL USUARIO'!BF16</f>
        <v>0.13541666666666666</v>
      </c>
      <c r="AA59" s="261">
        <f t="shared" si="3"/>
        <v>2.7083333333333334E-2</v>
      </c>
      <c r="AB59" s="1351"/>
      <c r="AD59" s="225">
        <f>+'14-SERVICIO AL USUARIO'!BD16</f>
        <v>1.0833333333333333</v>
      </c>
      <c r="AE59" s="227">
        <f t="shared" si="4"/>
        <v>-0.54166666666666663</v>
      </c>
      <c r="AF59" s="12"/>
      <c r="AG59" s="225">
        <f>+'14-SERVICIO AL USUARIO'!BH16</f>
        <v>0.27083333333333331</v>
      </c>
      <c r="AH59" s="227">
        <f t="shared" si="12"/>
        <v>-0.13541666666666666</v>
      </c>
    </row>
    <row r="60" spans="2:34" ht="70.5" customHeight="1">
      <c r="B60" s="1037"/>
      <c r="C60" s="1072"/>
      <c r="D60" s="28" t="str">
        <f>+'01-FR-03 POA INSTITUCIONAL'!D60</f>
        <v xml:space="preserve">4.2.6 Implementar 7 lineamientos en compromiso con la calidad para satisfacer las necesidades y expectativas de los (as) usuarios(as) y partes interesadas </v>
      </c>
      <c r="E60" s="46">
        <f>+'01-FR-03 POA INSTITUCIONAL'!E60</f>
        <v>0.15</v>
      </c>
      <c r="F60" s="72">
        <f>+'01-FR-03 POA INSTITUCIONAL'!F60</f>
        <v>7</v>
      </c>
      <c r="G60" s="35">
        <f>+'01-FR-03 POA INSTITUCIONAL'!G60</f>
        <v>3</v>
      </c>
      <c r="H60" s="73" t="str">
        <f>+'01-FR-03 POA INSTITUCIONAL'!H60</f>
        <v>Lineamientos implementados</v>
      </c>
      <c r="I60" s="74" t="str">
        <f>+'01-FR-03 POA INSTITUCIONAL'!I60</f>
        <v>Servicio al Usuario</v>
      </c>
      <c r="J60" s="75" t="str">
        <f>+'01-FR-03 POA INSTITUCIONAL'!J60</f>
        <v>Secretaría General</v>
      </c>
      <c r="K60" s="76">
        <f>+'01-FR-03 POA INSTITUCIONAL'!K60</f>
        <v>2</v>
      </c>
      <c r="L60" s="76">
        <f>+'01-FR-03 POA INSTITUCIONAL'!L60</f>
        <v>3</v>
      </c>
      <c r="M60" s="76">
        <f>+'01-FR-03 POA INSTITUCIONAL'!M60</f>
        <v>1</v>
      </c>
      <c r="N60" s="76">
        <f>+'01-FR-03 POA INSTITUCIONAL'!N60</f>
        <v>1</v>
      </c>
      <c r="O60" s="262">
        <f>+'14-SERVICIO AL USUARIO'!V17</f>
        <v>0</v>
      </c>
      <c r="P60" s="262">
        <f>+'14-SERVICIO AL USUARIO'!W17</f>
        <v>0</v>
      </c>
      <c r="Q60" s="262">
        <f>+'14-SERVICIO AL USUARIO'!AD17</f>
        <v>1</v>
      </c>
      <c r="R60" s="262">
        <f>+'14-SERVICIO AL USUARIO'!AE17</f>
        <v>1</v>
      </c>
      <c r="S60" s="262">
        <f>+'14-SERVICIO AL USUARIO'!AL17</f>
        <v>0</v>
      </c>
      <c r="T60" s="262">
        <f>+'14-SERVICIO AL USUARIO'!AM17</f>
        <v>0</v>
      </c>
      <c r="U60" s="262">
        <f>+'14-SERVICIO AL USUARIO'!AT17</f>
        <v>0</v>
      </c>
      <c r="V60" s="262">
        <f>+'14-SERVICIO AL USUARIO'!AU17</f>
        <v>0</v>
      </c>
      <c r="W60" s="262">
        <f>+'14-SERVICIO AL USUARIO'!AV17</f>
        <v>1</v>
      </c>
      <c r="X60" s="263">
        <f>'14-SERVICIO AL USUARIO'!AX17</f>
        <v>1</v>
      </c>
      <c r="Y60" s="499">
        <f>+'14-SERVICIO AL USUARIO'!BB17</f>
        <v>1</v>
      </c>
      <c r="Z60" s="257">
        <f>+'14-SERVICIO AL USUARIO'!BF17</f>
        <v>0.14285714285714285</v>
      </c>
      <c r="AA60" s="261">
        <f t="shared" si="3"/>
        <v>2.1428571428571425E-2</v>
      </c>
      <c r="AB60" s="1352"/>
      <c r="AD60" s="225">
        <f>+'14-SERVICIO AL USUARIO'!BD17</f>
        <v>1</v>
      </c>
      <c r="AE60" s="227">
        <f t="shared" si="4"/>
        <v>0</v>
      </c>
      <c r="AF60" s="12"/>
      <c r="AG60" s="225">
        <f>+'14-SERVICIO AL USUARIO'!BH17</f>
        <v>0.14285714285714285</v>
      </c>
      <c r="AH60" s="227">
        <f t="shared" si="12"/>
        <v>0</v>
      </c>
    </row>
    <row r="61" spans="2:34" ht="60" customHeight="1">
      <c r="B61" s="1037"/>
      <c r="C61" s="1324" t="str">
        <f>+'01-FR-03 POA INSTITUCIONAL'!C61:C68</f>
        <v xml:space="preserve">4.3. Realizar el 100% de las actividades relacionadas con la Gestión del Talento Humano, que permita su fortalecimiento y el desarrollo de sus conocimientos, su competencia y bienestar. </v>
      </c>
      <c r="D61" s="80" t="str">
        <f>+'01-FR-03 POA INSTITUCIONAL'!D61</f>
        <v xml:space="preserve">4.3.1 Gestionar el 100% de las novedades y situaciones administrativas de los servidores públicos de la Entidad.
</v>
      </c>
      <c r="E61" s="90">
        <f>+'01-FR-03 POA INSTITUCIONAL'!E61</f>
        <v>0.1</v>
      </c>
      <c r="F61" s="91">
        <f>+'01-FR-03 POA INSTITUCIONAL'!F61</f>
        <v>1</v>
      </c>
      <c r="G61" s="83">
        <f>+'01-FR-03 POA INSTITUCIONAL'!G61</f>
        <v>1</v>
      </c>
      <c r="H61" s="80" t="str">
        <f>+'01-FR-03 POA INSTITUCIONAL'!H61</f>
        <v>Porcentaje de novedades y situaciones administrativas gestionadas</v>
      </c>
      <c r="I61" s="80" t="str">
        <f>+'01-FR-03 POA INSTITUCIONAL'!I61</f>
        <v>Gestión del Talento Humano</v>
      </c>
      <c r="J61" s="92" t="str">
        <f>+'01-FR-03 POA INSTITUCIONAL'!J61</f>
        <v xml:space="preserve">
Dirección de Talento Humano
</v>
      </c>
      <c r="K61" s="93">
        <f>+'01-FR-03 POA INSTITUCIONAL'!K61</f>
        <v>1</v>
      </c>
      <c r="L61" s="93">
        <f>+'01-FR-03 POA INSTITUCIONAL'!L61</f>
        <v>1</v>
      </c>
      <c r="M61" s="93">
        <f>+'01-FR-03 POA INSTITUCIONAL'!M61</f>
        <v>1</v>
      </c>
      <c r="N61" s="93">
        <f>+'01-FR-03 POA INSTITUCIONAL'!N61</f>
        <v>1</v>
      </c>
      <c r="O61" s="242">
        <f>+'08-G. DEL TALENTO HUMANO'!V16</f>
        <v>1</v>
      </c>
      <c r="P61" s="242">
        <f>+'08-G. DEL TALENTO HUMANO'!W16</f>
        <v>1</v>
      </c>
      <c r="Q61" s="100">
        <f>+'08-G. DEL TALENTO HUMANO'!AD16</f>
        <v>1</v>
      </c>
      <c r="R61" s="242">
        <f>+'08-G. DEL TALENTO HUMANO'!AE16</f>
        <v>1</v>
      </c>
      <c r="S61" s="100">
        <f>+'08-G. DEL TALENTO HUMANO'!AL16</f>
        <v>1</v>
      </c>
      <c r="T61" s="100">
        <f>'08-G. DEL TALENTO HUMANO'!AM16</f>
        <v>0</v>
      </c>
      <c r="U61" s="100">
        <f>+'08-G. DEL TALENTO HUMANO'!AT16</f>
        <v>1</v>
      </c>
      <c r="V61" s="100">
        <f>+'08-G. DEL TALENTO HUMANO'!AU16</f>
        <v>0</v>
      </c>
      <c r="W61" s="100">
        <f>+'08-G. DEL TALENTO HUMANO'!AV16</f>
        <v>1</v>
      </c>
      <c r="X61" s="230">
        <f>'08-G. DEL TALENTO HUMANO'!AX16</f>
        <v>1</v>
      </c>
      <c r="Y61" s="799">
        <f>+'08-G. DEL TALENTO HUMANO'!BB16</f>
        <v>0.5</v>
      </c>
      <c r="Z61" s="243">
        <f>+'08-G. DEL TALENTO HUMANO'!BF16</f>
        <v>0.125</v>
      </c>
      <c r="AA61" s="243">
        <f t="shared" si="3"/>
        <v>1.2500000000000001E-2</v>
      </c>
      <c r="AB61" s="1353">
        <f>SUM(AA61:AA68)</f>
        <v>0.11581210199792255</v>
      </c>
      <c r="AD61" s="225">
        <f>+'08-G. DEL TALENTO HUMANO'!BD16</f>
        <v>1</v>
      </c>
      <c r="AE61" s="227">
        <f t="shared" si="4"/>
        <v>-0.5</v>
      </c>
      <c r="AG61" s="225">
        <f>+'08-G. DEL TALENTO HUMANO'!BH16</f>
        <v>0.25</v>
      </c>
      <c r="AH61" s="227">
        <f t="shared" si="12"/>
        <v>-0.125</v>
      </c>
    </row>
    <row r="62" spans="2:34" ht="88.5" customHeight="1">
      <c r="B62" s="1037"/>
      <c r="C62" s="1113"/>
      <c r="D62" s="80" t="str">
        <f>+'01-FR-03 POA INSTITUCIONAL'!D62</f>
        <v xml:space="preserve">4.3.2 Incluir el 97,8% de las Novedades en la nómina oportunamente, para liquidación y pago </v>
      </c>
      <c r="E62" s="90">
        <f>+'01-FR-03 POA INSTITUCIONAL'!E62</f>
        <v>0.1</v>
      </c>
      <c r="F62" s="708">
        <f>+'01-FR-03 POA INSTITUCIONAL'!F62</f>
        <v>0.97799999999999998</v>
      </c>
      <c r="G62" s="83">
        <f>+'01-FR-03 POA INSTITUCIONAL'!G62</f>
        <v>0.97</v>
      </c>
      <c r="H62" s="80" t="str">
        <f>+'01-FR-03 POA INSTITUCIONAL'!H62</f>
        <v xml:space="preserve">Novedades incluidas en la nómina  oportunamente  </v>
      </c>
      <c r="I62" s="80" t="str">
        <f>+'01-FR-03 POA INSTITUCIONAL'!I62</f>
        <v>Gestión del Talento Humano</v>
      </c>
      <c r="J62" s="92" t="str">
        <f>+'01-FR-03 POA INSTITUCIONAL'!J62</f>
        <v>Dependencia Líder: 
Dirección de Talento Humano
Dependencia Operativa:
Subdirección de Gestión del Talento Humano</v>
      </c>
      <c r="K62" s="93">
        <f>+'01-FR-03 POA INSTITUCIONAL'!K62</f>
        <v>0.97</v>
      </c>
      <c r="L62" s="93">
        <f>+'01-FR-03 POA INSTITUCIONAL'!L62</f>
        <v>0.98</v>
      </c>
      <c r="M62" s="93">
        <f>+'01-FR-03 POA INSTITUCIONAL'!M62</f>
        <v>0.98</v>
      </c>
      <c r="N62" s="93">
        <f>+'01-FR-03 POA INSTITUCIONAL'!N62</f>
        <v>0.98</v>
      </c>
      <c r="O62" s="242">
        <f>+'08-G. DEL TALENTO HUMANO'!V17</f>
        <v>0.98</v>
      </c>
      <c r="P62" s="242">
        <f>+'08-G. DEL TALENTO HUMANO'!W17</f>
        <v>0.999</v>
      </c>
      <c r="Q62" s="100">
        <f>+'08-G. DEL TALENTO HUMANO'!AD17</f>
        <v>0.98</v>
      </c>
      <c r="R62" s="242">
        <f>+'08-G. DEL TALENTO HUMANO'!AE17</f>
        <v>1</v>
      </c>
      <c r="S62" s="100">
        <f>+'08-G. DEL TALENTO HUMANO'!AL17</f>
        <v>0.98</v>
      </c>
      <c r="T62" s="242">
        <f>'08-G. DEL TALENTO HUMANO'!AM17</f>
        <v>0</v>
      </c>
      <c r="U62" s="100">
        <f>+'08-G. DEL TALENTO HUMANO'!AT17</f>
        <v>0.98</v>
      </c>
      <c r="V62" s="100">
        <f>+'08-G. DEL TALENTO HUMANO'!AU17</f>
        <v>0</v>
      </c>
      <c r="W62" s="242">
        <f>+'08-G. DEL TALENTO HUMANO'!AV17</f>
        <v>0.98000000000000032</v>
      </c>
      <c r="X62" s="230">
        <f>'08-G. DEL TALENTO HUMANO'!AX17</f>
        <v>0.999</v>
      </c>
      <c r="Y62" s="799">
        <f>+'08-G. DEL TALENTO HUMANO'!BB17</f>
        <v>0.50969387755102025</v>
      </c>
      <c r="Z62" s="243">
        <f>+'08-G. DEL TALENTO HUMANO'!BF17</f>
        <v>0.12768404907975461</v>
      </c>
      <c r="AA62" s="243">
        <f t="shared" si="3"/>
        <v>1.2768404907975463E-2</v>
      </c>
      <c r="AB62" s="1354"/>
      <c r="AD62" s="225">
        <f>+'08-G. DEL TALENTO HUMANO'!BD17</f>
        <v>1.0193877551020405</v>
      </c>
      <c r="AE62" s="227">
        <f t="shared" si="4"/>
        <v>-0.50969387755102025</v>
      </c>
      <c r="AG62" s="225">
        <f>+'08-G. DEL TALENTO HUMANO'!BH17</f>
        <v>0.25536809815950923</v>
      </c>
      <c r="AH62" s="227">
        <f t="shared" ref="AH62:AH69" si="13">+Z62-AG62</f>
        <v>-0.12768404907975461</v>
      </c>
    </row>
    <row r="63" spans="2:34" ht="99.75" customHeight="1">
      <c r="B63" s="1037"/>
      <c r="C63" s="1113"/>
      <c r="D63" s="80" t="str">
        <f>+'01-FR-03 POA INSTITUCIONAL'!D63</f>
        <v xml:space="preserve">4.3.3 Lograr el 94,5 % de usuarios internos  satisfechos con las solicitudes de servicios atendidas de la SGTH (Certificaciones laborales, bonos pensionales y autorizaciones de retiro de cesantías). </v>
      </c>
      <c r="E63" s="90">
        <f>+'01-FR-03 POA INSTITUCIONAL'!E63</f>
        <v>0.1</v>
      </c>
      <c r="F63" s="708">
        <f>+'01-FR-03 POA INSTITUCIONAL'!F63</f>
        <v>0.94499999999999995</v>
      </c>
      <c r="G63" s="83" t="str">
        <f>+'01-FR-03 POA INSTITUCIONAL'!G63</f>
        <v>S.I.</v>
      </c>
      <c r="H63" s="80" t="str">
        <f>+'01-FR-03 POA INSTITUCIONAL'!H63</f>
        <v>Porcentaje de Usuarios internos satisfechos con las solicitudes de los servicios atendidas de la SGTH (Certificaciones laborales, bonos pensionales y autorizaciones de retiro de cesantías)</v>
      </c>
      <c r="I63" s="80" t="str">
        <f>+'01-FR-03 POA INSTITUCIONAL'!I63</f>
        <v>Gestión del Talento Humano</v>
      </c>
      <c r="J63" s="92" t="str">
        <f>+'01-FR-03 POA INSTITUCIONAL'!J63</f>
        <v>Dependencia Líder: 
Dirección de Talento Humano
Dependencia Operativa:
Subdirección de Gestión del Talento Humano</v>
      </c>
      <c r="K63" s="93">
        <f>+'01-FR-03 POA INSTITUCIONAL'!K63</f>
        <v>0.9</v>
      </c>
      <c r="L63" s="93">
        <f>+'01-FR-03 POA INSTITUCIONAL'!L63</f>
        <v>0.96</v>
      </c>
      <c r="M63" s="93">
        <f>+'01-FR-03 POA INSTITUCIONAL'!M63</f>
        <v>0.96</v>
      </c>
      <c r="N63" s="93">
        <f>+'01-FR-03 POA INSTITUCIONAL'!N63</f>
        <v>0.96</v>
      </c>
      <c r="O63" s="242">
        <f>+'08-G. DEL TALENTO HUMANO'!V18</f>
        <v>0.96</v>
      </c>
      <c r="P63" s="242">
        <f>+'08-G. DEL TALENTO HUMANO'!W18</f>
        <v>0.97299999999999998</v>
      </c>
      <c r="Q63" s="100">
        <f>+'08-G. DEL TALENTO HUMANO'!AD18</f>
        <v>0.96</v>
      </c>
      <c r="R63" s="242">
        <f>+'08-G. DEL TALENTO HUMANO'!AE18</f>
        <v>0.96399999999999997</v>
      </c>
      <c r="S63" s="100">
        <f>+'08-G. DEL TALENTO HUMANO'!AL18</f>
        <v>0.96</v>
      </c>
      <c r="T63" s="242">
        <f>'08-G. DEL TALENTO HUMANO'!AM18</f>
        <v>0</v>
      </c>
      <c r="U63" s="100">
        <f>+'08-G. DEL TALENTO HUMANO'!AT18</f>
        <v>0.96</v>
      </c>
      <c r="V63" s="100">
        <f>+'08-G. DEL TALENTO HUMANO'!AU18</f>
        <v>0</v>
      </c>
      <c r="W63" s="242">
        <f>+'08-G. DEL TALENTO HUMANO'!AV18</f>
        <v>0.96000000000000008</v>
      </c>
      <c r="X63" s="230">
        <f>'08-G. DEL TALENTO HUMANO'!AX18</f>
        <v>0.96799999999999997</v>
      </c>
      <c r="Y63" s="799">
        <f>+'08-G. DEL TALENTO HUMANO'!BB18</f>
        <v>0.50416666666666665</v>
      </c>
      <c r="Z63" s="243">
        <f>+'08-G. DEL TALENTO HUMANO'!BF18</f>
        <v>0.12804232804232804</v>
      </c>
      <c r="AA63" s="243">
        <f t="shared" si="3"/>
        <v>1.2804232804232804E-2</v>
      </c>
      <c r="AB63" s="1354"/>
      <c r="AD63" s="225">
        <f>+'08-G. DEL TALENTO HUMANO'!BD18</f>
        <v>1.0041666666666667</v>
      </c>
      <c r="AE63" s="227">
        <f t="shared" si="4"/>
        <v>-0.5</v>
      </c>
      <c r="AG63" s="225">
        <f>+'08-G. DEL TALENTO HUMANO'!BH18</f>
        <v>0.25502645502645505</v>
      </c>
      <c r="AH63" s="227">
        <f t="shared" si="13"/>
        <v>-0.126984126984127</v>
      </c>
    </row>
    <row r="64" spans="2:34" ht="87" customHeight="1">
      <c r="B64" s="1037"/>
      <c r="C64" s="1113"/>
      <c r="D64" s="80" t="str">
        <f>+'01-FR-03 POA INSTITUCIONAL'!D64</f>
        <v xml:space="preserve">4.3.4 Formular e implementar el 100% del Plan Institucional de Capacitación de la vigencia.
</v>
      </c>
      <c r="E64" s="90">
        <f>+'01-FR-03 POA INSTITUCIONAL'!E64</f>
        <v>0.15</v>
      </c>
      <c r="F64" s="91">
        <f>+'01-FR-03 POA INSTITUCIONAL'!F64</f>
        <v>1</v>
      </c>
      <c r="G64" s="83">
        <f>+'01-FR-03 POA INSTITUCIONAL'!G64</f>
        <v>1</v>
      </c>
      <c r="H64" s="80" t="str">
        <f>+'01-FR-03 POA INSTITUCIONAL'!H64</f>
        <v>Plan Institucional de Capacitación formulado y ejecutado</v>
      </c>
      <c r="I64" s="80" t="str">
        <f>+'01-FR-03 POA INSTITUCIONAL'!I64</f>
        <v>Gestión del Talento Humano</v>
      </c>
      <c r="J64" s="92" t="str">
        <f>+'01-FR-03 POA INSTITUCIONAL'!J64</f>
        <v>Dependencia Líder: 
Dirección de Talento Humano
Dependencia Operativa:
Subdirección de Desarrollo del Talento Humano</v>
      </c>
      <c r="K64" s="93">
        <f>+'01-FR-03 POA INSTITUCIONAL'!K64</f>
        <v>1</v>
      </c>
      <c r="L64" s="93">
        <f>+'01-FR-03 POA INSTITUCIONAL'!L64</f>
        <v>1</v>
      </c>
      <c r="M64" s="93">
        <f>+'01-FR-03 POA INSTITUCIONAL'!M64</f>
        <v>1</v>
      </c>
      <c r="N64" s="93">
        <f>+'01-FR-03 POA INSTITUCIONAL'!N64</f>
        <v>1</v>
      </c>
      <c r="O64" s="242">
        <f>+'08-G. DEL TALENTO HUMANO'!V19</f>
        <v>0.35560000000000003</v>
      </c>
      <c r="P64" s="242">
        <f>+'08-G. DEL TALENTO HUMANO'!W19</f>
        <v>0.32970000000000005</v>
      </c>
      <c r="Q64" s="242">
        <f>+'08-G. DEL TALENTO HUMANO'!AD19</f>
        <v>0.2334</v>
      </c>
      <c r="R64" s="242">
        <f>+'08-G. DEL TALENTO HUMANO'!AE19</f>
        <v>7.7800000000000008E-2</v>
      </c>
      <c r="S64" s="242">
        <f>+'08-G. DEL TALENTO HUMANO'!AL19</f>
        <v>0.2334</v>
      </c>
      <c r="T64" s="579">
        <f>+'08-G. DEL TALENTO HUMANO'!AM19</f>
        <v>0</v>
      </c>
      <c r="U64" s="242">
        <f>+'08-G. DEL TALENTO HUMANO'!AT19</f>
        <v>0.17780000000000001</v>
      </c>
      <c r="V64" s="242">
        <f>+'08-G. DEL TALENTO HUMANO'!AU19</f>
        <v>0</v>
      </c>
      <c r="W64" s="242">
        <f>+'08-G. DEL TALENTO HUMANO'!AV19</f>
        <v>1.0002</v>
      </c>
      <c r="X64" s="230">
        <f>'08-G. DEL TALENTO HUMANO'!AX19</f>
        <v>0.40750000000000008</v>
      </c>
      <c r="Y64" s="799">
        <f>+'08-G. DEL TALENTO HUMANO'!BB19</f>
        <v>0.40741851629674075</v>
      </c>
      <c r="Z64" s="243">
        <f>+'08-G. DEL TALENTO HUMANO'!BF19</f>
        <v>0.10187500000000002</v>
      </c>
      <c r="AA64" s="244">
        <f t="shared" si="3"/>
        <v>1.5281250000000003E-2</v>
      </c>
      <c r="AB64" s="1354"/>
      <c r="AD64" s="225">
        <f>+'08-G. DEL TALENTO HUMANO'!BD19</f>
        <v>0.40741851629674075</v>
      </c>
      <c r="AE64" s="227">
        <f t="shared" si="4"/>
        <v>0</v>
      </c>
      <c r="AG64" s="225">
        <f>+'08-G. DEL TALENTO HUMANO'!BH19</f>
        <v>0.10187500000000002</v>
      </c>
      <c r="AH64" s="227">
        <f>+Z64-AG64</f>
        <v>0</v>
      </c>
    </row>
    <row r="65" spans="2:34" ht="88.2" customHeight="1">
      <c r="B65" s="1037"/>
      <c r="C65" s="1113"/>
      <c r="D65" s="80" t="str">
        <f>+'01-FR-03 POA INSTITUCIONAL'!D65</f>
        <v>4.3.5 Formular e implementar el 100% del Plan Institucional de Bienestar de la vigencia .</v>
      </c>
      <c r="E65" s="90">
        <f>+'01-FR-03 POA INSTITUCIONAL'!E65</f>
        <v>0.15</v>
      </c>
      <c r="F65" s="91">
        <f>+'01-FR-03 POA INSTITUCIONAL'!F65</f>
        <v>1</v>
      </c>
      <c r="G65" s="83">
        <f>+'01-FR-03 POA INSTITUCIONAL'!G65</f>
        <v>1</v>
      </c>
      <c r="H65" s="80" t="str">
        <f>+'01-FR-03 POA INSTITUCIONAL'!H65</f>
        <v>Plan Institucional de Bienestar formulado y ejecutado</v>
      </c>
      <c r="I65" s="80" t="str">
        <f>+'01-FR-03 POA INSTITUCIONAL'!I65</f>
        <v>Gestión del Talento Humano</v>
      </c>
      <c r="J65" s="92" t="str">
        <f>+'01-FR-03 POA INSTITUCIONAL'!J65</f>
        <v>Dependencia Líder: 
Dirección de Talento Humano
Dependencia Operativa:
Subdirección de Desarrollo del Talento Humano</v>
      </c>
      <c r="K65" s="93">
        <f>+'01-FR-03 POA INSTITUCIONAL'!K65</f>
        <v>1</v>
      </c>
      <c r="L65" s="93">
        <f>+'01-FR-03 POA INSTITUCIONAL'!L65</f>
        <v>1</v>
      </c>
      <c r="M65" s="93">
        <f>+'01-FR-03 POA INSTITUCIONAL'!M65</f>
        <v>1</v>
      </c>
      <c r="N65" s="93">
        <f>+'01-FR-03 POA INSTITUCIONAL'!N65</f>
        <v>1</v>
      </c>
      <c r="O65" s="242">
        <f>+'08-G. DEL TALENTO HUMANO'!V20</f>
        <v>0.29510000000000003</v>
      </c>
      <c r="P65" s="242">
        <f>+'08-G. DEL TALENTO HUMANO'!W20</f>
        <v>0.29510000000000003</v>
      </c>
      <c r="Q65" s="242">
        <f>+'08-G. DEL TALENTO HUMANO'!AD20</f>
        <v>0.22649999999999998</v>
      </c>
      <c r="R65" s="242">
        <f>+'08-G. DEL TALENTO HUMANO'!AE20</f>
        <v>0.20879999999999999</v>
      </c>
      <c r="S65" s="100">
        <f>+'08-G. DEL TALENTO HUMANO'!AL20</f>
        <v>0.2112</v>
      </c>
      <c r="T65" s="242">
        <f>+'08-G. DEL TALENTO HUMANO'!AM20</f>
        <v>0</v>
      </c>
      <c r="U65" s="100">
        <f>+'08-G. DEL TALENTO HUMANO'!AT20</f>
        <v>0.26719999999999999</v>
      </c>
      <c r="V65" s="100">
        <f>+'08-G. DEL TALENTO HUMANO'!AU20</f>
        <v>0</v>
      </c>
      <c r="W65" s="100">
        <f>+'08-G. DEL TALENTO HUMANO'!AV20</f>
        <v>1</v>
      </c>
      <c r="X65" s="230">
        <f>'08-G. DEL TALENTO HUMANO'!AX20</f>
        <v>0.50390000000000001</v>
      </c>
      <c r="Y65" s="799">
        <f>+'08-G. DEL TALENTO HUMANO'!BB20</f>
        <v>0.50390000000000001</v>
      </c>
      <c r="Z65" s="243">
        <f>+'08-G. DEL TALENTO HUMANO'!BF20</f>
        <v>0.125975</v>
      </c>
      <c r="AA65" s="244">
        <f t="shared" si="3"/>
        <v>1.889625E-2</v>
      </c>
      <c r="AB65" s="1354"/>
      <c r="AD65" s="225">
        <f>+'08-G. DEL TALENTO HUMANO'!BD20</f>
        <v>0.50390000000000001</v>
      </c>
      <c r="AE65" s="227">
        <f t="shared" si="4"/>
        <v>0</v>
      </c>
      <c r="AG65" s="225">
        <f>+'08-G. DEL TALENTO HUMANO'!BH20</f>
        <v>0.125975</v>
      </c>
      <c r="AH65" s="227">
        <f t="shared" si="13"/>
        <v>0</v>
      </c>
    </row>
    <row r="66" spans="2:34" ht="99.6" customHeight="1">
      <c r="B66" s="1037"/>
      <c r="C66" s="1113"/>
      <c r="D66" s="80" t="str">
        <f>+'01-FR-03 POA INSTITUCIONAL'!D66</f>
        <v>4.3.6 Formular e implementar el 100% del Plan Institucional de Incentivos de la vigencia.</v>
      </c>
      <c r="E66" s="90">
        <f>+'01-FR-03 POA INSTITUCIONAL'!E66</f>
        <v>0.15</v>
      </c>
      <c r="F66" s="91">
        <f>+'01-FR-03 POA INSTITUCIONAL'!F66</f>
        <v>1</v>
      </c>
      <c r="G66" s="83">
        <f>+'01-FR-03 POA INSTITUCIONAL'!G66</f>
        <v>1</v>
      </c>
      <c r="H66" s="80" t="str">
        <f>+'01-FR-03 POA INSTITUCIONAL'!H66</f>
        <v>Plan Institucional de Incentivos formulado y ejecutado</v>
      </c>
      <c r="I66" s="80" t="str">
        <f>+'01-FR-03 POA INSTITUCIONAL'!I66</f>
        <v>Gestión del Talento Humano</v>
      </c>
      <c r="J66" s="92" t="str">
        <f>+'01-FR-03 POA INSTITUCIONAL'!J66</f>
        <v>Dependencia Líder: 
Dirección de Talento Humano
Dependencia Operativa:
Subdirección de Desarrollo del Talento Humano</v>
      </c>
      <c r="K66" s="93">
        <f>+'01-FR-03 POA INSTITUCIONAL'!K66</f>
        <v>1</v>
      </c>
      <c r="L66" s="93">
        <f>+'01-FR-03 POA INSTITUCIONAL'!L66</f>
        <v>1</v>
      </c>
      <c r="M66" s="93">
        <f>+'01-FR-03 POA INSTITUCIONAL'!M66</f>
        <v>1</v>
      </c>
      <c r="N66" s="93">
        <f>+'01-FR-03 POA INSTITUCIONAL'!N66</f>
        <v>1</v>
      </c>
      <c r="O66" s="242">
        <f>+'08-G. DEL TALENTO HUMANO'!V21</f>
        <v>0.25</v>
      </c>
      <c r="P66" s="242">
        <f>+'08-G. DEL TALENTO HUMANO'!W21</f>
        <v>0.25</v>
      </c>
      <c r="Q66" s="242">
        <f>+'08-G. DEL TALENTO HUMANO'!AD21</f>
        <v>0.1</v>
      </c>
      <c r="R66" s="242">
        <f>+'08-G. DEL TALENTO HUMANO'!AE21</f>
        <v>0.1</v>
      </c>
      <c r="S66" s="100">
        <f>+'08-G. DEL TALENTO HUMANO'!AL21</f>
        <v>0.1</v>
      </c>
      <c r="T66" s="579">
        <f>+'08-G. DEL TALENTO HUMANO'!AM21</f>
        <v>0</v>
      </c>
      <c r="U66" s="100">
        <f>+'08-G. DEL TALENTO HUMANO'!AT21</f>
        <v>0.55000000000000004</v>
      </c>
      <c r="V66" s="100">
        <f>+'08-G. DEL TALENTO HUMANO'!AU21</f>
        <v>0</v>
      </c>
      <c r="W66" s="100">
        <f>+'08-G. DEL TALENTO HUMANO'!AV21</f>
        <v>1</v>
      </c>
      <c r="X66" s="230">
        <f>'08-G. DEL TALENTO HUMANO'!AX21</f>
        <v>0.35</v>
      </c>
      <c r="Y66" s="799">
        <f>+'08-G. DEL TALENTO HUMANO'!BB21</f>
        <v>0.35</v>
      </c>
      <c r="Z66" s="243">
        <f>+'08-G. DEL TALENTO HUMANO'!BF21</f>
        <v>8.7499999999999994E-2</v>
      </c>
      <c r="AA66" s="244">
        <f t="shared" si="3"/>
        <v>1.3125E-2</v>
      </c>
      <c r="AB66" s="1354"/>
      <c r="AD66" s="225">
        <f>+'08-G. DEL TALENTO HUMANO'!BD21</f>
        <v>0.35</v>
      </c>
      <c r="AE66" s="227">
        <f t="shared" si="4"/>
        <v>0</v>
      </c>
      <c r="AG66" s="225">
        <f>+'08-G. DEL TALENTO HUMANO'!BH21</f>
        <v>8.7499999999999994E-2</v>
      </c>
      <c r="AH66" s="227">
        <f t="shared" si="13"/>
        <v>0</v>
      </c>
    </row>
    <row r="67" spans="2:34" ht="85.95" customHeight="1">
      <c r="B67" s="1037"/>
      <c r="C67" s="1113"/>
      <c r="D67" s="80" t="str">
        <f>+'01-FR-03 POA INSTITUCIONAL'!D67</f>
        <v>4.3.7 Diseñar e implementar el 100 % del Plan Anual de Seguridad y Salud en el Trabajo de la vigencia.</v>
      </c>
      <c r="E67" s="90">
        <f>+'01-FR-03 POA INSTITUCIONAL'!E67</f>
        <v>0.15</v>
      </c>
      <c r="F67" s="91">
        <f>+'01-FR-03 POA INSTITUCIONAL'!F67</f>
        <v>1</v>
      </c>
      <c r="G67" s="83">
        <f>+'01-FR-03 POA INSTITUCIONAL'!G67</f>
        <v>0.99</v>
      </c>
      <c r="H67" s="80" t="str">
        <f>+'01-FR-03 POA INSTITUCIONAL'!H67</f>
        <v>Plan Anual de Seguridad y Salud en el Trabajo diseñado y ejecutado</v>
      </c>
      <c r="I67" s="80" t="str">
        <f>+'01-FR-03 POA INSTITUCIONAL'!I67</f>
        <v>Gestión del Talento Humano</v>
      </c>
      <c r="J67" s="92" t="str">
        <f>+'01-FR-03 POA INSTITUCIONAL'!J67</f>
        <v>Dependencia Líder: 
Dirección de Talento Humano
Dependencia Operativa:
Subdirección de Desarrollo del Talento Humano</v>
      </c>
      <c r="K67" s="93">
        <f>+'01-FR-03 POA INSTITUCIONAL'!K67</f>
        <v>1</v>
      </c>
      <c r="L67" s="93">
        <f>+'01-FR-03 POA INSTITUCIONAL'!L67</f>
        <v>1</v>
      </c>
      <c r="M67" s="93">
        <f>+'01-FR-03 POA INSTITUCIONAL'!M67</f>
        <v>1</v>
      </c>
      <c r="N67" s="93">
        <f>+'01-FR-03 POA INSTITUCIONAL'!N67</f>
        <v>1</v>
      </c>
      <c r="O67" s="242">
        <f>+'08-G. DEL TALENTO HUMANO'!V22</f>
        <v>0.31930000000000003</v>
      </c>
      <c r="P67" s="242">
        <f>+'08-G. DEL TALENTO HUMANO'!W22</f>
        <v>0.31930000000000003</v>
      </c>
      <c r="Q67" s="242">
        <f>+'08-G. DEL TALENTO HUMANO'!AD22</f>
        <v>0.1114</v>
      </c>
      <c r="R67" s="242">
        <f>+'08-G. DEL TALENTO HUMANO'!AE22</f>
        <v>0.1114</v>
      </c>
      <c r="S67" s="100">
        <f>+'08-G. DEL TALENTO HUMANO'!AL22</f>
        <v>0.2228</v>
      </c>
      <c r="T67" s="579">
        <f>+'08-G. DEL TALENTO HUMANO'!AM22</f>
        <v>0</v>
      </c>
      <c r="U67" s="100">
        <f>+'08-G. DEL TALENTO HUMANO'!AT22</f>
        <v>0.34650000000000003</v>
      </c>
      <c r="V67" s="100">
        <f>+'08-G. DEL TALENTO HUMANO'!AU22</f>
        <v>0</v>
      </c>
      <c r="W67" s="100">
        <f>+'08-G. DEL TALENTO HUMANO'!AV22</f>
        <v>1</v>
      </c>
      <c r="X67" s="230">
        <f>'08-G. DEL TALENTO HUMANO'!AX22</f>
        <v>0.43070000000000003</v>
      </c>
      <c r="Y67" s="799">
        <f>+'08-G. DEL TALENTO HUMANO'!BB22</f>
        <v>0.43070000000000003</v>
      </c>
      <c r="Z67" s="243">
        <f>+'08-G. DEL TALENTO HUMANO'!BF22</f>
        <v>0.10767500000000001</v>
      </c>
      <c r="AA67" s="244">
        <f t="shared" si="3"/>
        <v>1.6151249999999999E-2</v>
      </c>
      <c r="AB67" s="1354"/>
      <c r="AD67" s="225">
        <f>+'08-G. DEL TALENTO HUMANO'!BD22</f>
        <v>0.43070000000000003</v>
      </c>
      <c r="AE67" s="227">
        <f t="shared" si="4"/>
        <v>0</v>
      </c>
      <c r="AG67" s="225">
        <f>+'08-G. DEL TALENTO HUMANO'!BH22</f>
        <v>0.10767500000000001</v>
      </c>
      <c r="AH67" s="227">
        <f t="shared" si="13"/>
        <v>0</v>
      </c>
    </row>
    <row r="68" spans="2:34" ht="84.75" customHeight="1">
      <c r="B68" s="1037"/>
      <c r="C68" s="1114"/>
      <c r="D68" s="80" t="str">
        <f>+'01-FR-03 POA INSTITUCIONAL'!D68</f>
        <v>4.3.8 Realizar 21 capacitaciones sobre los Sistemas de Gestión y Evaluación del Desempeño Laboral de la Entidad.</v>
      </c>
      <c r="E68" s="81">
        <f>+'01-FR-03 POA INSTITUCIONAL'!E68</f>
        <v>0.1</v>
      </c>
      <c r="F68" s="102">
        <f>+'01-FR-03 POA INSTITUCIONAL'!F68</f>
        <v>21</v>
      </c>
      <c r="G68" s="103" t="str">
        <f>+'01-FR-03 POA INSTITUCIONAL'!G68</f>
        <v>S.I.</v>
      </c>
      <c r="H68" s="97" t="str">
        <f>+'01-FR-03 POA INSTITUCIONAL'!H68</f>
        <v>Capacitaciones realizadas sobre los Sistemas de Gestión y Evaluación del Desempeño Laboral de la Personería de Bogotá, D.C.</v>
      </c>
      <c r="I68" s="98" t="str">
        <f>+'01-FR-03 POA INSTITUCIONAL'!I68</f>
        <v>Gestión del Talento Humano</v>
      </c>
      <c r="J68" s="99" t="str">
        <f>+'01-FR-03 POA INSTITUCIONAL'!J68</f>
        <v>Dirección de Talento Humano</v>
      </c>
      <c r="K68" s="104">
        <f>+'01-FR-03 POA INSTITUCIONAL'!K68</f>
        <v>9</v>
      </c>
      <c r="L68" s="104">
        <f>+'01-FR-03 POA INSTITUCIONAL'!L68</f>
        <v>4</v>
      </c>
      <c r="M68" s="104">
        <f>+'01-FR-03 POA INSTITUCIONAL'!M68</f>
        <v>4</v>
      </c>
      <c r="N68" s="104">
        <f>+'01-FR-03 POA INSTITUCIONAL'!N68</f>
        <v>4</v>
      </c>
      <c r="O68" s="104">
        <f>+'08-G. DEL TALENTO HUMANO'!V23</f>
        <v>2</v>
      </c>
      <c r="P68" s="104">
        <f>+'08-G. DEL TALENTO HUMANO'!W23</f>
        <v>2</v>
      </c>
      <c r="Q68" s="104">
        <f>+'08-G. DEL TALENTO HUMANO'!AD23</f>
        <v>1</v>
      </c>
      <c r="R68" s="104">
        <f>+'08-G. DEL TALENTO HUMANO'!AE23</f>
        <v>1</v>
      </c>
      <c r="S68" s="104">
        <f>+'08-G. DEL TALENTO HUMANO'!AL23</f>
        <v>1</v>
      </c>
      <c r="T68" s="104">
        <f>+'08-G. DEL TALENTO HUMANO'!AM23</f>
        <v>0</v>
      </c>
      <c r="U68" s="104">
        <f>+'08-G. DEL TALENTO HUMANO'!AT23</f>
        <v>0</v>
      </c>
      <c r="V68" s="104">
        <f>+'08-G. DEL TALENTO HUMANO'!AU23</f>
        <v>0</v>
      </c>
      <c r="W68" s="104">
        <f>+'08-G. DEL TALENTO HUMANO'!AV23</f>
        <v>4</v>
      </c>
      <c r="X68" s="104">
        <f>'08-G. DEL TALENTO HUMANO'!AX23</f>
        <v>3</v>
      </c>
      <c r="Y68" s="799">
        <f>+'08-G. DEL TALENTO HUMANO'!BB23</f>
        <v>0.75</v>
      </c>
      <c r="Z68" s="243">
        <f>+'08-G. DEL TALENTO HUMANO'!BF23</f>
        <v>0.14285714285714285</v>
      </c>
      <c r="AA68" s="244">
        <f t="shared" si="3"/>
        <v>1.4285714285714285E-2</v>
      </c>
      <c r="AB68" s="1355"/>
      <c r="AD68" s="225">
        <f>+'08-G. DEL TALENTO HUMANO'!BD23</f>
        <v>0.75</v>
      </c>
      <c r="AE68" s="227">
        <f t="shared" si="4"/>
        <v>0</v>
      </c>
      <c r="AG68" s="225">
        <f>+'08-G. DEL TALENTO HUMANO'!BH23</f>
        <v>0.14285714285714285</v>
      </c>
      <c r="AH68" s="227">
        <f t="shared" si="13"/>
        <v>0</v>
      </c>
    </row>
    <row r="69" spans="2:34" ht="76.5" customHeight="1">
      <c r="B69" s="1037"/>
      <c r="C69" s="1325" t="str">
        <f>+'01-FR-03 POA INSTITUCIONAL'!C69:C86</f>
        <v>4.4. Implementar el 100% de las acciones necesarias para la modernización de la gestión institucional a través de los procesos de apoyo, que permita una mejor prestación del servicio.</v>
      </c>
      <c r="D69" s="28" t="str">
        <f>+'01-FR-03 POA INSTITUCIONAL'!D69</f>
        <v>4.4.1 Atender el 100% de los servicios de mantenimiento, almacén, transporte. Aseo y cafetería</v>
      </c>
      <c r="E69" s="46">
        <f>+'01-FR-03 POA INSTITUCIONAL'!E69</f>
        <v>0.1</v>
      </c>
      <c r="F69" s="29">
        <f>+'01-FR-03 POA INSTITUCIONAL'!F69</f>
        <v>1</v>
      </c>
      <c r="G69" s="96">
        <f>+'01-FR-03 POA INSTITUCIONAL'!G69</f>
        <v>0.99199999999999999</v>
      </c>
      <c r="H69" s="73" t="str">
        <f>+'01-FR-03 POA INSTITUCIONAL'!H69</f>
        <v>Porcentaje de servicios atendidos</v>
      </c>
      <c r="I69" s="74" t="str">
        <f>+'01-FR-03 POA INSTITUCIONAL'!I69</f>
        <v>Gestión Administrativa</v>
      </c>
      <c r="J69" s="75" t="str">
        <f>+'01-FR-03 POA INSTITUCIONAL'!J69</f>
        <v>Subdirección de Gestión Documental y Recursos Físicos
Dirección Administrativa y Financiera</v>
      </c>
      <c r="K69" s="77">
        <f>+'01-FR-03 POA INSTITUCIONAL'!K69</f>
        <v>1</v>
      </c>
      <c r="L69" s="77">
        <f>+'01-FR-03 POA INSTITUCIONAL'!L69</f>
        <v>1</v>
      </c>
      <c r="M69" s="77">
        <f>+'01-FR-03 POA INSTITUCIONAL'!M69</f>
        <v>1</v>
      </c>
      <c r="N69" s="77">
        <f>+'01-FR-03 POA INSTITUCIONAL'!N69</f>
        <v>1</v>
      </c>
      <c r="O69" s="220">
        <f>+'09-G.  ADMINISTRATIVA'!V16</f>
        <v>1</v>
      </c>
      <c r="P69" s="220">
        <f>+'09-G.  ADMINISTRATIVA'!W16</f>
        <v>1</v>
      </c>
      <c r="Q69" s="220">
        <f>+'09-G.  ADMINISTRATIVA'!AD16</f>
        <v>1</v>
      </c>
      <c r="R69" s="220">
        <f>+'09-G.  ADMINISTRATIVA'!AE16</f>
        <v>1</v>
      </c>
      <c r="S69" s="220">
        <f>+'09-G.  ADMINISTRATIVA'!AL16</f>
        <v>1</v>
      </c>
      <c r="T69" s="220">
        <f>+'09-G.  ADMINISTRATIVA'!AM16</f>
        <v>0</v>
      </c>
      <c r="U69" s="220">
        <f>+'09-G.  ADMINISTRATIVA'!AT16</f>
        <v>1</v>
      </c>
      <c r="V69" s="220">
        <f>+'09-G.  ADMINISTRATIVA'!AU16</f>
        <v>0</v>
      </c>
      <c r="W69" s="220">
        <f>+'09-G.  ADMINISTRATIVA'!AV16</f>
        <v>1</v>
      </c>
      <c r="X69" s="246">
        <f>'09-G.  ADMINISTRATIVA'!AX16</f>
        <v>1</v>
      </c>
      <c r="Y69" s="798">
        <f>+'09-G.  ADMINISTRATIVA'!BB16</f>
        <v>0.5</v>
      </c>
      <c r="Z69" s="249">
        <f>+'09-G.  ADMINISTRATIVA'!BF16</f>
        <v>0.125</v>
      </c>
      <c r="AA69" s="222">
        <f t="shared" si="3"/>
        <v>1.2500000000000001E-2</v>
      </c>
      <c r="AB69" s="1095">
        <f>SUM(AA69:AA86)</f>
        <v>0.12860908659768697</v>
      </c>
      <c r="AD69" s="225">
        <f>+'09-G.  ADMINISTRATIVA'!BD16</f>
        <v>1</v>
      </c>
      <c r="AE69" s="227">
        <f t="shared" si="4"/>
        <v>-0.5</v>
      </c>
      <c r="AG69" s="225">
        <f>+'09-G.  ADMINISTRATIVA'!BH16</f>
        <v>0.25</v>
      </c>
      <c r="AH69" s="227">
        <f t="shared" si="13"/>
        <v>-0.125</v>
      </c>
    </row>
    <row r="70" spans="2:34" ht="62.25" customHeight="1">
      <c r="B70" s="1037"/>
      <c r="C70" s="1077"/>
      <c r="D70" s="28" t="str">
        <f>+'01-FR-03 POA INSTITUCIONAL'!D70</f>
        <v>4.4.2 Ejecutar el 97% de las actividades del Plan Estratégico de Seguridad Vial (PESV)</v>
      </c>
      <c r="E70" s="46">
        <f>+'01-FR-03 POA INSTITUCIONAL'!E70</f>
        <v>0.1</v>
      </c>
      <c r="F70" s="29">
        <f>+'01-FR-03 POA INSTITUCIONAL'!F70</f>
        <v>0.97</v>
      </c>
      <c r="G70" s="96">
        <f>+'01-FR-03 POA INSTITUCIONAL'!G70</f>
        <v>0.96599999999999997</v>
      </c>
      <c r="H70" s="73" t="str">
        <f>+'01-FR-03 POA INSTITUCIONAL'!H70</f>
        <v>Porcentaje de actividades del PESV ejecutadas</v>
      </c>
      <c r="I70" s="74" t="str">
        <f>+'01-FR-03 POA INSTITUCIONAL'!I70</f>
        <v>Gestión Administrativa</v>
      </c>
      <c r="J70" s="75" t="str">
        <f>+'01-FR-03 POA INSTITUCIONAL'!J70</f>
        <v>Subdirección de Gestión Documental y Recursos Físicos
Dirección Administrativa y Financiera</v>
      </c>
      <c r="K70" s="77">
        <f>+'01-FR-03 POA INSTITUCIONAL'!K70</f>
        <v>0.97</v>
      </c>
      <c r="L70" s="77">
        <f>+'01-FR-03 POA INSTITUCIONAL'!L70</f>
        <v>0.97</v>
      </c>
      <c r="M70" s="77">
        <f>+'01-FR-03 POA INSTITUCIONAL'!M70</f>
        <v>0.97</v>
      </c>
      <c r="N70" s="77">
        <f>+'01-FR-03 POA INSTITUCIONAL'!N70</f>
        <v>0.97</v>
      </c>
      <c r="O70" s="220">
        <f>+'09-G.  ADMINISTRATIVA'!V17</f>
        <v>0.97000000000000008</v>
      </c>
      <c r="P70" s="220">
        <f>+'09-G.  ADMINISTRATIVA'!W17</f>
        <v>1</v>
      </c>
      <c r="Q70" s="220">
        <f>+'09-G.  ADMINISTRATIVA'!AD17</f>
        <v>0.97000000000000008</v>
      </c>
      <c r="R70" s="220">
        <f>+'09-G.  ADMINISTRATIVA'!AE17</f>
        <v>1.0416666666666667</v>
      </c>
      <c r="S70" s="220">
        <f>+'09-G.  ADMINISTRATIVA'!AL17</f>
        <v>0.97000000000000008</v>
      </c>
      <c r="T70" s="220">
        <f>+'09-G.  ADMINISTRATIVA'!AM17</f>
        <v>0</v>
      </c>
      <c r="U70" s="220">
        <f>+'09-G.  ADMINISTRATIVA'!AT17</f>
        <v>0.97000000000000008</v>
      </c>
      <c r="V70" s="220">
        <f>+'09-G.  ADMINISTRATIVA'!AU17</f>
        <v>0</v>
      </c>
      <c r="W70" s="220">
        <f>+'09-G.  ADMINISTRATIVA'!AV17</f>
        <v>0.97000000000000008</v>
      </c>
      <c r="X70" s="246">
        <f>'09-G.  ADMINISTRATIVA'!AX17</f>
        <v>1.02</v>
      </c>
      <c r="Y70" s="798">
        <f>+'09-G.  ADMINISTRATIVA'!BB17</f>
        <v>0.52577319587628857</v>
      </c>
      <c r="Z70" s="249">
        <f>+'09-G.  ADMINISTRATIVA'!BF17</f>
        <v>0.13144329896907217</v>
      </c>
      <c r="AA70" s="222">
        <f t="shared" si="3"/>
        <v>1.3144329896907218E-2</v>
      </c>
      <c r="AB70" s="1005"/>
      <c r="AD70" s="225">
        <f>+'09-G.  ADMINISTRATIVA'!BD17</f>
        <v>1.0515463917525771</v>
      </c>
      <c r="AE70" s="227">
        <f t="shared" si="4"/>
        <v>-0.52577319587628857</v>
      </c>
      <c r="AG70" s="225">
        <f>+'09-G.  ADMINISTRATIVA'!BH17</f>
        <v>0.26288659793814434</v>
      </c>
      <c r="AH70" s="227">
        <f t="shared" ref="AH70:AH71" si="14">+Z70-AG70</f>
        <v>-0.13144329896907217</v>
      </c>
    </row>
    <row r="71" spans="2:34" ht="64.5" customHeight="1">
      <c r="B71" s="1037"/>
      <c r="C71" s="1077"/>
      <c r="D71" s="28" t="str">
        <f>+'01-FR-03 POA INSTITUCIONAL'!D71</f>
        <v>4.4.3 Ejecutar el 95% del presupuesto aprobado para la Entidad</v>
      </c>
      <c r="E71" s="46">
        <f>+'01-FR-03 POA INSTITUCIONAL'!E71</f>
        <v>7.0000000000000007E-2</v>
      </c>
      <c r="F71" s="29">
        <f>+'01-FR-03 POA INSTITUCIONAL'!F71</f>
        <v>0.95</v>
      </c>
      <c r="G71" s="96" t="str">
        <f>+'01-FR-03 POA INSTITUCIONAL'!G71</f>
        <v>S.I.</v>
      </c>
      <c r="H71" s="73" t="str">
        <f>+'01-FR-03 POA INSTITUCIONAL'!H71</f>
        <v>Porcentaje del presupuesto aprobado y ejecutado.</v>
      </c>
      <c r="I71" s="74" t="str">
        <f>+'01-FR-03 POA INSTITUCIONAL'!I71</f>
        <v>Gestión Financiera</v>
      </c>
      <c r="J71" s="75" t="str">
        <f>+'01-FR-03 POA INSTITUCIONAL'!J71</f>
        <v>Subdirección de Gestión Financiera
Dirección Administrativa y Financiera</v>
      </c>
      <c r="K71" s="77">
        <f>+'01-FR-03 POA INSTITUCIONAL'!K71</f>
        <v>0.95</v>
      </c>
      <c r="L71" s="77">
        <f>+'01-FR-03 POA INSTITUCIONAL'!L71</f>
        <v>0.95</v>
      </c>
      <c r="M71" s="77">
        <f>+'01-FR-03 POA INSTITUCIONAL'!M71</f>
        <v>0.95</v>
      </c>
      <c r="N71" s="77">
        <f>+'01-FR-03 POA INSTITUCIONAL'!N71</f>
        <v>0.95</v>
      </c>
      <c r="O71" s="220">
        <f>+'10-GESTIÓN FINANCIERA'!V16</f>
        <v>0.27</v>
      </c>
      <c r="P71" s="220">
        <f>+'10-GESTIÓN FINANCIERA'!W16</f>
        <v>0.27100000000000002</v>
      </c>
      <c r="Q71" s="220">
        <f>+'10-GESTIÓN FINANCIERA'!AD16</f>
        <v>0.24</v>
      </c>
      <c r="R71" s="220">
        <f>+'10-GESTIÓN FINANCIERA'!AE16</f>
        <v>0.25700000000000001</v>
      </c>
      <c r="S71" s="220">
        <f>+'10-GESTIÓN FINANCIERA'!AL16</f>
        <v>0.18</v>
      </c>
      <c r="T71" s="220">
        <f>+'10-GESTIÓN FINANCIERA'!AM16</f>
        <v>0</v>
      </c>
      <c r="U71" s="220">
        <f>+'10-GESTIÓN FINANCIERA'!AT16</f>
        <v>0.26</v>
      </c>
      <c r="V71" s="220">
        <f>+'10-GESTIÓN FINANCIERA'!AU16</f>
        <v>0</v>
      </c>
      <c r="W71" s="220">
        <f>+'10-GESTIÓN FINANCIERA'!AV16</f>
        <v>0.95</v>
      </c>
      <c r="X71" s="247">
        <f>+'10-GESTIÓN FINANCIERA'!AX16</f>
        <v>0.52800000000000002</v>
      </c>
      <c r="Y71" s="504">
        <f>+'10-GESTIÓN FINANCIERA'!BB16</f>
        <v>0.55578947368421061</v>
      </c>
      <c r="Z71" s="249">
        <f>+'10-GESTIÓN FINANCIERA'!BF16</f>
        <v>0.13894736842105265</v>
      </c>
      <c r="AA71" s="248">
        <f t="shared" si="3"/>
        <v>9.7263157894736871E-3</v>
      </c>
      <c r="AB71" s="1005"/>
      <c r="AD71" s="225">
        <f>+'10-GESTIÓN FINANCIERA'!BD16</f>
        <v>0.55578947368421061</v>
      </c>
      <c r="AE71" s="227">
        <f t="shared" si="4"/>
        <v>0</v>
      </c>
      <c r="AG71" s="225">
        <f>+'10-GESTIÓN FINANCIERA'!BH16</f>
        <v>0.13894736842105265</v>
      </c>
      <c r="AH71" s="227">
        <f t="shared" si="14"/>
        <v>0</v>
      </c>
    </row>
    <row r="72" spans="2:34" ht="64.5" customHeight="1">
      <c r="B72" s="1037"/>
      <c r="C72" s="1077"/>
      <c r="D72" s="28" t="str">
        <f>+'01-FR-03 POA INSTITUCIONAL'!D72</f>
        <v>4.4.4 Programar y ejecutar el 95% de los compromisos de pago adquiridos por la Entidad</v>
      </c>
      <c r="E72" s="46">
        <f>+'01-FR-03 POA INSTITUCIONAL'!E72</f>
        <v>7.0000000000000007E-2</v>
      </c>
      <c r="F72" s="29">
        <f>+'01-FR-03 POA INSTITUCIONAL'!F72</f>
        <v>0.95</v>
      </c>
      <c r="G72" s="96" t="str">
        <f>+'01-FR-03 POA INSTITUCIONAL'!G72</f>
        <v>S.I.</v>
      </c>
      <c r="H72" s="73" t="str">
        <f>+'01-FR-03 POA INSTITUCIONAL'!H72</f>
        <v>Porcentaje de los compromisos de pago programados y ejecutados.</v>
      </c>
      <c r="I72" s="74" t="str">
        <f>+'01-FR-03 POA INSTITUCIONAL'!I72</f>
        <v>Gestión Financiera</v>
      </c>
      <c r="J72" s="75" t="str">
        <f>+'01-FR-03 POA INSTITUCIONAL'!J72</f>
        <v>Subdirección de Gestión Financiera
Dirección Administrativa y Financiera</v>
      </c>
      <c r="K72" s="77">
        <f>+'01-FR-03 POA INSTITUCIONAL'!K72</f>
        <v>0.95</v>
      </c>
      <c r="L72" s="77">
        <f>+'01-FR-03 POA INSTITUCIONAL'!L72</f>
        <v>0.95</v>
      </c>
      <c r="M72" s="77">
        <f>+'01-FR-03 POA INSTITUCIONAL'!M72</f>
        <v>0.95</v>
      </c>
      <c r="N72" s="77">
        <f>+'01-FR-03 POA INSTITUCIONAL'!N72</f>
        <v>0.95</v>
      </c>
      <c r="O72" s="220">
        <f>+'10-GESTIÓN FINANCIERA'!V17</f>
        <v>0.18</v>
      </c>
      <c r="P72" s="220">
        <f>+'10-GESTIÓN FINANCIERA'!W17</f>
        <v>0.10693</v>
      </c>
      <c r="Q72" s="220">
        <f>+'10-GESTIÓN FINANCIERA'!AD17</f>
        <v>0.24</v>
      </c>
      <c r="R72" s="220">
        <f>+'10-GESTIÓN FINANCIERA'!AE17</f>
        <v>0.24686000000000002</v>
      </c>
      <c r="S72" s="220">
        <f>+'10-GESTIÓN FINANCIERA'!AL17</f>
        <v>0.23</v>
      </c>
      <c r="T72" s="220">
        <f>+'10-GESTIÓN FINANCIERA'!AM17</f>
        <v>0</v>
      </c>
      <c r="U72" s="220">
        <f>+'10-GESTIÓN FINANCIERA'!AT17</f>
        <v>0.3</v>
      </c>
      <c r="V72" s="220">
        <f>+'10-GESTIÓN FINANCIERA'!AU17</f>
        <v>0</v>
      </c>
      <c r="W72" s="220">
        <f>+'10-GESTIÓN FINANCIERA'!AV17</f>
        <v>0.95</v>
      </c>
      <c r="X72" s="247">
        <f>+'10-GESTIÓN FINANCIERA'!AX17</f>
        <v>0.35379000000000005</v>
      </c>
      <c r="Y72" s="504">
        <f>+'10-GESTIÓN FINANCIERA'!BB17</f>
        <v>0.37241052631578953</v>
      </c>
      <c r="Z72" s="249">
        <f>+'10-GESTIÓN FINANCIERA'!BF17</f>
        <v>9.3102631578947381E-2</v>
      </c>
      <c r="AA72" s="248">
        <f t="shared" si="3"/>
        <v>6.5171842105263174E-3</v>
      </c>
      <c r="AB72" s="1005"/>
      <c r="AD72" s="225">
        <f>+'10-GESTIÓN FINANCIERA'!BD17</f>
        <v>0.37241052631578953</v>
      </c>
      <c r="AE72" s="227">
        <f t="shared" si="4"/>
        <v>0</v>
      </c>
      <c r="AG72" s="225">
        <f>+'10-GESTIÓN FINANCIERA'!BH17</f>
        <v>9.3102631578947381E-2</v>
      </c>
      <c r="AH72" s="227">
        <f t="shared" ref="AH72:AH99" si="15">+Z72-AG72</f>
        <v>0</v>
      </c>
    </row>
    <row r="73" spans="2:34" ht="64.5" customHeight="1">
      <c r="B73" s="1037"/>
      <c r="C73" s="1077"/>
      <c r="D73" s="28" t="str">
        <f>+'01-FR-03 POA INSTITUCIONAL'!D73</f>
        <v>4.4.5 Elaborar y presentar el 100% de los estados financieros de la Entidad</v>
      </c>
      <c r="E73" s="46">
        <f>+'01-FR-03 POA INSTITUCIONAL'!E73</f>
        <v>0.06</v>
      </c>
      <c r="F73" s="29">
        <f>+'01-FR-03 POA INSTITUCIONAL'!F73</f>
        <v>1</v>
      </c>
      <c r="G73" s="96" t="str">
        <f>+'01-FR-03 POA INSTITUCIONAL'!G73</f>
        <v>S.I.</v>
      </c>
      <c r="H73" s="73" t="str">
        <f>+'01-FR-03 POA INSTITUCIONAL'!H73</f>
        <v>Porcentaje de estados financieros de la Entidad elaborados y presentados.</v>
      </c>
      <c r="I73" s="74" t="str">
        <f>+'01-FR-03 POA INSTITUCIONAL'!I73</f>
        <v>Gestión Financiera</v>
      </c>
      <c r="J73" s="75" t="str">
        <f>+'01-FR-03 POA INSTITUCIONAL'!J73</f>
        <v>Subdirección de Gestión Financiera
Dirección Administrativa y Financiera</v>
      </c>
      <c r="K73" s="77">
        <f>+'01-FR-03 POA INSTITUCIONAL'!K73</f>
        <v>1</v>
      </c>
      <c r="L73" s="77">
        <f>+'01-FR-03 POA INSTITUCIONAL'!L73</f>
        <v>1</v>
      </c>
      <c r="M73" s="77">
        <f>+'01-FR-03 POA INSTITUCIONAL'!M73</f>
        <v>1</v>
      </c>
      <c r="N73" s="77">
        <f>+'01-FR-03 POA INSTITUCIONAL'!N73</f>
        <v>1</v>
      </c>
      <c r="O73" s="220">
        <f>+'10-GESTIÓN FINANCIERA'!V18</f>
        <v>0.25</v>
      </c>
      <c r="P73" s="220">
        <f>+'10-GESTIÓN FINANCIERA'!W18</f>
        <v>0.25</v>
      </c>
      <c r="Q73" s="220">
        <f>+'10-GESTIÓN FINANCIERA'!AD18</f>
        <v>0.25</v>
      </c>
      <c r="R73" s="220">
        <f>+'10-GESTIÓN FINANCIERA'!AE18</f>
        <v>0.25</v>
      </c>
      <c r="S73" s="220">
        <f>+'10-GESTIÓN FINANCIERA'!AL18</f>
        <v>0.25</v>
      </c>
      <c r="T73" s="220">
        <f>+'10-GESTIÓN FINANCIERA'!AM18</f>
        <v>0</v>
      </c>
      <c r="U73" s="220">
        <f>+'10-GESTIÓN FINANCIERA'!AT18</f>
        <v>0.25</v>
      </c>
      <c r="V73" s="220">
        <f>+'10-GESTIÓN FINANCIERA'!AU18</f>
        <v>0</v>
      </c>
      <c r="W73" s="220">
        <f>+'10-GESTIÓN FINANCIERA'!AV18</f>
        <v>1</v>
      </c>
      <c r="X73" s="247">
        <f>+'10-GESTIÓN FINANCIERA'!AX18</f>
        <v>0.5</v>
      </c>
      <c r="Y73" s="504">
        <f>+'10-GESTIÓN FINANCIERA'!BB18</f>
        <v>0.5</v>
      </c>
      <c r="Z73" s="249">
        <f>+'10-GESTIÓN FINANCIERA'!BF18</f>
        <v>0.125</v>
      </c>
      <c r="AA73" s="248">
        <f t="shared" si="3"/>
        <v>7.4999999999999997E-3</v>
      </c>
      <c r="AB73" s="1005"/>
      <c r="AD73" s="225">
        <f>+'10-GESTIÓN FINANCIERA'!BD18</f>
        <v>0.5</v>
      </c>
      <c r="AE73" s="227">
        <f t="shared" si="4"/>
        <v>0</v>
      </c>
      <c r="AG73" s="225">
        <f>+'10-GESTIÓN FINANCIERA'!BH18</f>
        <v>0.125</v>
      </c>
      <c r="AH73" s="227">
        <f t="shared" si="15"/>
        <v>0</v>
      </c>
    </row>
    <row r="74" spans="2:34" ht="78" customHeight="1">
      <c r="B74" s="1037"/>
      <c r="C74" s="1077"/>
      <c r="D74" s="28" t="str">
        <f>+'01-FR-03 POA INSTITUCIONAL'!D74</f>
        <v>4.4.6 Ejecutar el 95% del Plan Anual de Adquisiciones respecto de gastos generales</v>
      </c>
      <c r="E74" s="46">
        <f>+'01-FR-03 POA INSTITUCIONAL'!E74</f>
        <v>0.1</v>
      </c>
      <c r="F74" s="29">
        <f>+'01-FR-03 POA INSTITUCIONAL'!F74</f>
        <v>0.95</v>
      </c>
      <c r="G74" s="96" t="str">
        <f>+'01-FR-03 POA INSTITUCIONAL'!G74</f>
        <v>S.I.</v>
      </c>
      <c r="H74" s="73" t="str">
        <f>+'01-FR-03 POA INSTITUCIONAL'!H74</f>
        <v xml:space="preserve">Porcentaje del Plan Anual de Adquisiciones ejecutado </v>
      </c>
      <c r="I74" s="74" t="str">
        <f>+'01-FR-03 POA INSTITUCIONAL'!I74</f>
        <v>Gestión Contractual</v>
      </c>
      <c r="J74" s="75" t="str">
        <f>+'01-FR-03 POA INSTITUCIONAL'!J74</f>
        <v>Subdirección de Gestión Contractual
Dirección Administrativa y Financiera</v>
      </c>
      <c r="K74" s="77">
        <f>+'01-FR-03 POA INSTITUCIONAL'!K74</f>
        <v>0.95</v>
      </c>
      <c r="L74" s="77">
        <f>+'01-FR-03 POA INSTITUCIONAL'!L74</f>
        <v>0.95</v>
      </c>
      <c r="M74" s="77">
        <f>+'01-FR-03 POA INSTITUCIONAL'!M74</f>
        <v>0.95</v>
      </c>
      <c r="N74" s="77">
        <f>+'01-FR-03 POA INSTITUCIONAL'!N74</f>
        <v>0.95</v>
      </c>
      <c r="O74" s="220">
        <f>+'11-GESTIÓN CONTRACTUAL'!V16</f>
        <v>0.31</v>
      </c>
      <c r="P74" s="220">
        <f>+'11-GESTIÓN CONTRACTUAL'!W16</f>
        <v>0.31</v>
      </c>
      <c r="Q74" s="220">
        <f>+'11-GESTIÓN CONTRACTUAL'!AD16</f>
        <v>0.22000000000000003</v>
      </c>
      <c r="R74" s="220">
        <f>+'11-GESTIÓN CONTRACTUAL'!AE16</f>
        <v>0.28000000000000003</v>
      </c>
      <c r="S74" s="220">
        <f>+'11-GESTIÓN CONTRACTUAL'!AL16</f>
        <v>0.21999999999999997</v>
      </c>
      <c r="T74" s="220">
        <f>+'11-GESTIÓN CONTRACTUAL'!AM16</f>
        <v>0</v>
      </c>
      <c r="U74" s="220">
        <f>+'11-GESTIÓN CONTRACTUAL'!AT16</f>
        <v>0.2</v>
      </c>
      <c r="V74" s="220">
        <f>+'11-GESTIÓN CONTRACTUAL'!AU16</f>
        <v>0</v>
      </c>
      <c r="W74" s="220">
        <f>+'11-GESTIÓN CONTRACTUAL'!AV16</f>
        <v>0.95</v>
      </c>
      <c r="X74" s="247">
        <f>+'11-GESTIÓN CONTRACTUAL'!AX16</f>
        <v>0.59000000000000008</v>
      </c>
      <c r="Y74" s="504">
        <f>+'11-GESTIÓN CONTRACTUAL'!BB16</f>
        <v>0.62105263157894752</v>
      </c>
      <c r="Z74" s="249">
        <f>+'11-GESTIÓN CONTRACTUAL'!BF16</f>
        <v>0.15526315789473688</v>
      </c>
      <c r="AA74" s="444">
        <f t="shared" si="3"/>
        <v>1.5526315789473688E-2</v>
      </c>
      <c r="AB74" s="1005"/>
      <c r="AD74" s="225">
        <f>+'11-GESTIÓN CONTRACTUAL'!BD16</f>
        <v>0.62105263157894752</v>
      </c>
      <c r="AE74" s="227">
        <f t="shared" si="4"/>
        <v>0</v>
      </c>
      <c r="AG74" s="225">
        <f>+'11-GESTIÓN CONTRACTUAL'!BH16</f>
        <v>0.15526315789473688</v>
      </c>
      <c r="AH74" s="227">
        <f t="shared" si="15"/>
        <v>0</v>
      </c>
    </row>
    <row r="75" spans="2:34" ht="96.75" customHeight="1">
      <c r="B75" s="1037"/>
      <c r="C75" s="1077"/>
      <c r="D75" s="28" t="str">
        <f>+'01-FR-03 POA INSTITUCIONAL'!D75</f>
        <v>4.4.7 Realizar el 95% del reparto, dentro de un término no superior a tres (3) días hábiles, de las comunicaciones oficiales institucionales recibidas por el Grupo de Correspondencia.</v>
      </c>
      <c r="E75" s="46">
        <f>+'01-FR-03 POA INSTITUCIONAL'!E75</f>
        <v>0.05</v>
      </c>
      <c r="F75" s="29">
        <f>+'01-FR-03 POA INSTITUCIONAL'!F75</f>
        <v>0.95</v>
      </c>
      <c r="G75" s="96" t="str">
        <f>+'01-FR-03 POA INSTITUCIONAL'!G75</f>
        <v>S.I.</v>
      </c>
      <c r="H75" s="73" t="str">
        <f>+'01-FR-03 POA INSTITUCIONAL'!H75</f>
        <v>Porcentaje de Comunicaciones oficiales con reparto realizado dentro de los 3 días hábiles desde su radicación</v>
      </c>
      <c r="I75" s="74" t="str">
        <f>+'01-FR-03 POA INSTITUCIONAL'!I75</f>
        <v>Gestión Documental</v>
      </c>
      <c r="J75" s="75" t="str">
        <f>+'01-FR-03 POA INSTITUCIONAL'!J75</f>
        <v>Subdirección de Gestión Documental y Recursos Físicos - Grupo de Correspondencia</v>
      </c>
      <c r="K75" s="77">
        <f>+'01-FR-03 POA INSTITUCIONAL'!K75</f>
        <v>0.95</v>
      </c>
      <c r="L75" s="77">
        <f>+'01-FR-03 POA INSTITUCIONAL'!L75</f>
        <v>0.95</v>
      </c>
      <c r="M75" s="77">
        <f>+'01-FR-03 POA INSTITUCIONAL'!M75</f>
        <v>0.95</v>
      </c>
      <c r="N75" s="77">
        <f>+'01-FR-03 POA INSTITUCIONAL'!N75</f>
        <v>0.95</v>
      </c>
      <c r="O75" s="220">
        <f>+'12-GESTIÓN DOCUMENTAL'!V16</f>
        <v>0.94999999999999984</v>
      </c>
      <c r="P75" s="220">
        <f>+'12-GESTIÓN DOCUMENTAL'!W16</f>
        <v>0.99073999999999984</v>
      </c>
      <c r="Q75" s="220">
        <f>+'12-GESTIÓN DOCUMENTAL'!AD16</f>
        <v>0.94999999999999984</v>
      </c>
      <c r="R75" s="220">
        <f>+'12-GESTIÓN DOCUMENTAL'!AE16</f>
        <v>0.94887333333333324</v>
      </c>
      <c r="S75" s="220">
        <f>+'12-GESTIÓN DOCUMENTAL'!AL16</f>
        <v>0.94999999999999984</v>
      </c>
      <c r="T75" s="220">
        <f>+'12-GESTIÓN DOCUMENTAL'!AM16</f>
        <v>0</v>
      </c>
      <c r="U75" s="220">
        <f>+'12-GESTIÓN DOCUMENTAL'!AT16</f>
        <v>0.94999999999999984</v>
      </c>
      <c r="V75" s="220">
        <f>+'12-GESTIÓN DOCUMENTAL'!AU16</f>
        <v>0</v>
      </c>
      <c r="W75" s="220">
        <f>+'12-GESTIÓN DOCUMENTAL'!AV16</f>
        <v>0.94999999999999984</v>
      </c>
      <c r="X75" s="246">
        <f>+'12-GESTIÓN DOCUMENTAL'!AX16</f>
        <v>0.96970000000000001</v>
      </c>
      <c r="Y75" s="800">
        <f>+'12-GESTIÓN DOCUMENTAL'!BB16</f>
        <v>0.51036842105263169</v>
      </c>
      <c r="Z75" s="249">
        <f>+'12-GESTIÓN DOCUMENTAL'!BF16</f>
        <v>0.1275921052631579</v>
      </c>
      <c r="AA75" s="222">
        <f t="shared" si="3"/>
        <v>6.3796052631578948E-3</v>
      </c>
      <c r="AB75" s="1005"/>
      <c r="AD75" s="225">
        <f>+'12-GESTIÓN DOCUMENTAL'!BD16</f>
        <v>1.0200000000000002</v>
      </c>
      <c r="AE75" s="227">
        <f t="shared" si="4"/>
        <v>-0.50963157894736855</v>
      </c>
      <c r="AG75" s="225">
        <f>+'12-GESTIÓN DOCUMENTAL'!BH16</f>
        <v>0.255</v>
      </c>
      <c r="AH75" s="227">
        <f t="shared" si="15"/>
        <v>-0.12740789473684211</v>
      </c>
    </row>
    <row r="76" spans="2:34" ht="76.5" customHeight="1">
      <c r="B76" s="1037"/>
      <c r="C76" s="1077"/>
      <c r="D76" s="28" t="str">
        <f>+'01-FR-03 POA INSTITUCIONAL'!D76</f>
        <v>4.4.8 Incorporar el 80% al archivo central de las transferencias documentales provenientes de las dependencias, en razón a que cumplen los requisitos exigidos para ello.</v>
      </c>
      <c r="E76" s="46">
        <f>+'01-FR-03 POA INSTITUCIONAL'!E76</f>
        <v>0.05</v>
      </c>
      <c r="F76" s="29">
        <f>+'01-FR-03 POA INSTITUCIONAL'!F76</f>
        <v>0.8</v>
      </c>
      <c r="G76" s="35">
        <f>+'01-FR-03 POA INSTITUCIONAL'!G76</f>
        <v>264</v>
      </c>
      <c r="H76" s="73" t="str">
        <f>+'01-FR-03 POA INSTITUCIONAL'!H76</f>
        <v>Porcentaje de documentación incorporada en el archivo central durante la vigencia.</v>
      </c>
      <c r="I76" s="74" t="str">
        <f>+'01-FR-03 POA INSTITUCIONAL'!I76</f>
        <v>Gestión Documental</v>
      </c>
      <c r="J76" s="75" t="str">
        <f>+'01-FR-03 POA INSTITUCIONAL'!J76</f>
        <v>Subdirección de Gestión Documental y Recursos Físicos - Archivo central</v>
      </c>
      <c r="K76" s="77">
        <f>+'01-FR-03 POA INSTITUCIONAL'!K76</f>
        <v>0.8</v>
      </c>
      <c r="L76" s="77">
        <f>+'01-FR-03 POA INSTITUCIONAL'!L76</f>
        <v>0.8</v>
      </c>
      <c r="M76" s="77">
        <f>+'01-FR-03 POA INSTITUCIONAL'!M76</f>
        <v>0.8</v>
      </c>
      <c r="N76" s="77">
        <f>+'01-FR-03 POA INSTITUCIONAL'!N76</f>
        <v>0.8</v>
      </c>
      <c r="O76" s="220">
        <f>+'12-GESTIÓN DOCUMENTAL'!V17</f>
        <v>0.80000000000000016</v>
      </c>
      <c r="P76" s="220">
        <f>+'12-GESTIÓN DOCUMENTAL'!W17</f>
        <v>0.80000000000000016</v>
      </c>
      <c r="Q76" s="220">
        <f>+'12-GESTIÓN DOCUMENTAL'!AD17</f>
        <v>0.80000000000000016</v>
      </c>
      <c r="R76" s="220">
        <f>+'12-GESTIÓN DOCUMENTAL'!AE17</f>
        <v>0.79900000000000004</v>
      </c>
      <c r="S76" s="220">
        <f>+'12-GESTIÓN DOCUMENTAL'!AL17</f>
        <v>0.80000000000000016</v>
      </c>
      <c r="T76" s="220">
        <f>+'12-GESTIÓN DOCUMENTAL'!AM17</f>
        <v>0</v>
      </c>
      <c r="U76" s="220">
        <f>+'12-GESTIÓN DOCUMENTAL'!AT17</f>
        <v>0.80000000000000016</v>
      </c>
      <c r="V76" s="220">
        <f>+'12-GESTIÓN DOCUMENTAL'!AU17</f>
        <v>0</v>
      </c>
      <c r="W76" s="220">
        <f>+'12-GESTIÓN DOCUMENTAL'!AV17</f>
        <v>0.79999999999999993</v>
      </c>
      <c r="X76" s="246">
        <f>+'12-GESTIÓN DOCUMENTAL'!AX17</f>
        <v>0.79900000000000004</v>
      </c>
      <c r="Y76" s="800">
        <f>+'12-GESTIÓN DOCUMENTAL'!BB17</f>
        <v>0.49937500000000007</v>
      </c>
      <c r="Z76" s="249">
        <f>+'12-GESTIÓN DOCUMENTAL'!BF17</f>
        <v>0.12484375</v>
      </c>
      <c r="AA76" s="222">
        <f t="shared" si="3"/>
        <v>6.2421875000000003E-3</v>
      </c>
      <c r="AB76" s="1005"/>
      <c r="AD76" s="225">
        <f>+'12-GESTIÓN DOCUMENTAL'!BD17</f>
        <v>0.99875000000000014</v>
      </c>
      <c r="AE76" s="227">
        <f t="shared" si="4"/>
        <v>-0.49937500000000007</v>
      </c>
      <c r="AG76" s="225">
        <f>+'12-GESTIÓN DOCUMENTAL'!BH17</f>
        <v>0.24968750000000001</v>
      </c>
      <c r="AH76" s="227">
        <f t="shared" si="15"/>
        <v>-0.12484375</v>
      </c>
    </row>
    <row r="77" spans="2:34" ht="120" customHeight="1">
      <c r="B77" s="1037"/>
      <c r="C77" s="1077"/>
      <c r="D77" s="28" t="str">
        <f>+'01-FR-03 POA INSTITUCIONAL'!D77</f>
        <v>4.4.9 Realizar 100 actividades de diseño, actualización o ajuste de los instrumentos archivísticos establecidos por norma.</v>
      </c>
      <c r="E77" s="46">
        <f>+'01-FR-03 POA INSTITUCIONAL'!E77</f>
        <v>0.05</v>
      </c>
      <c r="F77" s="72">
        <f>+'01-FR-03 POA INSTITUCIONAL'!F77</f>
        <v>100</v>
      </c>
      <c r="G77" s="35">
        <f>+'01-FR-03 POA INSTITUCIONAL'!G77</f>
        <v>32</v>
      </c>
      <c r="H77" s="73" t="str">
        <f>+'01-FR-03 POA INSTITUCIONAL'!H77</f>
        <v>Cantidad de actividades realizadas por año para el diseño, actualización o ajuste de los instrumentos archivísticos establecidos por norma</v>
      </c>
      <c r="I77" s="74" t="str">
        <f>+'01-FR-03 POA INSTITUCIONAL'!I77</f>
        <v>Gestión Documental</v>
      </c>
      <c r="J77" s="75" t="str">
        <f>+'01-FR-03 POA INSTITUCIONAL'!J77</f>
        <v xml:space="preserve">Subdirección de Gestión Documental y Recursos Físicos </v>
      </c>
      <c r="K77" s="76">
        <f>+'01-FR-03 POA INSTITUCIONAL'!K77</f>
        <v>25</v>
      </c>
      <c r="L77" s="76">
        <f>+'01-FR-03 POA INSTITUCIONAL'!L77</f>
        <v>25</v>
      </c>
      <c r="M77" s="76">
        <f>+'01-FR-03 POA INSTITUCIONAL'!M77</f>
        <v>25</v>
      </c>
      <c r="N77" s="76">
        <f>+'01-FR-03 POA INSTITUCIONAL'!N77</f>
        <v>25</v>
      </c>
      <c r="O77" s="95">
        <f>+'12-GESTIÓN DOCUMENTAL'!V18</f>
        <v>5.25</v>
      </c>
      <c r="P77" s="95">
        <f>+'12-GESTIÓN DOCUMENTAL'!W18</f>
        <v>4.95</v>
      </c>
      <c r="Q77" s="95">
        <f>+'12-GESTIÓN DOCUMENTAL'!AD18</f>
        <v>6.5</v>
      </c>
      <c r="R77" s="95">
        <f>+'12-GESTIÓN DOCUMENTAL'!AE18</f>
        <v>7.8000000000000007</v>
      </c>
      <c r="S77" s="95">
        <f>+'12-GESTIÓN DOCUMENTAL'!AL18</f>
        <v>6.75</v>
      </c>
      <c r="T77" s="95">
        <f>+'12-GESTIÓN DOCUMENTAL'!AM18</f>
        <v>0</v>
      </c>
      <c r="U77" s="95">
        <f>+'12-GESTIÓN DOCUMENTAL'!AT18</f>
        <v>6.5</v>
      </c>
      <c r="V77" s="95">
        <f>+'12-GESTIÓN DOCUMENTAL'!AU18</f>
        <v>0</v>
      </c>
      <c r="W77" s="95">
        <f>+'12-GESTIÓN DOCUMENTAL'!AV18</f>
        <v>25</v>
      </c>
      <c r="X77" s="804">
        <f>+'12-GESTIÓN DOCUMENTAL'!AX18</f>
        <v>12.75</v>
      </c>
      <c r="Y77" s="800">
        <f>+'12-GESTIÓN DOCUMENTAL'!BB18</f>
        <v>0.51</v>
      </c>
      <c r="Z77" s="249">
        <f>+'12-GESTIÓN DOCUMENTAL'!BF18</f>
        <v>0.1275</v>
      </c>
      <c r="AA77" s="228">
        <f t="shared" ref="AA77:AA81" si="16">IF(AND(Z77&gt;0,E77&gt;0),Z77*E77,0)</f>
        <v>6.3750000000000005E-3</v>
      </c>
      <c r="AB77" s="1005"/>
      <c r="AD77" s="225">
        <f>+'12-GESTIÓN DOCUMENTAL'!BD18</f>
        <v>0.51</v>
      </c>
      <c r="AE77" s="227">
        <f t="shared" ref="AE77:AE96" si="17">Y77-AD77</f>
        <v>0</v>
      </c>
      <c r="AG77" s="225">
        <f>+'12-GESTIÓN DOCUMENTAL'!BH18</f>
        <v>0.1275</v>
      </c>
      <c r="AH77" s="227">
        <f t="shared" si="15"/>
        <v>0</v>
      </c>
    </row>
    <row r="78" spans="2:34" ht="87" customHeight="1">
      <c r="B78" s="1037"/>
      <c r="C78" s="1077"/>
      <c r="D78" s="28" t="str">
        <f>+'01-FR-03 POA INSTITUCIONAL'!D78</f>
        <v>4.4.10 Realizar 100 actividades de implementación de los instrumentos archivísticos establecidos por norma, y de las herramientas de apoyo a la gestión documental.</v>
      </c>
      <c r="E78" s="46">
        <f>+'01-FR-03 POA INSTITUCIONAL'!E78</f>
        <v>0.05</v>
      </c>
      <c r="F78" s="72">
        <f>+'01-FR-03 POA INSTITUCIONAL'!F78</f>
        <v>100</v>
      </c>
      <c r="G78" s="35">
        <f>+'01-FR-03 POA INSTITUCIONAL'!G78</f>
        <v>26</v>
      </c>
      <c r="H78" s="73" t="str">
        <f>+'01-FR-03 POA INSTITUCIONAL'!H78</f>
        <v>Cantidad de actividades realizadas por año para implementación de los instrumentos archivísticos establecidos por norma, y de herramientas de apoyo a la gestión documental.</v>
      </c>
      <c r="I78" s="74" t="str">
        <f>+'01-FR-03 POA INSTITUCIONAL'!I78</f>
        <v>Gestión Documental
Direccionamiento TIC</v>
      </c>
      <c r="J78" s="75" t="str">
        <f>+'01-FR-03 POA INSTITUCIONAL'!J78</f>
        <v>Subdirección de Gestión Documental y Recursos Físicos
Dirección de Tecnologías de la Información y Comunicaciones</v>
      </c>
      <c r="K78" s="76">
        <f>+'01-FR-03 POA INSTITUCIONAL'!K78</f>
        <v>25</v>
      </c>
      <c r="L78" s="76">
        <f>+'01-FR-03 POA INSTITUCIONAL'!L78</f>
        <v>25</v>
      </c>
      <c r="M78" s="76">
        <f>+'01-FR-03 POA INSTITUCIONAL'!M78</f>
        <v>25</v>
      </c>
      <c r="N78" s="76">
        <f>+'01-FR-03 POA INSTITUCIONAL'!N78</f>
        <v>25</v>
      </c>
      <c r="O78" s="95">
        <f>+'12-GESTIÓN DOCUMENTAL'!V19</f>
        <v>5.25</v>
      </c>
      <c r="P78" s="95">
        <f>+'12-GESTIÓN DOCUMENTAL'!W19</f>
        <v>5.65</v>
      </c>
      <c r="Q78" s="95">
        <f>+'12-GESTIÓN DOCUMENTAL'!AD19</f>
        <v>6.5</v>
      </c>
      <c r="R78" s="95">
        <f>+'12-GESTIÓN DOCUMENTAL'!AE19</f>
        <v>7.45</v>
      </c>
      <c r="S78" s="95">
        <f>+'12-GESTIÓN DOCUMENTAL'!AL19</f>
        <v>6.75</v>
      </c>
      <c r="T78" s="95">
        <f>+'12-GESTIÓN DOCUMENTAL'!AM19</f>
        <v>0</v>
      </c>
      <c r="U78" s="95">
        <f>+'12-GESTIÓN DOCUMENTAL'!AT19</f>
        <v>6.5</v>
      </c>
      <c r="V78" s="95">
        <f>+'12-GESTIÓN DOCUMENTAL'!AU19</f>
        <v>0</v>
      </c>
      <c r="W78" s="95">
        <f>+'12-GESTIÓN DOCUMENTAL'!AV19</f>
        <v>25</v>
      </c>
      <c r="X78" s="804">
        <f>+'12-GESTIÓN DOCUMENTAL'!AX19</f>
        <v>13.100000000000001</v>
      </c>
      <c r="Y78" s="800">
        <f>+'12-GESTIÓN DOCUMENTAL'!BB19</f>
        <v>0.52400000000000002</v>
      </c>
      <c r="Z78" s="249">
        <f>+'12-GESTIÓN DOCUMENTAL'!BF19</f>
        <v>0.13100000000000001</v>
      </c>
      <c r="AA78" s="228">
        <f t="shared" si="16"/>
        <v>6.5500000000000003E-3</v>
      </c>
      <c r="AB78" s="1005"/>
      <c r="AD78" s="225">
        <f>+'12-GESTIÓN DOCUMENTAL'!BD19</f>
        <v>0.52400000000000002</v>
      </c>
      <c r="AE78" s="227">
        <f t="shared" si="17"/>
        <v>0</v>
      </c>
      <c r="AG78" s="225">
        <f>+'12-GESTIÓN DOCUMENTAL'!BH19</f>
        <v>0.13100000000000001</v>
      </c>
      <c r="AH78" s="227">
        <f t="shared" si="15"/>
        <v>0</v>
      </c>
    </row>
    <row r="79" spans="2:34" ht="63" customHeight="1">
      <c r="B79" s="1037"/>
      <c r="C79" s="1077"/>
      <c r="D79" s="28" t="str">
        <f>+'01-FR-03 POA INSTITUCIONAL'!D79</f>
        <v>4.4.11  Representar a la Entidad en el 100% de los procesos judiciales en los cuales la sea vinculada o demandada.</v>
      </c>
      <c r="E79" s="46">
        <f>+'01-FR-03 POA INSTITUCIONAL'!E79</f>
        <v>0.05</v>
      </c>
      <c r="F79" s="29">
        <f>+'01-FR-03 POA INSTITUCIONAL'!F79</f>
        <v>1</v>
      </c>
      <c r="G79" s="96">
        <f>+'01-FR-03 POA INSTITUCIONAL'!G79</f>
        <v>1</v>
      </c>
      <c r="H79" s="73" t="str">
        <f>+'01-FR-03 POA INSTITUCIONAL'!H79</f>
        <v>Porcentaje de procesos judiciales en los que se vincule o demande a la Entidad, objeto de representación oportuna</v>
      </c>
      <c r="I79" s="74" t="str">
        <f>+'01-FR-03 POA INSTITUCIONAL'!I79</f>
        <v xml:space="preserve"> Gestión Jurídica</v>
      </c>
      <c r="J79" s="75" t="str">
        <f>+'01-FR-03 POA INSTITUCIONAL'!J79</f>
        <v>Oficina Asesora Jurídica</v>
      </c>
      <c r="K79" s="77">
        <f>+'01-FR-03 POA INSTITUCIONAL'!K79</f>
        <v>1</v>
      </c>
      <c r="L79" s="77">
        <f>+'01-FR-03 POA INSTITUCIONAL'!L79</f>
        <v>1</v>
      </c>
      <c r="M79" s="77">
        <f>+'01-FR-03 POA INSTITUCIONAL'!M79</f>
        <v>1</v>
      </c>
      <c r="N79" s="77">
        <f>+'01-FR-03 POA INSTITUCIONAL'!N79</f>
        <v>1</v>
      </c>
      <c r="O79" s="250">
        <f>+'13-GESTIÓN JURÍDICA'!V16</f>
        <v>1</v>
      </c>
      <c r="P79" s="250">
        <f>+'13-GESTIÓN JURÍDICA'!W16</f>
        <v>1</v>
      </c>
      <c r="Q79" s="250">
        <f>+'13-GESTIÓN JURÍDICA'!AD16</f>
        <v>1</v>
      </c>
      <c r="R79" s="250">
        <f>+'13-GESTIÓN JURÍDICA'!AE16</f>
        <v>1</v>
      </c>
      <c r="S79" s="250">
        <f>+'13-GESTIÓN JURÍDICA'!AL16</f>
        <v>1</v>
      </c>
      <c r="T79" s="220">
        <f>+'13-GESTIÓN JURÍDICA'!AM16</f>
        <v>0</v>
      </c>
      <c r="U79" s="220">
        <f>+'13-GESTIÓN JURÍDICA'!AT16</f>
        <v>1</v>
      </c>
      <c r="V79" s="220">
        <f>+'13-GESTIÓN JURÍDICA'!AU16</f>
        <v>0</v>
      </c>
      <c r="W79" s="220">
        <f>+'13-GESTIÓN JURÍDICA'!AV16</f>
        <v>1</v>
      </c>
      <c r="X79" s="246">
        <f>+'13-GESTIÓN JURÍDICA'!AX16</f>
        <v>1</v>
      </c>
      <c r="Y79" s="800">
        <f>+'13-GESTIÓN JURÍDICA'!BB16</f>
        <v>0.5</v>
      </c>
      <c r="Z79" s="249">
        <f>+'13-GESTIÓN JURÍDICA'!BF16</f>
        <v>0.125</v>
      </c>
      <c r="AA79" s="228">
        <f t="shared" si="16"/>
        <v>6.2500000000000003E-3</v>
      </c>
      <c r="AB79" s="1005"/>
      <c r="AD79" s="225">
        <f>+'13-GESTIÓN JURÍDICA'!BD16</f>
        <v>1</v>
      </c>
      <c r="AE79" s="227">
        <f t="shared" si="17"/>
        <v>-0.5</v>
      </c>
      <c r="AG79" s="225">
        <f>+'13-GESTIÓN JURÍDICA'!BH16</f>
        <v>0.25</v>
      </c>
      <c r="AH79" s="227">
        <f t="shared" si="15"/>
        <v>-0.125</v>
      </c>
    </row>
    <row r="80" spans="2:34" ht="54.75" customHeight="1">
      <c r="B80" s="1037"/>
      <c r="C80" s="1077"/>
      <c r="D80" s="28" t="str">
        <f>+'01-FR-03 POA INSTITUCIONAL'!D80</f>
        <v xml:space="preserve">4.4.12 Defender judicialmente a la Entidad en el 100% de las acciones de tutela en las cuales sea vinculada o accionada </v>
      </c>
      <c r="E80" s="46">
        <f>+'01-FR-03 POA INSTITUCIONAL'!E80</f>
        <v>0.05</v>
      </c>
      <c r="F80" s="29">
        <f>+'01-FR-03 POA INSTITUCIONAL'!F80</f>
        <v>1</v>
      </c>
      <c r="G80" s="96">
        <f>+'01-FR-03 POA INSTITUCIONAL'!G80</f>
        <v>1</v>
      </c>
      <c r="H80" s="73" t="str">
        <f>+'01-FR-03 POA INSTITUCIONAL'!H80</f>
        <v xml:space="preserve">Porcentaje de acciones de tutela en las cuales se defienda judicialmente a la Entidad oportunamente </v>
      </c>
      <c r="I80" s="74" t="str">
        <f>+'01-FR-03 POA INSTITUCIONAL'!I80</f>
        <v xml:space="preserve"> Gestión Jurídica</v>
      </c>
      <c r="J80" s="75" t="str">
        <f>+'01-FR-03 POA INSTITUCIONAL'!J80</f>
        <v>Oficina Asesora Jurídica</v>
      </c>
      <c r="K80" s="77">
        <f>+'01-FR-03 POA INSTITUCIONAL'!K80</f>
        <v>1</v>
      </c>
      <c r="L80" s="77">
        <f>+'01-FR-03 POA INSTITUCIONAL'!L80</f>
        <v>1</v>
      </c>
      <c r="M80" s="77">
        <f>+'01-FR-03 POA INSTITUCIONAL'!M80</f>
        <v>1</v>
      </c>
      <c r="N80" s="77">
        <f>+'01-FR-03 POA INSTITUCIONAL'!N80</f>
        <v>1</v>
      </c>
      <c r="O80" s="250">
        <f>+'13-GESTIÓN JURÍDICA'!V17</f>
        <v>1</v>
      </c>
      <c r="P80" s="250">
        <f>+'13-GESTIÓN JURÍDICA'!W17</f>
        <v>1</v>
      </c>
      <c r="Q80" s="250">
        <f>+'13-GESTIÓN JURÍDICA'!AD17</f>
        <v>1</v>
      </c>
      <c r="R80" s="250">
        <f>+'13-GESTIÓN JURÍDICA'!AE17</f>
        <v>1</v>
      </c>
      <c r="S80" s="250">
        <f>+'13-GESTIÓN JURÍDICA'!AL17</f>
        <v>1</v>
      </c>
      <c r="T80" s="220">
        <f>+'13-GESTIÓN JURÍDICA'!AM17</f>
        <v>0</v>
      </c>
      <c r="U80" s="220">
        <f>+'13-GESTIÓN JURÍDICA'!AT17</f>
        <v>1</v>
      </c>
      <c r="V80" s="220">
        <f>+'13-GESTIÓN JURÍDICA'!AU17</f>
        <v>0</v>
      </c>
      <c r="W80" s="220">
        <f>+'13-GESTIÓN JURÍDICA'!AV17</f>
        <v>1</v>
      </c>
      <c r="X80" s="246">
        <f>+'13-GESTIÓN JURÍDICA'!AX17</f>
        <v>1</v>
      </c>
      <c r="Y80" s="800">
        <f>+'13-GESTIÓN JURÍDICA'!BB17</f>
        <v>0.5</v>
      </c>
      <c r="Z80" s="249">
        <f>+'13-GESTIÓN JURÍDICA'!BF17</f>
        <v>0.125</v>
      </c>
      <c r="AA80" s="228">
        <f t="shared" si="16"/>
        <v>6.2500000000000003E-3</v>
      </c>
      <c r="AB80" s="1005"/>
      <c r="AD80" s="225">
        <f>+'13-GESTIÓN JURÍDICA'!BD17</f>
        <v>1</v>
      </c>
      <c r="AE80" s="227">
        <f t="shared" si="17"/>
        <v>-0.5</v>
      </c>
      <c r="AG80" s="225">
        <f>+'13-GESTIÓN JURÍDICA'!BH17</f>
        <v>0.25</v>
      </c>
      <c r="AH80" s="227">
        <f t="shared" si="15"/>
        <v>-0.125</v>
      </c>
    </row>
    <row r="81" spans="2:34" ht="78.75" customHeight="1">
      <c r="B81" s="1037"/>
      <c r="C81" s="1077"/>
      <c r="D81" s="28" t="str">
        <f>+'01-FR-03 POA INSTITUCIONAL'!D81</f>
        <v>4.4.13 Emitir oportunamente el 100% de los conceptos jurídicos solicitados por el Despacho del Personero de Bogotá o sus delegados.</v>
      </c>
      <c r="E81" s="46">
        <f>+'01-FR-03 POA INSTITUCIONAL'!E81</f>
        <v>0.05</v>
      </c>
      <c r="F81" s="29">
        <f>+'01-FR-03 POA INSTITUCIONAL'!F81</f>
        <v>1</v>
      </c>
      <c r="G81" s="96">
        <f>+'01-FR-03 POA INSTITUCIONAL'!G81</f>
        <v>1</v>
      </c>
      <c r="H81" s="73" t="str">
        <f>+'01-FR-03 POA INSTITUCIONAL'!H81</f>
        <v>Porcentaje de conceptos de competencia de la dependencia emitidos oportunamente</v>
      </c>
      <c r="I81" s="74" t="str">
        <f>+'01-FR-03 POA INSTITUCIONAL'!I81</f>
        <v xml:space="preserve"> Gestión Jurídica</v>
      </c>
      <c r="J81" s="75" t="str">
        <f>+'01-FR-03 POA INSTITUCIONAL'!J81</f>
        <v>Oficina Asesora Jurídica</v>
      </c>
      <c r="K81" s="77">
        <f>+'01-FR-03 POA INSTITUCIONAL'!K81</f>
        <v>1</v>
      </c>
      <c r="L81" s="77">
        <f>+'01-FR-03 POA INSTITUCIONAL'!L81</f>
        <v>1</v>
      </c>
      <c r="M81" s="77">
        <f>+'01-FR-03 POA INSTITUCIONAL'!M81</f>
        <v>1</v>
      </c>
      <c r="N81" s="77">
        <f>+'01-FR-03 POA INSTITUCIONAL'!N81</f>
        <v>1</v>
      </c>
      <c r="O81" s="250">
        <f>+'13-GESTIÓN JURÍDICA'!V18</f>
        <v>1</v>
      </c>
      <c r="P81" s="250">
        <f>+'13-GESTIÓN JURÍDICA'!W18</f>
        <v>1</v>
      </c>
      <c r="Q81" s="250">
        <f>+'13-GESTIÓN JURÍDICA'!AD18</f>
        <v>1</v>
      </c>
      <c r="R81" s="250">
        <f>+'13-GESTIÓN JURÍDICA'!AE18</f>
        <v>1</v>
      </c>
      <c r="S81" s="250">
        <f>+'13-GESTIÓN JURÍDICA'!AL18</f>
        <v>1</v>
      </c>
      <c r="T81" s="220">
        <f>+'13-GESTIÓN JURÍDICA'!AM18</f>
        <v>0</v>
      </c>
      <c r="U81" s="220">
        <f>+'13-GESTIÓN JURÍDICA'!AT18</f>
        <v>1</v>
      </c>
      <c r="V81" s="220">
        <f>+'13-GESTIÓN JURÍDICA'!AU18</f>
        <v>0</v>
      </c>
      <c r="W81" s="220">
        <f>+'13-GESTIÓN JURÍDICA'!AV18</f>
        <v>1</v>
      </c>
      <c r="X81" s="246">
        <f>+'13-GESTIÓN JURÍDICA'!AX18</f>
        <v>1</v>
      </c>
      <c r="Y81" s="800">
        <f>+'13-GESTIÓN JURÍDICA'!BB18</f>
        <v>0.5</v>
      </c>
      <c r="Z81" s="249">
        <f>+'13-GESTIÓN JURÍDICA'!BF18</f>
        <v>0.125</v>
      </c>
      <c r="AA81" s="228">
        <f t="shared" si="16"/>
        <v>6.2500000000000003E-3</v>
      </c>
      <c r="AB81" s="1005"/>
      <c r="AD81" s="225">
        <f>+'13-GESTIÓN JURÍDICA'!BD18</f>
        <v>1</v>
      </c>
      <c r="AE81" s="227">
        <f t="shared" si="17"/>
        <v>-0.5</v>
      </c>
      <c r="AG81" s="225">
        <f>+'13-GESTIÓN JURÍDICA'!BH18</f>
        <v>0.25</v>
      </c>
      <c r="AH81" s="227">
        <f t="shared" si="15"/>
        <v>-0.125</v>
      </c>
    </row>
    <row r="82" spans="2:34" ht="76.5" customHeight="1">
      <c r="B82" s="1037"/>
      <c r="C82" s="1077"/>
      <c r="D82" s="1327" t="str">
        <f>+'01-FR-03 POA INSTITUCIONAL'!D82</f>
        <v>4.4.14 Registrar el 100% de los reportes de las sanciones disciplinarias de los servidores públicos distritales.</v>
      </c>
      <c r="E82" s="1322">
        <f>+'01-FR-03 POA INSTITUCIONAL'!E82</f>
        <v>0.05</v>
      </c>
      <c r="F82" s="29">
        <f>+'01-FR-03 POA INSTITUCIONAL'!F82</f>
        <v>1</v>
      </c>
      <c r="G82" s="96">
        <f>+'01-FR-03 POA INSTITUCIONAL'!G82</f>
        <v>1</v>
      </c>
      <c r="H82" s="73" t="str">
        <f>+'01-FR-03 POA INSTITUCIONAL'!H82</f>
        <v>Porcentaje de reportes de la base de datos de sanciones disciplinarias registrados</v>
      </c>
      <c r="I82" s="74" t="str">
        <f>+'01-FR-03 POA INSTITUCIONAL'!I82</f>
        <v xml:space="preserve"> Gestión Jurídica</v>
      </c>
      <c r="J82" s="75" t="str">
        <f>+'01-FR-03 POA INSTITUCIONAL'!J82</f>
        <v>Oficina Asesora Jurídica</v>
      </c>
      <c r="K82" s="77">
        <f>+'01-FR-03 POA INSTITUCIONAL'!K82</f>
        <v>1</v>
      </c>
      <c r="L82" s="77">
        <f>+'01-FR-03 POA INSTITUCIONAL'!L82</f>
        <v>1</v>
      </c>
      <c r="M82" s="77">
        <f>+'01-FR-03 POA INSTITUCIONAL'!M82</f>
        <v>1</v>
      </c>
      <c r="N82" s="77">
        <f>+'01-FR-03 POA INSTITUCIONAL'!N82</f>
        <v>1</v>
      </c>
      <c r="O82" s="250">
        <f>+'13-GESTIÓN JURÍDICA'!V19</f>
        <v>1</v>
      </c>
      <c r="P82" s="250">
        <f>+'13-GESTIÓN JURÍDICA'!W19</f>
        <v>1</v>
      </c>
      <c r="Q82" s="250">
        <f>+'13-GESTIÓN JURÍDICA'!AD19</f>
        <v>1</v>
      </c>
      <c r="R82" s="250">
        <f>+'13-GESTIÓN JURÍDICA'!AE19</f>
        <v>1</v>
      </c>
      <c r="S82" s="250">
        <f>+'13-GESTIÓN JURÍDICA'!AL19</f>
        <v>1</v>
      </c>
      <c r="T82" s="220">
        <f>+'13-GESTIÓN JURÍDICA'!AM19</f>
        <v>0</v>
      </c>
      <c r="U82" s="220">
        <f>+'13-GESTIÓN JURÍDICA'!AT19</f>
        <v>1</v>
      </c>
      <c r="V82" s="220">
        <f>+'13-GESTIÓN JURÍDICA'!AU19</f>
        <v>0</v>
      </c>
      <c r="W82" s="220">
        <f>+'13-GESTIÓN JURÍDICA'!AV19</f>
        <v>1</v>
      </c>
      <c r="X82" s="246">
        <f>+'13-GESTIÓN JURÍDICA'!AX19</f>
        <v>1</v>
      </c>
      <c r="Y82" s="800">
        <f>+'13-GESTIÓN JURÍDICA'!BB19</f>
        <v>0.5</v>
      </c>
      <c r="Z82" s="249">
        <f>+'13-GESTIÓN JURÍDICA'!BF19</f>
        <v>0.125</v>
      </c>
      <c r="AA82" s="1356">
        <f>AVERAGE((IF(AND(Z82&gt;0,E82&gt;0),Z82*E82,0)),(IF(AND(Z83&gt;0,E82&gt;0),Z83*E82,0)))</f>
        <v>6.2500000000000003E-3</v>
      </c>
      <c r="AB82" s="1005"/>
      <c r="AD82" s="225">
        <f>+'13-GESTIÓN JURÍDICA'!BD19</f>
        <v>1</v>
      </c>
      <c r="AE82" s="227">
        <f t="shared" si="17"/>
        <v>-0.5</v>
      </c>
      <c r="AG82" s="225">
        <f>+'13-GESTIÓN JURÍDICA'!BH19</f>
        <v>0.25</v>
      </c>
      <c r="AH82" s="227">
        <f t="shared" si="15"/>
        <v>-0.125</v>
      </c>
    </row>
    <row r="83" spans="2:34" ht="76.5" customHeight="1">
      <c r="B83" s="1037"/>
      <c r="C83" s="1077"/>
      <c r="D83" s="1126"/>
      <c r="E83" s="1323"/>
      <c r="F83" s="29">
        <f>+'01-FR-03 POA INSTITUCIONAL'!F83</f>
        <v>1</v>
      </c>
      <c r="G83" s="96">
        <f>+'01-FR-03 POA INSTITUCIONAL'!G83</f>
        <v>1</v>
      </c>
      <c r="H83" s="73" t="str">
        <f>+'01-FR-03 POA INSTITUCIONAL'!H83</f>
        <v>Porcentaje de antecedentes disciplinarios expedidos</v>
      </c>
      <c r="I83" s="74" t="str">
        <f>+'01-FR-03 POA INSTITUCIONAL'!I83</f>
        <v xml:space="preserve"> Gestión Jurídica</v>
      </c>
      <c r="J83" s="75" t="str">
        <f>+'01-FR-03 POA INSTITUCIONAL'!J83</f>
        <v>Oficina Asesora Jurídica</v>
      </c>
      <c r="K83" s="77">
        <f>+'01-FR-03 POA INSTITUCIONAL'!K83</f>
        <v>1</v>
      </c>
      <c r="L83" s="77">
        <f>+'01-FR-03 POA INSTITUCIONAL'!L83</f>
        <v>1</v>
      </c>
      <c r="M83" s="77">
        <f>+'01-FR-03 POA INSTITUCIONAL'!M83</f>
        <v>1</v>
      </c>
      <c r="N83" s="77">
        <f>+'01-FR-03 POA INSTITUCIONAL'!N83</f>
        <v>1</v>
      </c>
      <c r="O83" s="250">
        <f>+'13-GESTIÓN JURÍDICA'!V20</f>
        <v>1</v>
      </c>
      <c r="P83" s="250">
        <f>+'13-GESTIÓN JURÍDICA'!W20</f>
        <v>1</v>
      </c>
      <c r="Q83" s="250">
        <f>+'13-GESTIÓN JURÍDICA'!AD20</f>
        <v>1</v>
      </c>
      <c r="R83" s="250">
        <f>+'13-GESTIÓN JURÍDICA'!AE20</f>
        <v>1</v>
      </c>
      <c r="S83" s="250">
        <f>+'13-GESTIÓN JURÍDICA'!AL20</f>
        <v>1</v>
      </c>
      <c r="T83" s="220">
        <f>+'13-GESTIÓN JURÍDICA'!AM20</f>
        <v>0</v>
      </c>
      <c r="U83" s="220">
        <f>+'13-GESTIÓN JURÍDICA'!AT20</f>
        <v>1</v>
      </c>
      <c r="V83" s="220">
        <f>+'13-GESTIÓN JURÍDICA'!AU20</f>
        <v>0</v>
      </c>
      <c r="W83" s="220">
        <f>+'13-GESTIÓN JURÍDICA'!AV20</f>
        <v>1</v>
      </c>
      <c r="X83" s="246">
        <f>+'13-GESTIÓN JURÍDICA'!AX20</f>
        <v>1</v>
      </c>
      <c r="Y83" s="800">
        <f>+'13-GESTIÓN JURÍDICA'!BB20</f>
        <v>0.5</v>
      </c>
      <c r="Z83" s="249">
        <f>+'13-GESTIÓN JURÍDICA'!BF20</f>
        <v>0.125</v>
      </c>
      <c r="AA83" s="1357"/>
      <c r="AB83" s="1005"/>
      <c r="AD83" s="225">
        <f>+'13-GESTIÓN JURÍDICA'!BD20</f>
        <v>1</v>
      </c>
      <c r="AE83" s="227">
        <f t="shared" si="17"/>
        <v>-0.5</v>
      </c>
      <c r="AG83" s="225">
        <f>+'13-GESTIÓN JURÍDICA'!BH20</f>
        <v>0.25</v>
      </c>
      <c r="AH83" s="227">
        <f t="shared" si="15"/>
        <v>-0.125</v>
      </c>
    </row>
    <row r="84" spans="2:34" ht="76.5" customHeight="1">
      <c r="B84" s="1037"/>
      <c r="C84" s="1077"/>
      <c r="D84" s="1327" t="str">
        <f>+'01-FR-03 POA INSTITUCIONAL'!D84</f>
        <v>4.4.15 Elaborar el 95% de los contratos en cada una de las modalidades de selección en los tiempos óptimos</v>
      </c>
      <c r="E84" s="1328">
        <f>+'01-FR-03 POA INSTITUCIONAL'!E84</f>
        <v>0.1</v>
      </c>
      <c r="F84" s="29">
        <f>+'01-FR-03 POA INSTITUCIONAL'!F84</f>
        <v>0.95</v>
      </c>
      <c r="G84" s="96" t="str">
        <f>+'01-FR-03 POA INSTITUCIONAL'!G84</f>
        <v>S.I.</v>
      </c>
      <c r="H84" s="73" t="str">
        <f>+'01-FR-03 POA INSTITUCIONAL'!H84</f>
        <v xml:space="preserve">Porcentaje de contratos en la modalidad de contratación directa elaborados en los tiempos óptimos </v>
      </c>
      <c r="I84" s="74" t="str">
        <f>+'01-FR-03 POA INSTITUCIONAL'!I84</f>
        <v>Gestión Contractual</v>
      </c>
      <c r="J84" s="75" t="str">
        <f>+'01-FR-03 POA INSTITUCIONAL'!J84</f>
        <v>Subdirección de Gestión Contractual
Dirección Administrativa y Financiera</v>
      </c>
      <c r="K84" s="77">
        <f>+'01-FR-03 POA INSTITUCIONAL'!K84</f>
        <v>0.6</v>
      </c>
      <c r="L84" s="77">
        <f>+'01-FR-03 POA INSTITUCIONAL'!L84</f>
        <v>0.8</v>
      </c>
      <c r="M84" s="77">
        <f>+'01-FR-03 POA INSTITUCIONAL'!M84</f>
        <v>0.9</v>
      </c>
      <c r="N84" s="77">
        <f>+'01-FR-03 POA INSTITUCIONAL'!N84</f>
        <v>0.95</v>
      </c>
      <c r="O84" s="220">
        <f>+'11-GESTIÓN CONTRACTUAL'!V17</f>
        <v>0.9</v>
      </c>
      <c r="P84" s="220">
        <f>+'11-GESTIÓN CONTRACTUAL'!W17</f>
        <v>0.88900000000000001</v>
      </c>
      <c r="Q84" s="220">
        <f>+'11-GESTIÓN CONTRACTUAL'!AD17</f>
        <v>0.9</v>
      </c>
      <c r="R84" s="220">
        <f>+'11-GESTIÓN CONTRACTUAL'!AE17</f>
        <v>0.97699999999999998</v>
      </c>
      <c r="S84" s="220">
        <f>+'11-GESTIÓN CONTRACTUAL'!AL17</f>
        <v>0.9</v>
      </c>
      <c r="T84" s="220">
        <f>+'11-GESTIÓN CONTRACTUAL'!AM17</f>
        <v>0</v>
      </c>
      <c r="U84" s="220">
        <f>+'11-GESTIÓN CONTRACTUAL'!AT17</f>
        <v>0.9</v>
      </c>
      <c r="V84" s="681">
        <f>+'11-GESTIÓN CONTRACTUAL'!AU17</f>
        <v>0</v>
      </c>
      <c r="W84" s="220">
        <f>+'11-GESTIÓN CONTRACTUAL'!AV17</f>
        <v>0.90000000000000013</v>
      </c>
      <c r="X84" s="246">
        <f>+'11-GESTIÓN CONTRACTUAL'!AX17</f>
        <v>0.94</v>
      </c>
      <c r="Y84" s="798">
        <f>+'11-GESTIÓN CONTRACTUAL'!BB17</f>
        <v>0.52222222222222214</v>
      </c>
      <c r="Z84" s="249">
        <f>+'11-GESTIÓN CONTRACTUAL'!BF17</f>
        <v>0.13055555555555554</v>
      </c>
      <c r="AA84" s="1356">
        <f>AVERAGE((IF(AND(Z84&gt;0,E84&gt;0),Z84*E84,0)),(IF(AND(Z85&gt;0,E84&gt;0),Z85*E84,0)),(IF(AND(Z86&gt;0,E84&gt;0),Z86*E84,0)))</f>
        <v>1.314814814814815E-2</v>
      </c>
      <c r="AB84" s="1005"/>
      <c r="AD84" s="225">
        <f>+'11-GESTIÓN CONTRACTUAL'!BD17</f>
        <v>1.0222222222222221</v>
      </c>
      <c r="AE84" s="227">
        <f t="shared" si="17"/>
        <v>-0.5</v>
      </c>
      <c r="AG84" s="225">
        <f>+'11-GESTIÓN CONTRACTUAL'!BH17</f>
        <v>0.24210526315789477</v>
      </c>
      <c r="AH84" s="227">
        <f t="shared" ref="AH84" si="18">+Z84-AG84</f>
        <v>-0.11154970760233923</v>
      </c>
    </row>
    <row r="85" spans="2:34" ht="76.5" customHeight="1">
      <c r="B85" s="1037"/>
      <c r="C85" s="1077"/>
      <c r="D85" s="1134"/>
      <c r="E85" s="1135"/>
      <c r="F85" s="29">
        <f>+'01-FR-03 POA INSTITUCIONAL'!F85</f>
        <v>0.95</v>
      </c>
      <c r="G85" s="96" t="str">
        <f>+'01-FR-03 POA INSTITUCIONAL'!G85</f>
        <v>S.I.</v>
      </c>
      <c r="H85" s="73" t="str">
        <f>+'01-FR-03 POA INSTITUCIONAL'!H85</f>
        <v xml:space="preserve">Porcentaje de contratos en la modalidad de selección abreviada de menor cuantía elaborados en los tiempos óptimos </v>
      </c>
      <c r="I85" s="74" t="str">
        <f>+'01-FR-03 POA INSTITUCIONAL'!I85</f>
        <v>Gestión Contractual</v>
      </c>
      <c r="J85" s="75" t="str">
        <f>+'01-FR-03 POA INSTITUCIONAL'!J85</f>
        <v>Subdirección de Gestión Contractual
Dirección Administrativa y Financiera</v>
      </c>
      <c r="K85" s="77">
        <f>+'01-FR-03 POA INSTITUCIONAL'!K85</f>
        <v>0.6</v>
      </c>
      <c r="L85" s="77">
        <f>+'01-FR-03 POA INSTITUCIONAL'!L85</f>
        <v>0.8</v>
      </c>
      <c r="M85" s="77">
        <f>+'01-FR-03 POA INSTITUCIONAL'!M85</f>
        <v>0.9</v>
      </c>
      <c r="N85" s="77">
        <f>+'01-FR-03 POA INSTITUCIONAL'!N85</f>
        <v>0.95</v>
      </c>
      <c r="O85" s="220">
        <f>+'11-GESTIÓN CONTRACTUAL'!V18</f>
        <v>0.9</v>
      </c>
      <c r="P85" s="220">
        <f>+'11-GESTIÓN CONTRACTUAL'!W18</f>
        <v>0.9</v>
      </c>
      <c r="Q85" s="220">
        <f>+'11-GESTIÓN CONTRACTUAL'!AD18</f>
        <v>0.9</v>
      </c>
      <c r="R85" s="220">
        <f>+'11-GESTIÓN CONTRACTUAL'!AE18</f>
        <v>1</v>
      </c>
      <c r="S85" s="220">
        <f>+'11-GESTIÓN CONTRACTUAL'!AL18</f>
        <v>0.9</v>
      </c>
      <c r="T85" s="220">
        <f>+'11-GESTIÓN CONTRACTUAL'!AM18</f>
        <v>0</v>
      </c>
      <c r="U85" s="220">
        <f>+'11-GESTIÓN CONTRACTUAL'!AT18</f>
        <v>0</v>
      </c>
      <c r="V85" s="681">
        <f>+'11-GESTIÓN CONTRACTUAL'!AU18</f>
        <v>0</v>
      </c>
      <c r="W85" s="220">
        <f>+'11-GESTIÓN CONTRACTUAL'!AV18</f>
        <v>0.9</v>
      </c>
      <c r="X85" s="246">
        <f>+'11-GESTIÓN CONTRACTUAL'!AX18</f>
        <v>0.95</v>
      </c>
      <c r="Y85" s="798">
        <f>+'11-GESTIÓN CONTRACTUAL'!BB18</f>
        <v>0.52777777777777779</v>
      </c>
      <c r="Z85" s="249">
        <f>+'11-GESTIÓN CONTRACTUAL'!BF18</f>
        <v>0.13194444444444445</v>
      </c>
      <c r="AA85" s="1361"/>
      <c r="AB85" s="1005"/>
      <c r="AD85" s="225">
        <f>+'11-GESTIÓN CONTRACTUAL'!BD18</f>
        <v>1.0555555555555556</v>
      </c>
      <c r="AE85" s="227">
        <f t="shared" si="17"/>
        <v>-0.52777777777777779</v>
      </c>
      <c r="AG85" s="225">
        <f>+'11-GESTIÓN CONTRACTUAL'!BH18</f>
        <v>0.25</v>
      </c>
      <c r="AH85" s="227">
        <f t="shared" ref="AH85:AH86" si="19">+Z85-AG85</f>
        <v>-0.11805555555555555</v>
      </c>
    </row>
    <row r="86" spans="2:34" ht="76.5" customHeight="1">
      <c r="B86" s="1037"/>
      <c r="C86" s="1072"/>
      <c r="D86" s="1126"/>
      <c r="E86" s="1128"/>
      <c r="F86" s="29">
        <f>+'01-FR-03 POA INSTITUCIONAL'!F86</f>
        <v>0.95</v>
      </c>
      <c r="G86" s="96" t="str">
        <f>+'01-FR-03 POA INSTITUCIONAL'!G86</f>
        <v>S.I.</v>
      </c>
      <c r="H86" s="73" t="str">
        <f>+'01-FR-03 POA INSTITUCIONAL'!H86</f>
        <v xml:space="preserve">Porcentaje de contratos en la modalidad de selección abreviada de subasta inversa, licitación pública y concurso de méritos elaborados en los tiempos óptimos </v>
      </c>
      <c r="I86" s="74" t="str">
        <f>+'01-FR-03 POA INSTITUCIONAL'!I86</f>
        <v>Gestión Contractual</v>
      </c>
      <c r="J86" s="75" t="str">
        <f>+'01-FR-03 POA INSTITUCIONAL'!J86</f>
        <v>Subdirección de Gestión Contractual
Dirección Administrativa y Financiera</v>
      </c>
      <c r="K86" s="77">
        <f>+'01-FR-03 POA INSTITUCIONAL'!K86</f>
        <v>0.6</v>
      </c>
      <c r="L86" s="77">
        <f>+'01-FR-03 POA INSTITUCIONAL'!L86</f>
        <v>0.8</v>
      </c>
      <c r="M86" s="77">
        <f>+'01-FR-03 POA INSTITUCIONAL'!M86</f>
        <v>0.9</v>
      </c>
      <c r="N86" s="77">
        <f>+'01-FR-03 POA INSTITUCIONAL'!N86</f>
        <v>0.95</v>
      </c>
      <c r="O86" s="220">
        <f>+'11-GESTIÓN CONTRACTUAL'!V19</f>
        <v>0</v>
      </c>
      <c r="P86" s="220">
        <f>+'11-GESTIÓN CONTRACTUAL'!W19</f>
        <v>0</v>
      </c>
      <c r="Q86" s="220">
        <f>+'11-GESTIÓN CONTRACTUAL'!AD19</f>
        <v>0.9</v>
      </c>
      <c r="R86" s="220">
        <f>+'11-GESTIÓN CONTRACTUAL'!AE19</f>
        <v>0.95</v>
      </c>
      <c r="S86" s="220">
        <f>+'11-GESTIÓN CONTRACTUAL'!AL19</f>
        <v>0</v>
      </c>
      <c r="T86" s="220">
        <f>+'11-GESTIÓN CONTRACTUAL'!AM19</f>
        <v>0</v>
      </c>
      <c r="U86" s="220">
        <f>+'11-GESTIÓN CONTRACTUAL'!AT19</f>
        <v>0.9</v>
      </c>
      <c r="V86" s="681">
        <f>+'11-GESTIÓN CONTRACTUAL'!AU19</f>
        <v>0</v>
      </c>
      <c r="W86" s="220">
        <f>+'11-GESTIÓN CONTRACTUAL'!AV19</f>
        <v>0.9</v>
      </c>
      <c r="X86" s="246">
        <f>+'11-GESTIÓN CONTRACTUAL'!AX19</f>
        <v>0.95</v>
      </c>
      <c r="Y86" s="798">
        <f>+'11-GESTIÓN CONTRACTUAL'!BB19</f>
        <v>0.52777777777777779</v>
      </c>
      <c r="Z86" s="249">
        <f>+'11-GESTIÓN CONTRACTUAL'!BF19</f>
        <v>0.13194444444444445</v>
      </c>
      <c r="AA86" s="1357"/>
      <c r="AB86" s="1096"/>
      <c r="AD86" s="225">
        <f>+'11-GESTIÓN CONTRACTUAL'!BD19</f>
        <v>1.0555555555555556</v>
      </c>
      <c r="AE86" s="227">
        <f t="shared" si="17"/>
        <v>-0.52777777777777779</v>
      </c>
      <c r="AG86" s="225">
        <f>+'11-GESTIÓN CONTRACTUAL'!BH19</f>
        <v>0.25</v>
      </c>
      <c r="AH86" s="227">
        <f t="shared" si="19"/>
        <v>-0.11805555555555555</v>
      </c>
    </row>
    <row r="87" spans="2:34" ht="73.5" customHeight="1">
      <c r="B87" s="1037"/>
      <c r="C87" s="1324" t="str">
        <f>+'01-FR-03 POA INSTITUCIONAL'!C87:C92</f>
        <v>4.5. Desarrollar el 100% de las acciones relacionadas con el fomento de la Cultura del Autocontrol, la Autorregulación y la Autogestión institucional.</v>
      </c>
      <c r="D87" s="80" t="str">
        <f>+'01-FR-03 POA INSTITUCIONAL'!D87</f>
        <v xml:space="preserve">4.5.1 Emitir 152 solicitudes de aplicación de medidas de preservación del orden interno, con el fin de prevenir la materialización de conductas con alcance disciplinario. </v>
      </c>
      <c r="E87" s="81">
        <f>+'01-FR-03 POA INSTITUCIONAL'!E87</f>
        <v>0.05</v>
      </c>
      <c r="F87" s="102">
        <f>+'01-FR-03 POA INSTITUCIONAL'!F87</f>
        <v>152</v>
      </c>
      <c r="G87" s="103" t="str">
        <f>+'01-FR-03 POA INSTITUCIONAL'!G87</f>
        <v>S.I.</v>
      </c>
      <c r="H87" s="97" t="str">
        <f>+'01-FR-03 POA INSTITUCIONAL'!H87</f>
        <v>Medidas de preservación del orden interno emitidas</v>
      </c>
      <c r="I87" s="98" t="str">
        <f>+'01-FR-03 POA INSTITUCIONAL'!I87</f>
        <v>Control Disciplinario Interno</v>
      </c>
      <c r="J87" s="99" t="str">
        <f>+'01-FR-03 POA INSTITUCIONAL'!J87</f>
        <v>Oficina Control Interno Disciplinario</v>
      </c>
      <c r="K87" s="104">
        <f>+'01-FR-03 POA INSTITUCIONAL'!K87</f>
        <v>24</v>
      </c>
      <c r="L87" s="104">
        <f>+'01-FR-03 POA INSTITUCIONAL'!L87</f>
        <v>52</v>
      </c>
      <c r="M87" s="104">
        <f>+'01-FR-03 POA INSTITUCIONAL'!M87</f>
        <v>40</v>
      </c>
      <c r="N87" s="104">
        <f>+'01-FR-03 POA INSTITUCIONAL'!N87</f>
        <v>36</v>
      </c>
      <c r="O87" s="82">
        <f>+'15-CTRL DISCIPLINARIO INTERNO'!V16</f>
        <v>10</v>
      </c>
      <c r="P87" s="82">
        <f>+'15-CTRL DISCIPLINARIO INTERNO'!W16</f>
        <v>6</v>
      </c>
      <c r="Q87" s="82">
        <f>+'15-CTRL DISCIPLINARIO INTERNO'!AD16</f>
        <v>10</v>
      </c>
      <c r="R87" s="82">
        <f>+'15-CTRL DISCIPLINARIO INTERNO'!AE16</f>
        <v>9</v>
      </c>
      <c r="S87" s="82">
        <f>+'15-CTRL DISCIPLINARIO INTERNO'!AL16</f>
        <v>10</v>
      </c>
      <c r="T87" s="82">
        <f>+'15-CTRL DISCIPLINARIO INTERNO'!AM16</f>
        <v>0</v>
      </c>
      <c r="U87" s="82">
        <f>+'15-CTRL DISCIPLINARIO INTERNO'!AT16</f>
        <v>10</v>
      </c>
      <c r="V87" s="82">
        <f>+'15-CTRL DISCIPLINARIO INTERNO'!AU16</f>
        <v>0</v>
      </c>
      <c r="W87" s="82">
        <f>+'15-CTRL DISCIPLINARIO INTERNO'!AV16</f>
        <v>40</v>
      </c>
      <c r="X87" s="892">
        <f>+'15-CTRL DISCIPLINARIO INTERNO'!AX16</f>
        <v>15</v>
      </c>
      <c r="Y87" s="503">
        <f>+'15-CTRL DISCIPLINARIO INTERNO'!BB16</f>
        <v>0.375</v>
      </c>
      <c r="Z87" s="230">
        <f>+'15-CTRL DISCIPLINARIO INTERNO'!BF16</f>
        <v>9.8684210526315791E-2</v>
      </c>
      <c r="AA87" s="230">
        <f t="shared" ref="AA87:AA99" si="20">IF(AND(Z87&gt;0,E87&gt;0),Z87*E87,0)</f>
        <v>4.9342105263157901E-3</v>
      </c>
      <c r="AB87" s="1358">
        <f>SUM(AA87:AA92)</f>
        <v>0.10186044003451253</v>
      </c>
      <c r="AD87" s="225">
        <f>+'15-CTRL DISCIPLINARIO INTERNO'!BD16</f>
        <v>0.375</v>
      </c>
      <c r="AE87" s="227">
        <f t="shared" si="17"/>
        <v>0</v>
      </c>
      <c r="AG87" s="225">
        <f>+'15-CTRL DISCIPLINARIO INTERNO'!BH16</f>
        <v>9.8684210526315791E-2</v>
      </c>
      <c r="AH87" s="227">
        <f t="shared" si="15"/>
        <v>0</v>
      </c>
    </row>
    <row r="88" spans="2:34" ht="86.25" customHeight="1">
      <c r="B88" s="1037"/>
      <c r="C88" s="1113"/>
      <c r="D88" s="80" t="str">
        <f>+'01-FR-03 POA INSTITUCIONAL'!D88</f>
        <v>4.5.2 Realizar 20 jornadas de sensibilización a funcionarios de la Personería de Bogotá D.C. sobre la prevención de las faltas disciplinarias más recurrentes en la Entidad.</v>
      </c>
      <c r="E88" s="81">
        <f>+'01-FR-03 POA INSTITUCIONAL'!E88</f>
        <v>0.05</v>
      </c>
      <c r="F88" s="102">
        <f>+'01-FR-03 POA INSTITUCIONAL'!F88</f>
        <v>20</v>
      </c>
      <c r="G88" s="103" t="str">
        <f>+'01-FR-03 POA INSTITUCIONAL'!G88</f>
        <v>S.I.</v>
      </c>
      <c r="H88" s="97" t="str">
        <f>+'01-FR-03 POA INSTITUCIONAL'!H88</f>
        <v>Jornadas de sensibilización realizadas</v>
      </c>
      <c r="I88" s="98" t="str">
        <f>+'01-FR-03 POA INSTITUCIONAL'!I88</f>
        <v>Control Disciplinario Interno</v>
      </c>
      <c r="J88" s="99" t="str">
        <f>+'01-FR-03 POA INSTITUCIONAL'!J88</f>
        <v>Oficina Control Interno Disciplinario</v>
      </c>
      <c r="K88" s="104">
        <f>+'01-FR-03 POA INSTITUCIONAL'!K88</f>
        <v>2</v>
      </c>
      <c r="L88" s="104">
        <f>+'01-FR-03 POA INSTITUCIONAL'!L88</f>
        <v>6</v>
      </c>
      <c r="M88" s="104">
        <f>+'01-FR-03 POA INSTITUCIONAL'!M88</f>
        <v>6</v>
      </c>
      <c r="N88" s="104">
        <f>+'01-FR-03 POA INSTITUCIONAL'!N88</f>
        <v>6</v>
      </c>
      <c r="O88" s="82">
        <f>+'15-CTRL DISCIPLINARIO INTERNO'!V17</f>
        <v>1</v>
      </c>
      <c r="P88" s="82">
        <f>+'15-CTRL DISCIPLINARIO INTERNO'!W17</f>
        <v>0</v>
      </c>
      <c r="Q88" s="82">
        <f>+'15-CTRL DISCIPLINARIO INTERNO'!AD17</f>
        <v>2</v>
      </c>
      <c r="R88" s="82">
        <f>+'15-CTRL DISCIPLINARIO INTERNO'!AE17</f>
        <v>3</v>
      </c>
      <c r="S88" s="82">
        <f>+'15-CTRL DISCIPLINARIO INTERNO'!AL17</f>
        <v>2</v>
      </c>
      <c r="T88" s="82">
        <f>+'15-CTRL DISCIPLINARIO INTERNO'!AM17</f>
        <v>0</v>
      </c>
      <c r="U88" s="82">
        <f>+'15-CTRL DISCIPLINARIO INTERNO'!AT17</f>
        <v>1</v>
      </c>
      <c r="V88" s="82">
        <f>+'15-CTRL DISCIPLINARIO INTERNO'!AU17</f>
        <v>0</v>
      </c>
      <c r="W88" s="82">
        <f>+'15-CTRL DISCIPLINARIO INTERNO'!AV17</f>
        <v>6</v>
      </c>
      <c r="X88" s="892">
        <f>+'15-CTRL DISCIPLINARIO INTERNO'!AX17</f>
        <v>3</v>
      </c>
      <c r="Y88" s="503">
        <f>+'15-CTRL DISCIPLINARIO INTERNO'!BB17</f>
        <v>0.5</v>
      </c>
      <c r="Z88" s="230">
        <f>+'15-CTRL DISCIPLINARIO INTERNO'!BF17</f>
        <v>0.15</v>
      </c>
      <c r="AA88" s="230">
        <f t="shared" si="20"/>
        <v>7.4999999999999997E-3</v>
      </c>
      <c r="AB88" s="1359"/>
      <c r="AD88" s="225">
        <f>+'15-CTRL DISCIPLINARIO INTERNO'!BD17</f>
        <v>0.5</v>
      </c>
      <c r="AE88" s="227">
        <f t="shared" si="17"/>
        <v>0</v>
      </c>
      <c r="AG88" s="225">
        <f>+'15-CTRL DISCIPLINARIO INTERNO'!BH17</f>
        <v>0.15</v>
      </c>
      <c r="AH88" s="227">
        <f t="shared" si="15"/>
        <v>0</v>
      </c>
    </row>
    <row r="89" spans="2:34" ht="96.75" customHeight="1">
      <c r="B89" s="1037"/>
      <c r="C89" s="1113"/>
      <c r="D89" s="80" t="str">
        <f>+'01-FR-03 POA INSTITUCIONAL'!D89</f>
        <v>4.5.3 Decidir de fondo 488 procesos disciplinarios que se encuentren en términos o con periodos vencidos, dando prelación a aquellos con mayor antigüedad o aquellos próximos a prescribir o caducar.</v>
      </c>
      <c r="E89" s="81">
        <f>+'01-FR-03 POA INSTITUCIONAL'!E89</f>
        <v>0.2</v>
      </c>
      <c r="F89" s="102">
        <f>+'01-FR-03 POA INSTITUCIONAL'!F89</f>
        <v>488</v>
      </c>
      <c r="G89" s="103" t="str">
        <f>+'01-FR-03 POA INSTITUCIONAL'!G89</f>
        <v>115 (en el último año)</v>
      </c>
      <c r="H89" s="97" t="str">
        <f>+'01-FR-03 POA INSTITUCIONAL'!H89</f>
        <v>Procesos disciplinarios con decisión de fondo proferida</v>
      </c>
      <c r="I89" s="98" t="str">
        <f>+'01-FR-03 POA INSTITUCIONAL'!I89</f>
        <v>Control Disciplinario Interno</v>
      </c>
      <c r="J89" s="99" t="str">
        <f>+'01-FR-03 POA INSTITUCIONAL'!J89</f>
        <v>Oficina Control Interno Disciplinario</v>
      </c>
      <c r="K89" s="104">
        <f>+'01-FR-03 POA INSTITUCIONAL'!K89</f>
        <v>100</v>
      </c>
      <c r="L89" s="104">
        <f>+'01-FR-03 POA INSTITUCIONAL'!L89</f>
        <v>100</v>
      </c>
      <c r="M89" s="104">
        <f>+'01-FR-03 POA INSTITUCIONAL'!M89</f>
        <v>144</v>
      </c>
      <c r="N89" s="104">
        <f>+'01-FR-03 POA INSTITUCIONAL'!N89</f>
        <v>144</v>
      </c>
      <c r="O89" s="82">
        <f>+'15-CTRL DISCIPLINARIO INTERNO'!V18</f>
        <v>34</v>
      </c>
      <c r="P89" s="82">
        <f>+'15-CTRL DISCIPLINARIO INTERNO'!W18</f>
        <v>38</v>
      </c>
      <c r="Q89" s="82">
        <f>+'15-CTRL DISCIPLINARIO INTERNO'!AD18</f>
        <v>37</v>
      </c>
      <c r="R89" s="82">
        <f>+'15-CTRL DISCIPLINARIO INTERNO'!AE18</f>
        <v>46</v>
      </c>
      <c r="S89" s="82">
        <f>+'15-CTRL DISCIPLINARIO INTERNO'!AL18</f>
        <v>39</v>
      </c>
      <c r="T89" s="82">
        <f>+'15-CTRL DISCIPLINARIO INTERNO'!AM18</f>
        <v>0</v>
      </c>
      <c r="U89" s="82">
        <f>+'15-CTRL DISCIPLINARIO INTERNO'!AT18</f>
        <v>34</v>
      </c>
      <c r="V89" s="82">
        <f>+'15-CTRL DISCIPLINARIO INTERNO'!AU18</f>
        <v>0</v>
      </c>
      <c r="W89" s="82">
        <f>+'15-CTRL DISCIPLINARIO INTERNO'!AV18</f>
        <v>144</v>
      </c>
      <c r="X89" s="892">
        <f>+'15-CTRL DISCIPLINARIO INTERNO'!AX18</f>
        <v>84</v>
      </c>
      <c r="Y89" s="503">
        <f>+'15-CTRL DISCIPLINARIO INTERNO'!BB18</f>
        <v>0.58333333333333337</v>
      </c>
      <c r="Z89" s="230">
        <f>+'15-CTRL DISCIPLINARIO INTERNO'!BF18</f>
        <v>0.1721311475409836</v>
      </c>
      <c r="AA89" s="230">
        <f t="shared" si="20"/>
        <v>3.4426229508196723E-2</v>
      </c>
      <c r="AB89" s="1359"/>
      <c r="AD89" s="225">
        <f>+'15-CTRL DISCIPLINARIO INTERNO'!BD18</f>
        <v>0.58333333333333337</v>
      </c>
      <c r="AE89" s="227">
        <f t="shared" si="17"/>
        <v>0</v>
      </c>
      <c r="AG89" s="225">
        <f>+'15-CTRL DISCIPLINARIO INTERNO'!BH18</f>
        <v>0.1721311475409836</v>
      </c>
      <c r="AH89" s="227">
        <f t="shared" si="15"/>
        <v>0</v>
      </c>
    </row>
    <row r="90" spans="2:34" ht="69.75" customHeight="1">
      <c r="B90" s="1037"/>
      <c r="C90" s="1113"/>
      <c r="D90" s="80" t="str">
        <f>+'01-FR-03 POA INSTITUCIONAL'!D90</f>
        <v>4.5.4 Ejecutar  4 programas anuales de auditorias, aprobados por el Comité Institucional de Coordinación del Sistema de Control Interno.</v>
      </c>
      <c r="E90" s="81">
        <f>+'01-FR-03 POA INSTITUCIONAL'!E90</f>
        <v>0.5</v>
      </c>
      <c r="F90" s="102">
        <f>+'01-FR-03 POA INSTITUCIONAL'!F90</f>
        <v>4</v>
      </c>
      <c r="G90" s="103">
        <f>+'01-FR-03 POA INSTITUCIONAL'!G90</f>
        <v>4</v>
      </c>
      <c r="H90" s="97" t="str">
        <f>+'01-FR-03 POA INSTITUCIONAL'!H90</f>
        <v>Programa anual de auditorías ejecutado.</v>
      </c>
      <c r="I90" s="98" t="str">
        <f>+'01-FR-03 POA INSTITUCIONAL'!I90</f>
        <v>Evaluación y Seguimiento</v>
      </c>
      <c r="J90" s="99" t="str">
        <f>+'01-FR-03 POA INSTITUCIONAL'!J90</f>
        <v>Oficina de Control Interno</v>
      </c>
      <c r="K90" s="104">
        <f>+'01-FR-03 POA INSTITUCIONAL'!K90</f>
        <v>1</v>
      </c>
      <c r="L90" s="104">
        <f>+'01-FR-03 POA INSTITUCIONAL'!L90</f>
        <v>1</v>
      </c>
      <c r="M90" s="104">
        <f>+'01-FR-03 POA INSTITUCIONAL'!M90</f>
        <v>1</v>
      </c>
      <c r="N90" s="104">
        <f>+'01-FR-03 POA INSTITUCIONAL'!N90</f>
        <v>1</v>
      </c>
      <c r="O90" s="251">
        <f>+'16-EVALUACIÓN Y SEGUIMIENTO'!V16</f>
        <v>0.14000000000000001</v>
      </c>
      <c r="P90" s="251">
        <f>+'16-EVALUACIÓN Y SEGUIMIENTO'!W16</f>
        <v>0.14000000000000001</v>
      </c>
      <c r="Q90" s="251">
        <f>+'16-EVALUACIÓN Y SEGUIMIENTO'!AD16</f>
        <v>0.1</v>
      </c>
      <c r="R90" s="446">
        <f>+'16-EVALUACIÓN Y SEGUIMIENTO'!AE16</f>
        <v>0.1</v>
      </c>
      <c r="S90" s="251">
        <f>+'16-EVALUACIÓN Y SEGUIMIENTO'!AL16</f>
        <v>0.58000000000000007</v>
      </c>
      <c r="T90" s="446">
        <f>+'16-EVALUACIÓN Y SEGUIMIENTO'!AM16</f>
        <v>0</v>
      </c>
      <c r="U90" s="251">
        <f>+'16-EVALUACIÓN Y SEGUIMIENTO'!AT16</f>
        <v>0.18000000000000002</v>
      </c>
      <c r="V90" s="446">
        <f>+'16-EVALUACIÓN Y SEGUIMIENTO'!AU16</f>
        <v>0</v>
      </c>
      <c r="W90" s="252">
        <f>+'16-EVALUACIÓN Y SEGUIMIENTO'!AV16</f>
        <v>1</v>
      </c>
      <c r="X90" s="893">
        <f>+'16-EVALUACIÓN Y SEGUIMIENTO'!AX16</f>
        <v>0.24000000000000002</v>
      </c>
      <c r="Y90" s="503">
        <f>+'16-EVALUACIÓN Y SEGUIMIENTO'!BB16</f>
        <v>0.24000000000000002</v>
      </c>
      <c r="Z90" s="230">
        <f>+'16-EVALUACIÓN Y SEGUIMIENTO'!BF16</f>
        <v>6.0000000000000005E-2</v>
      </c>
      <c r="AA90" s="230">
        <f t="shared" si="20"/>
        <v>3.0000000000000002E-2</v>
      </c>
      <c r="AB90" s="1359"/>
      <c r="AD90" s="225">
        <f>+'16-EVALUACIÓN Y SEGUIMIENTO'!BD16</f>
        <v>0.24000000000000002</v>
      </c>
      <c r="AE90" s="227">
        <f t="shared" si="17"/>
        <v>0</v>
      </c>
      <c r="AG90" s="245">
        <f>+'16-EVALUACIÓN Y SEGUIMIENTO'!BH16</f>
        <v>6.0000000000000005E-2</v>
      </c>
      <c r="AH90" s="227">
        <f t="shared" si="15"/>
        <v>0</v>
      </c>
    </row>
    <row r="91" spans="2:34" ht="56.25" customHeight="1">
      <c r="B91" s="1037"/>
      <c r="C91" s="1113"/>
      <c r="D91" s="80" t="str">
        <f>+'01-FR-03 POA INSTITUCIONAL'!D91</f>
        <v>4.5.5 Desarrollar 4 estrategias de sensibilización acerca de la cultura del control.</v>
      </c>
      <c r="E91" s="81">
        <f>+'01-FR-03 POA INSTITUCIONAL'!E91</f>
        <v>0.1</v>
      </c>
      <c r="F91" s="102">
        <f>+'01-FR-03 POA INSTITUCIONAL'!F91</f>
        <v>4</v>
      </c>
      <c r="G91" s="103">
        <f>+'01-FR-03 POA INSTITUCIONAL'!G91</f>
        <v>4</v>
      </c>
      <c r="H91" s="97" t="str">
        <f>+'01-FR-03 POA INSTITUCIONAL'!H91</f>
        <v>Estrategia de Sensibilización acerca de la Cultura del Control realizada</v>
      </c>
      <c r="I91" s="98" t="str">
        <f>+'01-FR-03 POA INSTITUCIONAL'!I91</f>
        <v>Evaluación y Seguimiento</v>
      </c>
      <c r="J91" s="99" t="str">
        <f>+'01-FR-03 POA INSTITUCIONAL'!J91</f>
        <v>Oficina de Control Interno</v>
      </c>
      <c r="K91" s="104">
        <f>+'01-FR-03 POA INSTITUCIONAL'!K91</f>
        <v>1</v>
      </c>
      <c r="L91" s="104">
        <f>+'01-FR-03 POA INSTITUCIONAL'!L91</f>
        <v>1</v>
      </c>
      <c r="M91" s="104">
        <f>+'01-FR-03 POA INSTITUCIONAL'!M91</f>
        <v>1</v>
      </c>
      <c r="N91" s="104">
        <f>+'01-FR-03 POA INSTITUCIONAL'!N91</f>
        <v>1</v>
      </c>
      <c r="O91" s="253">
        <f>+'16-EVALUACIÓN Y SEGUIMIENTO'!V17</f>
        <v>0</v>
      </c>
      <c r="P91" s="253">
        <f>+'16-EVALUACIÓN Y SEGUIMIENTO'!W17</f>
        <v>0</v>
      </c>
      <c r="Q91" s="253">
        <f>+'16-EVALUACIÓN Y SEGUIMIENTO'!AD17</f>
        <v>0</v>
      </c>
      <c r="R91" s="447">
        <f>+'16-EVALUACIÓN Y SEGUIMIENTO'!AE17</f>
        <v>0</v>
      </c>
      <c r="S91" s="253">
        <f>+'16-EVALUACIÓN Y SEGUIMIENTO'!AL17</f>
        <v>1</v>
      </c>
      <c r="T91" s="447">
        <f>+'16-EVALUACIÓN Y SEGUIMIENTO'!AM17</f>
        <v>0</v>
      </c>
      <c r="U91" s="253">
        <f>+'16-EVALUACIÓN Y SEGUIMIENTO'!AT17</f>
        <v>0</v>
      </c>
      <c r="V91" s="447">
        <f>+'16-EVALUACIÓN Y SEGUIMIENTO'!AU17</f>
        <v>0</v>
      </c>
      <c r="W91" s="252">
        <f>+'16-EVALUACIÓN Y SEGUIMIENTO'!AV17</f>
        <v>1</v>
      </c>
      <c r="X91" s="892">
        <f>+'16-EVALUACIÓN Y SEGUIMIENTO'!AX17</f>
        <v>0</v>
      </c>
      <c r="Y91" s="503">
        <f>+'16-EVALUACIÓN Y SEGUIMIENTO'!BB17</f>
        <v>0</v>
      </c>
      <c r="Z91" s="230">
        <f>+'16-EVALUACIÓN Y SEGUIMIENTO'!BF17</f>
        <v>0</v>
      </c>
      <c r="AA91" s="230">
        <f t="shared" si="20"/>
        <v>0</v>
      </c>
      <c r="AB91" s="1359"/>
      <c r="AD91" s="225">
        <f>+'16-EVALUACIÓN Y SEGUIMIENTO'!BD17</f>
        <v>0</v>
      </c>
      <c r="AE91" s="227">
        <f t="shared" si="17"/>
        <v>0</v>
      </c>
      <c r="AG91" s="245">
        <f>+'16-EVALUACIÓN Y SEGUIMIENTO'!BH17</f>
        <v>0</v>
      </c>
      <c r="AH91" s="227">
        <f t="shared" si="15"/>
        <v>0</v>
      </c>
    </row>
    <row r="92" spans="2:34" ht="61.5" customHeight="1">
      <c r="B92" s="1037"/>
      <c r="C92" s="1114"/>
      <c r="D92" s="80" t="str">
        <f>+'01-FR-03 POA INSTITUCIONAL'!D92</f>
        <v>4.5.6 Realizar 4 jornadas de sensibilización a Directivos y Referentes de proceso sobre la Séptima Dimensión.</v>
      </c>
      <c r="E92" s="81">
        <f>+'01-FR-03 POA INSTITUCIONAL'!E92</f>
        <v>0.1</v>
      </c>
      <c r="F92" s="102">
        <f>+'01-FR-03 POA INSTITUCIONAL'!F92</f>
        <v>4</v>
      </c>
      <c r="G92" s="103">
        <f>+'01-FR-03 POA INSTITUCIONAL'!G92</f>
        <v>4</v>
      </c>
      <c r="H92" s="97" t="str">
        <f>+'01-FR-03 POA INSTITUCIONAL'!H92</f>
        <v>Sensibilización a Directivos y Referentes de Gestión sobre la Séptima Dimensión del MIPG realizada</v>
      </c>
      <c r="I92" s="98" t="str">
        <f>+'01-FR-03 POA INSTITUCIONAL'!I92</f>
        <v>Evaluación y Seguimiento</v>
      </c>
      <c r="J92" s="99" t="str">
        <f>+'01-FR-03 POA INSTITUCIONAL'!J92</f>
        <v>Oficina de Control Interno</v>
      </c>
      <c r="K92" s="104">
        <f>+'01-FR-03 POA INSTITUCIONAL'!K92</f>
        <v>1</v>
      </c>
      <c r="L92" s="104">
        <f>+'01-FR-03 POA INSTITUCIONAL'!L92</f>
        <v>1</v>
      </c>
      <c r="M92" s="104">
        <f>+'01-FR-03 POA INSTITUCIONAL'!M92</f>
        <v>1</v>
      </c>
      <c r="N92" s="104">
        <f>+'01-FR-03 POA INSTITUCIONAL'!N92</f>
        <v>1</v>
      </c>
      <c r="O92" s="253">
        <f>+'16-EVALUACIÓN Y SEGUIMIENTO'!V18</f>
        <v>0</v>
      </c>
      <c r="P92" s="253">
        <f>+'16-EVALUACIÓN Y SEGUIMIENTO'!W18</f>
        <v>0</v>
      </c>
      <c r="Q92" s="253">
        <f>+'16-EVALUACIÓN Y SEGUIMIENTO'!AD18</f>
        <v>1</v>
      </c>
      <c r="R92" s="447">
        <f>+'16-EVALUACIÓN Y SEGUIMIENTO'!AE18</f>
        <v>1</v>
      </c>
      <c r="S92" s="253">
        <f>+'16-EVALUACIÓN Y SEGUIMIENTO'!AL18</f>
        <v>0</v>
      </c>
      <c r="T92" s="447">
        <f>+'16-EVALUACIÓN Y SEGUIMIENTO'!AM18</f>
        <v>0</v>
      </c>
      <c r="U92" s="253">
        <f>+'16-EVALUACIÓN Y SEGUIMIENTO'!AT18</f>
        <v>0</v>
      </c>
      <c r="V92" s="447">
        <f>+'16-EVALUACIÓN Y SEGUIMIENTO'!AU18</f>
        <v>0</v>
      </c>
      <c r="W92" s="252">
        <f>+'16-EVALUACIÓN Y SEGUIMIENTO'!AV18</f>
        <v>1</v>
      </c>
      <c r="X92" s="892">
        <f>+'16-EVALUACIÓN Y SEGUIMIENTO'!AX18</f>
        <v>1</v>
      </c>
      <c r="Y92" s="503">
        <f>+'16-EVALUACIÓN Y SEGUIMIENTO'!BB18</f>
        <v>1</v>
      </c>
      <c r="Z92" s="230">
        <f>+'16-EVALUACIÓN Y SEGUIMIENTO'!BF18</f>
        <v>0.25</v>
      </c>
      <c r="AA92" s="230">
        <f t="shared" si="20"/>
        <v>2.5000000000000001E-2</v>
      </c>
      <c r="AB92" s="1360"/>
      <c r="AD92" s="225">
        <f>+'16-EVALUACIÓN Y SEGUIMIENTO'!BD18</f>
        <v>1</v>
      </c>
      <c r="AE92" s="227">
        <f t="shared" si="17"/>
        <v>0</v>
      </c>
      <c r="AG92" s="245">
        <f>+'16-EVALUACIÓN Y SEGUIMIENTO'!BH18</f>
        <v>0.25</v>
      </c>
      <c r="AH92" s="227">
        <f t="shared" si="15"/>
        <v>0</v>
      </c>
    </row>
    <row r="93" spans="2:34" ht="60" customHeight="1">
      <c r="B93" s="1037"/>
      <c r="C93" s="1325" t="str">
        <f>+'01-FR-03 POA INSTITUCIONAL'!C93:C94</f>
        <v>4.6. Desarrollar el 100% de las estrategias de comunicación organizacional y de medios que contribuyan al logro de los objetivos institucionales y al posicionamiento de la Entidad.</v>
      </c>
      <c r="D93" s="28" t="str">
        <f>+'01-FR-03 POA INSTITUCIONAL'!D93</f>
        <v>4.6.1  Desarrollar el 100% de los productos para comunicación y divulgación externa que promuevan y difundan la gestión institucional</v>
      </c>
      <c r="E93" s="46">
        <f>+'01-FR-03 POA INSTITUCIONAL'!E93</f>
        <v>0.5</v>
      </c>
      <c r="F93" s="29">
        <f>+'01-FR-03 POA INSTITUCIONAL'!F93</f>
        <v>1</v>
      </c>
      <c r="G93" s="96">
        <f>+'01-FR-03 POA INSTITUCIONAL'!G93</f>
        <v>1</v>
      </c>
      <c r="H93" s="73" t="str">
        <f>+'01-FR-03 POA INSTITUCIONAL'!H93</f>
        <v>Productos de comunicación externa desarrollados</v>
      </c>
      <c r="I93" s="74" t="str">
        <f>+'01-FR-03 POA INSTITUCIONAL'!I93</f>
        <v>Comunicación Estratégica</v>
      </c>
      <c r="J93" s="75" t="str">
        <f>+'01-FR-03 POA INSTITUCIONAL'!J93</f>
        <v>Oficina Asesora de Comunicaciones</v>
      </c>
      <c r="K93" s="77">
        <f>+'01-FR-03 POA INSTITUCIONAL'!K93</f>
        <v>1</v>
      </c>
      <c r="L93" s="77">
        <f>+'01-FR-03 POA INSTITUCIONAL'!L93</f>
        <v>1</v>
      </c>
      <c r="M93" s="77">
        <f>+'01-FR-03 POA INSTITUCIONAL'!M93</f>
        <v>1</v>
      </c>
      <c r="N93" s="77">
        <f>+'01-FR-03 POA INSTITUCIONAL'!N93</f>
        <v>1</v>
      </c>
      <c r="O93" s="250">
        <f>+'04-COMUNICACIÓN ESTRATÉGICA'!V16</f>
        <v>1</v>
      </c>
      <c r="P93" s="250">
        <f>+'04-COMUNICACIÓN ESTRATÉGICA'!W16</f>
        <v>1</v>
      </c>
      <c r="Q93" s="250">
        <f>+'04-COMUNICACIÓN ESTRATÉGICA'!AD16</f>
        <v>1</v>
      </c>
      <c r="R93" s="250">
        <f>+'04-COMUNICACIÓN ESTRATÉGICA'!AE16</f>
        <v>1</v>
      </c>
      <c r="S93" s="250">
        <f>+'04-COMUNICACIÓN ESTRATÉGICA'!AL16</f>
        <v>1</v>
      </c>
      <c r="T93" s="250">
        <f>+'04-COMUNICACIÓN ESTRATÉGICA'!AM16</f>
        <v>0</v>
      </c>
      <c r="U93" s="250">
        <f>+'04-COMUNICACIÓN ESTRATÉGICA'!AT16</f>
        <v>1</v>
      </c>
      <c r="V93" s="250">
        <f>+'04-COMUNICACIÓN ESTRATÉGICA'!AU16</f>
        <v>0</v>
      </c>
      <c r="W93" s="250">
        <f>+'04-COMUNICACIÓN ESTRATÉGICA'!AV16</f>
        <v>1</v>
      </c>
      <c r="X93" s="246">
        <f>+'04-COMUNICACIÓN ESTRATÉGICA'!AX16</f>
        <v>1</v>
      </c>
      <c r="Y93" s="800">
        <f>+'04-COMUNICACIÓN ESTRATÉGICA'!BB16</f>
        <v>0.5</v>
      </c>
      <c r="Z93" s="257">
        <f>+'04-COMUNICACIÓN ESTRATÉGICA'!BF16</f>
        <v>0.125</v>
      </c>
      <c r="AA93" s="228">
        <f t="shared" si="20"/>
        <v>6.25E-2</v>
      </c>
      <c r="AB93" s="1346">
        <f>SUM(AA93:AA94)</f>
        <v>0.125</v>
      </c>
      <c r="AD93" s="225">
        <f>+'04-COMUNICACIÓN ESTRATÉGICA'!BD16</f>
        <v>1</v>
      </c>
      <c r="AE93" s="227">
        <f t="shared" si="17"/>
        <v>-0.5</v>
      </c>
      <c r="AG93" s="225">
        <f>+'04-COMUNICACIÓN ESTRATÉGICA'!BH16</f>
        <v>0.25</v>
      </c>
      <c r="AH93" s="227">
        <f t="shared" si="15"/>
        <v>-0.125</v>
      </c>
    </row>
    <row r="94" spans="2:34" ht="69.75" customHeight="1">
      <c r="B94" s="1037"/>
      <c r="C94" s="1072"/>
      <c r="D94" s="28" t="str">
        <f>+'01-FR-03 POA INSTITUCIONAL'!D94</f>
        <v>4.6.2 Desarrollar el 100% de los productos para comunicación y divulgación interna que contribuyan a la consecución de objetivos institucionales</v>
      </c>
      <c r="E94" s="46">
        <f>+'01-FR-03 POA INSTITUCIONAL'!E94</f>
        <v>0.5</v>
      </c>
      <c r="F94" s="29">
        <f>+'01-FR-03 POA INSTITUCIONAL'!F94</f>
        <v>1</v>
      </c>
      <c r="G94" s="96">
        <f>+'01-FR-03 POA INSTITUCIONAL'!G94</f>
        <v>1</v>
      </c>
      <c r="H94" s="73" t="str">
        <f>+'01-FR-03 POA INSTITUCIONAL'!H94</f>
        <v>Productos  de comunicación interna
desarrollados</v>
      </c>
      <c r="I94" s="74" t="str">
        <f>+'01-FR-03 POA INSTITUCIONAL'!I94</f>
        <v>Comunicación Estratégica</v>
      </c>
      <c r="J94" s="75" t="str">
        <f>+'01-FR-03 POA INSTITUCIONAL'!J94</f>
        <v>Oficina Asesora de Comunicaciones</v>
      </c>
      <c r="K94" s="77">
        <f>+'01-FR-03 POA INSTITUCIONAL'!K94</f>
        <v>1</v>
      </c>
      <c r="L94" s="77">
        <f>+'01-FR-03 POA INSTITUCIONAL'!L94</f>
        <v>1</v>
      </c>
      <c r="M94" s="77">
        <f>+'01-FR-03 POA INSTITUCIONAL'!M94</f>
        <v>1</v>
      </c>
      <c r="N94" s="77">
        <f>+'01-FR-03 POA INSTITUCIONAL'!N94</f>
        <v>1</v>
      </c>
      <c r="O94" s="250">
        <f>+'04-COMUNICACIÓN ESTRATÉGICA'!V17</f>
        <v>1</v>
      </c>
      <c r="P94" s="250">
        <f>+'04-COMUNICACIÓN ESTRATÉGICA'!W17</f>
        <v>1</v>
      </c>
      <c r="Q94" s="250">
        <f>+'04-COMUNICACIÓN ESTRATÉGICA'!AD17</f>
        <v>1</v>
      </c>
      <c r="R94" s="250">
        <f>+'04-COMUNICACIÓN ESTRATÉGICA'!AE17</f>
        <v>1</v>
      </c>
      <c r="S94" s="250">
        <f>+'04-COMUNICACIÓN ESTRATÉGICA'!AL17</f>
        <v>1</v>
      </c>
      <c r="T94" s="250">
        <f>+'04-COMUNICACIÓN ESTRATÉGICA'!AM17</f>
        <v>0</v>
      </c>
      <c r="U94" s="250">
        <f>+'04-COMUNICACIÓN ESTRATÉGICA'!AT17</f>
        <v>1</v>
      </c>
      <c r="V94" s="250">
        <f>+'04-COMUNICACIÓN ESTRATÉGICA'!AU17</f>
        <v>0</v>
      </c>
      <c r="W94" s="250">
        <f>+'04-COMUNICACIÓN ESTRATÉGICA'!AV17</f>
        <v>1</v>
      </c>
      <c r="X94" s="246">
        <f>+'04-COMUNICACIÓN ESTRATÉGICA'!AX17</f>
        <v>1</v>
      </c>
      <c r="Y94" s="800">
        <f>+'04-COMUNICACIÓN ESTRATÉGICA'!BB17</f>
        <v>0.5</v>
      </c>
      <c r="Z94" s="257">
        <f>+'04-COMUNICACIÓN ESTRATÉGICA'!BF17</f>
        <v>0.125</v>
      </c>
      <c r="AA94" s="228">
        <f t="shared" si="20"/>
        <v>6.25E-2</v>
      </c>
      <c r="AB94" s="1347"/>
      <c r="AD94" s="225">
        <f>+'04-COMUNICACIÓN ESTRATÉGICA'!BD17</f>
        <v>1</v>
      </c>
      <c r="AE94" s="227">
        <f t="shared" si="17"/>
        <v>-0.5</v>
      </c>
      <c r="AG94" s="225">
        <f>+'04-COMUNICACIÓN ESTRATÉGICA'!BH17</f>
        <v>0.25</v>
      </c>
      <c r="AH94" s="227">
        <f t="shared" si="15"/>
        <v>-0.125</v>
      </c>
    </row>
    <row r="95" spans="2:34" ht="114" customHeight="1">
      <c r="B95" s="1038"/>
      <c r="C95" s="109" t="str">
        <f>+'01-FR-03 POA INSTITUCIONAL'!C95</f>
        <v>4.7. Articular el 100% de las acciones de trabajo interinstitucional y cooperación nacional e internacional que permita aunar esfuerzos para el cumplimiento de la misión institucional.</v>
      </c>
      <c r="D95" s="80" t="str">
        <f>+'01-FR-03 POA INSTITUCIONAL'!D95</f>
        <v>4.7.1 Gestionar 3 acuerdos interinstitucionales o de cooperación nacional y/o internacional para garantizar el enfoque social, en el marco de un estado pluralista, para el fortalecimiento de la prestación del servicio al usuario</v>
      </c>
      <c r="E95" s="81">
        <f>+'01-FR-03 POA INSTITUCIONAL'!E95</f>
        <v>1</v>
      </c>
      <c r="F95" s="102">
        <f>+'01-FR-03 POA INSTITUCIONAL'!F95</f>
        <v>3</v>
      </c>
      <c r="G95" s="103" t="str">
        <f>+'01-FR-03 POA INSTITUCIONAL'!G95</f>
        <v>S.I.</v>
      </c>
      <c r="H95" s="97" t="str">
        <f>+'01-FR-03 POA INSTITUCIONAL'!H95</f>
        <v>Acuerdos interinstitucionales gestionados</v>
      </c>
      <c r="I95" s="98" t="str">
        <f>+'01-FR-03 POA INSTITUCIONAL'!I95</f>
        <v>Servicio al Usuario</v>
      </c>
      <c r="J95" s="99" t="str">
        <f>+'01-FR-03 POA INSTITUCIONAL'!J95</f>
        <v>Secretaría General</v>
      </c>
      <c r="K95" s="104">
        <f>+'01-FR-03 POA INSTITUCIONAL'!K95</f>
        <v>1</v>
      </c>
      <c r="L95" s="104">
        <f>+'01-FR-03 POA INSTITUCIONAL'!L95</f>
        <v>1</v>
      </c>
      <c r="M95" s="104">
        <f>+'01-FR-03 POA INSTITUCIONAL'!M95</f>
        <v>1</v>
      </c>
      <c r="N95" s="104">
        <f>+'01-FR-03 POA INSTITUCIONAL'!N95</f>
        <v>0</v>
      </c>
      <c r="O95" s="254">
        <f>+'14-SERVICIO AL USUARIO'!V18</f>
        <v>0</v>
      </c>
      <c r="P95" s="254">
        <f>+'14-SERVICIO AL USUARIO'!W18</f>
        <v>0</v>
      </c>
      <c r="Q95" s="254">
        <f>+'14-SERVICIO AL USUARIO'!AD18</f>
        <v>0</v>
      </c>
      <c r="R95" s="254">
        <f>+'14-SERVICIO AL USUARIO'!AE18</f>
        <v>0</v>
      </c>
      <c r="S95" s="254">
        <f>+'14-SERVICIO AL USUARIO'!AL18</f>
        <v>0</v>
      </c>
      <c r="T95" s="254">
        <f>+'14-SERVICIO AL USUARIO'!AM18</f>
        <v>0</v>
      </c>
      <c r="U95" s="254">
        <f>+'14-SERVICIO AL USUARIO'!AT18</f>
        <v>1</v>
      </c>
      <c r="V95" s="254">
        <f>+'14-SERVICIO AL USUARIO'!AU18</f>
        <v>0</v>
      </c>
      <c r="W95" s="254">
        <f>+'14-SERVICIO AL USUARIO'!AV18</f>
        <v>1</v>
      </c>
      <c r="X95" s="892">
        <f>+'14-SERVICIO AL USUARIO'!AX18</f>
        <v>0</v>
      </c>
      <c r="Y95" s="503">
        <f>+'14-SERVICIO AL USUARIO'!BB18</f>
        <v>0</v>
      </c>
      <c r="Z95" s="230">
        <f>+'14-SERVICIO AL USUARIO'!BF18</f>
        <v>0</v>
      </c>
      <c r="AA95" s="230">
        <f t="shared" si="20"/>
        <v>0</v>
      </c>
      <c r="AB95" s="255">
        <f>+AA95</f>
        <v>0</v>
      </c>
      <c r="AD95" s="225">
        <f>+'14-SERVICIO AL USUARIO'!BD18</f>
        <v>0</v>
      </c>
      <c r="AE95" s="227">
        <f t="shared" si="17"/>
        <v>0</v>
      </c>
      <c r="AG95" s="225">
        <f>+'14-SERVICIO AL USUARIO'!BH18</f>
        <v>0</v>
      </c>
      <c r="AH95" s="227">
        <f t="shared" si="15"/>
        <v>0</v>
      </c>
    </row>
    <row r="96" spans="2:34" ht="93.75" customHeight="1">
      <c r="B96" s="1326" t="s">
        <v>144</v>
      </c>
      <c r="C96" s="1334" t="str">
        <f>+'01-FR-03 POA INSTITUCIONAL'!C96:C97</f>
        <v>5.1 Generar el 100% de productos de nuevo conocimiento o transformar los existentes, alineados con proyectos resultados de la investigación, desarrollo e innovación (I+D+I) en la Entidad.</v>
      </c>
      <c r="D96" s="28" t="str">
        <f>+'01-FR-03 POA INSTITUCIONAL'!D96</f>
        <v xml:space="preserve">5.1.1 Elaborar cuatro (4) proyectos de investigación, desarrollo e innovación I+D+I para la Entidad </v>
      </c>
      <c r="E96" s="46">
        <f>+'01-FR-03 POA INSTITUCIONAL'!E96</f>
        <v>0.5</v>
      </c>
      <c r="F96" s="72">
        <f>+'01-FR-03 POA INSTITUCIONAL'!F96</f>
        <v>4</v>
      </c>
      <c r="G96" s="35">
        <f>+'01-FR-03 POA INSTITUCIONAL'!G96</f>
        <v>2</v>
      </c>
      <c r="H96" s="73" t="str">
        <f>+'01-FR-03 POA INSTITUCIONAL'!H96</f>
        <v>Proyectos de Investigación, Desarrollo e Innovación (I+D+I) elaborados</v>
      </c>
      <c r="I96" s="74" t="str">
        <f>+'01-FR-03 POA INSTITUCIONAL'!I96</f>
        <v xml:space="preserve">Gestión del Conocimiento e Innovación </v>
      </c>
      <c r="J96" s="75" t="str">
        <f>+'01-FR-03 POA INSTITUCIONAL'!J96</f>
        <v xml:space="preserve">Dirección de Gestión del Conocimiento e Innovación </v>
      </c>
      <c r="K96" s="76">
        <f>+'01-FR-03 POA INSTITUCIONAL'!K96</f>
        <v>1</v>
      </c>
      <c r="L96" s="76">
        <f>+'01-FR-03 POA INSTITUCIONAL'!L96</f>
        <v>1</v>
      </c>
      <c r="M96" s="76">
        <f>+'01-FR-03 POA INSTITUCIONAL'!M96</f>
        <v>1</v>
      </c>
      <c r="N96" s="76">
        <f>+'01-FR-03 POA INSTITUCIONAL'!N96</f>
        <v>1</v>
      </c>
      <c r="O96" s="256">
        <f>+'02-G. CONOCIMIENTO INNOVACIÓN'!V16</f>
        <v>0</v>
      </c>
      <c r="P96" s="256">
        <f>+'02-G. CONOCIMIENTO INNOVACIÓN'!W16</f>
        <v>0</v>
      </c>
      <c r="Q96" s="256">
        <f>+'02-G. CONOCIMIENTO INNOVACIÓN'!AD16</f>
        <v>0</v>
      </c>
      <c r="R96" s="256">
        <f>+'02-G. CONOCIMIENTO INNOVACIÓN'!AE16</f>
        <v>0</v>
      </c>
      <c r="S96" s="256">
        <f>+'02-G. CONOCIMIENTO INNOVACIÓN'!AL16</f>
        <v>0</v>
      </c>
      <c r="T96" s="256">
        <f>+'02-G. CONOCIMIENTO INNOVACIÓN'!AM16</f>
        <v>0</v>
      </c>
      <c r="U96" s="256">
        <f>+'02-G. CONOCIMIENTO INNOVACIÓN'!AT16</f>
        <v>1</v>
      </c>
      <c r="V96" s="256">
        <f>+'02-G. CONOCIMIENTO INNOVACIÓN'!AU16</f>
        <v>0</v>
      </c>
      <c r="W96" s="256">
        <f>+'02-G. CONOCIMIENTO INNOVACIÓN'!AV16</f>
        <v>1</v>
      </c>
      <c r="X96" s="894">
        <f>+'02-G. CONOCIMIENTO INNOVACIÓN'!AX16</f>
        <v>0</v>
      </c>
      <c r="Y96" s="500">
        <f>+'02-G. CONOCIMIENTO INNOVACIÓN'!BB16</f>
        <v>0</v>
      </c>
      <c r="Z96" s="257">
        <f>+'02-G. CONOCIMIENTO INNOVACIÓN'!BF16</f>
        <v>0</v>
      </c>
      <c r="AA96" s="257">
        <f t="shared" si="20"/>
        <v>0</v>
      </c>
      <c r="AB96" s="1020">
        <f>SUM(AA96:AA97)</f>
        <v>0</v>
      </c>
      <c r="AD96" s="225">
        <f>+'02-G. CONOCIMIENTO INNOVACIÓN'!BD16</f>
        <v>0</v>
      </c>
      <c r="AE96" s="227">
        <f t="shared" si="17"/>
        <v>0</v>
      </c>
      <c r="AG96" s="225">
        <f>+'02-G. CONOCIMIENTO INNOVACIÓN'!BH16</f>
        <v>0</v>
      </c>
      <c r="AH96" s="227">
        <f t="shared" si="15"/>
        <v>0</v>
      </c>
    </row>
    <row r="97" spans="2:34" ht="93.75" customHeight="1">
      <c r="B97" s="1012"/>
      <c r="C97" s="1335"/>
      <c r="D97" s="28" t="str">
        <f>+'01-FR-03 POA INSTITUCIONAL'!D97</f>
        <v>5.1.2. Entregar dos (2) productos resultado de los proyectos de investigación, desarrollo e innovación (I+D+I) realizados en la Entidad para la comunidad</v>
      </c>
      <c r="E97" s="46">
        <f>+'01-FR-03 POA INSTITUCIONAL'!E97</f>
        <v>0.5</v>
      </c>
      <c r="F97" s="72">
        <f>+'01-FR-03 POA INSTITUCIONAL'!F97</f>
        <v>2</v>
      </c>
      <c r="G97" s="35" t="str">
        <f>+'01-FR-03 POA INSTITUCIONAL'!G97</f>
        <v>S.I.</v>
      </c>
      <c r="H97" s="73" t="str">
        <f>+'01-FR-03 POA INSTITUCIONAL'!H97</f>
        <v>Productos resultado de investigaciones, entregadas para la comunidad</v>
      </c>
      <c r="I97" s="74" t="str">
        <f>+'01-FR-03 POA INSTITUCIONAL'!I97</f>
        <v xml:space="preserve">Gestión del Conocimiento e Innovación </v>
      </c>
      <c r="J97" s="75" t="str">
        <f>+'01-FR-03 POA INSTITUCIONAL'!J97</f>
        <v xml:space="preserve">Dirección de Gestión del Conocimiento e Innovación </v>
      </c>
      <c r="K97" s="76">
        <f>+'01-FR-03 POA INSTITUCIONAL'!K97</f>
        <v>0</v>
      </c>
      <c r="L97" s="76">
        <f>+'01-FR-03 POA INSTITUCIONAL'!L97</f>
        <v>1</v>
      </c>
      <c r="M97" s="76">
        <f>+'01-FR-03 POA INSTITUCIONAL'!M97</f>
        <v>1</v>
      </c>
      <c r="N97" s="76">
        <f>+'01-FR-03 POA INSTITUCIONAL'!N97</f>
        <v>0</v>
      </c>
      <c r="O97" s="256">
        <f>+'02-G. CONOCIMIENTO INNOVACIÓN'!V17</f>
        <v>0</v>
      </c>
      <c r="P97" s="256">
        <f>+'02-G. CONOCIMIENTO INNOVACIÓN'!W17</f>
        <v>0</v>
      </c>
      <c r="Q97" s="256">
        <f>+'02-G. CONOCIMIENTO INNOVACIÓN'!AD17</f>
        <v>0</v>
      </c>
      <c r="R97" s="256">
        <f>+'02-G. CONOCIMIENTO INNOVACIÓN'!AE17</f>
        <v>0</v>
      </c>
      <c r="S97" s="256">
        <f>+'02-G. CONOCIMIENTO INNOVACIÓN'!AL17</f>
        <v>0</v>
      </c>
      <c r="T97" s="256">
        <f>+'02-G. CONOCIMIENTO INNOVACIÓN'!AM17</f>
        <v>0</v>
      </c>
      <c r="U97" s="256">
        <f>+'02-G. CONOCIMIENTO INNOVACIÓN'!AT17</f>
        <v>1</v>
      </c>
      <c r="V97" s="256">
        <f>+'02-G. CONOCIMIENTO INNOVACIÓN'!AU17</f>
        <v>0</v>
      </c>
      <c r="W97" s="256">
        <f>+'02-G. CONOCIMIENTO INNOVACIÓN'!AV17</f>
        <v>1</v>
      </c>
      <c r="X97" s="894">
        <f>+'02-G. CONOCIMIENTO INNOVACIÓN'!AX17</f>
        <v>0</v>
      </c>
      <c r="Y97" s="500">
        <f>+'02-G. CONOCIMIENTO INNOVACIÓN'!BB17</f>
        <v>0</v>
      </c>
      <c r="Z97" s="257">
        <f>+'02-G. CONOCIMIENTO INNOVACIÓN'!BF17</f>
        <v>0</v>
      </c>
      <c r="AA97" s="257">
        <f t="shared" si="20"/>
        <v>0</v>
      </c>
      <c r="AB97" s="1061"/>
      <c r="AD97" s="225"/>
      <c r="AE97" s="227"/>
      <c r="AG97" s="225"/>
      <c r="AH97" s="227"/>
    </row>
    <row r="98" spans="2:34" ht="102" customHeight="1">
      <c r="B98" s="1012"/>
      <c r="C98" s="111" t="str">
        <f>+'01-FR-03 POA INSTITUCIONAL'!C98</f>
        <v>5.2 Formular el 100% de herramientas y acciones que permitan categorizar, preservar y utilizar el conocimiento para la toma de decisiones y compartir fácilmente los datos y la información de la Entidad.</v>
      </c>
      <c r="D98" s="28" t="str">
        <f>+'01-FR-03 POA INSTITUCIONAL'!D98</f>
        <v xml:space="preserve">5.2.1 Construir ocho (8) informes de investigación e innovación que reflejen la analítica institucional </v>
      </c>
      <c r="E98" s="46">
        <f>+'01-FR-03 POA INSTITUCIONAL'!E98</f>
        <v>1</v>
      </c>
      <c r="F98" s="72">
        <f>+'01-FR-03 POA INSTITUCIONAL'!F98</f>
        <v>8</v>
      </c>
      <c r="G98" s="35">
        <f>+'01-FR-03 POA INSTITUCIONAL'!G98</f>
        <v>2</v>
      </c>
      <c r="H98" s="73" t="str">
        <f>+'01-FR-03 POA INSTITUCIONAL'!H98</f>
        <v>Informes de investigación e innovación construidos</v>
      </c>
      <c r="I98" s="74" t="str">
        <f>+'01-FR-03 POA INSTITUCIONAL'!I98</f>
        <v xml:space="preserve">Gestión del Conocimiento e Innovación </v>
      </c>
      <c r="J98" s="75" t="str">
        <f>+'01-FR-03 POA INSTITUCIONAL'!J98</f>
        <v xml:space="preserve">Dirección de Gestión del Conocimiento e Innovación </v>
      </c>
      <c r="K98" s="76">
        <f>+'01-FR-03 POA INSTITUCIONAL'!K98</f>
        <v>2</v>
      </c>
      <c r="L98" s="76">
        <f>+'01-FR-03 POA INSTITUCIONAL'!L98</f>
        <v>2</v>
      </c>
      <c r="M98" s="76">
        <f>+'01-FR-03 POA INSTITUCIONAL'!M98</f>
        <v>3</v>
      </c>
      <c r="N98" s="76">
        <f>+'01-FR-03 POA INSTITUCIONAL'!N98</f>
        <v>1</v>
      </c>
      <c r="O98" s="256">
        <f>+'02-G. CONOCIMIENTO INNOVACIÓN'!V18</f>
        <v>0</v>
      </c>
      <c r="P98" s="256">
        <f>+'02-G. CONOCIMIENTO INNOVACIÓN'!W18</f>
        <v>0</v>
      </c>
      <c r="Q98" s="256">
        <f>+'02-G. CONOCIMIENTO INNOVACIÓN'!AD18</f>
        <v>1</v>
      </c>
      <c r="R98" s="256">
        <f>+'02-G. CONOCIMIENTO INNOVACIÓN'!AE18</f>
        <v>1</v>
      </c>
      <c r="S98" s="256">
        <f>+'02-G. CONOCIMIENTO INNOVACIÓN'!AL18</f>
        <v>1</v>
      </c>
      <c r="T98" s="256">
        <f>+'02-G. CONOCIMIENTO INNOVACIÓN'!AM18</f>
        <v>0</v>
      </c>
      <c r="U98" s="256">
        <f>+'02-G. CONOCIMIENTO INNOVACIÓN'!AT18</f>
        <v>1</v>
      </c>
      <c r="V98" s="256">
        <f>+'02-G. CONOCIMIENTO INNOVACIÓN'!AU18</f>
        <v>0</v>
      </c>
      <c r="W98" s="256">
        <f>+'02-G. CONOCIMIENTO INNOVACIÓN'!AV18</f>
        <v>3</v>
      </c>
      <c r="X98" s="894">
        <f>+'02-G. CONOCIMIENTO INNOVACIÓN'!AX18</f>
        <v>1</v>
      </c>
      <c r="Y98" s="500">
        <f>+'02-G. CONOCIMIENTO INNOVACIÓN'!BB18</f>
        <v>0.33333333333333331</v>
      </c>
      <c r="Z98" s="257">
        <f>+'02-G. CONOCIMIENTO INNOVACIÓN'!BF18</f>
        <v>0.125</v>
      </c>
      <c r="AA98" s="257">
        <f t="shared" si="20"/>
        <v>0.125</v>
      </c>
      <c r="AB98" s="258">
        <f>+AA98</f>
        <v>0.125</v>
      </c>
      <c r="AD98" s="225">
        <f>+'02-G. CONOCIMIENTO INNOVACIÓN'!BD18</f>
        <v>0.33333333333333331</v>
      </c>
      <c r="AE98" s="227">
        <f>Y98-AD98</f>
        <v>0</v>
      </c>
      <c r="AG98" s="225">
        <f>+'02-G. CONOCIMIENTO INNOVACIÓN'!BH18</f>
        <v>0.125</v>
      </c>
      <c r="AH98" s="227">
        <f t="shared" si="15"/>
        <v>0</v>
      </c>
    </row>
    <row r="99" spans="2:34" ht="124.5" customHeight="1">
      <c r="B99" s="1019"/>
      <c r="C99" s="112"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99" s="28" t="str">
        <f>+'01-FR-03 POA INSTITUCIONAL'!D99</f>
        <v>5.3.1 Desarrollar ochenta (80) actividades de apropiación social del conocimiento para la creación de la cultura de la investigación e innovación.</v>
      </c>
      <c r="E99" s="46">
        <f>+'01-FR-03 POA INSTITUCIONAL'!E99</f>
        <v>1</v>
      </c>
      <c r="F99" s="72">
        <f>+'01-FR-03 POA INSTITUCIONAL'!F99</f>
        <v>80</v>
      </c>
      <c r="G99" s="35">
        <f>+'01-FR-03 POA INSTITUCIONAL'!G99</f>
        <v>3</v>
      </c>
      <c r="H99" s="73" t="str">
        <f>+'01-FR-03 POA INSTITUCIONAL'!H99</f>
        <v>Actividades de apropiación social del conocimiento desarrolladas</v>
      </c>
      <c r="I99" s="74" t="str">
        <f>+'01-FR-03 POA INSTITUCIONAL'!I99</f>
        <v xml:space="preserve">Gestión del Conocimiento e Innovación </v>
      </c>
      <c r="J99" s="75" t="str">
        <f>+'01-FR-03 POA INSTITUCIONAL'!J99</f>
        <v xml:space="preserve">Dirección de Gestión del Conocimiento e Innovación </v>
      </c>
      <c r="K99" s="76">
        <f>+'01-FR-03 POA INSTITUCIONAL'!K99</f>
        <v>3</v>
      </c>
      <c r="L99" s="76">
        <f>+'01-FR-03 POA INSTITUCIONAL'!L99</f>
        <v>38</v>
      </c>
      <c r="M99" s="76">
        <f>+'01-FR-03 POA INSTITUCIONAL'!M99</f>
        <v>39</v>
      </c>
      <c r="N99" s="76">
        <f>+'01-FR-03 POA INSTITUCIONAL'!N99</f>
        <v>0</v>
      </c>
      <c r="O99" s="256">
        <f>+'02-G. CONOCIMIENTO INNOVACIÓN'!V19</f>
        <v>7</v>
      </c>
      <c r="P99" s="256">
        <f>+'02-G. CONOCIMIENTO INNOVACIÓN'!W19</f>
        <v>7</v>
      </c>
      <c r="Q99" s="256">
        <f>+'02-G. CONOCIMIENTO INNOVACIÓN'!AD19</f>
        <v>12</v>
      </c>
      <c r="R99" s="256">
        <f>+'02-G. CONOCIMIENTO INNOVACIÓN'!AE19</f>
        <v>12</v>
      </c>
      <c r="S99" s="256">
        <f>+'02-G. CONOCIMIENTO INNOVACIÓN'!AL19</f>
        <v>12</v>
      </c>
      <c r="T99" s="256">
        <f>+'02-G. CONOCIMIENTO INNOVACIÓN'!AM19</f>
        <v>0</v>
      </c>
      <c r="U99" s="256">
        <f>+'02-G. CONOCIMIENTO INNOVACIÓN'!AT19</f>
        <v>8</v>
      </c>
      <c r="V99" s="256">
        <f>+'02-G. CONOCIMIENTO INNOVACIÓN'!AU19</f>
        <v>0</v>
      </c>
      <c r="W99" s="256">
        <f>+'02-G. CONOCIMIENTO INNOVACIÓN'!AV19</f>
        <v>39</v>
      </c>
      <c r="X99" s="894">
        <f>+'02-G. CONOCIMIENTO INNOVACIÓN'!AX19</f>
        <v>19</v>
      </c>
      <c r="Y99" s="500">
        <f>+'02-G. CONOCIMIENTO INNOVACIÓN'!BB19</f>
        <v>0.48717948717948717</v>
      </c>
      <c r="Z99" s="257">
        <f>+'02-G. CONOCIMIENTO INNOVACIÓN'!BF19</f>
        <v>0.23749999999999999</v>
      </c>
      <c r="AA99" s="257">
        <f t="shared" si="20"/>
        <v>0.23749999999999999</v>
      </c>
      <c r="AB99" s="258">
        <f>+AA99</f>
        <v>0.23749999999999999</v>
      </c>
      <c r="AD99" s="225">
        <f>+'02-G. CONOCIMIENTO INNOVACIÓN'!BD19</f>
        <v>0.48717948717948717</v>
      </c>
      <c r="AE99" s="227">
        <f>Y99-AD99</f>
        <v>0</v>
      </c>
      <c r="AG99" s="225">
        <f>+'02-G. CONOCIMIENTO INNOVACIÓN'!BH19</f>
        <v>0.23749999999999999</v>
      </c>
      <c r="AH99" s="227">
        <f t="shared" si="15"/>
        <v>0</v>
      </c>
    </row>
    <row r="100" spans="2:34">
      <c r="B100" s="203"/>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590"/>
      <c r="Y100" s="805">
        <f>IFERROR(AVERAGE(Y13:Y44,Y46:Y99),0)</f>
        <v>0.48621344438557651</v>
      </c>
      <c r="Z100" s="806">
        <f>AVERAGE(Z13:Z99)</f>
        <v>0.13126878357264302</v>
      </c>
      <c r="AA100" s="807"/>
      <c r="AB100" s="806">
        <f>IFERROR(AVERAGE(AB13:AB99),0)</f>
        <v>0.13031851850298065</v>
      </c>
      <c r="AH100" s="227"/>
    </row>
    <row r="101" spans="2:34" ht="13.5" customHeight="1">
      <c r="B101" s="38"/>
      <c r="C101" s="38"/>
      <c r="D101" s="38"/>
      <c r="E101" s="39"/>
      <c r="F101" s="39"/>
      <c r="G101" s="39"/>
      <c r="H101" s="38"/>
      <c r="I101" s="38"/>
      <c r="J101" s="38"/>
      <c r="K101" s="38"/>
      <c r="L101" s="38"/>
      <c r="M101" s="38"/>
      <c r="N101" s="38"/>
      <c r="O101" s="38"/>
      <c r="P101" s="38"/>
      <c r="Q101" s="38"/>
      <c r="R101" s="38"/>
      <c r="S101" s="38"/>
      <c r="T101" s="38"/>
      <c r="U101" s="38"/>
      <c r="V101" s="38"/>
      <c r="W101" s="38"/>
    </row>
    <row r="102" spans="2:34" ht="15" customHeight="1">
      <c r="B102" s="38"/>
      <c r="C102" s="38"/>
      <c r="D102" s="38"/>
      <c r="E102" s="39"/>
      <c r="F102" s="39"/>
      <c r="G102" s="39"/>
      <c r="H102" s="38"/>
      <c r="I102" s="38"/>
      <c r="J102" s="38"/>
      <c r="K102" s="38"/>
      <c r="L102" s="38"/>
      <c r="M102" s="38"/>
      <c r="N102" s="38"/>
      <c r="O102" s="38"/>
      <c r="P102" s="38"/>
      <c r="Q102" s="38"/>
      <c r="R102" s="38"/>
      <c r="S102" s="38"/>
      <c r="T102" s="38"/>
      <c r="U102" s="38"/>
      <c r="V102" s="38"/>
      <c r="W102" s="38"/>
    </row>
    <row r="103" spans="2:34" ht="15" customHeight="1">
      <c r="B103" s="38"/>
      <c r="C103" s="38"/>
      <c r="D103" s="38"/>
      <c r="E103" s="39"/>
      <c r="F103" s="39"/>
      <c r="G103" s="39"/>
      <c r="H103" s="44"/>
      <c r="I103" s="44"/>
      <c r="J103" s="44"/>
      <c r="K103" s="44"/>
      <c r="L103" s="44"/>
      <c r="M103" s="44"/>
      <c r="N103" s="44"/>
      <c r="O103" s="44"/>
      <c r="P103" s="44"/>
      <c r="Q103" s="44"/>
      <c r="R103" s="44"/>
      <c r="S103" s="44"/>
      <c r="T103" s="44"/>
      <c r="U103" s="44"/>
      <c r="V103" s="44"/>
      <c r="W103" s="44"/>
    </row>
    <row r="104" spans="2:34" ht="15" customHeight="1">
      <c r="B104" s="38"/>
      <c r="C104" s="38"/>
      <c r="D104" s="38"/>
      <c r="E104" s="39"/>
      <c r="F104" s="39"/>
      <c r="G104" s="39"/>
      <c r="H104" s="38"/>
      <c r="I104" s="38"/>
      <c r="J104" s="38"/>
      <c r="K104" s="38"/>
      <c r="L104" s="38"/>
      <c r="M104" s="38"/>
      <c r="N104" s="38"/>
      <c r="O104" s="38"/>
      <c r="P104" s="38"/>
      <c r="Q104" s="38"/>
      <c r="R104" s="38"/>
      <c r="S104" s="38"/>
      <c r="T104" s="38"/>
      <c r="U104" s="38"/>
      <c r="V104" s="38"/>
      <c r="W104" s="38"/>
    </row>
    <row r="105" spans="2:34" ht="15" customHeight="1">
      <c r="B105" s="38"/>
      <c r="C105" s="38"/>
      <c r="D105" s="38"/>
      <c r="E105" s="39"/>
      <c r="F105" s="39"/>
      <c r="G105" s="39"/>
      <c r="H105" s="44"/>
      <c r="I105" s="44"/>
      <c r="J105" s="44"/>
      <c r="K105" s="44"/>
      <c r="L105" s="44"/>
      <c r="M105" s="44"/>
      <c r="N105" s="44"/>
      <c r="O105" s="44"/>
      <c r="P105" s="44"/>
      <c r="Q105" s="44"/>
      <c r="R105" s="44"/>
      <c r="S105" s="44"/>
      <c r="T105" s="44"/>
      <c r="U105" s="44"/>
      <c r="V105" s="44"/>
      <c r="W105" s="44"/>
    </row>
  </sheetData>
  <sheetProtection algorithmName="SHA-512" hashValue="zh/ovpgY5L5+j7L1bh+GSdqarPXD+OxjmDV4EyZxYyFVr7v98fTVc36A4lsWoLBKGbGxs27KnHU5t6pIuyCynw==" saltValue="ElBxYhUIcsuCmh9Ksh2IgA==" spinCount="100000" sheet="1" objects="1" scenarios="1"/>
  <mergeCells count="66">
    <mergeCell ref="AA82:AA83"/>
    <mergeCell ref="AB13:AB23"/>
    <mergeCell ref="W11:W12"/>
    <mergeCell ref="AB87:AB92"/>
    <mergeCell ref="AA84:AA86"/>
    <mergeCell ref="AB33:AB34"/>
    <mergeCell ref="AB35:AB36"/>
    <mergeCell ref="AB37:AB39"/>
    <mergeCell ref="AB93:AB94"/>
    <mergeCell ref="AB24:AB29"/>
    <mergeCell ref="AB30:AB32"/>
    <mergeCell ref="AB48:AB54"/>
    <mergeCell ref="AB55:AB60"/>
    <mergeCell ref="AB61:AB68"/>
    <mergeCell ref="AB69:AB86"/>
    <mergeCell ref="AB40:AB41"/>
    <mergeCell ref="AB42:AB43"/>
    <mergeCell ref="AB45:AB47"/>
    <mergeCell ref="I10:I12"/>
    <mergeCell ref="C2:AB6"/>
    <mergeCell ref="Z10:AB10"/>
    <mergeCell ref="O11:P11"/>
    <mergeCell ref="Q11:R11"/>
    <mergeCell ref="S11:T11"/>
    <mergeCell ref="U11:V11"/>
    <mergeCell ref="O10:Y10"/>
    <mergeCell ref="X11:X12"/>
    <mergeCell ref="AA11:AA12"/>
    <mergeCell ref="AB11:AB12"/>
    <mergeCell ref="J10:J12"/>
    <mergeCell ref="K10:N10"/>
    <mergeCell ref="Z11:Z12"/>
    <mergeCell ref="C10:C12"/>
    <mergeCell ref="F10:F12"/>
    <mergeCell ref="B96:B99"/>
    <mergeCell ref="B33:B39"/>
    <mergeCell ref="C33:C34"/>
    <mergeCell ref="C35:C36"/>
    <mergeCell ref="C37:C39"/>
    <mergeCell ref="B40:B47"/>
    <mergeCell ref="C40:C41"/>
    <mergeCell ref="C42:C43"/>
    <mergeCell ref="C45:C47"/>
    <mergeCell ref="B48:B95"/>
    <mergeCell ref="C96:C97"/>
    <mergeCell ref="G10:G12"/>
    <mergeCell ref="B2:B6"/>
    <mergeCell ref="H10:H12"/>
    <mergeCell ref="D10:D12"/>
    <mergeCell ref="E10:E12"/>
    <mergeCell ref="AB96:AB97"/>
    <mergeCell ref="B10:B12"/>
    <mergeCell ref="E82:E83"/>
    <mergeCell ref="C87:C92"/>
    <mergeCell ref="C93:C94"/>
    <mergeCell ref="B13:B32"/>
    <mergeCell ref="C13:C23"/>
    <mergeCell ref="C24:C29"/>
    <mergeCell ref="C30:C32"/>
    <mergeCell ref="C48:C54"/>
    <mergeCell ref="C55:C60"/>
    <mergeCell ref="C61:C68"/>
    <mergeCell ref="D82:D83"/>
    <mergeCell ref="C69:C86"/>
    <mergeCell ref="D84:D86"/>
    <mergeCell ref="E84:E8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20"/>
  <sheetViews>
    <sheetView showGridLines="0" zoomScale="55" zoomScaleNormal="55" workbookViewId="0">
      <selection activeCell="E13" sqref="E13"/>
    </sheetView>
  </sheetViews>
  <sheetFormatPr baseColWidth="10" defaultColWidth="17.33203125" defaultRowHeight="15" customHeight="1"/>
  <cols>
    <col min="1" max="1" width="4.33203125" style="1" customWidth="1"/>
    <col min="2" max="2" width="50.44140625" style="3" customWidth="1"/>
    <col min="3" max="3" width="55.109375" style="3" customWidth="1"/>
    <col min="4" max="4" width="52.88671875" style="3" customWidth="1"/>
    <col min="5" max="5" width="25.44140625" style="5" customWidth="1"/>
    <col min="6" max="6" width="26.33203125" style="5" customWidth="1"/>
    <col min="7" max="7" width="18" style="5" customWidth="1"/>
    <col min="8" max="8" width="43.6640625" style="3" customWidth="1"/>
    <col min="9" max="9" width="29.44140625" style="3" customWidth="1"/>
    <col min="10" max="10" width="56.33203125" style="3" customWidth="1"/>
    <col min="11" max="14" width="14.33203125" style="1" customWidth="1"/>
    <col min="15" max="15" width="18.5546875" style="1" customWidth="1"/>
    <col min="16" max="16384" width="17.33203125" style="1"/>
  </cols>
  <sheetData>
    <row r="1" spans="2:15" ht="15" customHeight="1" thickBot="1"/>
    <row r="2" spans="2:15" ht="16.5" customHeight="1">
      <c r="B2" s="1387" t="s">
        <v>1087</v>
      </c>
      <c r="C2" s="1381" t="s">
        <v>44</v>
      </c>
      <c r="D2" s="1336"/>
      <c r="E2" s="1336"/>
      <c r="F2" s="1336"/>
      <c r="G2" s="1336"/>
      <c r="H2" s="1336"/>
      <c r="I2" s="1336"/>
      <c r="J2" s="1336"/>
      <c r="K2" s="1336"/>
      <c r="L2" s="1336"/>
      <c r="M2" s="1382"/>
      <c r="N2" s="1373" t="s">
        <v>390</v>
      </c>
      <c r="O2" s="1374"/>
    </row>
    <row r="3" spans="2:15" ht="16.5" customHeight="1">
      <c r="B3" s="1388"/>
      <c r="C3" s="1383"/>
      <c r="D3" s="1338"/>
      <c r="E3" s="1338"/>
      <c r="F3" s="1338"/>
      <c r="G3" s="1338"/>
      <c r="H3" s="1338"/>
      <c r="I3" s="1338"/>
      <c r="J3" s="1338"/>
      <c r="K3" s="1338"/>
      <c r="L3" s="1338"/>
      <c r="M3" s="1384"/>
      <c r="N3" s="824" t="s">
        <v>28</v>
      </c>
      <c r="O3" s="825" t="s">
        <v>29</v>
      </c>
    </row>
    <row r="4" spans="2:15" ht="16.5" customHeight="1">
      <c r="B4" s="1388"/>
      <c r="C4" s="1383"/>
      <c r="D4" s="1338"/>
      <c r="E4" s="1338"/>
      <c r="F4" s="1338"/>
      <c r="G4" s="1338"/>
      <c r="H4" s="1338"/>
      <c r="I4" s="1338"/>
      <c r="J4" s="1338"/>
      <c r="K4" s="1338"/>
      <c r="L4" s="1338"/>
      <c r="M4" s="1384"/>
      <c r="N4" s="826">
        <v>5</v>
      </c>
      <c r="O4" s="827" t="s">
        <v>614</v>
      </c>
    </row>
    <row r="5" spans="2:15" ht="16.5" customHeight="1">
      <c r="B5" s="1388"/>
      <c r="C5" s="1383"/>
      <c r="D5" s="1338"/>
      <c r="E5" s="1338"/>
      <c r="F5" s="1338"/>
      <c r="G5" s="1338"/>
      <c r="H5" s="1338"/>
      <c r="I5" s="1338"/>
      <c r="J5" s="1338"/>
      <c r="K5" s="1338"/>
      <c r="L5" s="1338"/>
      <c r="M5" s="1384"/>
      <c r="N5" s="1375" t="s">
        <v>30</v>
      </c>
      <c r="O5" s="1376"/>
    </row>
    <row r="6" spans="2:15" ht="16.5" customHeight="1" thickBot="1">
      <c r="B6" s="1389"/>
      <c r="C6" s="1385"/>
      <c r="D6" s="1340"/>
      <c r="E6" s="1340"/>
      <c r="F6" s="1340"/>
      <c r="G6" s="1340"/>
      <c r="H6" s="1340"/>
      <c r="I6" s="1340"/>
      <c r="J6" s="1340"/>
      <c r="K6" s="1340"/>
      <c r="L6" s="1340"/>
      <c r="M6" s="1386"/>
      <c r="N6" s="1377">
        <v>44306</v>
      </c>
      <c r="O6" s="1378"/>
    </row>
    <row r="7" spans="2:15" ht="14.25" customHeight="1">
      <c r="B7" s="2"/>
      <c r="C7" s="2"/>
      <c r="D7" s="2"/>
      <c r="E7" s="4"/>
      <c r="F7" s="4"/>
      <c r="G7" s="4"/>
      <c r="H7" s="2"/>
      <c r="I7" s="2"/>
      <c r="J7" s="2"/>
    </row>
    <row r="8" spans="2:15" ht="18" customHeight="1">
      <c r="B8" s="1379" t="s">
        <v>48</v>
      </c>
      <c r="C8" s="1379"/>
      <c r="D8" s="1379"/>
      <c r="E8" s="1379"/>
      <c r="F8" s="1379"/>
      <c r="G8" s="1379"/>
      <c r="H8" s="1379"/>
      <c r="I8" s="1379"/>
      <c r="J8" s="1379"/>
      <c r="K8" s="1379"/>
      <c r="L8" s="1379"/>
      <c r="M8" s="1379"/>
      <c r="N8" s="1379"/>
      <c r="O8" s="1379"/>
    </row>
    <row r="9" spans="2:15" ht="14.25" customHeight="1">
      <c r="B9" s="2"/>
      <c r="C9" s="2"/>
      <c r="D9" s="2"/>
      <c r="E9" s="4"/>
      <c r="F9" s="4"/>
      <c r="G9" s="4"/>
      <c r="H9" s="2"/>
      <c r="I9" s="2"/>
      <c r="J9" s="2"/>
      <c r="K9" s="12"/>
      <c r="L9" s="12"/>
      <c r="M9" s="12"/>
      <c r="N9" s="12"/>
      <c r="O9" s="12"/>
    </row>
    <row r="10" spans="2:15" ht="24.75" customHeight="1">
      <c r="B10" s="1140" t="s">
        <v>0</v>
      </c>
      <c r="C10" s="1140" t="s">
        <v>52</v>
      </c>
      <c r="D10" s="1140" t="s">
        <v>54</v>
      </c>
      <c r="E10" s="1145" t="s">
        <v>55</v>
      </c>
      <c r="F10" s="1140" t="s">
        <v>56</v>
      </c>
      <c r="G10" s="1140" t="s">
        <v>70</v>
      </c>
      <c r="H10" s="1140" t="s">
        <v>57</v>
      </c>
      <c r="I10" s="1140" t="s">
        <v>41</v>
      </c>
      <c r="J10" s="1140" t="s">
        <v>42</v>
      </c>
      <c r="K10" s="1391" t="s">
        <v>75</v>
      </c>
      <c r="L10" s="1391"/>
      <c r="M10" s="1391"/>
      <c r="N10" s="1391"/>
      <c r="O10" s="1390" t="s">
        <v>43</v>
      </c>
    </row>
    <row r="11" spans="2:15" ht="24.75" customHeight="1">
      <c r="B11" s="1140"/>
      <c r="C11" s="1140"/>
      <c r="D11" s="1140"/>
      <c r="E11" s="1146"/>
      <c r="F11" s="1140"/>
      <c r="G11" s="1140"/>
      <c r="H11" s="1140"/>
      <c r="I11" s="1140"/>
      <c r="J11" s="1140"/>
      <c r="K11" s="823" t="s">
        <v>59</v>
      </c>
      <c r="L11" s="823" t="s">
        <v>59</v>
      </c>
      <c r="M11" s="823" t="s">
        <v>59</v>
      </c>
      <c r="N11" s="823" t="s">
        <v>59</v>
      </c>
      <c r="O11" s="1390"/>
    </row>
    <row r="12" spans="2:15" ht="22.5" customHeight="1">
      <c r="B12" s="1140"/>
      <c r="C12" s="1140"/>
      <c r="D12" s="1140"/>
      <c r="E12" s="1380"/>
      <c r="F12" s="1140"/>
      <c r="G12" s="1140"/>
      <c r="H12" s="1140"/>
      <c r="I12" s="1140"/>
      <c r="J12" s="1140"/>
      <c r="K12" s="828">
        <v>2021</v>
      </c>
      <c r="L12" s="828">
        <v>2022</v>
      </c>
      <c r="M12" s="828">
        <v>2023</v>
      </c>
      <c r="N12" s="828">
        <v>2024</v>
      </c>
      <c r="O12" s="1390"/>
    </row>
    <row r="13" spans="2:15" ht="103.5" customHeight="1">
      <c r="B13" s="1367" t="s">
        <v>130</v>
      </c>
      <c r="C13" s="1071" t="s">
        <v>1088</v>
      </c>
      <c r="D13" s="28" t="s">
        <v>1089</v>
      </c>
      <c r="E13" s="46">
        <v>0.38</v>
      </c>
      <c r="F13" s="72">
        <v>373106</v>
      </c>
      <c r="G13" s="72">
        <v>102450</v>
      </c>
      <c r="H13" s="530" t="s">
        <v>163</v>
      </c>
      <c r="I13" s="709" t="s">
        <v>191</v>
      </c>
      <c r="J13" s="105" t="s">
        <v>601</v>
      </c>
      <c r="K13" s="829">
        <v>102450</v>
      </c>
      <c r="L13" s="657">
        <v>106660</v>
      </c>
      <c r="M13" s="657">
        <v>114746</v>
      </c>
      <c r="N13" s="657">
        <v>49250</v>
      </c>
      <c r="O13" s="830">
        <f>K13+L13+M13+N13</f>
        <v>373106</v>
      </c>
    </row>
    <row r="14" spans="2:15" ht="142.5" customHeight="1">
      <c r="B14" s="1368"/>
      <c r="C14" s="1077"/>
      <c r="D14" s="28" t="s">
        <v>1090</v>
      </c>
      <c r="E14" s="46">
        <v>0.3</v>
      </c>
      <c r="F14" s="72">
        <v>317663</v>
      </c>
      <c r="G14" s="72">
        <v>78750</v>
      </c>
      <c r="H14" s="530" t="s">
        <v>164</v>
      </c>
      <c r="I14" s="709" t="s">
        <v>191</v>
      </c>
      <c r="J14" s="105" t="s">
        <v>602</v>
      </c>
      <c r="K14" s="829">
        <v>78750</v>
      </c>
      <c r="L14" s="657">
        <v>97105</v>
      </c>
      <c r="M14" s="657">
        <v>101508</v>
      </c>
      <c r="N14" s="657">
        <v>40300</v>
      </c>
      <c r="O14" s="830">
        <f t="shared" ref="O14:O47" si="0">K14+L14+M14+N14</f>
        <v>317663</v>
      </c>
    </row>
    <row r="15" spans="2:15" ht="185.25" customHeight="1">
      <c r="B15" s="1368"/>
      <c r="C15" s="1077"/>
      <c r="D15" s="28" t="s">
        <v>1091</v>
      </c>
      <c r="E15" s="46">
        <v>0.15</v>
      </c>
      <c r="F15" s="72">
        <v>111931</v>
      </c>
      <c r="G15" s="72">
        <v>28695</v>
      </c>
      <c r="H15" s="530" t="s">
        <v>165</v>
      </c>
      <c r="I15" s="709" t="s">
        <v>191</v>
      </c>
      <c r="J15" s="105" t="s">
        <v>603</v>
      </c>
      <c r="K15" s="829">
        <v>28695</v>
      </c>
      <c r="L15" s="657">
        <v>26115</v>
      </c>
      <c r="M15" s="657">
        <v>33521</v>
      </c>
      <c r="N15" s="657">
        <v>23600</v>
      </c>
      <c r="O15" s="830">
        <f t="shared" si="0"/>
        <v>111931</v>
      </c>
    </row>
    <row r="16" spans="2:15" ht="56.4" customHeight="1">
      <c r="B16" s="1368"/>
      <c r="C16" s="1077"/>
      <c r="D16" s="28" t="s">
        <v>1092</v>
      </c>
      <c r="E16" s="46">
        <v>0.04</v>
      </c>
      <c r="F16" s="72">
        <v>27767</v>
      </c>
      <c r="G16" s="72">
        <v>6810</v>
      </c>
      <c r="H16" s="530" t="s">
        <v>167</v>
      </c>
      <c r="I16" s="709" t="s">
        <v>191</v>
      </c>
      <c r="J16" s="105" t="s">
        <v>591</v>
      </c>
      <c r="K16" s="657">
        <v>6810</v>
      </c>
      <c r="L16" s="657">
        <v>6900</v>
      </c>
      <c r="M16" s="657">
        <v>9681</v>
      </c>
      <c r="N16" s="657">
        <v>4376</v>
      </c>
      <c r="O16" s="830">
        <f t="shared" si="0"/>
        <v>27767</v>
      </c>
    </row>
    <row r="17" spans="2:15" ht="157.19999999999999" customHeight="1">
      <c r="B17" s="1368"/>
      <c r="C17" s="1077"/>
      <c r="D17" s="28" t="s">
        <v>1093</v>
      </c>
      <c r="E17" s="46">
        <v>0.06</v>
      </c>
      <c r="F17" s="72">
        <v>53992</v>
      </c>
      <c r="G17" s="72">
        <v>14307</v>
      </c>
      <c r="H17" s="530" t="s">
        <v>168</v>
      </c>
      <c r="I17" s="709" t="s">
        <v>191</v>
      </c>
      <c r="J17" s="105" t="s">
        <v>1001</v>
      </c>
      <c r="K17" s="829">
        <v>14307</v>
      </c>
      <c r="L17" s="657">
        <v>16115</v>
      </c>
      <c r="M17" s="657">
        <v>19470</v>
      </c>
      <c r="N17" s="657">
        <v>4100</v>
      </c>
      <c r="O17" s="830">
        <f t="shared" si="0"/>
        <v>53992</v>
      </c>
    </row>
    <row r="18" spans="2:15" ht="97.95" customHeight="1">
      <c r="B18" s="1368"/>
      <c r="C18" s="1077"/>
      <c r="D18" s="28" t="s">
        <v>166</v>
      </c>
      <c r="E18" s="46">
        <v>0.01</v>
      </c>
      <c r="F18" s="72">
        <v>80</v>
      </c>
      <c r="G18" s="72">
        <v>20</v>
      </c>
      <c r="H18" s="530" t="s">
        <v>169</v>
      </c>
      <c r="I18" s="709" t="s">
        <v>191</v>
      </c>
      <c r="J18" s="105" t="s">
        <v>604</v>
      </c>
      <c r="K18" s="657">
        <v>20</v>
      </c>
      <c r="L18" s="657">
        <v>20</v>
      </c>
      <c r="M18" s="657">
        <v>20</v>
      </c>
      <c r="N18" s="657">
        <v>20</v>
      </c>
      <c r="O18" s="830">
        <f t="shared" si="0"/>
        <v>80</v>
      </c>
    </row>
    <row r="19" spans="2:15" ht="88.5" customHeight="1">
      <c r="B19" s="1368"/>
      <c r="C19" s="1077"/>
      <c r="D19" s="28" t="s">
        <v>170</v>
      </c>
      <c r="E19" s="46">
        <v>0.01</v>
      </c>
      <c r="F19" s="72" t="s">
        <v>171</v>
      </c>
      <c r="G19" s="72" t="s">
        <v>151</v>
      </c>
      <c r="H19" s="530" t="s">
        <v>188</v>
      </c>
      <c r="I19" s="709" t="s">
        <v>191</v>
      </c>
      <c r="J19" s="105" t="s">
        <v>605</v>
      </c>
      <c r="K19" s="719" t="s">
        <v>171</v>
      </c>
      <c r="L19" s="719" t="s">
        <v>171</v>
      </c>
      <c r="M19" s="719" t="s">
        <v>171</v>
      </c>
      <c r="N19" s="719" t="s">
        <v>171</v>
      </c>
      <c r="O19" s="831" t="s">
        <v>171</v>
      </c>
    </row>
    <row r="20" spans="2:15" ht="121.5" customHeight="1">
      <c r="B20" s="1368"/>
      <c r="C20" s="1077"/>
      <c r="D20" s="28" t="s">
        <v>1022</v>
      </c>
      <c r="E20" s="46">
        <v>0.02</v>
      </c>
      <c r="F20" s="72">
        <v>19500</v>
      </c>
      <c r="G20" s="72">
        <v>5000</v>
      </c>
      <c r="H20" s="530" t="s">
        <v>189</v>
      </c>
      <c r="I20" s="709" t="s">
        <v>191</v>
      </c>
      <c r="J20" s="105" t="s">
        <v>606</v>
      </c>
      <c r="K20" s="657">
        <v>5000</v>
      </c>
      <c r="L20" s="657">
        <v>6000</v>
      </c>
      <c r="M20" s="657">
        <v>6500</v>
      </c>
      <c r="N20" s="657">
        <v>2000</v>
      </c>
      <c r="O20" s="830">
        <f t="shared" si="0"/>
        <v>19500</v>
      </c>
    </row>
    <row r="21" spans="2:15" ht="84.75" customHeight="1">
      <c r="B21" s="1368"/>
      <c r="C21" s="1077"/>
      <c r="D21" s="28" t="s">
        <v>1094</v>
      </c>
      <c r="E21" s="46">
        <v>0.01</v>
      </c>
      <c r="F21" s="72">
        <v>9000</v>
      </c>
      <c r="G21" s="72">
        <v>3000</v>
      </c>
      <c r="H21" s="530" t="s">
        <v>230</v>
      </c>
      <c r="I21" s="709" t="s">
        <v>191</v>
      </c>
      <c r="J21" s="105" t="s">
        <v>606</v>
      </c>
      <c r="K21" s="657">
        <v>3000</v>
      </c>
      <c r="L21" s="657">
        <v>3000</v>
      </c>
      <c r="M21" s="657">
        <v>2000</v>
      </c>
      <c r="N21" s="657">
        <v>1000</v>
      </c>
      <c r="O21" s="830">
        <f t="shared" si="0"/>
        <v>9000</v>
      </c>
    </row>
    <row r="22" spans="2:15" ht="83.25" customHeight="1">
      <c r="B22" s="1368"/>
      <c r="C22" s="1077"/>
      <c r="D22" s="28" t="s">
        <v>1095</v>
      </c>
      <c r="E22" s="46">
        <v>0.01</v>
      </c>
      <c r="F22" s="72">
        <v>1800</v>
      </c>
      <c r="G22" s="72">
        <v>700</v>
      </c>
      <c r="H22" s="530" t="s">
        <v>190</v>
      </c>
      <c r="I22" s="709" t="s">
        <v>191</v>
      </c>
      <c r="J22" s="105" t="s">
        <v>606</v>
      </c>
      <c r="K22" s="657">
        <v>700</v>
      </c>
      <c r="L22" s="657">
        <v>500</v>
      </c>
      <c r="M22" s="657">
        <v>300</v>
      </c>
      <c r="N22" s="657">
        <v>300</v>
      </c>
      <c r="O22" s="830">
        <f t="shared" si="0"/>
        <v>1800</v>
      </c>
    </row>
    <row r="23" spans="2:15" ht="93.75" customHeight="1">
      <c r="B23" s="1368"/>
      <c r="C23" s="1078"/>
      <c r="D23" s="28" t="s">
        <v>1023</v>
      </c>
      <c r="E23" s="46">
        <v>0.01</v>
      </c>
      <c r="F23" s="72">
        <v>40</v>
      </c>
      <c r="G23" s="72" t="s">
        <v>151</v>
      </c>
      <c r="H23" s="530" t="s">
        <v>172</v>
      </c>
      <c r="I23" s="709" t="s">
        <v>191</v>
      </c>
      <c r="J23" s="105" t="s">
        <v>606</v>
      </c>
      <c r="K23" s="657">
        <v>0</v>
      </c>
      <c r="L23" s="657">
        <v>0</v>
      </c>
      <c r="M23" s="657">
        <v>20</v>
      </c>
      <c r="N23" s="657">
        <v>20</v>
      </c>
      <c r="O23" s="830">
        <f t="shared" si="0"/>
        <v>40</v>
      </c>
    </row>
    <row r="24" spans="2:15" ht="135.75" customHeight="1">
      <c r="B24" s="1368"/>
      <c r="C24" s="1071" t="s">
        <v>1096</v>
      </c>
      <c r="D24" s="28" t="s">
        <v>1097</v>
      </c>
      <c r="E24" s="46">
        <v>0.75</v>
      </c>
      <c r="F24" s="72">
        <v>231061</v>
      </c>
      <c r="G24" s="72">
        <v>62360</v>
      </c>
      <c r="H24" s="530" t="s">
        <v>173</v>
      </c>
      <c r="I24" s="709" t="s">
        <v>191</v>
      </c>
      <c r="J24" s="105" t="s">
        <v>607</v>
      </c>
      <c r="K24" s="657">
        <v>62360</v>
      </c>
      <c r="L24" s="657">
        <v>71570</v>
      </c>
      <c r="M24" s="657">
        <v>78131</v>
      </c>
      <c r="N24" s="657">
        <v>19000</v>
      </c>
      <c r="O24" s="830">
        <f t="shared" si="0"/>
        <v>231061</v>
      </c>
    </row>
    <row r="25" spans="2:15" ht="99.6" customHeight="1">
      <c r="B25" s="1368"/>
      <c r="C25" s="1077"/>
      <c r="D25" s="28" t="s">
        <v>1098</v>
      </c>
      <c r="E25" s="46">
        <v>0.12</v>
      </c>
      <c r="F25" s="72">
        <v>22448</v>
      </c>
      <c r="G25" s="72">
        <v>5480</v>
      </c>
      <c r="H25" s="530" t="s">
        <v>174</v>
      </c>
      <c r="I25" s="709" t="s">
        <v>191</v>
      </c>
      <c r="J25" s="105" t="s">
        <v>608</v>
      </c>
      <c r="K25" s="829">
        <v>5480</v>
      </c>
      <c r="L25" s="657">
        <v>5480</v>
      </c>
      <c r="M25" s="657">
        <v>7188</v>
      </c>
      <c r="N25" s="657">
        <v>4300</v>
      </c>
      <c r="O25" s="830">
        <f t="shared" si="0"/>
        <v>22448</v>
      </c>
    </row>
    <row r="26" spans="2:15" ht="89.4" customHeight="1">
      <c r="B26" s="1368"/>
      <c r="C26" s="1077"/>
      <c r="D26" s="28" t="s">
        <v>1099</v>
      </c>
      <c r="E26" s="46">
        <v>0.09</v>
      </c>
      <c r="F26" s="72">
        <v>18412</v>
      </c>
      <c r="G26" s="72">
        <v>4790</v>
      </c>
      <c r="H26" s="530" t="s">
        <v>175</v>
      </c>
      <c r="I26" s="709" t="s">
        <v>191</v>
      </c>
      <c r="J26" s="105" t="s">
        <v>1100</v>
      </c>
      <c r="K26" s="657">
        <v>4790</v>
      </c>
      <c r="L26" s="657">
        <v>4790</v>
      </c>
      <c r="M26" s="657">
        <v>5832</v>
      </c>
      <c r="N26" s="657">
        <v>3000</v>
      </c>
      <c r="O26" s="830">
        <f t="shared" si="0"/>
        <v>18412</v>
      </c>
    </row>
    <row r="27" spans="2:15" ht="76.95" customHeight="1">
      <c r="B27" s="1368"/>
      <c r="C27" s="1077"/>
      <c r="D27" s="28" t="s">
        <v>1101</v>
      </c>
      <c r="E27" s="511">
        <v>0.02</v>
      </c>
      <c r="F27" s="72">
        <v>3154</v>
      </c>
      <c r="G27" s="72">
        <v>940</v>
      </c>
      <c r="H27" s="530" t="s">
        <v>1073</v>
      </c>
      <c r="I27" s="709" t="s">
        <v>191</v>
      </c>
      <c r="J27" s="832" t="s">
        <v>609</v>
      </c>
      <c r="K27" s="657">
        <v>940</v>
      </c>
      <c r="L27" s="657">
        <v>800</v>
      </c>
      <c r="M27" s="657">
        <v>814</v>
      </c>
      <c r="N27" s="657">
        <v>600</v>
      </c>
      <c r="O27" s="830">
        <f t="shared" si="0"/>
        <v>3154</v>
      </c>
    </row>
    <row r="28" spans="2:15" ht="120" customHeight="1">
      <c r="B28" s="1368"/>
      <c r="C28" s="1077"/>
      <c r="D28" s="28" t="s">
        <v>1102</v>
      </c>
      <c r="E28" s="78">
        <v>0.01</v>
      </c>
      <c r="F28" s="72">
        <v>9024</v>
      </c>
      <c r="G28" s="72">
        <v>2802</v>
      </c>
      <c r="H28" s="530" t="s">
        <v>176</v>
      </c>
      <c r="I28" s="28" t="s">
        <v>191</v>
      </c>
      <c r="J28" s="154" t="s">
        <v>610</v>
      </c>
      <c r="K28" s="829">
        <v>2802</v>
      </c>
      <c r="L28" s="657">
        <v>2771</v>
      </c>
      <c r="M28" s="657">
        <v>2405</v>
      </c>
      <c r="N28" s="657">
        <v>1046</v>
      </c>
      <c r="O28" s="830">
        <f t="shared" si="0"/>
        <v>9024</v>
      </c>
    </row>
    <row r="29" spans="2:15" ht="127.95" customHeight="1">
      <c r="B29" s="1368"/>
      <c r="C29" s="1078"/>
      <c r="D29" s="28" t="s">
        <v>1103</v>
      </c>
      <c r="E29" s="78">
        <v>0.01</v>
      </c>
      <c r="F29" s="72">
        <v>792</v>
      </c>
      <c r="G29" s="72">
        <v>228</v>
      </c>
      <c r="H29" s="530" t="s">
        <v>1104</v>
      </c>
      <c r="I29" s="28" t="s">
        <v>191</v>
      </c>
      <c r="J29" s="154" t="s">
        <v>611</v>
      </c>
      <c r="K29" s="657">
        <v>228</v>
      </c>
      <c r="L29" s="657">
        <v>208</v>
      </c>
      <c r="M29" s="657">
        <v>236</v>
      </c>
      <c r="N29" s="657">
        <v>120</v>
      </c>
      <c r="O29" s="830">
        <f t="shared" si="0"/>
        <v>792</v>
      </c>
    </row>
    <row r="30" spans="2:15" ht="90" customHeight="1">
      <c r="B30" s="1368"/>
      <c r="C30" s="1071" t="s">
        <v>1034</v>
      </c>
      <c r="D30" s="28" t="s">
        <v>177</v>
      </c>
      <c r="E30" s="822">
        <v>0.56000000000000005</v>
      </c>
      <c r="F30" s="72">
        <v>20</v>
      </c>
      <c r="G30" s="72">
        <v>2</v>
      </c>
      <c r="H30" s="530" t="s">
        <v>178</v>
      </c>
      <c r="I30" s="79" t="s">
        <v>191</v>
      </c>
      <c r="J30" s="833" t="s">
        <v>612</v>
      </c>
      <c r="K30" s="657">
        <v>2</v>
      </c>
      <c r="L30" s="657">
        <v>8</v>
      </c>
      <c r="M30" s="657">
        <v>8</v>
      </c>
      <c r="N30" s="657">
        <v>2</v>
      </c>
      <c r="O30" s="830">
        <f t="shared" si="0"/>
        <v>20</v>
      </c>
    </row>
    <row r="31" spans="2:15" ht="92.25" customHeight="1">
      <c r="B31" s="1368"/>
      <c r="C31" s="1077"/>
      <c r="D31" s="28" t="s">
        <v>179</v>
      </c>
      <c r="E31" s="46">
        <v>0.31</v>
      </c>
      <c r="F31" s="72">
        <v>11</v>
      </c>
      <c r="G31" s="72">
        <v>3</v>
      </c>
      <c r="H31" s="530" t="s">
        <v>180</v>
      </c>
      <c r="I31" s="709" t="s">
        <v>191</v>
      </c>
      <c r="J31" s="105" t="s">
        <v>612</v>
      </c>
      <c r="K31" s="657">
        <v>3</v>
      </c>
      <c r="L31" s="657">
        <v>3</v>
      </c>
      <c r="M31" s="657">
        <v>3</v>
      </c>
      <c r="N31" s="657">
        <v>2</v>
      </c>
      <c r="O31" s="830">
        <f t="shared" si="0"/>
        <v>11</v>
      </c>
    </row>
    <row r="32" spans="2:15" ht="83.25" customHeight="1">
      <c r="B32" s="1368"/>
      <c r="C32" s="1077"/>
      <c r="D32" s="28" t="s">
        <v>181</v>
      </c>
      <c r="E32" s="46">
        <v>0.13</v>
      </c>
      <c r="F32" s="72">
        <v>4</v>
      </c>
      <c r="G32" s="72">
        <v>1</v>
      </c>
      <c r="H32" s="530" t="s">
        <v>182</v>
      </c>
      <c r="I32" s="709" t="s">
        <v>191</v>
      </c>
      <c r="J32" s="105" t="s">
        <v>612</v>
      </c>
      <c r="K32" s="657">
        <v>1</v>
      </c>
      <c r="L32" s="657">
        <v>1</v>
      </c>
      <c r="M32" s="657">
        <v>1</v>
      </c>
      <c r="N32" s="657">
        <v>1</v>
      </c>
      <c r="O32" s="830">
        <f t="shared" si="0"/>
        <v>4</v>
      </c>
    </row>
    <row r="33" spans="2:15" ht="102" customHeight="1">
      <c r="B33" s="1363" t="s">
        <v>131</v>
      </c>
      <c r="C33" s="1112" t="s">
        <v>132</v>
      </c>
      <c r="D33" s="80" t="s">
        <v>183</v>
      </c>
      <c r="E33" s="81">
        <f>0.727272727272727*100%</f>
        <v>0.72727272727272696</v>
      </c>
      <c r="F33" s="82">
        <v>16</v>
      </c>
      <c r="G33" s="834" t="s">
        <v>151</v>
      </c>
      <c r="H33" s="835" t="s">
        <v>185</v>
      </c>
      <c r="I33" s="512" t="s">
        <v>240</v>
      </c>
      <c r="J33" s="110" t="s">
        <v>241</v>
      </c>
      <c r="K33" s="674">
        <v>2</v>
      </c>
      <c r="L33" s="674">
        <v>7</v>
      </c>
      <c r="M33" s="674">
        <v>6</v>
      </c>
      <c r="N33" s="674">
        <v>1</v>
      </c>
      <c r="O33" s="830">
        <f t="shared" si="0"/>
        <v>16</v>
      </c>
    </row>
    <row r="34" spans="2:15" ht="120" customHeight="1">
      <c r="B34" s="1364"/>
      <c r="C34" s="1139"/>
      <c r="D34" s="80" t="s">
        <v>184</v>
      </c>
      <c r="E34" s="81">
        <f>0.272727272727273*100%</f>
        <v>0.27272727272727298</v>
      </c>
      <c r="F34" s="82">
        <v>6</v>
      </c>
      <c r="G34" s="834" t="s">
        <v>151</v>
      </c>
      <c r="H34" s="835" t="s">
        <v>237</v>
      </c>
      <c r="I34" s="512" t="s">
        <v>240</v>
      </c>
      <c r="J34" s="110" t="s">
        <v>241</v>
      </c>
      <c r="K34" s="674">
        <v>1</v>
      </c>
      <c r="L34" s="674">
        <v>1</v>
      </c>
      <c r="M34" s="674">
        <v>3</v>
      </c>
      <c r="N34" s="674">
        <v>1</v>
      </c>
      <c r="O34" s="830">
        <f t="shared" si="0"/>
        <v>6</v>
      </c>
    </row>
    <row r="35" spans="2:15" ht="100.5" customHeight="1">
      <c r="B35" s="1364"/>
      <c r="C35" s="1112" t="s">
        <v>1035</v>
      </c>
      <c r="D35" s="80" t="s">
        <v>1024</v>
      </c>
      <c r="E35" s="81">
        <v>0.89</v>
      </c>
      <c r="F35" s="82">
        <v>817</v>
      </c>
      <c r="G35" s="834" t="s">
        <v>151</v>
      </c>
      <c r="H35" s="835" t="s">
        <v>265</v>
      </c>
      <c r="I35" s="512" t="s">
        <v>240</v>
      </c>
      <c r="J35" s="110" t="s">
        <v>241</v>
      </c>
      <c r="K35" s="674">
        <v>200</v>
      </c>
      <c r="L35" s="674">
        <v>286</v>
      </c>
      <c r="M35" s="674">
        <v>259</v>
      </c>
      <c r="N35" s="674">
        <v>72</v>
      </c>
      <c r="O35" s="830">
        <f t="shared" si="0"/>
        <v>817</v>
      </c>
    </row>
    <row r="36" spans="2:15" ht="100.5" customHeight="1">
      <c r="B36" s="1364"/>
      <c r="C36" s="1139"/>
      <c r="D36" s="80" t="s">
        <v>1025</v>
      </c>
      <c r="E36" s="81">
        <v>0.11</v>
      </c>
      <c r="F36" s="82">
        <v>135</v>
      </c>
      <c r="G36" s="834" t="s">
        <v>151</v>
      </c>
      <c r="H36" s="835" t="s">
        <v>266</v>
      </c>
      <c r="I36" s="512" t="s">
        <v>240</v>
      </c>
      <c r="J36" s="110" t="s">
        <v>241</v>
      </c>
      <c r="K36" s="674">
        <v>28</v>
      </c>
      <c r="L36" s="674">
        <v>67</v>
      </c>
      <c r="M36" s="674">
        <v>30</v>
      </c>
      <c r="N36" s="674">
        <v>10</v>
      </c>
      <c r="O36" s="830">
        <f t="shared" si="0"/>
        <v>135</v>
      </c>
    </row>
    <row r="37" spans="2:15" ht="65.25" customHeight="1">
      <c r="B37" s="1364"/>
      <c r="C37" s="1112" t="s">
        <v>1105</v>
      </c>
      <c r="D37" s="80" t="s">
        <v>1106</v>
      </c>
      <c r="E37" s="519">
        <v>0.2</v>
      </c>
      <c r="F37" s="82">
        <v>52</v>
      </c>
      <c r="G37" s="834">
        <v>75</v>
      </c>
      <c r="H37" s="835" t="s">
        <v>238</v>
      </c>
      <c r="I37" s="512" t="s">
        <v>240</v>
      </c>
      <c r="J37" s="110" t="s">
        <v>242</v>
      </c>
      <c r="K37" s="674">
        <v>12</v>
      </c>
      <c r="L37" s="674">
        <v>21</v>
      </c>
      <c r="M37" s="674">
        <v>15</v>
      </c>
      <c r="N37" s="674">
        <v>4</v>
      </c>
      <c r="O37" s="830">
        <f t="shared" si="0"/>
        <v>52</v>
      </c>
    </row>
    <row r="38" spans="2:15" ht="63.75" customHeight="1">
      <c r="B38" s="1364"/>
      <c r="C38" s="1113"/>
      <c r="D38" s="80" t="s">
        <v>1026</v>
      </c>
      <c r="E38" s="519">
        <v>0.46700000000000003</v>
      </c>
      <c r="F38" s="82">
        <v>160</v>
      </c>
      <c r="G38" s="834" t="s">
        <v>151</v>
      </c>
      <c r="H38" s="835" t="s">
        <v>239</v>
      </c>
      <c r="I38" s="512" t="s">
        <v>240</v>
      </c>
      <c r="J38" s="110" t="s">
        <v>243</v>
      </c>
      <c r="K38" s="674">
        <v>40</v>
      </c>
      <c r="L38" s="674">
        <v>60</v>
      </c>
      <c r="M38" s="674">
        <v>40</v>
      </c>
      <c r="N38" s="674">
        <v>20</v>
      </c>
      <c r="O38" s="830">
        <f t="shared" si="0"/>
        <v>160</v>
      </c>
    </row>
    <row r="39" spans="2:15" ht="102" customHeight="1">
      <c r="B39" s="1365"/>
      <c r="C39" s="1139"/>
      <c r="D39" s="80" t="s">
        <v>186</v>
      </c>
      <c r="E39" s="519">
        <v>0.33300000000000002</v>
      </c>
      <c r="F39" s="82">
        <v>100</v>
      </c>
      <c r="G39" s="834" t="s">
        <v>151</v>
      </c>
      <c r="H39" s="835" t="s">
        <v>187</v>
      </c>
      <c r="I39" s="512" t="s">
        <v>240</v>
      </c>
      <c r="J39" s="110" t="s">
        <v>244</v>
      </c>
      <c r="K39" s="674">
        <v>20</v>
      </c>
      <c r="L39" s="674">
        <v>30</v>
      </c>
      <c r="M39" s="674">
        <v>30</v>
      </c>
      <c r="N39" s="674">
        <v>20</v>
      </c>
      <c r="O39" s="830">
        <f t="shared" si="0"/>
        <v>100</v>
      </c>
    </row>
    <row r="40" spans="2:15" ht="93.75" customHeight="1">
      <c r="B40" s="1367" t="s">
        <v>133</v>
      </c>
      <c r="C40" s="1071" t="s">
        <v>1000</v>
      </c>
      <c r="D40" s="28" t="s">
        <v>1107</v>
      </c>
      <c r="E40" s="46">
        <v>0.8</v>
      </c>
      <c r="F40" s="72">
        <v>6700</v>
      </c>
      <c r="G40" s="72">
        <v>6287</v>
      </c>
      <c r="H40" s="28" t="s">
        <v>274</v>
      </c>
      <c r="I40" s="709" t="s">
        <v>280</v>
      </c>
      <c r="J40" s="836" t="s">
        <v>281</v>
      </c>
      <c r="K40" s="675">
        <v>1600</v>
      </c>
      <c r="L40" s="675">
        <v>1800</v>
      </c>
      <c r="M40" s="675">
        <v>1800</v>
      </c>
      <c r="N40" s="675">
        <v>1500</v>
      </c>
      <c r="O40" s="837">
        <f t="shared" si="0"/>
        <v>6700</v>
      </c>
    </row>
    <row r="41" spans="2:15" ht="67.5" customHeight="1">
      <c r="B41" s="1368"/>
      <c r="C41" s="1078"/>
      <c r="D41" s="28" t="s">
        <v>269</v>
      </c>
      <c r="E41" s="46">
        <v>0.2</v>
      </c>
      <c r="F41" s="88">
        <v>1</v>
      </c>
      <c r="G41" s="88">
        <v>0.98</v>
      </c>
      <c r="H41" s="28" t="s">
        <v>275</v>
      </c>
      <c r="I41" s="709" t="s">
        <v>280</v>
      </c>
      <c r="J41" s="836" t="s">
        <v>281</v>
      </c>
      <c r="K41" s="517">
        <v>1</v>
      </c>
      <c r="L41" s="517">
        <v>1</v>
      </c>
      <c r="M41" s="517">
        <v>1</v>
      </c>
      <c r="N41" s="517">
        <v>1</v>
      </c>
      <c r="O41" s="838">
        <f>AVERAGE(K41:N41)</f>
        <v>1</v>
      </c>
    </row>
    <row r="42" spans="2:15" ht="95.25" customHeight="1">
      <c r="B42" s="1368"/>
      <c r="C42" s="1071" t="s">
        <v>134</v>
      </c>
      <c r="D42" s="28" t="s">
        <v>282</v>
      </c>
      <c r="E42" s="46">
        <v>0.5</v>
      </c>
      <c r="F42" s="58">
        <v>204</v>
      </c>
      <c r="G42" s="58">
        <v>204</v>
      </c>
      <c r="H42" s="28" t="s">
        <v>292</v>
      </c>
      <c r="I42" s="709" t="s">
        <v>280</v>
      </c>
      <c r="J42" s="836" t="s">
        <v>281</v>
      </c>
      <c r="K42" s="839">
        <v>51</v>
      </c>
      <c r="L42" s="839">
        <v>51</v>
      </c>
      <c r="M42" s="839">
        <v>51</v>
      </c>
      <c r="N42" s="839">
        <v>51</v>
      </c>
      <c r="O42" s="837">
        <f t="shared" si="0"/>
        <v>204</v>
      </c>
    </row>
    <row r="43" spans="2:15" ht="95.25" customHeight="1">
      <c r="B43" s="1368"/>
      <c r="C43" s="1078"/>
      <c r="D43" s="28" t="s">
        <v>270</v>
      </c>
      <c r="E43" s="46">
        <v>0.5</v>
      </c>
      <c r="F43" s="88">
        <v>1</v>
      </c>
      <c r="G43" s="88">
        <v>1</v>
      </c>
      <c r="H43" s="28" t="s">
        <v>276</v>
      </c>
      <c r="I43" s="709" t="s">
        <v>280</v>
      </c>
      <c r="J43" s="836" t="s">
        <v>281</v>
      </c>
      <c r="K43" s="517">
        <v>1</v>
      </c>
      <c r="L43" s="517">
        <v>1</v>
      </c>
      <c r="M43" s="517">
        <v>1</v>
      </c>
      <c r="N43" s="517">
        <v>1</v>
      </c>
      <c r="O43" s="838">
        <f>AVERAGE(K43:N43)</f>
        <v>1</v>
      </c>
    </row>
    <row r="44" spans="2:15" ht="126.75" customHeight="1">
      <c r="B44" s="1368"/>
      <c r="C44" s="89" t="s">
        <v>135</v>
      </c>
      <c r="D44" s="28" t="s">
        <v>271</v>
      </c>
      <c r="E44" s="46">
        <v>1</v>
      </c>
      <c r="F44" s="58">
        <v>8</v>
      </c>
      <c r="G44" s="58">
        <v>8</v>
      </c>
      <c r="H44" s="28" t="s">
        <v>277</v>
      </c>
      <c r="I44" s="709" t="s">
        <v>280</v>
      </c>
      <c r="J44" s="836" t="s">
        <v>281</v>
      </c>
      <c r="K44" s="839">
        <v>2</v>
      </c>
      <c r="L44" s="839">
        <v>2</v>
      </c>
      <c r="M44" s="839">
        <v>2</v>
      </c>
      <c r="N44" s="839">
        <v>2</v>
      </c>
      <c r="O44" s="837">
        <f t="shared" si="0"/>
        <v>8</v>
      </c>
    </row>
    <row r="45" spans="2:15" ht="61.5" customHeight="1">
      <c r="B45" s="1368"/>
      <c r="C45" s="1071" t="s">
        <v>268</v>
      </c>
      <c r="D45" s="28" t="s">
        <v>272</v>
      </c>
      <c r="E45" s="46">
        <v>0.2</v>
      </c>
      <c r="F45" s="58">
        <v>1</v>
      </c>
      <c r="G45" s="676" t="s">
        <v>151</v>
      </c>
      <c r="H45" s="28" t="s">
        <v>293</v>
      </c>
      <c r="I45" s="709" t="s">
        <v>280</v>
      </c>
      <c r="J45" s="836" t="s">
        <v>281</v>
      </c>
      <c r="K45" s="839">
        <v>0.5</v>
      </c>
      <c r="L45" s="839">
        <v>0.5</v>
      </c>
      <c r="M45" s="839">
        <v>0</v>
      </c>
      <c r="N45" s="839">
        <v>0</v>
      </c>
      <c r="O45" s="837">
        <f t="shared" si="0"/>
        <v>1</v>
      </c>
    </row>
    <row r="46" spans="2:15" ht="61.5" customHeight="1">
      <c r="B46" s="1368"/>
      <c r="C46" s="1077"/>
      <c r="D46" s="28" t="s">
        <v>619</v>
      </c>
      <c r="E46" s="46">
        <v>0.7</v>
      </c>
      <c r="F46" s="58">
        <v>1</v>
      </c>
      <c r="G46" s="676" t="s">
        <v>151</v>
      </c>
      <c r="H46" s="28" t="s">
        <v>278</v>
      </c>
      <c r="I46" s="709" t="s">
        <v>280</v>
      </c>
      <c r="J46" s="836" t="s">
        <v>281</v>
      </c>
      <c r="K46" s="839">
        <v>0.2</v>
      </c>
      <c r="L46" s="839">
        <v>0.4</v>
      </c>
      <c r="M46" s="839">
        <v>0.3</v>
      </c>
      <c r="N46" s="839">
        <v>0.1</v>
      </c>
      <c r="O46" s="837">
        <f t="shared" si="0"/>
        <v>1.0000000000000002</v>
      </c>
    </row>
    <row r="47" spans="2:15" ht="61.5" customHeight="1">
      <c r="B47" s="1369"/>
      <c r="C47" s="1078"/>
      <c r="D47" s="28" t="s">
        <v>273</v>
      </c>
      <c r="E47" s="46">
        <v>0.1</v>
      </c>
      <c r="F47" s="58">
        <v>1</v>
      </c>
      <c r="G47" s="676" t="s">
        <v>151</v>
      </c>
      <c r="H47" s="28" t="s">
        <v>279</v>
      </c>
      <c r="I47" s="709" t="s">
        <v>280</v>
      </c>
      <c r="J47" s="836" t="s">
        <v>281</v>
      </c>
      <c r="K47" s="839">
        <v>0.1</v>
      </c>
      <c r="L47" s="839">
        <v>0.3</v>
      </c>
      <c r="M47" s="839">
        <v>0.4</v>
      </c>
      <c r="N47" s="839">
        <v>0.2</v>
      </c>
      <c r="O47" s="837">
        <f t="shared" si="0"/>
        <v>1</v>
      </c>
    </row>
    <row r="48" spans="2:15" ht="75" customHeight="1">
      <c r="B48" s="1364" t="s">
        <v>136</v>
      </c>
      <c r="C48" s="1112" t="s">
        <v>137</v>
      </c>
      <c r="D48" s="80" t="s">
        <v>616</v>
      </c>
      <c r="E48" s="81">
        <v>0.14000000000000001</v>
      </c>
      <c r="F48" s="91">
        <v>1</v>
      </c>
      <c r="G48" s="834" t="s">
        <v>151</v>
      </c>
      <c r="H48" s="80" t="s">
        <v>592</v>
      </c>
      <c r="I48" s="80" t="s">
        <v>315</v>
      </c>
      <c r="J48" s="99" t="s">
        <v>316</v>
      </c>
      <c r="K48" s="840">
        <v>0.3</v>
      </c>
      <c r="L48" s="840">
        <v>0.4</v>
      </c>
      <c r="M48" s="840">
        <v>0.25</v>
      </c>
      <c r="N48" s="840">
        <v>0.05</v>
      </c>
      <c r="O48" s="841">
        <v>1</v>
      </c>
    </row>
    <row r="49" spans="2:15" ht="80.25" customHeight="1">
      <c r="B49" s="1364"/>
      <c r="C49" s="1113"/>
      <c r="D49" s="80" t="s">
        <v>321</v>
      </c>
      <c r="E49" s="81">
        <v>0.14000000000000001</v>
      </c>
      <c r="F49" s="91">
        <v>1</v>
      </c>
      <c r="G49" s="834" t="s">
        <v>151</v>
      </c>
      <c r="H49" s="80" t="s">
        <v>320</v>
      </c>
      <c r="I49" s="80" t="s">
        <v>315</v>
      </c>
      <c r="J49" s="99" t="s">
        <v>316</v>
      </c>
      <c r="K49" s="840">
        <v>0.3</v>
      </c>
      <c r="L49" s="840">
        <v>0.4</v>
      </c>
      <c r="M49" s="840">
        <v>0.25</v>
      </c>
      <c r="N49" s="840">
        <v>0.05</v>
      </c>
      <c r="O49" s="841">
        <v>1</v>
      </c>
    </row>
    <row r="50" spans="2:15" ht="111" customHeight="1">
      <c r="B50" s="1364"/>
      <c r="C50" s="1113"/>
      <c r="D50" s="80" t="s">
        <v>618</v>
      </c>
      <c r="E50" s="81">
        <v>0.14000000000000001</v>
      </c>
      <c r="F50" s="91">
        <v>1</v>
      </c>
      <c r="G50" s="834" t="s">
        <v>151</v>
      </c>
      <c r="H50" s="80" t="s">
        <v>317</v>
      </c>
      <c r="I50" s="80" t="s">
        <v>315</v>
      </c>
      <c r="J50" s="99" t="s">
        <v>316</v>
      </c>
      <c r="K50" s="840">
        <v>0.3</v>
      </c>
      <c r="L50" s="840">
        <v>0.4</v>
      </c>
      <c r="M50" s="840">
        <v>0.25</v>
      </c>
      <c r="N50" s="840">
        <v>0.05</v>
      </c>
      <c r="O50" s="841">
        <v>1</v>
      </c>
    </row>
    <row r="51" spans="2:15" ht="82.5" customHeight="1">
      <c r="B51" s="1364"/>
      <c r="C51" s="1113"/>
      <c r="D51" s="80" t="s">
        <v>617</v>
      </c>
      <c r="E51" s="81">
        <v>0.14000000000000001</v>
      </c>
      <c r="F51" s="91">
        <v>1</v>
      </c>
      <c r="G51" s="834" t="s">
        <v>151</v>
      </c>
      <c r="H51" s="80" t="s">
        <v>593</v>
      </c>
      <c r="I51" s="80" t="s">
        <v>315</v>
      </c>
      <c r="J51" s="99" t="s">
        <v>316</v>
      </c>
      <c r="K51" s="840">
        <v>0.3</v>
      </c>
      <c r="L51" s="840">
        <v>0.4</v>
      </c>
      <c r="M51" s="840">
        <v>0.25</v>
      </c>
      <c r="N51" s="840">
        <v>0.05</v>
      </c>
      <c r="O51" s="841">
        <v>1</v>
      </c>
    </row>
    <row r="52" spans="2:15" ht="94.5" customHeight="1">
      <c r="B52" s="1364"/>
      <c r="C52" s="1113"/>
      <c r="D52" s="80" t="s">
        <v>345</v>
      </c>
      <c r="E52" s="81">
        <v>0.14000000000000001</v>
      </c>
      <c r="F52" s="91">
        <v>1</v>
      </c>
      <c r="G52" s="834" t="s">
        <v>151</v>
      </c>
      <c r="H52" s="80" t="s">
        <v>318</v>
      </c>
      <c r="I52" s="80" t="s">
        <v>315</v>
      </c>
      <c r="J52" s="99" t="s">
        <v>316</v>
      </c>
      <c r="K52" s="840">
        <v>0.3</v>
      </c>
      <c r="L52" s="840">
        <v>0.4</v>
      </c>
      <c r="M52" s="840">
        <v>0.25</v>
      </c>
      <c r="N52" s="840">
        <v>0.05</v>
      </c>
      <c r="O52" s="841">
        <v>1</v>
      </c>
    </row>
    <row r="53" spans="2:15" ht="71.25" customHeight="1">
      <c r="B53" s="1364"/>
      <c r="C53" s="1113"/>
      <c r="D53" s="80" t="s">
        <v>312</v>
      </c>
      <c r="E53" s="81">
        <v>0.15</v>
      </c>
      <c r="F53" s="91">
        <v>1</v>
      </c>
      <c r="G53" s="834" t="s">
        <v>151</v>
      </c>
      <c r="H53" s="80" t="s">
        <v>319</v>
      </c>
      <c r="I53" s="80" t="s">
        <v>315</v>
      </c>
      <c r="J53" s="99" t="s">
        <v>316</v>
      </c>
      <c r="K53" s="840">
        <v>0.3</v>
      </c>
      <c r="L53" s="840">
        <v>0.4</v>
      </c>
      <c r="M53" s="840">
        <v>0.25</v>
      </c>
      <c r="N53" s="840">
        <v>0.05</v>
      </c>
      <c r="O53" s="841">
        <v>1</v>
      </c>
    </row>
    <row r="54" spans="2:15" ht="87.75" customHeight="1">
      <c r="B54" s="1364"/>
      <c r="C54" s="1139"/>
      <c r="D54" s="80" t="s">
        <v>313</v>
      </c>
      <c r="E54" s="81">
        <v>0.15</v>
      </c>
      <c r="F54" s="91">
        <v>1</v>
      </c>
      <c r="G54" s="107" t="s">
        <v>314</v>
      </c>
      <c r="H54" s="80" t="s">
        <v>341</v>
      </c>
      <c r="I54" s="80" t="s">
        <v>315</v>
      </c>
      <c r="J54" s="99" t="s">
        <v>316</v>
      </c>
      <c r="K54" s="840">
        <v>0.3</v>
      </c>
      <c r="L54" s="840">
        <v>0.4</v>
      </c>
      <c r="M54" s="840">
        <v>0.25</v>
      </c>
      <c r="N54" s="840">
        <v>0.05</v>
      </c>
      <c r="O54" s="841">
        <v>1</v>
      </c>
    </row>
    <row r="55" spans="2:15" ht="105" customHeight="1">
      <c r="B55" s="1364"/>
      <c r="C55" s="1071" t="s">
        <v>138</v>
      </c>
      <c r="D55" s="28" t="s">
        <v>154</v>
      </c>
      <c r="E55" s="46">
        <v>0.2</v>
      </c>
      <c r="F55" s="88">
        <v>1</v>
      </c>
      <c r="G55" s="842">
        <v>1</v>
      </c>
      <c r="H55" s="843" t="s">
        <v>148</v>
      </c>
      <c r="I55" s="709" t="s">
        <v>349</v>
      </c>
      <c r="J55" s="105" t="s">
        <v>613</v>
      </c>
      <c r="K55" s="844">
        <v>1</v>
      </c>
      <c r="L55" s="844">
        <v>1</v>
      </c>
      <c r="M55" s="844">
        <v>1</v>
      </c>
      <c r="N55" s="844">
        <v>1</v>
      </c>
      <c r="O55" s="831">
        <f>AVERAGE(K55:N55)</f>
        <v>1</v>
      </c>
    </row>
    <row r="56" spans="2:15" ht="96" customHeight="1">
      <c r="B56" s="1364"/>
      <c r="C56" s="1077"/>
      <c r="D56" s="28" t="s">
        <v>155</v>
      </c>
      <c r="E56" s="46">
        <v>0.2</v>
      </c>
      <c r="F56" s="88">
        <v>0.4</v>
      </c>
      <c r="G56" s="842">
        <v>0.6</v>
      </c>
      <c r="H56" s="843" t="s">
        <v>149</v>
      </c>
      <c r="I56" s="709" t="s">
        <v>349</v>
      </c>
      <c r="J56" s="105" t="s">
        <v>613</v>
      </c>
      <c r="K56" s="844">
        <v>0.22</v>
      </c>
      <c r="L56" s="844">
        <v>0.14000000000000001</v>
      </c>
      <c r="M56" s="844">
        <v>0.02</v>
      </c>
      <c r="N56" s="844">
        <v>0.02</v>
      </c>
      <c r="O56" s="831">
        <f>K56+L56+M56+N56</f>
        <v>0.4</v>
      </c>
    </row>
    <row r="57" spans="2:15" ht="74.25" customHeight="1">
      <c r="B57" s="1364"/>
      <c r="C57" s="1077"/>
      <c r="D57" s="28" t="s">
        <v>156</v>
      </c>
      <c r="E57" s="46">
        <v>0.15</v>
      </c>
      <c r="F57" s="88">
        <v>1</v>
      </c>
      <c r="G57" s="676" t="s">
        <v>151</v>
      </c>
      <c r="H57" s="843" t="s">
        <v>150</v>
      </c>
      <c r="I57" s="709" t="s">
        <v>349</v>
      </c>
      <c r="J57" s="105" t="s">
        <v>153</v>
      </c>
      <c r="K57" s="844">
        <v>0.38</v>
      </c>
      <c r="L57" s="844">
        <v>0.33</v>
      </c>
      <c r="M57" s="844">
        <v>0.28999999999999998</v>
      </c>
      <c r="N57" s="844">
        <v>0</v>
      </c>
      <c r="O57" s="831">
        <f>K57+L57+M57+N57</f>
        <v>1</v>
      </c>
    </row>
    <row r="58" spans="2:15" ht="63" customHeight="1">
      <c r="B58" s="1364"/>
      <c r="C58" s="1077"/>
      <c r="D58" s="28" t="s">
        <v>157</v>
      </c>
      <c r="E58" s="46">
        <v>0.1</v>
      </c>
      <c r="F58" s="94">
        <v>12</v>
      </c>
      <c r="G58" s="676" t="s">
        <v>152</v>
      </c>
      <c r="H58" s="843" t="s">
        <v>161</v>
      </c>
      <c r="I58" s="709" t="s">
        <v>349</v>
      </c>
      <c r="J58" s="105" t="s">
        <v>153</v>
      </c>
      <c r="K58" s="769">
        <v>3</v>
      </c>
      <c r="L58" s="769">
        <v>3</v>
      </c>
      <c r="M58" s="769">
        <v>3</v>
      </c>
      <c r="N58" s="769">
        <v>3</v>
      </c>
      <c r="O58" s="845">
        <f>K58+L58+M58+N58</f>
        <v>12</v>
      </c>
    </row>
    <row r="59" spans="2:15" ht="63" customHeight="1">
      <c r="B59" s="1364"/>
      <c r="C59" s="1077"/>
      <c r="D59" s="28" t="s">
        <v>158</v>
      </c>
      <c r="E59" s="46">
        <v>0.2</v>
      </c>
      <c r="F59" s="46">
        <v>0.9</v>
      </c>
      <c r="G59" s="511">
        <v>0.86</v>
      </c>
      <c r="H59" s="846" t="s">
        <v>358</v>
      </c>
      <c r="I59" s="709" t="s">
        <v>350</v>
      </c>
      <c r="J59" s="105" t="s">
        <v>1</v>
      </c>
      <c r="K59" s="844">
        <v>0.9</v>
      </c>
      <c r="L59" s="844">
        <v>0.9</v>
      </c>
      <c r="M59" s="844">
        <v>0.9</v>
      </c>
      <c r="N59" s="844">
        <v>0.9</v>
      </c>
      <c r="O59" s="831">
        <f>AVERAGE(K59:N59)</f>
        <v>0.9</v>
      </c>
    </row>
    <row r="60" spans="2:15" ht="70.5" customHeight="1">
      <c r="B60" s="1364"/>
      <c r="C60" s="1078"/>
      <c r="D60" s="28" t="s">
        <v>159</v>
      </c>
      <c r="E60" s="46">
        <v>0.15</v>
      </c>
      <c r="F60" s="94">
        <v>7</v>
      </c>
      <c r="G60" s="676">
        <v>3</v>
      </c>
      <c r="H60" s="530" t="s">
        <v>359</v>
      </c>
      <c r="I60" s="709" t="s">
        <v>350</v>
      </c>
      <c r="J60" s="105" t="s">
        <v>1</v>
      </c>
      <c r="K60" s="769">
        <v>2</v>
      </c>
      <c r="L60" s="769">
        <v>3</v>
      </c>
      <c r="M60" s="769">
        <v>1</v>
      </c>
      <c r="N60" s="769">
        <v>1</v>
      </c>
      <c r="O60" s="845">
        <v>7</v>
      </c>
    </row>
    <row r="61" spans="2:15" ht="60" customHeight="1">
      <c r="B61" s="1364"/>
      <c r="C61" s="1112" t="s">
        <v>139</v>
      </c>
      <c r="D61" s="80" t="s">
        <v>386</v>
      </c>
      <c r="E61" s="81">
        <v>0.1</v>
      </c>
      <c r="F61" s="91">
        <v>1</v>
      </c>
      <c r="G61" s="847">
        <v>1</v>
      </c>
      <c r="H61" s="848" t="s">
        <v>374</v>
      </c>
      <c r="I61" s="849" t="s">
        <v>375</v>
      </c>
      <c r="J61" s="99" t="s">
        <v>376</v>
      </c>
      <c r="K61" s="850">
        <v>1</v>
      </c>
      <c r="L61" s="850">
        <v>1</v>
      </c>
      <c r="M61" s="850">
        <v>1</v>
      </c>
      <c r="N61" s="850">
        <v>1</v>
      </c>
      <c r="O61" s="851">
        <f>AVERAGE(K61:N61)</f>
        <v>1</v>
      </c>
    </row>
    <row r="62" spans="2:15" ht="88.5" customHeight="1">
      <c r="B62" s="1364"/>
      <c r="C62" s="1113"/>
      <c r="D62" s="80" t="s">
        <v>1027</v>
      </c>
      <c r="E62" s="81">
        <v>0.1</v>
      </c>
      <c r="F62" s="708">
        <v>0.97799999999999998</v>
      </c>
      <c r="G62" s="847">
        <v>0.97</v>
      </c>
      <c r="H62" s="80" t="s">
        <v>377</v>
      </c>
      <c r="I62" s="849" t="s">
        <v>375</v>
      </c>
      <c r="J62" s="99" t="s">
        <v>378</v>
      </c>
      <c r="K62" s="850">
        <v>0.97</v>
      </c>
      <c r="L62" s="850">
        <v>0.98</v>
      </c>
      <c r="M62" s="850">
        <v>0.98</v>
      </c>
      <c r="N62" s="850">
        <v>0.98</v>
      </c>
      <c r="O62" s="852">
        <f t="shared" ref="O62:O67" si="1">AVERAGE(K62:N62)</f>
        <v>0.97749999999999992</v>
      </c>
    </row>
    <row r="63" spans="2:15" ht="99.75" customHeight="1">
      <c r="B63" s="1364"/>
      <c r="C63" s="1113"/>
      <c r="D63" s="80" t="s">
        <v>1028</v>
      </c>
      <c r="E63" s="81">
        <v>0.1</v>
      </c>
      <c r="F63" s="708">
        <v>0.94499999999999995</v>
      </c>
      <c r="G63" s="834" t="s">
        <v>151</v>
      </c>
      <c r="H63" s="835" t="s">
        <v>379</v>
      </c>
      <c r="I63" s="849" t="s">
        <v>375</v>
      </c>
      <c r="J63" s="99" t="s">
        <v>378</v>
      </c>
      <c r="K63" s="850">
        <v>0.9</v>
      </c>
      <c r="L63" s="850">
        <v>0.96</v>
      </c>
      <c r="M63" s="850">
        <v>0.96</v>
      </c>
      <c r="N63" s="850">
        <v>0.96</v>
      </c>
      <c r="O63" s="852">
        <f t="shared" si="1"/>
        <v>0.94499999999999995</v>
      </c>
    </row>
    <row r="64" spans="2:15" ht="75">
      <c r="B64" s="1364"/>
      <c r="C64" s="1113"/>
      <c r="D64" s="80" t="s">
        <v>387</v>
      </c>
      <c r="E64" s="81">
        <v>0.15</v>
      </c>
      <c r="F64" s="100">
        <v>1</v>
      </c>
      <c r="G64" s="100">
        <v>1</v>
      </c>
      <c r="H64" s="101" t="s">
        <v>380</v>
      </c>
      <c r="I64" s="849" t="s">
        <v>375</v>
      </c>
      <c r="J64" s="99" t="s">
        <v>381</v>
      </c>
      <c r="K64" s="850">
        <v>1</v>
      </c>
      <c r="L64" s="850">
        <v>1</v>
      </c>
      <c r="M64" s="850">
        <v>1</v>
      </c>
      <c r="N64" s="850">
        <v>1</v>
      </c>
      <c r="O64" s="851">
        <f t="shared" si="1"/>
        <v>1</v>
      </c>
    </row>
    <row r="65" spans="2:15" ht="75">
      <c r="B65" s="1364"/>
      <c r="C65" s="1113"/>
      <c r="D65" s="80" t="s">
        <v>388</v>
      </c>
      <c r="E65" s="81">
        <v>0.15</v>
      </c>
      <c r="F65" s="100">
        <v>1</v>
      </c>
      <c r="G65" s="100">
        <v>1</v>
      </c>
      <c r="H65" s="101" t="s">
        <v>382</v>
      </c>
      <c r="I65" s="849" t="s">
        <v>375</v>
      </c>
      <c r="J65" s="99" t="s">
        <v>381</v>
      </c>
      <c r="K65" s="850">
        <v>1</v>
      </c>
      <c r="L65" s="850">
        <v>1</v>
      </c>
      <c r="M65" s="850">
        <v>1</v>
      </c>
      <c r="N65" s="850">
        <v>1</v>
      </c>
      <c r="O65" s="851">
        <f t="shared" si="1"/>
        <v>1</v>
      </c>
    </row>
    <row r="66" spans="2:15" ht="75">
      <c r="B66" s="1364"/>
      <c r="C66" s="1113"/>
      <c r="D66" s="80" t="s">
        <v>389</v>
      </c>
      <c r="E66" s="81">
        <v>0.15</v>
      </c>
      <c r="F66" s="100">
        <v>1</v>
      </c>
      <c r="G66" s="100">
        <v>1</v>
      </c>
      <c r="H66" s="101" t="s">
        <v>383</v>
      </c>
      <c r="I66" s="849" t="s">
        <v>375</v>
      </c>
      <c r="J66" s="99" t="s">
        <v>381</v>
      </c>
      <c r="K66" s="850">
        <v>1</v>
      </c>
      <c r="L66" s="850">
        <v>1</v>
      </c>
      <c r="M66" s="850">
        <v>1</v>
      </c>
      <c r="N66" s="850">
        <v>1</v>
      </c>
      <c r="O66" s="851">
        <f t="shared" si="1"/>
        <v>1</v>
      </c>
    </row>
    <row r="67" spans="2:15" ht="75">
      <c r="B67" s="1364"/>
      <c r="C67" s="1113"/>
      <c r="D67" s="80" t="s">
        <v>1108</v>
      </c>
      <c r="E67" s="81">
        <v>0.15</v>
      </c>
      <c r="F67" s="100">
        <v>1</v>
      </c>
      <c r="G67" s="100">
        <v>0.99</v>
      </c>
      <c r="H67" s="101" t="s">
        <v>1109</v>
      </c>
      <c r="I67" s="849" t="s">
        <v>375</v>
      </c>
      <c r="J67" s="99" t="s">
        <v>381</v>
      </c>
      <c r="K67" s="850">
        <v>1</v>
      </c>
      <c r="L67" s="850">
        <v>1</v>
      </c>
      <c r="M67" s="850">
        <v>1</v>
      </c>
      <c r="N67" s="850">
        <v>1</v>
      </c>
      <c r="O67" s="851">
        <f t="shared" si="1"/>
        <v>1</v>
      </c>
    </row>
    <row r="68" spans="2:15" ht="84.75" customHeight="1">
      <c r="B68" s="1364"/>
      <c r="C68" s="1139"/>
      <c r="D68" s="80" t="s">
        <v>1029</v>
      </c>
      <c r="E68" s="81">
        <v>0.1</v>
      </c>
      <c r="F68" s="102">
        <v>21</v>
      </c>
      <c r="G68" s="853" t="s">
        <v>151</v>
      </c>
      <c r="H68" s="848" t="s">
        <v>384</v>
      </c>
      <c r="I68" s="849" t="s">
        <v>375</v>
      </c>
      <c r="J68" s="99" t="s">
        <v>385</v>
      </c>
      <c r="K68" s="768">
        <v>9</v>
      </c>
      <c r="L68" s="768">
        <v>4</v>
      </c>
      <c r="M68" s="768">
        <v>4</v>
      </c>
      <c r="N68" s="768">
        <v>4</v>
      </c>
      <c r="O68" s="854">
        <f t="shared" ref="O68" si="2">K68+L68+M68+N68</f>
        <v>21</v>
      </c>
    </row>
    <row r="69" spans="2:15" ht="76.5" customHeight="1">
      <c r="B69" s="1364"/>
      <c r="C69" s="1071" t="s">
        <v>140</v>
      </c>
      <c r="D69" s="28" t="s">
        <v>449</v>
      </c>
      <c r="E69" s="78">
        <v>0.1</v>
      </c>
      <c r="F69" s="88">
        <v>1</v>
      </c>
      <c r="G69" s="855">
        <v>0.99199999999999999</v>
      </c>
      <c r="H69" s="530" t="s">
        <v>420</v>
      </c>
      <c r="I69" s="709" t="s">
        <v>422</v>
      </c>
      <c r="J69" s="105" t="s">
        <v>423</v>
      </c>
      <c r="K69" s="844">
        <v>1</v>
      </c>
      <c r="L69" s="844">
        <v>1</v>
      </c>
      <c r="M69" s="844">
        <v>1</v>
      </c>
      <c r="N69" s="844">
        <v>1</v>
      </c>
      <c r="O69" s="831">
        <f>AVERAGE(K69:N69)</f>
        <v>1</v>
      </c>
    </row>
    <row r="70" spans="2:15" ht="62.25" customHeight="1">
      <c r="B70" s="1364"/>
      <c r="C70" s="1077"/>
      <c r="D70" s="28" t="s">
        <v>594</v>
      </c>
      <c r="E70" s="78">
        <v>0.1</v>
      </c>
      <c r="F70" s="88">
        <v>0.97</v>
      </c>
      <c r="G70" s="855">
        <v>0.96599999999999997</v>
      </c>
      <c r="H70" s="530" t="s">
        <v>421</v>
      </c>
      <c r="I70" s="709" t="s">
        <v>422</v>
      </c>
      <c r="J70" s="105" t="s">
        <v>423</v>
      </c>
      <c r="K70" s="844">
        <v>0.97</v>
      </c>
      <c r="L70" s="844">
        <v>0.97</v>
      </c>
      <c r="M70" s="844">
        <v>0.97</v>
      </c>
      <c r="N70" s="844">
        <v>0.97</v>
      </c>
      <c r="O70" s="831">
        <f>AVERAGE(K70:N70)</f>
        <v>0.97</v>
      </c>
    </row>
    <row r="71" spans="2:15" ht="64.5" customHeight="1">
      <c r="B71" s="1364"/>
      <c r="C71" s="1077"/>
      <c r="D71" s="28" t="s">
        <v>450</v>
      </c>
      <c r="E71" s="88">
        <v>7.0000000000000007E-2</v>
      </c>
      <c r="F71" s="88">
        <v>0.95</v>
      </c>
      <c r="G71" s="676" t="s">
        <v>151</v>
      </c>
      <c r="H71" s="530" t="s">
        <v>444</v>
      </c>
      <c r="I71" s="709" t="s">
        <v>448</v>
      </c>
      <c r="J71" s="105" t="s">
        <v>447</v>
      </c>
      <c r="K71" s="844">
        <v>0.95</v>
      </c>
      <c r="L71" s="844">
        <v>0.95</v>
      </c>
      <c r="M71" s="844">
        <v>0.95</v>
      </c>
      <c r="N71" s="844">
        <v>0.95</v>
      </c>
      <c r="O71" s="831">
        <f>AVERAGE(K71:N71)</f>
        <v>0.95</v>
      </c>
    </row>
    <row r="72" spans="2:15" ht="64.5" customHeight="1">
      <c r="B72" s="1364"/>
      <c r="C72" s="1077"/>
      <c r="D72" s="28" t="s">
        <v>451</v>
      </c>
      <c r="E72" s="88">
        <v>7.0000000000000007E-2</v>
      </c>
      <c r="F72" s="88">
        <v>0.95</v>
      </c>
      <c r="G72" s="676" t="s">
        <v>151</v>
      </c>
      <c r="H72" s="530" t="s">
        <v>445</v>
      </c>
      <c r="I72" s="709" t="s">
        <v>448</v>
      </c>
      <c r="J72" s="105" t="s">
        <v>447</v>
      </c>
      <c r="K72" s="844">
        <v>0.95</v>
      </c>
      <c r="L72" s="844">
        <v>0.95</v>
      </c>
      <c r="M72" s="844">
        <v>0.95</v>
      </c>
      <c r="N72" s="844">
        <v>0.95</v>
      </c>
      <c r="O72" s="831">
        <f t="shared" ref="O72:O73" si="3">AVERAGE(K72:N72)</f>
        <v>0.95</v>
      </c>
    </row>
    <row r="73" spans="2:15" ht="64.5" customHeight="1">
      <c r="B73" s="1364"/>
      <c r="C73" s="1077"/>
      <c r="D73" s="28" t="s">
        <v>452</v>
      </c>
      <c r="E73" s="88">
        <v>0.06</v>
      </c>
      <c r="F73" s="88">
        <v>1</v>
      </c>
      <c r="G73" s="676" t="s">
        <v>151</v>
      </c>
      <c r="H73" s="530" t="s">
        <v>446</v>
      </c>
      <c r="I73" s="709" t="s">
        <v>448</v>
      </c>
      <c r="J73" s="105" t="s">
        <v>447</v>
      </c>
      <c r="K73" s="844">
        <v>1</v>
      </c>
      <c r="L73" s="844">
        <v>1</v>
      </c>
      <c r="M73" s="844">
        <v>1</v>
      </c>
      <c r="N73" s="844">
        <v>1</v>
      </c>
      <c r="O73" s="831">
        <f t="shared" si="3"/>
        <v>1</v>
      </c>
    </row>
    <row r="74" spans="2:15" ht="78" customHeight="1">
      <c r="B74" s="1364"/>
      <c r="C74" s="1077"/>
      <c r="D74" s="28" t="s">
        <v>453</v>
      </c>
      <c r="E74" s="78">
        <v>0.1</v>
      </c>
      <c r="F74" s="88">
        <v>0.95</v>
      </c>
      <c r="G74" s="676" t="s">
        <v>151</v>
      </c>
      <c r="H74" s="530" t="s">
        <v>435</v>
      </c>
      <c r="I74" s="709" t="s">
        <v>436</v>
      </c>
      <c r="J74" s="105" t="s">
        <v>437</v>
      </c>
      <c r="K74" s="844">
        <v>0.95</v>
      </c>
      <c r="L74" s="844">
        <v>0.95</v>
      </c>
      <c r="M74" s="844">
        <v>0.95</v>
      </c>
      <c r="N74" s="844">
        <v>0.95</v>
      </c>
      <c r="O74" s="831">
        <f>AVERAGE(K74:N74)</f>
        <v>0.95</v>
      </c>
    </row>
    <row r="75" spans="2:15" ht="96.75" customHeight="1">
      <c r="B75" s="1364"/>
      <c r="C75" s="1077"/>
      <c r="D75" s="28" t="s">
        <v>477</v>
      </c>
      <c r="E75" s="46">
        <v>0.05</v>
      </c>
      <c r="F75" s="88">
        <v>0.95</v>
      </c>
      <c r="G75" s="676" t="s">
        <v>151</v>
      </c>
      <c r="H75" s="530" t="s">
        <v>470</v>
      </c>
      <c r="I75" s="709" t="s">
        <v>471</v>
      </c>
      <c r="J75" s="105" t="s">
        <v>472</v>
      </c>
      <c r="K75" s="844">
        <v>0.95</v>
      </c>
      <c r="L75" s="844">
        <v>0.95</v>
      </c>
      <c r="M75" s="844">
        <v>0.95</v>
      </c>
      <c r="N75" s="844">
        <v>0.95</v>
      </c>
      <c r="O75" s="831">
        <f t="shared" ref="O75:O76" si="4">AVERAGE(K75:N75)</f>
        <v>0.95</v>
      </c>
    </row>
    <row r="76" spans="2:15" ht="76.5" customHeight="1">
      <c r="B76" s="1364"/>
      <c r="C76" s="1077"/>
      <c r="D76" s="28" t="s">
        <v>478</v>
      </c>
      <c r="E76" s="46">
        <v>0.05</v>
      </c>
      <c r="F76" s="88">
        <v>0.8</v>
      </c>
      <c r="G76" s="676">
        <v>264</v>
      </c>
      <c r="H76" s="530" t="s">
        <v>496</v>
      </c>
      <c r="I76" s="709" t="s">
        <v>471</v>
      </c>
      <c r="J76" s="105" t="s">
        <v>473</v>
      </c>
      <c r="K76" s="844">
        <v>0.8</v>
      </c>
      <c r="L76" s="844">
        <v>0.8</v>
      </c>
      <c r="M76" s="844">
        <v>0.8</v>
      </c>
      <c r="N76" s="844">
        <v>0.8</v>
      </c>
      <c r="O76" s="831">
        <f t="shared" si="4"/>
        <v>0.8</v>
      </c>
    </row>
    <row r="77" spans="2:15" ht="120" customHeight="1">
      <c r="B77" s="1364"/>
      <c r="C77" s="1077"/>
      <c r="D77" s="28" t="s">
        <v>479</v>
      </c>
      <c r="E77" s="46">
        <v>0.05</v>
      </c>
      <c r="F77" s="94">
        <v>100</v>
      </c>
      <c r="G77" s="676">
        <v>32</v>
      </c>
      <c r="H77" s="856" t="s">
        <v>599</v>
      </c>
      <c r="I77" s="709" t="s">
        <v>471</v>
      </c>
      <c r="J77" s="105" t="s">
        <v>474</v>
      </c>
      <c r="K77" s="857">
        <v>25</v>
      </c>
      <c r="L77" s="857">
        <v>25</v>
      </c>
      <c r="M77" s="857">
        <v>25</v>
      </c>
      <c r="N77" s="857">
        <v>25</v>
      </c>
      <c r="O77" s="845">
        <f t="shared" ref="O77:O78" si="5">K77+L77+M77+N77</f>
        <v>100</v>
      </c>
    </row>
    <row r="78" spans="2:15" ht="87" customHeight="1">
      <c r="B78" s="1364"/>
      <c r="C78" s="1077"/>
      <c r="D78" s="28" t="s">
        <v>480</v>
      </c>
      <c r="E78" s="46">
        <v>0.05</v>
      </c>
      <c r="F78" s="94">
        <v>100</v>
      </c>
      <c r="G78" s="676">
        <v>26</v>
      </c>
      <c r="H78" s="856" t="s">
        <v>600</v>
      </c>
      <c r="I78" s="709" t="s">
        <v>475</v>
      </c>
      <c r="J78" s="105" t="s">
        <v>476</v>
      </c>
      <c r="K78" s="857">
        <v>25</v>
      </c>
      <c r="L78" s="857">
        <v>25</v>
      </c>
      <c r="M78" s="857">
        <v>25</v>
      </c>
      <c r="N78" s="857">
        <v>25</v>
      </c>
      <c r="O78" s="845">
        <f t="shared" si="5"/>
        <v>100</v>
      </c>
    </row>
    <row r="79" spans="2:15" ht="63" customHeight="1">
      <c r="B79" s="1364"/>
      <c r="C79" s="1077"/>
      <c r="D79" s="28" t="s">
        <v>502</v>
      </c>
      <c r="E79" s="46">
        <v>0.05</v>
      </c>
      <c r="F79" s="88">
        <v>1</v>
      </c>
      <c r="G79" s="842">
        <v>1</v>
      </c>
      <c r="H79" s="530" t="s">
        <v>498</v>
      </c>
      <c r="I79" s="709" t="s">
        <v>499</v>
      </c>
      <c r="J79" s="105" t="s">
        <v>3</v>
      </c>
      <c r="K79" s="858">
        <v>1</v>
      </c>
      <c r="L79" s="858">
        <v>1</v>
      </c>
      <c r="M79" s="858">
        <v>1</v>
      </c>
      <c r="N79" s="858">
        <v>1</v>
      </c>
      <c r="O79" s="831">
        <f t="shared" ref="O79:O83" si="6">AVERAGE(K79:N79)</f>
        <v>1</v>
      </c>
    </row>
    <row r="80" spans="2:15" ht="54.75" customHeight="1">
      <c r="B80" s="1364"/>
      <c r="C80" s="1077"/>
      <c r="D80" s="28" t="s">
        <v>503</v>
      </c>
      <c r="E80" s="46">
        <v>0.05</v>
      </c>
      <c r="F80" s="842">
        <v>1</v>
      </c>
      <c r="G80" s="842">
        <v>1</v>
      </c>
      <c r="H80" s="530" t="s">
        <v>500</v>
      </c>
      <c r="I80" s="709" t="s">
        <v>499</v>
      </c>
      <c r="J80" s="105" t="s">
        <v>3</v>
      </c>
      <c r="K80" s="858">
        <v>1</v>
      </c>
      <c r="L80" s="858">
        <v>1</v>
      </c>
      <c r="M80" s="858">
        <v>1</v>
      </c>
      <c r="N80" s="858">
        <v>1</v>
      </c>
      <c r="O80" s="831">
        <f t="shared" si="6"/>
        <v>1</v>
      </c>
    </row>
    <row r="81" spans="2:15" ht="78.75" customHeight="1">
      <c r="B81" s="1364"/>
      <c r="C81" s="1077"/>
      <c r="D81" s="28" t="s">
        <v>504</v>
      </c>
      <c r="E81" s="46">
        <v>0.05</v>
      </c>
      <c r="F81" s="842">
        <v>1</v>
      </c>
      <c r="G81" s="842">
        <v>1</v>
      </c>
      <c r="H81" s="530" t="s">
        <v>501</v>
      </c>
      <c r="I81" s="709" t="s">
        <v>499</v>
      </c>
      <c r="J81" s="105" t="s">
        <v>3</v>
      </c>
      <c r="K81" s="858">
        <v>1</v>
      </c>
      <c r="L81" s="858">
        <v>1</v>
      </c>
      <c r="M81" s="858">
        <v>1</v>
      </c>
      <c r="N81" s="858">
        <v>1</v>
      </c>
      <c r="O81" s="831">
        <f t="shared" si="6"/>
        <v>1</v>
      </c>
    </row>
    <row r="82" spans="2:15" ht="76.5" customHeight="1">
      <c r="B82" s="1364"/>
      <c r="C82" s="1077"/>
      <c r="D82" s="1125" t="s">
        <v>505</v>
      </c>
      <c r="E82" s="1127">
        <v>0.05</v>
      </c>
      <c r="F82" s="842">
        <v>1</v>
      </c>
      <c r="G82" s="842">
        <v>1</v>
      </c>
      <c r="H82" s="530" t="s">
        <v>507</v>
      </c>
      <c r="I82" s="709" t="s">
        <v>499</v>
      </c>
      <c r="J82" s="105" t="s">
        <v>3</v>
      </c>
      <c r="K82" s="858">
        <v>1</v>
      </c>
      <c r="L82" s="858">
        <v>1</v>
      </c>
      <c r="M82" s="858">
        <v>1</v>
      </c>
      <c r="N82" s="858">
        <v>1</v>
      </c>
      <c r="O82" s="831">
        <f t="shared" si="6"/>
        <v>1</v>
      </c>
    </row>
    <row r="83" spans="2:15" ht="76.5" customHeight="1">
      <c r="B83" s="1364"/>
      <c r="C83" s="1077"/>
      <c r="D83" s="1370"/>
      <c r="E83" s="1136"/>
      <c r="F83" s="842">
        <v>1</v>
      </c>
      <c r="G83" s="842">
        <v>1</v>
      </c>
      <c r="H83" s="530" t="s">
        <v>506</v>
      </c>
      <c r="I83" s="709" t="s">
        <v>499</v>
      </c>
      <c r="J83" s="105" t="s">
        <v>3</v>
      </c>
      <c r="K83" s="858">
        <v>1</v>
      </c>
      <c r="L83" s="858">
        <v>1</v>
      </c>
      <c r="M83" s="858">
        <v>1</v>
      </c>
      <c r="N83" s="858">
        <v>1</v>
      </c>
      <c r="O83" s="831">
        <f t="shared" si="6"/>
        <v>1</v>
      </c>
    </row>
    <row r="84" spans="2:15" ht="76.5" customHeight="1">
      <c r="B84" s="1364"/>
      <c r="C84" s="1077"/>
      <c r="D84" s="1125" t="s">
        <v>862</v>
      </c>
      <c r="E84" s="1127">
        <v>0.1</v>
      </c>
      <c r="F84" s="842">
        <v>0.95</v>
      </c>
      <c r="G84" s="842" t="s">
        <v>151</v>
      </c>
      <c r="H84" s="530" t="s">
        <v>1110</v>
      </c>
      <c r="I84" s="709" t="s">
        <v>436</v>
      </c>
      <c r="J84" s="105" t="s">
        <v>437</v>
      </c>
      <c r="K84" s="858">
        <v>0.6</v>
      </c>
      <c r="L84" s="858">
        <v>0.8</v>
      </c>
      <c r="M84" s="858">
        <v>0.9</v>
      </c>
      <c r="N84" s="858">
        <v>0.95</v>
      </c>
      <c r="O84" s="831">
        <v>0.95</v>
      </c>
    </row>
    <row r="85" spans="2:15" ht="76.5" customHeight="1">
      <c r="B85" s="1364"/>
      <c r="C85" s="1077"/>
      <c r="D85" s="1134"/>
      <c r="E85" s="1135"/>
      <c r="F85" s="842">
        <v>0.95</v>
      </c>
      <c r="G85" s="842" t="s">
        <v>151</v>
      </c>
      <c r="H85" s="530" t="s">
        <v>864</v>
      </c>
      <c r="I85" s="709" t="s">
        <v>436</v>
      </c>
      <c r="J85" s="105" t="s">
        <v>437</v>
      </c>
      <c r="K85" s="858">
        <v>0.6</v>
      </c>
      <c r="L85" s="858">
        <v>0.8</v>
      </c>
      <c r="M85" s="858">
        <v>0.9</v>
      </c>
      <c r="N85" s="858">
        <v>0.95</v>
      </c>
      <c r="O85" s="831">
        <v>0.95</v>
      </c>
    </row>
    <row r="86" spans="2:15" ht="82.95" customHeight="1">
      <c r="B86" s="1364"/>
      <c r="C86" s="1078"/>
      <c r="D86" s="1370"/>
      <c r="E86" s="1136"/>
      <c r="F86" s="842">
        <v>0.95</v>
      </c>
      <c r="G86" s="842" t="s">
        <v>151</v>
      </c>
      <c r="H86" s="530" t="s">
        <v>865</v>
      </c>
      <c r="I86" s="709" t="s">
        <v>436</v>
      </c>
      <c r="J86" s="105" t="s">
        <v>437</v>
      </c>
      <c r="K86" s="858">
        <v>0.6</v>
      </c>
      <c r="L86" s="858">
        <v>0.8</v>
      </c>
      <c r="M86" s="858">
        <v>0.9</v>
      </c>
      <c r="N86" s="858">
        <v>0.95</v>
      </c>
      <c r="O86" s="831">
        <v>0.95</v>
      </c>
    </row>
    <row r="87" spans="2:15" ht="73.5" customHeight="1">
      <c r="B87" s="1364"/>
      <c r="C87" s="1112" t="s">
        <v>141</v>
      </c>
      <c r="D87" s="80" t="s">
        <v>1111</v>
      </c>
      <c r="E87" s="81">
        <v>0.05</v>
      </c>
      <c r="F87" s="106">
        <v>152</v>
      </c>
      <c r="G87" s="834" t="s">
        <v>151</v>
      </c>
      <c r="H87" s="835" t="s">
        <v>525</v>
      </c>
      <c r="I87" s="512" t="s">
        <v>542</v>
      </c>
      <c r="J87" s="512" t="s">
        <v>526</v>
      </c>
      <c r="K87" s="859">
        <v>24</v>
      </c>
      <c r="L87" s="859">
        <v>52</v>
      </c>
      <c r="M87" s="859">
        <v>40</v>
      </c>
      <c r="N87" s="859">
        <v>36</v>
      </c>
      <c r="O87" s="854">
        <f t="shared" ref="O87:O92" si="7">K87+L87+M87+N87</f>
        <v>152</v>
      </c>
    </row>
    <row r="88" spans="2:15" ht="86.25" customHeight="1">
      <c r="B88" s="1364"/>
      <c r="C88" s="1113"/>
      <c r="D88" s="80" t="s">
        <v>1030</v>
      </c>
      <c r="E88" s="81">
        <v>0.05</v>
      </c>
      <c r="F88" s="107">
        <v>20</v>
      </c>
      <c r="G88" s="834" t="s">
        <v>151</v>
      </c>
      <c r="H88" s="835" t="s">
        <v>527</v>
      </c>
      <c r="I88" s="512" t="s">
        <v>542</v>
      </c>
      <c r="J88" s="512" t="s">
        <v>526</v>
      </c>
      <c r="K88" s="860">
        <v>2</v>
      </c>
      <c r="L88" s="860">
        <v>6</v>
      </c>
      <c r="M88" s="860">
        <v>6</v>
      </c>
      <c r="N88" s="860">
        <v>6</v>
      </c>
      <c r="O88" s="854">
        <f t="shared" si="7"/>
        <v>20</v>
      </c>
    </row>
    <row r="89" spans="2:15" ht="96.75" customHeight="1">
      <c r="B89" s="1364"/>
      <c r="C89" s="1113"/>
      <c r="D89" s="80" t="s">
        <v>1112</v>
      </c>
      <c r="E89" s="81">
        <v>0.2</v>
      </c>
      <c r="F89" s="107">
        <v>488</v>
      </c>
      <c r="G89" s="834" t="s">
        <v>536</v>
      </c>
      <c r="H89" s="835" t="s">
        <v>528</v>
      </c>
      <c r="I89" s="512" t="s">
        <v>542</v>
      </c>
      <c r="J89" s="512" t="s">
        <v>526</v>
      </c>
      <c r="K89" s="861">
        <v>100</v>
      </c>
      <c r="L89" s="861">
        <v>100</v>
      </c>
      <c r="M89" s="861">
        <v>144</v>
      </c>
      <c r="N89" s="861">
        <v>144</v>
      </c>
      <c r="O89" s="854">
        <f t="shared" si="7"/>
        <v>488</v>
      </c>
    </row>
    <row r="90" spans="2:15" ht="69.75" customHeight="1">
      <c r="B90" s="1364"/>
      <c r="C90" s="1113"/>
      <c r="D90" s="80" t="s">
        <v>545</v>
      </c>
      <c r="E90" s="91">
        <v>0.5</v>
      </c>
      <c r="F90" s="834">
        <v>4</v>
      </c>
      <c r="G90" s="834">
        <v>4</v>
      </c>
      <c r="H90" s="835" t="s">
        <v>543</v>
      </c>
      <c r="I90" s="80" t="s">
        <v>544</v>
      </c>
      <c r="J90" s="80" t="s">
        <v>2</v>
      </c>
      <c r="K90" s="834">
        <v>1</v>
      </c>
      <c r="L90" s="834">
        <v>1</v>
      </c>
      <c r="M90" s="834">
        <v>1</v>
      </c>
      <c r="N90" s="834">
        <v>1</v>
      </c>
      <c r="O90" s="854">
        <f t="shared" si="7"/>
        <v>4</v>
      </c>
    </row>
    <row r="91" spans="2:15" ht="56.25" customHeight="1">
      <c r="B91" s="1364"/>
      <c r="C91" s="1113"/>
      <c r="D91" s="80" t="s">
        <v>595</v>
      </c>
      <c r="E91" s="91">
        <v>0.1</v>
      </c>
      <c r="F91" s="107">
        <v>4</v>
      </c>
      <c r="G91" s="834">
        <v>4</v>
      </c>
      <c r="H91" s="835" t="s">
        <v>596</v>
      </c>
      <c r="I91" s="80" t="s">
        <v>544</v>
      </c>
      <c r="J91" s="80" t="s">
        <v>2</v>
      </c>
      <c r="K91" s="834">
        <v>1</v>
      </c>
      <c r="L91" s="834">
        <v>1</v>
      </c>
      <c r="M91" s="834">
        <v>1</v>
      </c>
      <c r="N91" s="834">
        <v>1</v>
      </c>
      <c r="O91" s="854">
        <f t="shared" si="7"/>
        <v>4</v>
      </c>
    </row>
    <row r="92" spans="2:15" ht="61.5" customHeight="1">
      <c r="B92" s="1364"/>
      <c r="C92" s="1139"/>
      <c r="D92" s="80" t="s">
        <v>597</v>
      </c>
      <c r="E92" s="91">
        <v>0.1</v>
      </c>
      <c r="F92" s="107">
        <v>4</v>
      </c>
      <c r="G92" s="834">
        <v>4</v>
      </c>
      <c r="H92" s="835" t="s">
        <v>598</v>
      </c>
      <c r="I92" s="80" t="s">
        <v>544</v>
      </c>
      <c r="J92" s="80" t="s">
        <v>2</v>
      </c>
      <c r="K92" s="834">
        <v>1</v>
      </c>
      <c r="L92" s="834">
        <v>1</v>
      </c>
      <c r="M92" s="834">
        <v>1</v>
      </c>
      <c r="N92" s="834">
        <v>1</v>
      </c>
      <c r="O92" s="854">
        <f t="shared" si="7"/>
        <v>4</v>
      </c>
    </row>
    <row r="93" spans="2:15" ht="63" customHeight="1">
      <c r="B93" s="1364"/>
      <c r="C93" s="1071" t="s">
        <v>142</v>
      </c>
      <c r="D93" s="530" t="s">
        <v>562</v>
      </c>
      <c r="E93" s="511">
        <v>0.5</v>
      </c>
      <c r="F93" s="842">
        <v>1</v>
      </c>
      <c r="G93" s="842">
        <v>1</v>
      </c>
      <c r="H93" s="530" t="s">
        <v>558</v>
      </c>
      <c r="I93" s="530" t="s">
        <v>559</v>
      </c>
      <c r="J93" s="862" t="s">
        <v>560</v>
      </c>
      <c r="K93" s="858">
        <v>1</v>
      </c>
      <c r="L93" s="858">
        <v>1</v>
      </c>
      <c r="M93" s="858">
        <v>1</v>
      </c>
      <c r="N93" s="858">
        <v>1</v>
      </c>
      <c r="O93" s="831">
        <f t="shared" ref="O93:O94" si="8">AVERAGE(K93:N93)</f>
        <v>1</v>
      </c>
    </row>
    <row r="94" spans="2:15" ht="69.75" customHeight="1">
      <c r="B94" s="1364"/>
      <c r="C94" s="1078"/>
      <c r="D94" s="530" t="s">
        <v>563</v>
      </c>
      <c r="E94" s="511">
        <v>0.5</v>
      </c>
      <c r="F94" s="842">
        <v>1</v>
      </c>
      <c r="G94" s="842">
        <v>1</v>
      </c>
      <c r="H94" s="530" t="s">
        <v>561</v>
      </c>
      <c r="I94" s="530" t="s">
        <v>559</v>
      </c>
      <c r="J94" s="862" t="s">
        <v>560</v>
      </c>
      <c r="K94" s="858">
        <v>1</v>
      </c>
      <c r="L94" s="858">
        <v>1</v>
      </c>
      <c r="M94" s="858">
        <v>1</v>
      </c>
      <c r="N94" s="858">
        <v>1</v>
      </c>
      <c r="O94" s="831">
        <f t="shared" si="8"/>
        <v>1</v>
      </c>
    </row>
    <row r="95" spans="2:15" ht="114" customHeight="1">
      <c r="B95" s="1365"/>
      <c r="C95" s="109" t="s">
        <v>143</v>
      </c>
      <c r="D95" s="80" t="s">
        <v>373</v>
      </c>
      <c r="E95" s="81">
        <v>1</v>
      </c>
      <c r="F95" s="106">
        <v>3</v>
      </c>
      <c r="G95" s="834" t="s">
        <v>151</v>
      </c>
      <c r="H95" s="80" t="s">
        <v>368</v>
      </c>
      <c r="I95" s="512" t="s">
        <v>350</v>
      </c>
      <c r="J95" s="110" t="s">
        <v>1</v>
      </c>
      <c r="K95" s="863">
        <v>1</v>
      </c>
      <c r="L95" s="863">
        <v>1</v>
      </c>
      <c r="M95" s="863">
        <v>1</v>
      </c>
      <c r="N95" s="863">
        <v>0</v>
      </c>
      <c r="O95" s="854">
        <f t="shared" ref="O95:O99" si="9">K95+L95+M95+N95</f>
        <v>3</v>
      </c>
    </row>
    <row r="96" spans="2:15" ht="93.75" customHeight="1">
      <c r="B96" s="1367" t="s">
        <v>144</v>
      </c>
      <c r="C96" s="1091" t="s">
        <v>145</v>
      </c>
      <c r="D96" s="28" t="s">
        <v>576</v>
      </c>
      <c r="E96" s="864">
        <v>0.5</v>
      </c>
      <c r="F96" s="58">
        <v>4</v>
      </c>
      <c r="G96" s="676">
        <v>2</v>
      </c>
      <c r="H96" s="530" t="s">
        <v>572</v>
      </c>
      <c r="I96" s="709" t="s">
        <v>573</v>
      </c>
      <c r="J96" s="105" t="s">
        <v>574</v>
      </c>
      <c r="K96" s="710">
        <v>1</v>
      </c>
      <c r="L96" s="710">
        <v>1</v>
      </c>
      <c r="M96" s="710">
        <v>1</v>
      </c>
      <c r="N96" s="710">
        <v>1</v>
      </c>
      <c r="O96" s="830">
        <f t="shared" si="9"/>
        <v>4</v>
      </c>
    </row>
    <row r="97" spans="2:15" ht="93.75" customHeight="1">
      <c r="B97" s="1368"/>
      <c r="C97" s="1092"/>
      <c r="D97" s="28" t="s">
        <v>1031</v>
      </c>
      <c r="E97" s="46">
        <v>0.5</v>
      </c>
      <c r="F97" s="58">
        <v>2</v>
      </c>
      <c r="G97" s="676" t="s">
        <v>151</v>
      </c>
      <c r="H97" s="530" t="s">
        <v>1032</v>
      </c>
      <c r="I97" s="709" t="s">
        <v>573</v>
      </c>
      <c r="J97" s="105" t="s">
        <v>574</v>
      </c>
      <c r="K97" s="865">
        <v>0</v>
      </c>
      <c r="L97" s="865">
        <v>1</v>
      </c>
      <c r="M97" s="865">
        <v>1</v>
      </c>
      <c r="N97" s="865">
        <v>0</v>
      </c>
      <c r="O97" s="830">
        <f t="shared" si="9"/>
        <v>2</v>
      </c>
    </row>
    <row r="98" spans="2:15" ht="102" customHeight="1">
      <c r="B98" s="1368"/>
      <c r="C98" s="572" t="s">
        <v>146</v>
      </c>
      <c r="D98" s="28" t="s">
        <v>577</v>
      </c>
      <c r="E98" s="46">
        <v>1</v>
      </c>
      <c r="F98" s="58">
        <v>8</v>
      </c>
      <c r="G98" s="676">
        <v>2</v>
      </c>
      <c r="H98" s="530" t="s">
        <v>575</v>
      </c>
      <c r="I98" s="709" t="s">
        <v>573</v>
      </c>
      <c r="J98" s="105" t="s">
        <v>574</v>
      </c>
      <c r="K98" s="710">
        <v>2</v>
      </c>
      <c r="L98" s="710">
        <v>2</v>
      </c>
      <c r="M98" s="710">
        <v>3</v>
      </c>
      <c r="N98" s="710">
        <v>1</v>
      </c>
      <c r="O98" s="830">
        <f t="shared" si="9"/>
        <v>8</v>
      </c>
    </row>
    <row r="99" spans="2:15" ht="124.5" customHeight="1">
      <c r="B99" s="1369"/>
      <c r="C99" s="866" t="s">
        <v>147</v>
      </c>
      <c r="D99" s="28" t="s">
        <v>1033</v>
      </c>
      <c r="E99" s="46">
        <v>1</v>
      </c>
      <c r="F99" s="58">
        <v>80</v>
      </c>
      <c r="G99" s="676">
        <v>3</v>
      </c>
      <c r="H99" s="530" t="s">
        <v>578</v>
      </c>
      <c r="I99" s="709" t="s">
        <v>573</v>
      </c>
      <c r="J99" s="105" t="s">
        <v>574</v>
      </c>
      <c r="K99" s="865">
        <v>3</v>
      </c>
      <c r="L99" s="865">
        <v>38</v>
      </c>
      <c r="M99" s="865">
        <v>39</v>
      </c>
      <c r="N99" s="865">
        <v>0</v>
      </c>
      <c r="O99" s="830">
        <f t="shared" si="9"/>
        <v>80</v>
      </c>
    </row>
    <row r="100" spans="2:15" ht="17.399999999999999">
      <c r="B100" s="1371"/>
      <c r="C100" s="1372"/>
      <c r="D100" s="1372"/>
      <c r="E100" s="1372"/>
      <c r="F100" s="1372"/>
      <c r="G100" s="1372"/>
      <c r="H100" s="1372"/>
      <c r="I100" s="1372"/>
      <c r="J100" s="1372"/>
      <c r="K100" s="1372"/>
      <c r="L100" s="1372"/>
      <c r="M100" s="1372"/>
      <c r="N100" s="1372"/>
      <c r="O100" s="1372"/>
    </row>
    <row r="101" spans="2:15">
      <c r="B101" s="1366"/>
      <c r="C101" s="1366"/>
      <c r="D101" s="1366"/>
      <c r="E101" s="1366"/>
      <c r="F101" s="1366"/>
      <c r="G101" s="39"/>
      <c r="H101" s="38"/>
      <c r="I101" s="38"/>
      <c r="J101" s="38"/>
    </row>
    <row r="102" spans="2:15" ht="13.5" customHeight="1">
      <c r="B102" s="38"/>
      <c r="C102" s="38"/>
      <c r="D102" s="38"/>
      <c r="E102" s="39"/>
      <c r="F102" s="39"/>
      <c r="G102" s="39"/>
      <c r="H102" s="38"/>
      <c r="I102" s="38"/>
      <c r="J102" s="38"/>
    </row>
    <row r="103" spans="2:15" ht="28.5" customHeight="1">
      <c r="B103" s="40" t="s">
        <v>26</v>
      </c>
      <c r="C103" s="41">
        <v>44226</v>
      </c>
      <c r="D103" s="38"/>
      <c r="E103" s="39"/>
      <c r="F103" s="39"/>
      <c r="G103" s="39"/>
      <c r="H103" s="38"/>
      <c r="I103" s="38"/>
      <c r="J103" s="38"/>
    </row>
    <row r="104" spans="2:15">
      <c r="B104" s="38"/>
      <c r="C104" s="38"/>
      <c r="D104" s="38"/>
      <c r="E104" s="39"/>
      <c r="F104" s="39"/>
      <c r="G104" s="39"/>
      <c r="H104" s="38"/>
      <c r="I104" s="38"/>
      <c r="J104" s="38"/>
    </row>
    <row r="105" spans="2:15" ht="26.25" customHeight="1">
      <c r="B105" s="40" t="s">
        <v>49</v>
      </c>
      <c r="C105" s="41">
        <v>44369</v>
      </c>
      <c r="D105" s="38"/>
      <c r="E105" s="39"/>
      <c r="F105" s="39"/>
      <c r="G105" s="39"/>
      <c r="H105" s="44"/>
      <c r="I105" s="44"/>
      <c r="J105" s="44"/>
    </row>
    <row r="106" spans="2:15" ht="15" customHeight="1">
      <c r="B106" s="38"/>
      <c r="C106" s="38"/>
      <c r="D106" s="38"/>
      <c r="E106" s="39"/>
      <c r="F106" s="39"/>
      <c r="G106" s="39"/>
      <c r="H106" s="38"/>
      <c r="I106" s="38"/>
      <c r="J106" s="38"/>
    </row>
    <row r="107" spans="2:15" ht="26.25" customHeight="1">
      <c r="B107" s="40" t="s">
        <v>49</v>
      </c>
      <c r="C107" s="41">
        <v>44433</v>
      </c>
      <c r="D107" s="38"/>
      <c r="E107" s="39"/>
      <c r="F107" s="39"/>
      <c r="G107" s="39"/>
      <c r="H107" s="44"/>
      <c r="I107" s="44"/>
      <c r="J107" s="44"/>
    </row>
    <row r="108" spans="2:15" ht="16.2" customHeight="1">
      <c r="B108" s="867"/>
      <c r="C108" s="868"/>
      <c r="D108" s="38"/>
      <c r="E108" s="39"/>
      <c r="F108" s="39"/>
      <c r="G108" s="39"/>
      <c r="H108" s="44"/>
      <c r="I108" s="44"/>
      <c r="J108" s="44"/>
    </row>
    <row r="109" spans="2:15" ht="26.25" customHeight="1">
      <c r="B109" s="40" t="s">
        <v>49</v>
      </c>
      <c r="C109" s="41">
        <v>44470</v>
      </c>
      <c r="D109" s="38"/>
      <c r="E109" s="39"/>
      <c r="F109" s="39"/>
      <c r="G109" s="39"/>
      <c r="H109" s="44"/>
      <c r="I109" s="44"/>
      <c r="J109" s="44"/>
    </row>
    <row r="110" spans="2:15" ht="15" customHeight="1">
      <c r="B110" s="38"/>
      <c r="C110" s="38"/>
      <c r="D110" s="38"/>
      <c r="E110" s="39"/>
      <c r="F110" s="39"/>
      <c r="G110" s="39"/>
      <c r="H110" s="38"/>
      <c r="I110" s="38"/>
      <c r="J110" s="38"/>
    </row>
    <row r="111" spans="2:15" ht="25.95" customHeight="1">
      <c r="B111" s="40" t="s">
        <v>49</v>
      </c>
      <c r="C111" s="41">
        <v>44581</v>
      </c>
      <c r="D111" s="38"/>
      <c r="E111" s="39"/>
      <c r="F111" s="39"/>
      <c r="G111" s="39"/>
      <c r="H111" s="38"/>
      <c r="I111" s="38"/>
      <c r="J111" s="38"/>
    </row>
    <row r="112" spans="2:15" ht="15" customHeight="1">
      <c r="B112" s="38"/>
      <c r="C112" s="38"/>
      <c r="D112" s="38"/>
      <c r="E112" s="39"/>
      <c r="F112" s="39"/>
      <c r="G112" s="39"/>
      <c r="H112" s="38"/>
      <c r="I112" s="38"/>
      <c r="J112" s="38"/>
    </row>
    <row r="113" spans="2:10" ht="25.95" customHeight="1">
      <c r="B113" s="40" t="s">
        <v>49</v>
      </c>
      <c r="C113" s="41">
        <v>44740</v>
      </c>
      <c r="D113" s="38"/>
      <c r="E113" s="39"/>
      <c r="F113" s="39"/>
      <c r="G113" s="39"/>
      <c r="H113" s="38"/>
      <c r="I113" s="38"/>
      <c r="J113" s="38"/>
    </row>
    <row r="114" spans="2:10" ht="15" customHeight="1">
      <c r="B114" s="38"/>
      <c r="C114" s="38"/>
      <c r="D114" s="38"/>
      <c r="E114" s="39"/>
      <c r="F114" s="39"/>
      <c r="G114" s="39"/>
      <c r="H114" s="38"/>
      <c r="I114" s="38"/>
      <c r="J114" s="38"/>
    </row>
    <row r="115" spans="2:10" ht="25.95" customHeight="1">
      <c r="B115" s="40" t="s">
        <v>49</v>
      </c>
      <c r="C115" s="41">
        <v>44953</v>
      </c>
      <c r="D115" s="38"/>
      <c r="E115" s="39"/>
      <c r="F115" s="39"/>
      <c r="G115" s="39"/>
      <c r="H115" s="38"/>
      <c r="I115" s="38"/>
      <c r="J115" s="38"/>
    </row>
    <row r="116" spans="2:10" ht="15" customHeight="1">
      <c r="B116" s="38"/>
      <c r="C116" s="38"/>
      <c r="D116" s="38"/>
      <c r="E116" s="39"/>
      <c r="F116" s="39"/>
      <c r="G116" s="39"/>
      <c r="H116" s="38"/>
      <c r="I116" s="38"/>
      <c r="J116" s="38"/>
    </row>
    <row r="117" spans="2:10" ht="15" customHeight="1">
      <c r="B117" s="38"/>
      <c r="C117" s="38"/>
      <c r="D117" s="38"/>
      <c r="E117" s="39"/>
      <c r="F117" s="39"/>
      <c r="G117" s="39"/>
      <c r="H117" s="38"/>
      <c r="I117" s="38"/>
      <c r="J117" s="38"/>
    </row>
    <row r="118" spans="2:10" ht="15" customHeight="1">
      <c r="B118" s="38" t="s">
        <v>876</v>
      </c>
      <c r="C118" s="38"/>
      <c r="D118" s="38"/>
      <c r="E118" s="39"/>
      <c r="F118" s="39"/>
      <c r="G118" s="39"/>
      <c r="H118" s="44"/>
      <c r="I118" s="44"/>
      <c r="J118" s="44"/>
    </row>
    <row r="119" spans="2:10" ht="15" customHeight="1">
      <c r="B119" s="38"/>
      <c r="C119" s="38"/>
      <c r="D119" s="38"/>
      <c r="E119" s="39"/>
      <c r="F119" s="39"/>
      <c r="G119" s="39"/>
      <c r="H119" s="38"/>
      <c r="I119" s="38"/>
      <c r="J119" s="38"/>
    </row>
    <row r="120" spans="2:10" ht="15" customHeight="1">
      <c r="B120" s="38"/>
      <c r="C120" s="38"/>
      <c r="D120" s="38"/>
      <c r="E120" s="39"/>
      <c r="F120" s="39"/>
      <c r="G120" s="39"/>
      <c r="H120" s="44"/>
      <c r="I120" s="44"/>
      <c r="J120" s="44"/>
    </row>
  </sheetData>
  <sheetProtection algorithmName="SHA-512" hashValue="vbnSPNCYWkvtmjEUgLG6XP/E3WlkUZhTIYno8PSc2PMhSrPyI2QLsZ2gDTVRsSOcrIFez8ANQsvl6+vH2GxOpA==" saltValue="2SwuHMRt3shwGtZ83CUWyg==" spinCount="100000" sheet="1" objects="1" scenarios="1"/>
  <mergeCells count="44">
    <mergeCell ref="G10:G12"/>
    <mergeCell ref="B48:B95"/>
    <mergeCell ref="C55:C60"/>
    <mergeCell ref="C13:C23"/>
    <mergeCell ref="C30:C32"/>
    <mergeCell ref="C24:C29"/>
    <mergeCell ref="B13:B32"/>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C96:C97"/>
    <mergeCell ref="C33:C34"/>
    <mergeCell ref="C35:C36"/>
    <mergeCell ref="C37:C39"/>
    <mergeCell ref="B33:B39"/>
  </mergeCell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4"/>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8.6640625" style="3" customWidth="1"/>
    <col min="3" max="3" width="56.109375" style="3" customWidth="1"/>
    <col min="4" max="4" width="49.6640625" style="3" customWidth="1"/>
    <col min="5" max="5" width="27.5546875" style="3" customWidth="1"/>
    <col min="6" max="7" width="29.33203125" style="5" customWidth="1"/>
    <col min="8" max="8" width="36.33203125" style="3" customWidth="1"/>
    <col min="9" max="9" width="39.6640625" style="3" customWidth="1"/>
    <col min="10" max="10" width="58.44140625" style="3" customWidth="1"/>
    <col min="11" max="11" width="48.44140625" style="3" customWidth="1"/>
    <col min="12" max="13" width="28.5546875" style="3" customWidth="1"/>
    <col min="14" max="14" width="37.44140625" style="3" customWidth="1"/>
    <col min="15" max="15" width="39.33203125" style="1" customWidth="1"/>
    <col min="16" max="46" width="15.88671875" style="1" customWidth="1"/>
    <col min="47"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 customHeight="1" thickBot="1"/>
    <row r="2" spans="2:60" ht="16.5"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6.5"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6.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6.5"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6.5"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ht="19.5" customHeight="1">
      <c r="B7" s="2"/>
      <c r="C7" s="2"/>
      <c r="D7" s="2"/>
      <c r="E7" s="2"/>
      <c r="F7" s="4"/>
      <c r="G7" s="4"/>
      <c r="H7" s="2"/>
      <c r="I7" s="2"/>
      <c r="J7" s="2"/>
      <c r="K7" s="2"/>
      <c r="L7" s="2"/>
      <c r="M7" s="2"/>
      <c r="N7" s="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8.5" customHeight="1">
      <c r="B8" s="19" t="s">
        <v>45</v>
      </c>
      <c r="C8" s="1426" t="s">
        <v>79</v>
      </c>
      <c r="D8" s="1426"/>
      <c r="E8" s="17"/>
      <c r="F8" s="17"/>
      <c r="G8" s="17"/>
      <c r="H8" s="17"/>
      <c r="I8" s="17"/>
      <c r="J8" s="17"/>
      <c r="K8" s="17"/>
      <c r="L8" s="17"/>
      <c r="M8" s="17"/>
      <c r="N8" s="17"/>
      <c r="AW8" s="34"/>
      <c r="AX8" s="34"/>
      <c r="AY8" s="34"/>
      <c r="AZ8" s="34"/>
      <c r="BA8" s="34"/>
      <c r="BB8" s="34"/>
      <c r="BC8" s="34"/>
      <c r="BD8" s="34"/>
    </row>
    <row r="9" spans="2:60" ht="98.25" customHeight="1">
      <c r="B9" s="19" t="s">
        <v>34</v>
      </c>
      <c r="C9" s="1427" t="s">
        <v>357</v>
      </c>
      <c r="D9" s="1428"/>
      <c r="E9" s="17"/>
      <c r="F9" s="17"/>
      <c r="G9" s="17"/>
      <c r="H9" s="17"/>
      <c r="I9" s="17"/>
      <c r="J9" s="17"/>
      <c r="K9" s="17"/>
      <c r="L9" s="17"/>
      <c r="M9" s="17"/>
      <c r="N9" s="17"/>
      <c r="AW9" s="34"/>
      <c r="AX9" s="34"/>
      <c r="AY9" s="34"/>
      <c r="AZ9" s="34"/>
      <c r="BA9" s="34"/>
      <c r="BB9" s="34"/>
      <c r="BC9" s="34"/>
      <c r="BD9" s="34"/>
    </row>
    <row r="10" spans="2:60" ht="30" customHeight="1">
      <c r="B10" s="19" t="s">
        <v>101</v>
      </c>
      <c r="C10" s="1429">
        <v>2023</v>
      </c>
      <c r="D10" s="1430"/>
      <c r="E10" s="17"/>
      <c r="F10" s="17"/>
      <c r="G10" s="17"/>
      <c r="H10" s="17"/>
      <c r="I10" s="17"/>
      <c r="J10" s="17"/>
      <c r="K10" s="17"/>
      <c r="L10" s="17"/>
      <c r="M10" s="17"/>
      <c r="N10" s="17"/>
      <c r="AW10" s="34"/>
      <c r="AX10" s="34"/>
      <c r="AY10" s="34"/>
      <c r="AZ10" s="34"/>
      <c r="BA10" s="34"/>
      <c r="BB10" s="34"/>
      <c r="BC10" s="34"/>
      <c r="BD10" s="34"/>
    </row>
    <row r="11" spans="2:60" ht="14.25" customHeight="1">
      <c r="B11" s="2"/>
      <c r="C11" s="2"/>
      <c r="D11" s="2"/>
      <c r="E11" s="2"/>
      <c r="F11" s="4"/>
      <c r="G11" s="4"/>
      <c r="H11" s="2"/>
      <c r="I11" s="2"/>
      <c r="J11" s="2"/>
      <c r="K11" s="2"/>
      <c r="L11" s="2"/>
      <c r="M11" s="2"/>
      <c r="N11" s="2"/>
      <c r="AV11" s="206"/>
      <c r="AW11" s="34"/>
      <c r="AX11" s="34"/>
      <c r="AY11" s="34"/>
      <c r="AZ11" s="34"/>
      <c r="BA11" s="34"/>
      <c r="BB11" s="34"/>
      <c r="BC11" s="34"/>
      <c r="BD11" s="34"/>
    </row>
    <row r="12" spans="2:60" ht="33"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21.75" customHeight="1">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21.75" customHeight="1">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21.75"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87.95" customHeight="1">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INSTITUCIONAL'!C55</f>
        <v>4.2. Consolidar el 90% del Modelo Integrado de Planeación y Gestión –MIPG- y sus sistemas de gestión articulados, como compromiso con la Calidad, la Excelencia, la Responsabilidad Ambiental y la Mejora en la prestación del Servicio.</v>
      </c>
      <c r="D16" s="28" t="str">
        <f>+'01-FR-03 POA INSTITUCIONAL'!D55</f>
        <v>4.2.1 Formular e implementar el 100% de las acciones para la Sostenibilidad y mejora del Sistema de Gestión de la Calidad 
-SGC- (Meta Transversal)</v>
      </c>
      <c r="E16" s="29">
        <f>+'01-FR-03 POA INSTITUCIONAL'!E55</f>
        <v>0.2</v>
      </c>
      <c r="F16" s="188">
        <f>+'01-FR-03 POA INSTITUCIONAL'!F55</f>
        <v>1</v>
      </c>
      <c r="G16" s="88">
        <f>+'01-FR-03 POA INSTITUCIONAL'!M55</f>
        <v>1</v>
      </c>
      <c r="H16" s="30">
        <f>+'01-FR-03 POA INSTITUCIONAL'!G55</f>
        <v>1</v>
      </c>
      <c r="I16" s="30" t="str">
        <f>+'01-FR-03 POA INSTITUCIONAL'!H55</f>
        <v xml:space="preserve">Porcentaje de acciones implementadas para la sostenibilidad y mejora del SGC </v>
      </c>
      <c r="J16" s="116" t="s">
        <v>631</v>
      </c>
      <c r="K16" s="119" t="s">
        <v>1036</v>
      </c>
      <c r="L16" s="117" t="s">
        <v>162</v>
      </c>
      <c r="M16" s="118" t="s">
        <v>352</v>
      </c>
      <c r="N16" s="117" t="s">
        <v>354</v>
      </c>
      <c r="O16" s="31" t="str">
        <f>+'01-FR-03 POA INSTITUCIONAL'!J55</f>
        <v>Dirección de Planeación
Aportan: Dependencias lideradas por  Responsables de procesos y operativos de todos los procesos institucionales</v>
      </c>
      <c r="P16" s="711">
        <v>0.1</v>
      </c>
      <c r="Q16" s="711">
        <v>0.1</v>
      </c>
      <c r="R16" s="711">
        <v>0.05</v>
      </c>
      <c r="S16" s="711">
        <v>0.05</v>
      </c>
      <c r="T16" s="711">
        <v>0.09</v>
      </c>
      <c r="U16" s="711">
        <v>0.09</v>
      </c>
      <c r="V16" s="869">
        <f>P16+R16+T16</f>
        <v>0.24000000000000002</v>
      </c>
      <c r="W16" s="869">
        <f>Q16+S16+U16</f>
        <v>0.24000000000000002</v>
      </c>
      <c r="X16" s="711">
        <v>0.11</v>
      </c>
      <c r="Y16" s="712">
        <v>0.1094</v>
      </c>
      <c r="Z16" s="711">
        <v>0.08</v>
      </c>
      <c r="AA16" s="715">
        <v>6.5500000000000003E-2</v>
      </c>
      <c r="AB16" s="711">
        <v>0.08</v>
      </c>
      <c r="AC16" s="712">
        <v>9.4E-2</v>
      </c>
      <c r="AD16" s="869">
        <f>X16+Z16+AB16</f>
        <v>0.27</v>
      </c>
      <c r="AE16" s="869">
        <f>Y16+AA16+AC16</f>
        <v>0.26890000000000003</v>
      </c>
      <c r="AF16" s="711">
        <v>0.11</v>
      </c>
      <c r="AG16" s="711"/>
      <c r="AH16" s="711">
        <v>0.08</v>
      </c>
      <c r="AI16" s="711"/>
      <c r="AJ16" s="714">
        <v>0.08</v>
      </c>
      <c r="AK16" s="714"/>
      <c r="AL16" s="869">
        <f>AF16+AH16+AJ16</f>
        <v>0.27</v>
      </c>
      <c r="AM16" s="869">
        <f>AG16+AI16+AK16</f>
        <v>0</v>
      </c>
      <c r="AN16" s="711">
        <v>0.11</v>
      </c>
      <c r="AO16" s="711"/>
      <c r="AP16" s="711">
        <v>0.08</v>
      </c>
      <c r="AQ16" s="711"/>
      <c r="AR16" s="711">
        <v>0.03</v>
      </c>
      <c r="AS16" s="711"/>
      <c r="AT16" s="869">
        <f>AN16+AP16+AR16</f>
        <v>0.22</v>
      </c>
      <c r="AU16" s="869">
        <f>AO16+AQ16+AS16</f>
        <v>0</v>
      </c>
      <c r="AV16" s="181">
        <f>V16+AD16+AL16+AT16</f>
        <v>1</v>
      </c>
      <c r="AW16" s="181">
        <f>+W16</f>
        <v>0.24000000000000002</v>
      </c>
      <c r="AX16" s="199">
        <f>+W16+AE16</f>
        <v>0.50890000000000002</v>
      </c>
      <c r="AY16" s="925">
        <f>+W16+AE16+AM16</f>
        <v>0.50890000000000002</v>
      </c>
      <c r="AZ16" s="926">
        <f>+W16+AE16+AM16+AU16</f>
        <v>0.50890000000000002</v>
      </c>
      <c r="BA16" s="212">
        <f>IF(AND(AW16&gt;0,$AV16&gt;0),AW16/$AV16,0)</f>
        <v>0.24000000000000002</v>
      </c>
      <c r="BB16" s="455">
        <f t="shared" ref="BB16:BD16" si="0">IF(AND(AX16&gt;0,$AV16&gt;0),AX16/$AV16,0)</f>
        <v>0.50890000000000002</v>
      </c>
      <c r="BC16" s="212">
        <f t="shared" si="0"/>
        <v>0.50890000000000002</v>
      </c>
      <c r="BD16" s="212">
        <f t="shared" si="0"/>
        <v>0.50890000000000002</v>
      </c>
      <c r="BE16" s="186">
        <f>(((IF(AND(AW16&gt;0,$F16&gt;0),AW16/$F16,0)))/4)</f>
        <v>6.0000000000000005E-2</v>
      </c>
      <c r="BF16" s="186">
        <f t="shared" ref="BF16:BH16" si="1">(((IF(AND(AX16&gt;0,$F16&gt;0),AX16/$F16,0)))/4)</f>
        <v>0.127225</v>
      </c>
      <c r="BG16" s="932">
        <f t="shared" si="1"/>
        <v>0.127225</v>
      </c>
      <c r="BH16" s="932">
        <f t="shared" si="1"/>
        <v>0.127225</v>
      </c>
    </row>
    <row r="17" spans="2:60" ht="288.75" customHeight="1">
      <c r="B17" s="1434"/>
      <c r="C17" s="1434"/>
      <c r="D17" s="28" t="str">
        <f>+'01-FR-03 POA INSTITUCIONAL'!D56</f>
        <v>4.2.2 Implementar el 40% de las actividades requeridas para la sostenibilidad y mejora del MIPG, de acuerdo con la metodología establecida por la Función Pública. (Meta Transversal)</v>
      </c>
      <c r="E17" s="29">
        <f>+'01-FR-03 POA INSTITUCIONAL'!E56</f>
        <v>0.2</v>
      </c>
      <c r="F17" s="188">
        <f>+'01-FR-03 POA INSTITUCIONAL'!F56</f>
        <v>0.4</v>
      </c>
      <c r="G17" s="88">
        <f>+'01-FR-03 POA INSTITUCIONAL'!M56</f>
        <v>0.02</v>
      </c>
      <c r="H17" s="30">
        <f>+'01-FR-03 POA INSTITUCIONAL'!G56</f>
        <v>0.6</v>
      </c>
      <c r="I17" s="30" t="str">
        <f>+'01-FR-03 POA INSTITUCIONAL'!H56</f>
        <v>Porcentaje de actividades implementadas para la sostenibilidad  y mejora del MIPG</v>
      </c>
      <c r="J17" s="116" t="s">
        <v>632</v>
      </c>
      <c r="K17" s="119" t="s">
        <v>1082</v>
      </c>
      <c r="L17" s="117" t="s">
        <v>351</v>
      </c>
      <c r="M17" s="118" t="s">
        <v>352</v>
      </c>
      <c r="N17" s="117" t="s">
        <v>353</v>
      </c>
      <c r="O17" s="31" t="str">
        <f>+'01-FR-03 POA INSTITUCIONAL'!J56</f>
        <v>Dirección de Planeación
Aportan: Dependencias lideradas por  Responsables de procesos y operativos de todos los procesos institucionales</v>
      </c>
      <c r="P17" s="712">
        <v>0</v>
      </c>
      <c r="Q17" s="712">
        <v>0</v>
      </c>
      <c r="R17" s="712">
        <v>3.0000000000000001E-3</v>
      </c>
      <c r="S17" s="712">
        <v>3.0000000000000001E-3</v>
      </c>
      <c r="T17" s="712">
        <v>2E-3</v>
      </c>
      <c r="U17" s="712">
        <v>2E-3</v>
      </c>
      <c r="V17" s="870">
        <f>P17+R17+T17</f>
        <v>5.0000000000000001E-3</v>
      </c>
      <c r="W17" s="870">
        <f>Q17+S17+U17</f>
        <v>5.0000000000000001E-3</v>
      </c>
      <c r="X17" s="712">
        <v>2E-3</v>
      </c>
      <c r="Y17" s="712">
        <v>2E-3</v>
      </c>
      <c r="Z17" s="712">
        <v>2E-3</v>
      </c>
      <c r="AA17" s="712">
        <v>2E-3</v>
      </c>
      <c r="AB17" s="712">
        <v>1E-3</v>
      </c>
      <c r="AC17" s="712">
        <v>8.9999999999999998E-4</v>
      </c>
      <c r="AD17" s="870">
        <f>X17+Z17+AB17</f>
        <v>5.0000000000000001E-3</v>
      </c>
      <c r="AE17" s="870">
        <f>Y17+AA17+AC17</f>
        <v>4.8999999999999998E-3</v>
      </c>
      <c r="AF17" s="712">
        <v>4.0000000000000001E-3</v>
      </c>
      <c r="AG17" s="712"/>
      <c r="AH17" s="712">
        <v>1E-3</v>
      </c>
      <c r="AI17" s="712"/>
      <c r="AJ17" s="715">
        <v>1E-3</v>
      </c>
      <c r="AK17" s="715"/>
      <c r="AL17" s="870">
        <f>AF17+AH17+AJ17</f>
        <v>6.0000000000000001E-3</v>
      </c>
      <c r="AM17" s="870">
        <f>AG17+AI17+AK17</f>
        <v>0</v>
      </c>
      <c r="AN17" s="712">
        <v>1E-3</v>
      </c>
      <c r="AO17" s="712"/>
      <c r="AP17" s="712">
        <v>1E-3</v>
      </c>
      <c r="AQ17" s="712"/>
      <c r="AR17" s="712">
        <v>2E-3</v>
      </c>
      <c r="AS17" s="712"/>
      <c r="AT17" s="870">
        <f>AN17+AP17+AR17</f>
        <v>4.0000000000000001E-3</v>
      </c>
      <c r="AU17" s="870">
        <f>AO17+AQ17+AS17</f>
        <v>0</v>
      </c>
      <c r="AV17" s="55">
        <f t="shared" ref="AV17:AV19" si="2">V17+AD17+AL17+AT17</f>
        <v>0.02</v>
      </c>
      <c r="AW17" s="181">
        <f>+W17</f>
        <v>5.0000000000000001E-3</v>
      </c>
      <c r="AX17" s="199">
        <f>+W17+AE17</f>
        <v>9.8999999999999991E-3</v>
      </c>
      <c r="AY17" s="925">
        <f>+W17+AE17+AM17</f>
        <v>9.8999999999999991E-3</v>
      </c>
      <c r="AZ17" s="926">
        <f>+W17+AE17+AM17+AU17</f>
        <v>9.8999999999999991E-3</v>
      </c>
      <c r="BA17" s="212">
        <f t="shared" ref="BA17:BA19" si="3">IF(AND(AW17&gt;0,$AV17&gt;0),AW17/$AV17,0)</f>
        <v>0.25</v>
      </c>
      <c r="BB17" s="212">
        <f t="shared" ref="BB17:BB19" si="4">IF(AND(AX17&gt;0,$AV17&gt;0),AX17/$AV17,0)</f>
        <v>0.49499999999999994</v>
      </c>
      <c r="BC17" s="212">
        <f t="shared" ref="BC17:BC19" si="5">IF(AND(AY17&gt;0,$AV17&gt;0),AY17/$AV17,0)</f>
        <v>0.49499999999999994</v>
      </c>
      <c r="BD17" s="212">
        <f t="shared" ref="BD17:BD19" si="6">IF(AND(AZ17&gt;0,$AV17&gt;0),AZ17/$AV17,0)</f>
        <v>0.49499999999999994</v>
      </c>
      <c r="BE17" s="186">
        <f>((IF(AND(AW17&gt;0,$F17&gt;0),AW17/$F17,0)))</f>
        <v>1.2499999999999999E-2</v>
      </c>
      <c r="BF17" s="186">
        <f t="shared" ref="BF17:BH19" si="7">((IF(AND(AX17&gt;0,$F17&gt;0),AX17/$F17,0)))</f>
        <v>2.4749999999999998E-2</v>
      </c>
      <c r="BG17" s="932">
        <f t="shared" si="7"/>
        <v>2.4749999999999998E-2</v>
      </c>
      <c r="BH17" s="932">
        <f t="shared" si="7"/>
        <v>2.4749999999999998E-2</v>
      </c>
    </row>
    <row r="18" spans="2:60" ht="75.75" customHeight="1">
      <c r="B18" s="1434"/>
      <c r="C18" s="1434"/>
      <c r="D18" s="28" t="str">
        <f>+'01-FR-03 POA INSTITUCIONAL'!D57</f>
        <v>4.2.3 Implementar el 100% de los requisitos del Sistema de Gestión Ambiental –SGA-, bajo los estándares de la norma ISO 14001</v>
      </c>
      <c r="E18" s="29">
        <f>+'01-FR-03 POA INSTITUCIONAL'!E57</f>
        <v>0.15</v>
      </c>
      <c r="F18" s="188">
        <f>+'01-FR-03 POA INSTITUCIONAL'!F57</f>
        <v>1</v>
      </c>
      <c r="G18" s="88">
        <f>+'01-FR-03 POA INSTITUCIONAL'!M57</f>
        <v>0.28999999999999998</v>
      </c>
      <c r="H18" s="30" t="str">
        <f>+'01-FR-03 POA INSTITUCIONAL'!G57</f>
        <v>S.I.</v>
      </c>
      <c r="I18" s="30" t="str">
        <f>+'01-FR-03 POA INSTITUCIONAL'!H57</f>
        <v xml:space="preserve">Porcentaje de requisitos del  SGA implementados bajo los estándares de la norma ISO 14001 </v>
      </c>
      <c r="J18" s="116" t="s">
        <v>160</v>
      </c>
      <c r="K18" s="119" t="s">
        <v>1037</v>
      </c>
      <c r="L18" s="117" t="s">
        <v>1038</v>
      </c>
      <c r="M18" s="117" t="s">
        <v>352</v>
      </c>
      <c r="N18" s="117" t="s">
        <v>353</v>
      </c>
      <c r="O18" s="31" t="str">
        <f>+'01-FR-03 POA INSTITUCIONAL'!J57</f>
        <v>Dirección de Planeación</v>
      </c>
      <c r="P18" s="871">
        <v>0</v>
      </c>
      <c r="Q18" s="871">
        <v>0</v>
      </c>
      <c r="R18" s="715">
        <v>2.6800000000000001E-2</v>
      </c>
      <c r="S18" s="715">
        <v>2.6800000000000001E-2</v>
      </c>
      <c r="T18" s="715">
        <v>5.3800000000000001E-2</v>
      </c>
      <c r="U18" s="715">
        <v>5.3800000000000001E-2</v>
      </c>
      <c r="V18" s="872">
        <f t="shared" ref="V18:W18" si="8">P18+R18+T18</f>
        <v>8.0600000000000005E-2</v>
      </c>
      <c r="W18" s="873">
        <f t="shared" si="8"/>
        <v>8.0600000000000005E-2</v>
      </c>
      <c r="X18" s="715">
        <v>5.62E-2</v>
      </c>
      <c r="Y18" s="715">
        <v>5.62E-2</v>
      </c>
      <c r="Z18" s="871">
        <v>2.1000000000000001E-2</v>
      </c>
      <c r="AA18" s="871">
        <v>2.1000000000000001E-2</v>
      </c>
      <c r="AB18" s="715">
        <v>3.2199999999999999E-2</v>
      </c>
      <c r="AC18" s="715">
        <v>3.2199999999999999E-2</v>
      </c>
      <c r="AD18" s="873">
        <f t="shared" ref="AD18:AE18" si="9">X18+Z18+AB18</f>
        <v>0.1094</v>
      </c>
      <c r="AE18" s="873">
        <f t="shared" si="9"/>
        <v>0.1094</v>
      </c>
      <c r="AF18" s="715">
        <v>1.2699999999999999E-2</v>
      </c>
      <c r="AG18" s="715"/>
      <c r="AH18" s="715">
        <v>2.58E-2</v>
      </c>
      <c r="AI18" s="715"/>
      <c r="AJ18" s="715">
        <v>6.6E-3</v>
      </c>
      <c r="AK18" s="715"/>
      <c r="AL18" s="873">
        <f t="shared" ref="AL18:AM18" si="10">AF18+AH18+AJ18</f>
        <v>4.5100000000000001E-2</v>
      </c>
      <c r="AM18" s="873">
        <f t="shared" si="10"/>
        <v>0</v>
      </c>
      <c r="AN18" s="715">
        <v>2.2499999999999999E-2</v>
      </c>
      <c r="AO18" s="715"/>
      <c r="AP18" s="715">
        <v>1.6400000000000001E-2</v>
      </c>
      <c r="AQ18" s="715"/>
      <c r="AR18" s="715">
        <v>1.6E-2</v>
      </c>
      <c r="AS18" s="715"/>
      <c r="AT18" s="873">
        <f t="shared" ref="AT18:AU18" si="11">AN18+AP18+AR18</f>
        <v>5.4900000000000004E-2</v>
      </c>
      <c r="AU18" s="873">
        <f t="shared" si="11"/>
        <v>0</v>
      </c>
      <c r="AV18" s="55">
        <f t="shared" si="2"/>
        <v>0.29000000000000004</v>
      </c>
      <c r="AW18" s="181">
        <f>+W18</f>
        <v>8.0600000000000005E-2</v>
      </c>
      <c r="AX18" s="181">
        <f>+W18+AE18</f>
        <v>0.19</v>
      </c>
      <c r="AY18" s="925">
        <f>+W18+AE18+AM18</f>
        <v>0.19</v>
      </c>
      <c r="AZ18" s="925">
        <f>+W18+AE18+AM18+AU18</f>
        <v>0.19</v>
      </c>
      <c r="BA18" s="212">
        <f t="shared" si="3"/>
        <v>0.27793103448275858</v>
      </c>
      <c r="BB18" s="977">
        <f t="shared" si="4"/>
        <v>0.65517241379310343</v>
      </c>
      <c r="BC18" s="212">
        <f t="shared" si="5"/>
        <v>0.65517241379310343</v>
      </c>
      <c r="BD18" s="212">
        <f t="shared" si="6"/>
        <v>0.65517241379310343</v>
      </c>
      <c r="BE18" s="186">
        <f>((IF(AND(AW18&gt;0,$F18&gt;0),AW18/$F18,0)))</f>
        <v>8.0600000000000005E-2</v>
      </c>
      <c r="BF18" s="186">
        <f t="shared" si="7"/>
        <v>0.19</v>
      </c>
      <c r="BG18" s="932">
        <f t="shared" si="7"/>
        <v>0.19</v>
      </c>
      <c r="BH18" s="932">
        <f t="shared" si="7"/>
        <v>0.19</v>
      </c>
    </row>
    <row r="19" spans="2:60" ht="75.75" customHeight="1">
      <c r="B19" s="1434"/>
      <c r="C19" s="1434"/>
      <c r="D19" s="28" t="str">
        <f>+'01-FR-03 POA INSTITUCIONAL'!D58</f>
        <v>4.2.4 Realizar 12 acciones de monitoreo y revisión  al Plan Anticorrupción y de Atención al Ciudadano -PAAC- de la vigencia.</v>
      </c>
      <c r="E19" s="29">
        <f>+'01-FR-03 POA INSTITUCIONAL'!E58</f>
        <v>0.1</v>
      </c>
      <c r="F19" s="20">
        <f>+'01-FR-03 POA INSTITUCIONAL'!F58</f>
        <v>12</v>
      </c>
      <c r="G19" s="94">
        <f>+'01-FR-03 POA INSTITUCIONAL'!M58</f>
        <v>3</v>
      </c>
      <c r="H19" s="30" t="str">
        <f>+'01-FR-03 POA INSTITUCIONAL'!G58</f>
        <v>3 
(En el último año)</v>
      </c>
      <c r="I19" s="30" t="str">
        <f>+'01-FR-03 POA INSTITUCIONAL'!H58</f>
        <v>Acciones de monitoreo y revisión realizadas al PAAC</v>
      </c>
      <c r="J19" s="116" t="s">
        <v>633</v>
      </c>
      <c r="K19" s="119" t="s">
        <v>355</v>
      </c>
      <c r="L19" s="117" t="s">
        <v>356</v>
      </c>
      <c r="M19" s="117" t="s">
        <v>352</v>
      </c>
      <c r="N19" s="117" t="s">
        <v>353</v>
      </c>
      <c r="O19" s="31" t="str">
        <f>+'01-FR-03 POA INSTITUCIONAL'!J58</f>
        <v>Dirección de Planeación</v>
      </c>
      <c r="P19" s="713">
        <v>1</v>
      </c>
      <c r="Q19" s="713">
        <v>1</v>
      </c>
      <c r="R19" s="713">
        <v>0</v>
      </c>
      <c r="S19" s="713">
        <v>0</v>
      </c>
      <c r="T19" s="713">
        <v>0</v>
      </c>
      <c r="U19" s="713">
        <v>0</v>
      </c>
      <c r="V19" s="874">
        <f>+P19+R19+T19</f>
        <v>1</v>
      </c>
      <c r="W19" s="874">
        <f>+Q19+S19+U19</f>
        <v>1</v>
      </c>
      <c r="X19" s="713">
        <v>0</v>
      </c>
      <c r="Y19" s="713">
        <v>0</v>
      </c>
      <c r="Z19" s="713">
        <v>1</v>
      </c>
      <c r="AA19" s="713">
        <v>1</v>
      </c>
      <c r="AB19" s="713">
        <v>0</v>
      </c>
      <c r="AC19" s="713">
        <v>0</v>
      </c>
      <c r="AD19" s="874">
        <f>+X19+Z19+AB19</f>
        <v>1</v>
      </c>
      <c r="AE19" s="874">
        <f>+Y19+AA19+AC19</f>
        <v>1</v>
      </c>
      <c r="AF19" s="713">
        <v>0</v>
      </c>
      <c r="AG19" s="713"/>
      <c r="AH19" s="713">
        <v>0</v>
      </c>
      <c r="AI19" s="713"/>
      <c r="AJ19" s="716">
        <v>1</v>
      </c>
      <c r="AK19" s="716"/>
      <c r="AL19" s="874">
        <f>+AF19+AH19+AJ19</f>
        <v>1</v>
      </c>
      <c r="AM19" s="874">
        <f>+AG19+AI19+AK19</f>
        <v>0</v>
      </c>
      <c r="AN19" s="713">
        <v>0</v>
      </c>
      <c r="AO19" s="713"/>
      <c r="AP19" s="713">
        <v>0</v>
      </c>
      <c r="AQ19" s="713"/>
      <c r="AR19" s="713">
        <v>0</v>
      </c>
      <c r="AS19" s="713"/>
      <c r="AT19" s="874">
        <f>+AN19+AP19+AR19</f>
        <v>0</v>
      </c>
      <c r="AU19" s="874">
        <f>+AO19+AQ19+AS19</f>
        <v>0</v>
      </c>
      <c r="AV19" s="20">
        <f t="shared" si="2"/>
        <v>3</v>
      </c>
      <c r="AW19" s="26">
        <f>+W19</f>
        <v>1</v>
      </c>
      <c r="AX19" s="26">
        <f>+W19+AE19</f>
        <v>2</v>
      </c>
      <c r="AY19" s="927">
        <f>+W19+AE19+AM19</f>
        <v>2</v>
      </c>
      <c r="AZ19" s="927">
        <f>+W19+AE19+AM19+AU19</f>
        <v>2</v>
      </c>
      <c r="BA19" s="213">
        <f t="shared" si="3"/>
        <v>0.33333333333333331</v>
      </c>
      <c r="BB19" s="212">
        <f t="shared" si="4"/>
        <v>0.66666666666666663</v>
      </c>
      <c r="BC19" s="212">
        <f t="shared" si="5"/>
        <v>0.66666666666666663</v>
      </c>
      <c r="BD19" s="212">
        <f t="shared" si="6"/>
        <v>0.66666666666666663</v>
      </c>
      <c r="BE19" s="186">
        <f>((IF(AND(AW19&gt;0,$F19&gt;0),AW19/$F19,0)))</f>
        <v>8.3333333333333329E-2</v>
      </c>
      <c r="BF19" s="186">
        <f t="shared" si="7"/>
        <v>0.16666666666666666</v>
      </c>
      <c r="BG19" s="932">
        <f t="shared" si="7"/>
        <v>0.16666666666666666</v>
      </c>
      <c r="BH19" s="932">
        <f t="shared" si="7"/>
        <v>0.16666666666666666</v>
      </c>
    </row>
    <row r="20" spans="2:60" ht="22.8">
      <c r="B20" s="203"/>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5"/>
      <c r="AX20" s="1431" t="s">
        <v>19</v>
      </c>
      <c r="AY20" s="1432"/>
      <c r="AZ20" s="1432"/>
      <c r="BA20" s="423">
        <f t="shared" ref="BA20:BD20" si="12">AVERAGE(BA16:BA19)</f>
        <v>0.27531609195402296</v>
      </c>
      <c r="BB20" s="423">
        <f t="shared" si="12"/>
        <v>0.58143477011494249</v>
      </c>
      <c r="BC20" s="423">
        <f t="shared" si="12"/>
        <v>0.58143477011494249</v>
      </c>
      <c r="BD20" s="423">
        <f t="shared" si="12"/>
        <v>0.58143477011494249</v>
      </c>
      <c r="BE20" s="1445"/>
      <c r="BF20" s="1446"/>
      <c r="BG20" s="1446"/>
      <c r="BH20" s="1447"/>
    </row>
    <row r="21" spans="2:60">
      <c r="B21" s="1413"/>
      <c r="C21" s="1413"/>
      <c r="D21" s="1413"/>
      <c r="E21" s="1413"/>
      <c r="F21" s="1413"/>
      <c r="G21" s="39"/>
      <c r="H21" s="38"/>
      <c r="I21" s="38"/>
      <c r="J21" s="38"/>
      <c r="K21" s="38"/>
      <c r="L21" s="38"/>
      <c r="M21" s="38"/>
      <c r="N21" s="38"/>
    </row>
    <row r="22" spans="2:60">
      <c r="B22" s="38"/>
      <c r="C22" s="38"/>
      <c r="D22" s="1440"/>
      <c r="E22" s="1440"/>
      <c r="F22" s="1440"/>
      <c r="G22" s="1440"/>
      <c r="H22" s="1440"/>
      <c r="I22" s="1440"/>
      <c r="J22" s="1440"/>
      <c r="K22" s="1440"/>
      <c r="L22" s="1440"/>
      <c r="M22" s="1440"/>
      <c r="N22" s="1440"/>
    </row>
    <row r="23" spans="2:60" ht="30" customHeight="1">
      <c r="B23" s="40" t="s">
        <v>26</v>
      </c>
      <c r="C23" s="41">
        <v>44224</v>
      </c>
      <c r="D23" s="121"/>
      <c r="E23" s="1443" t="s">
        <v>50</v>
      </c>
      <c r="F23" s="1444" t="s">
        <v>1113</v>
      </c>
      <c r="G23" s="1444"/>
      <c r="H23" s="1444"/>
      <c r="I23" s="1444"/>
      <c r="J23" s="43"/>
      <c r="K23" s="1403"/>
      <c r="L23" s="1403"/>
      <c r="M23" s="1403"/>
      <c r="N23" s="1439"/>
    </row>
    <row r="24" spans="2:60" ht="13.5" customHeight="1">
      <c r="B24" s="38"/>
      <c r="C24" s="38"/>
      <c r="D24" s="43"/>
      <c r="E24" s="1443"/>
      <c r="F24" s="1444"/>
      <c r="G24" s="1444"/>
      <c r="H24" s="1444"/>
      <c r="I24" s="1444"/>
      <c r="J24" s="38"/>
      <c r="K24" s="38"/>
      <c r="L24" s="38"/>
      <c r="M24" s="38"/>
      <c r="N24" s="38"/>
    </row>
    <row r="25" spans="2:60" ht="31.5" customHeight="1">
      <c r="B25" s="40" t="s">
        <v>49</v>
      </c>
      <c r="C25" s="41">
        <v>44581</v>
      </c>
      <c r="D25" s="38"/>
      <c r="E25" s="38"/>
      <c r="J25" s="38"/>
      <c r="K25" s="38"/>
      <c r="L25" s="38"/>
      <c r="M25" s="38"/>
      <c r="N25" s="38"/>
    </row>
    <row r="26" spans="2:60" ht="13.2" customHeight="1">
      <c r="B26" s="38"/>
      <c r="C26" s="868"/>
      <c r="D26" s="38"/>
      <c r="E26" s="38"/>
      <c r="F26" s="38"/>
      <c r="H26" s="5"/>
      <c r="K26" s="38"/>
      <c r="L26" s="38"/>
      <c r="M26" s="38"/>
      <c r="N26" s="38"/>
      <c r="O26" s="38"/>
    </row>
    <row r="27" spans="2:60" ht="31.5" customHeight="1">
      <c r="B27" s="40" t="s">
        <v>49</v>
      </c>
      <c r="C27" s="41">
        <v>44953</v>
      </c>
      <c r="D27" s="38"/>
      <c r="E27" s="38"/>
      <c r="F27" s="38"/>
      <c r="H27" s="5"/>
      <c r="K27" s="38"/>
      <c r="L27" s="38"/>
      <c r="M27" s="38"/>
      <c r="N27" s="38"/>
      <c r="O27" s="38"/>
    </row>
    <row r="28" spans="2:60">
      <c r="B28" s="38"/>
      <c r="C28" s="38"/>
      <c r="D28" s="38"/>
      <c r="E28" s="38"/>
      <c r="F28" s="38"/>
      <c r="H28" s="5"/>
      <c r="K28" s="38"/>
      <c r="L28" s="38"/>
      <c r="M28" s="38"/>
      <c r="N28" s="38"/>
      <c r="O28" s="38"/>
    </row>
    <row r="29" spans="2:60">
      <c r="B29" s="38"/>
      <c r="C29" s="38"/>
      <c r="D29" s="38"/>
      <c r="E29" s="38"/>
      <c r="J29" s="38"/>
      <c r="K29" s="38"/>
      <c r="L29" s="38"/>
      <c r="M29" s="38"/>
      <c r="N29" s="38"/>
    </row>
    <row r="30" spans="2:60" ht="15" customHeight="1">
      <c r="B30" s="445" t="s">
        <v>876</v>
      </c>
      <c r="C30" s="38"/>
      <c r="D30" s="38"/>
      <c r="E30" s="38"/>
      <c r="F30" s="39"/>
      <c r="G30" s="39"/>
      <c r="H30" s="1438"/>
      <c r="I30" s="1438"/>
      <c r="J30" s="1438"/>
      <c r="K30" s="1438"/>
      <c r="L30" s="44"/>
      <c r="M30" s="44"/>
      <c r="N30" s="44"/>
    </row>
    <row r="31" spans="2:60" ht="15" customHeight="1">
      <c r="B31" s="38"/>
      <c r="C31" s="38"/>
      <c r="D31" s="38"/>
      <c r="E31" s="38"/>
      <c r="F31" s="39"/>
      <c r="G31" s="39"/>
      <c r="H31" s="38"/>
      <c r="I31" s="38"/>
      <c r="J31" s="45"/>
      <c r="K31" s="38"/>
      <c r="L31" s="38"/>
      <c r="M31" s="38"/>
      <c r="N31" s="38"/>
    </row>
    <row r="32" spans="2:60" ht="15" customHeight="1">
      <c r="B32" s="38"/>
      <c r="C32" s="38"/>
      <c r="D32" s="38"/>
      <c r="E32" s="38"/>
      <c r="F32" s="39"/>
      <c r="G32" s="39"/>
      <c r="H32" s="1438"/>
      <c r="I32" s="1438"/>
      <c r="J32" s="1438"/>
      <c r="K32" s="1438"/>
      <c r="L32" s="44"/>
      <c r="M32" s="44"/>
      <c r="N32" s="44"/>
    </row>
    <row r="33" spans="2:14" ht="15" customHeight="1">
      <c r="B33" s="38"/>
      <c r="C33" s="38"/>
      <c r="D33" s="38"/>
      <c r="E33" s="38"/>
      <c r="F33" s="39"/>
      <c r="G33" s="39"/>
      <c r="H33" s="38"/>
      <c r="I33" s="38"/>
      <c r="J33" s="45"/>
      <c r="K33" s="38"/>
      <c r="L33" s="38"/>
      <c r="M33" s="38"/>
      <c r="N33" s="38"/>
    </row>
    <row r="34" spans="2:14" ht="15" customHeight="1">
      <c r="B34" s="38"/>
      <c r="C34" s="38"/>
      <c r="D34" s="38"/>
      <c r="E34" s="38"/>
      <c r="F34" s="39"/>
      <c r="G34" s="39"/>
      <c r="H34" s="1438"/>
      <c r="I34" s="1438"/>
      <c r="J34" s="1438"/>
      <c r="K34" s="1438"/>
      <c r="L34" s="44"/>
      <c r="M34" s="44"/>
      <c r="N34" s="44"/>
    </row>
  </sheetData>
  <sheetProtection algorithmName="SHA-512" hashValue="LAqkWIOtrc2MpNjaOFtrHCoU+JOpmY3gGQkX9lcqBSLaEKHJY1AjVvjSoFMVxXfJmPaTPQUhZRcF/mTrTCZSLg==" saltValue="RIQ2+g/tD2HZhkHVGPcQOw=="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30:K30"/>
    <mergeCell ref="H32:K32"/>
    <mergeCell ref="H34:K34"/>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70" priority="1" operator="greaterThan">
      <formula>1</formula>
    </cfRule>
    <cfRule type="cellIs" dxfId="69" priority="14" operator="between">
      <formula>0.8</formula>
      <formula>1</formula>
    </cfRule>
    <cfRule type="cellIs" dxfId="68" priority="15" operator="between">
      <formula>0.61</formula>
      <formula>0.79</formula>
    </cfRule>
    <cfRule type="cellIs" dxfId="67"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33"/>
  <sheetViews>
    <sheetView showGridLines="0" zoomScale="70" zoomScaleNormal="70" workbookViewId="0">
      <pane xSplit="2" ySplit="9" topLeftCell="C10" activePane="bottomRight" state="frozen"/>
      <selection pane="topRight" activeCell="C1" sqref="C1"/>
      <selection pane="bottomLeft" activeCell="A10" sqref="A10"/>
      <selection pane="bottomRight" activeCell="C10" sqref="C10:D10"/>
    </sheetView>
  </sheetViews>
  <sheetFormatPr baseColWidth="10" defaultColWidth="17.33203125" defaultRowHeight="15" customHeight="1"/>
  <cols>
    <col min="1" max="1" width="4.33203125" style="1" customWidth="1"/>
    <col min="2" max="2" width="50.44140625" style="3" customWidth="1"/>
    <col min="3" max="3" width="47.44140625" style="3" customWidth="1"/>
    <col min="4" max="4" width="49.6640625" style="3" customWidth="1"/>
    <col min="5" max="6" width="27.5546875" style="3" customWidth="1"/>
    <col min="7" max="8" width="29.33203125" style="5" customWidth="1"/>
    <col min="9" max="9" width="30.66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1">
      <c r="B8" s="19" t="s">
        <v>45</v>
      </c>
      <c r="C8" s="1461" t="s">
        <v>80</v>
      </c>
      <c r="D8" s="1461"/>
      <c r="E8" s="17"/>
      <c r="F8" s="17"/>
      <c r="G8" s="17"/>
      <c r="H8" s="17"/>
      <c r="I8" s="17"/>
      <c r="J8" s="17"/>
      <c r="K8" s="17"/>
      <c r="L8" s="17"/>
      <c r="M8" s="17"/>
      <c r="N8" s="17"/>
      <c r="O8" s="17"/>
      <c r="AW8" s="34"/>
      <c r="AX8" s="34"/>
      <c r="AY8" s="34"/>
      <c r="AZ8" s="34"/>
      <c r="BA8" s="34"/>
      <c r="BB8" s="34"/>
      <c r="BC8" s="34"/>
      <c r="BD8" s="34"/>
    </row>
    <row r="9" spans="2:60" ht="56.25" customHeight="1">
      <c r="B9" s="19" t="s">
        <v>34</v>
      </c>
      <c r="C9" s="1456" t="s">
        <v>579</v>
      </c>
      <c r="D9" s="1457"/>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22.2"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06.5" customHeight="1">
      <c r="B16" s="1433"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125" t="str">
        <f>+'01-FR-03 POA INSTITUCIONAL'!C96</f>
        <v>5.1 Generar el 100% de productos de nuevo conocimiento o transformar los existentes, alineados con proyectos resultados de la investigación, desarrollo e innovación (I+D+I) en la Entidad.</v>
      </c>
      <c r="D16" s="28" t="str">
        <f>+'01-FR-03 POA INSTITUCIONAL'!D96</f>
        <v xml:space="preserve">5.1.1 Elaborar cuatro (4) proyectos de investigación, desarrollo e innovación I+D+I para la Entidad </v>
      </c>
      <c r="E16" s="46">
        <f>+'01-FR-03 POA INSTITUCIONAL'!E96</f>
        <v>0.5</v>
      </c>
      <c r="F16" s="123">
        <f>+'01-FR-03 POA INSTITUCIONAL'!F96</f>
        <v>4</v>
      </c>
      <c r="G16" s="58">
        <f>+'01-FR-03 POA INSTITUCIONAL'!M96</f>
        <v>1</v>
      </c>
      <c r="H16" s="35">
        <f>+'01-FR-03 POA INSTITUCIONAL'!G96</f>
        <v>2</v>
      </c>
      <c r="I16" s="35" t="str">
        <f>+'01-FR-03 POA INSTITUCIONAL'!H96</f>
        <v>Proyectos de Investigación, Desarrollo e Innovación (I+D+I) elaborados</v>
      </c>
      <c r="J16" s="116" t="s">
        <v>628</v>
      </c>
      <c r="K16" s="119" t="s">
        <v>580</v>
      </c>
      <c r="L16" s="118" t="s">
        <v>581</v>
      </c>
      <c r="M16" s="122" t="s">
        <v>582</v>
      </c>
      <c r="N16" s="122" t="s">
        <v>583</v>
      </c>
      <c r="O16" s="54" t="str">
        <f>+'01-FR-03 POA INSTITUCIONAL'!J96</f>
        <v xml:space="preserve">Dirección de Gestión del Conocimiento e Innovación </v>
      </c>
      <c r="P16" s="717">
        <v>0</v>
      </c>
      <c r="Q16" s="717">
        <v>0</v>
      </c>
      <c r="R16" s="717">
        <v>0</v>
      </c>
      <c r="S16" s="717">
        <v>0</v>
      </c>
      <c r="T16" s="717">
        <v>0</v>
      </c>
      <c r="U16" s="717">
        <v>0</v>
      </c>
      <c r="V16" s="68">
        <f>P16+R16+T16</f>
        <v>0</v>
      </c>
      <c r="W16" s="68">
        <f>Q16+S16+U16</f>
        <v>0</v>
      </c>
      <c r="X16" s="717">
        <v>0</v>
      </c>
      <c r="Y16" s="713">
        <v>0</v>
      </c>
      <c r="Z16" s="717">
        <v>0</v>
      </c>
      <c r="AA16" s="713">
        <v>0</v>
      </c>
      <c r="AB16" s="717">
        <v>0</v>
      </c>
      <c r="AC16" s="717">
        <v>0</v>
      </c>
      <c r="AD16" s="68">
        <f>X16+Z16+AB16</f>
        <v>0</v>
      </c>
      <c r="AE16" s="68">
        <f>Y16+AA16+AC16</f>
        <v>0</v>
      </c>
      <c r="AF16" s="717">
        <v>0</v>
      </c>
      <c r="AG16" s="713"/>
      <c r="AH16" s="717">
        <v>0</v>
      </c>
      <c r="AI16" s="713"/>
      <c r="AJ16" s="717">
        <v>0</v>
      </c>
      <c r="AK16" s="718"/>
      <c r="AL16" s="68">
        <f>AF16+AH16+AJ16</f>
        <v>0</v>
      </c>
      <c r="AM16" s="68">
        <f>AG16+AI16+AK16</f>
        <v>0</v>
      </c>
      <c r="AN16" s="717">
        <v>0</v>
      </c>
      <c r="AO16" s="713"/>
      <c r="AP16" s="717">
        <v>1</v>
      </c>
      <c r="AQ16" s="713"/>
      <c r="AR16" s="717">
        <v>0</v>
      </c>
      <c r="AS16" s="717"/>
      <c r="AT16" s="68">
        <f>AN16+AP16+AR16</f>
        <v>1</v>
      </c>
      <c r="AU16" s="68">
        <f>AO16+AQ16+AS16</f>
        <v>0</v>
      </c>
      <c r="AV16" s="123">
        <f>V16+AD16+AL16+AT16</f>
        <v>1</v>
      </c>
      <c r="AW16" s="62">
        <f>+W16</f>
        <v>0</v>
      </c>
      <c r="AX16" s="62">
        <f>+W16+AE16</f>
        <v>0</v>
      </c>
      <c r="AY16" s="928">
        <f>+W16+AE16+AM16</f>
        <v>0</v>
      </c>
      <c r="AZ16" s="928">
        <f>+W16+AE16+AM16+AU16</f>
        <v>0</v>
      </c>
      <c r="BA16" s="37">
        <f>IF(AND(AW16&gt;0,$AV16&gt;0),AW16/$AV16,0)</f>
        <v>0</v>
      </c>
      <c r="BB16" s="37">
        <f t="shared" ref="BB16:BD19" si="0">IF(AND(AX16&gt;0,$AV16&gt;0),AX16/$AV16,0)</f>
        <v>0</v>
      </c>
      <c r="BC16" s="37">
        <f t="shared" si="0"/>
        <v>0</v>
      </c>
      <c r="BD16" s="37">
        <f t="shared" si="0"/>
        <v>0</v>
      </c>
      <c r="BE16" s="186">
        <f>(IF(AND(AW16&gt;0,$F16&gt;0),AW16/$F16,0))</f>
        <v>0</v>
      </c>
      <c r="BF16" s="186">
        <f t="shared" ref="BF16:BH19" si="1">(IF(AND(AX16&gt;0,$F16&gt;0),AX16/$F16,0))</f>
        <v>0</v>
      </c>
      <c r="BG16" s="932">
        <f t="shared" si="1"/>
        <v>0</v>
      </c>
      <c r="BH16" s="932">
        <f t="shared" si="1"/>
        <v>0</v>
      </c>
    </row>
    <row r="17" spans="2:60" ht="106.5" customHeight="1">
      <c r="B17" s="1434"/>
      <c r="C17" s="1370"/>
      <c r="D17" s="28" t="str">
        <f>+'01-FR-03 POA INSTITUCIONAL'!D97</f>
        <v>5.1.2. Entregar dos (2) productos resultado de los proyectos de investigación, desarrollo e innovación (I+D+I) realizados en la Entidad para la comunidad</v>
      </c>
      <c r="E17" s="46">
        <f>+'01-FR-03 POA INSTITUCIONAL'!E97</f>
        <v>0.5</v>
      </c>
      <c r="F17" s="123">
        <f>+'01-FR-03 POA INSTITUCIONAL'!F97</f>
        <v>2</v>
      </c>
      <c r="G17" s="58">
        <f>+'01-FR-03 POA INSTITUCIONAL'!M97</f>
        <v>1</v>
      </c>
      <c r="H17" s="35" t="str">
        <f>+'01-FR-03 POA INSTITUCIONAL'!G97</f>
        <v>S.I.</v>
      </c>
      <c r="I17" s="35" t="str">
        <f>+'01-FR-03 POA INSTITUCIONAL'!H97</f>
        <v>Productos resultado de investigaciones, entregadas para la comunidad</v>
      </c>
      <c r="J17" s="116" t="s">
        <v>628</v>
      </c>
      <c r="K17" s="119" t="s">
        <v>585</v>
      </c>
      <c r="L17" s="118" t="s">
        <v>586</v>
      </c>
      <c r="M17" s="122" t="s">
        <v>582</v>
      </c>
      <c r="N17" s="122" t="s">
        <v>583</v>
      </c>
      <c r="O17" s="54" t="str">
        <f>+'[4]01-FR-03 POA INSTITUCIONAL'!J97</f>
        <v xml:space="preserve">Dirección de Gestión del Conocimiento e Innovación </v>
      </c>
      <c r="P17" s="717">
        <v>0</v>
      </c>
      <c r="Q17" s="717">
        <v>0</v>
      </c>
      <c r="R17" s="717">
        <v>0</v>
      </c>
      <c r="S17" s="717">
        <v>0</v>
      </c>
      <c r="T17" s="717">
        <v>0</v>
      </c>
      <c r="U17" s="717">
        <v>0</v>
      </c>
      <c r="V17" s="68">
        <f>P17+R17+T17</f>
        <v>0</v>
      </c>
      <c r="W17" s="68">
        <f>Q17+S17+U17</f>
        <v>0</v>
      </c>
      <c r="X17" s="717">
        <v>0</v>
      </c>
      <c r="Y17" s="713">
        <v>0</v>
      </c>
      <c r="Z17" s="717">
        <v>0</v>
      </c>
      <c r="AA17" s="713">
        <v>0</v>
      </c>
      <c r="AB17" s="717">
        <v>0</v>
      </c>
      <c r="AC17" s="717">
        <v>0</v>
      </c>
      <c r="AD17" s="68">
        <f>X17+Z17+AB17</f>
        <v>0</v>
      </c>
      <c r="AE17" s="68">
        <f>Y17+AA17+AC17</f>
        <v>0</v>
      </c>
      <c r="AF17" s="717">
        <v>0</v>
      </c>
      <c r="AG17" s="713"/>
      <c r="AH17" s="717">
        <v>0</v>
      </c>
      <c r="AI17" s="713"/>
      <c r="AJ17" s="717">
        <v>0</v>
      </c>
      <c r="AK17" s="718"/>
      <c r="AL17" s="68">
        <f>AF17+AH17+AJ17</f>
        <v>0</v>
      </c>
      <c r="AM17" s="68">
        <f>AG17+AI17+AK17</f>
        <v>0</v>
      </c>
      <c r="AN17" s="717">
        <v>0</v>
      </c>
      <c r="AO17" s="713"/>
      <c r="AP17" s="717">
        <v>1</v>
      </c>
      <c r="AQ17" s="713"/>
      <c r="AR17" s="717">
        <v>0</v>
      </c>
      <c r="AS17" s="717"/>
      <c r="AT17" s="68">
        <f>AN17+AP17+AR17</f>
        <v>1</v>
      </c>
      <c r="AU17" s="68">
        <f>AO17+AQ17+AS17</f>
        <v>0</v>
      </c>
      <c r="AV17" s="123">
        <f>V17+AD17+AL17+AT17</f>
        <v>1</v>
      </c>
      <c r="AW17" s="62">
        <f>+W17</f>
        <v>0</v>
      </c>
      <c r="AX17" s="62">
        <f>+W17+AE17</f>
        <v>0</v>
      </c>
      <c r="AY17" s="928">
        <f>+W17+AE17+AM17</f>
        <v>0</v>
      </c>
      <c r="AZ17" s="928">
        <f>+W17+AE17+AM17+AU17</f>
        <v>0</v>
      </c>
      <c r="BA17" s="37">
        <f>IF(AND(AW17&gt;0,$AV17&gt;0),AW17/$AV17,0)</f>
        <v>0</v>
      </c>
      <c r="BB17" s="37">
        <f t="shared" ref="BB17" si="2">IF(AND(AX17&gt;0,$AV17&gt;0),AX17/$AV17,0)</f>
        <v>0</v>
      </c>
      <c r="BC17" s="37">
        <f t="shared" ref="BC17" si="3">IF(AND(AY17&gt;0,$AV17&gt;0),AY17/$AV17,0)</f>
        <v>0</v>
      </c>
      <c r="BD17" s="37">
        <f t="shared" ref="BD17" si="4">IF(AND(AZ17&gt;0,$AV17&gt;0),AZ17/$AV17,0)</f>
        <v>0</v>
      </c>
      <c r="BE17" s="186">
        <f>(IF(AND(AW17&gt;0,$F17&gt;0),AW17/$F17,0))</f>
        <v>0</v>
      </c>
      <c r="BF17" s="186">
        <f t="shared" ref="BF17" si="5">(IF(AND(AX17&gt;0,$F17&gt;0),AX17/$F17,0))</f>
        <v>0</v>
      </c>
      <c r="BG17" s="932">
        <f t="shared" ref="BG17" si="6">(IF(AND(AY17&gt;0,$F17&gt;0),AY17/$F17,0))</f>
        <v>0</v>
      </c>
      <c r="BH17" s="932">
        <f t="shared" ref="BH17" si="7">(IF(AND(AZ17&gt;0,$F17&gt;0),AZ17/$F17,0))</f>
        <v>0</v>
      </c>
    </row>
    <row r="18" spans="2:60" ht="90">
      <c r="B18" s="1434"/>
      <c r="C18" s="28" t="str">
        <f>+'01-FR-03 POA INSTITUCIONAL'!C98</f>
        <v>5.2 Formular el 100% de herramientas y acciones que permitan categorizar, preservar y utilizar el conocimiento para la toma de decisiones y compartir fácilmente los datos y la información de la Entidad.</v>
      </c>
      <c r="D18" s="28" t="str">
        <f>+'01-FR-03 POA INSTITUCIONAL'!D98</f>
        <v xml:space="preserve">5.2.1 Construir ocho (8) informes de investigación e innovación que reflejen la analítica institucional </v>
      </c>
      <c r="E18" s="46">
        <f>+'01-FR-03 POA INSTITUCIONAL'!E98</f>
        <v>1</v>
      </c>
      <c r="F18" s="123">
        <f>+'01-FR-03 POA INSTITUCIONAL'!F98</f>
        <v>8</v>
      </c>
      <c r="G18" s="58">
        <f>+'01-FR-03 POA INSTITUCIONAL'!M98</f>
        <v>3</v>
      </c>
      <c r="H18" s="35">
        <f>+'01-FR-03 POA INSTITUCIONAL'!G98</f>
        <v>2</v>
      </c>
      <c r="I18" s="35" t="str">
        <f>+'01-FR-03 POA INSTITUCIONAL'!H98</f>
        <v>Informes de investigación e innovación construidos</v>
      </c>
      <c r="J18" s="124" t="s">
        <v>584</v>
      </c>
      <c r="K18" s="119" t="s">
        <v>585</v>
      </c>
      <c r="L18" s="118" t="s">
        <v>586</v>
      </c>
      <c r="M18" s="122" t="s">
        <v>582</v>
      </c>
      <c r="N18" s="122" t="s">
        <v>583</v>
      </c>
      <c r="O18" s="54" t="str">
        <f>+'01-FR-03 POA INSTITUCIONAL'!J98</f>
        <v xml:space="preserve">Dirección de Gestión del Conocimiento e Innovación </v>
      </c>
      <c r="P18" s="717">
        <v>0</v>
      </c>
      <c r="Q18" s="717">
        <v>0</v>
      </c>
      <c r="R18" s="717">
        <v>0</v>
      </c>
      <c r="S18" s="717">
        <v>0</v>
      </c>
      <c r="T18" s="717">
        <v>0</v>
      </c>
      <c r="U18" s="717">
        <v>0</v>
      </c>
      <c r="V18" s="68">
        <f t="shared" ref="V18:W19" si="8">P18+R18+T18</f>
        <v>0</v>
      </c>
      <c r="W18" s="68">
        <f t="shared" si="8"/>
        <v>0</v>
      </c>
      <c r="X18" s="717">
        <v>0</v>
      </c>
      <c r="Y18" s="713">
        <v>0</v>
      </c>
      <c r="Z18" s="717">
        <v>0</v>
      </c>
      <c r="AA18" s="713">
        <v>0</v>
      </c>
      <c r="AB18" s="717">
        <v>1</v>
      </c>
      <c r="AC18" s="717">
        <v>1</v>
      </c>
      <c r="AD18" s="68">
        <f t="shared" ref="AD18:AE19" si="9">X18+Z18+AB18</f>
        <v>1</v>
      </c>
      <c r="AE18" s="68">
        <f t="shared" si="9"/>
        <v>1</v>
      </c>
      <c r="AF18" s="717">
        <v>0</v>
      </c>
      <c r="AG18" s="713"/>
      <c r="AH18" s="717">
        <v>0</v>
      </c>
      <c r="AI18" s="713"/>
      <c r="AJ18" s="717">
        <v>1</v>
      </c>
      <c r="AK18" s="718"/>
      <c r="AL18" s="68">
        <f t="shared" ref="AL18:AM19" si="10">AF18+AH18+AJ18</f>
        <v>1</v>
      </c>
      <c r="AM18" s="68">
        <f t="shared" si="10"/>
        <v>0</v>
      </c>
      <c r="AN18" s="717">
        <v>0</v>
      </c>
      <c r="AO18" s="713"/>
      <c r="AP18" s="717">
        <v>1</v>
      </c>
      <c r="AQ18" s="713"/>
      <c r="AR18" s="717">
        <v>0</v>
      </c>
      <c r="AS18" s="717"/>
      <c r="AT18" s="68">
        <f t="shared" ref="AT18:AU19" si="11">AN18+AP18+AR18</f>
        <v>1</v>
      </c>
      <c r="AU18" s="68">
        <f t="shared" si="11"/>
        <v>0</v>
      </c>
      <c r="AV18" s="123">
        <f t="shared" ref="AV18:AV19" si="12">V18+AD18+AL18+AT18</f>
        <v>3</v>
      </c>
      <c r="AW18" s="62">
        <f>+W18</f>
        <v>0</v>
      </c>
      <c r="AX18" s="62">
        <f>+W18+AE18</f>
        <v>1</v>
      </c>
      <c r="AY18" s="928">
        <f>+W18+AE18+AM18</f>
        <v>1</v>
      </c>
      <c r="AZ18" s="928">
        <f>+W18+AE18+AM18+AU18</f>
        <v>1</v>
      </c>
      <c r="BA18" s="37">
        <f>IF(AND(AW18&gt;0,AV18&gt;0),AW18/AV18,0)</f>
        <v>0</v>
      </c>
      <c r="BB18" s="37">
        <f t="shared" si="0"/>
        <v>0.33333333333333331</v>
      </c>
      <c r="BC18" s="37">
        <f t="shared" si="0"/>
        <v>0.33333333333333331</v>
      </c>
      <c r="BD18" s="37">
        <f t="shared" si="0"/>
        <v>0.33333333333333331</v>
      </c>
      <c r="BE18" s="186">
        <f>(IF(AND(AW18&gt;0,$F18&gt;0),AW18/$F18,0))</f>
        <v>0</v>
      </c>
      <c r="BF18" s="186">
        <f t="shared" si="1"/>
        <v>0.125</v>
      </c>
      <c r="BG18" s="932">
        <f t="shared" si="1"/>
        <v>0.125</v>
      </c>
      <c r="BH18" s="932">
        <f t="shared" si="1"/>
        <v>0.125</v>
      </c>
    </row>
    <row r="19" spans="2:60" ht="105" customHeight="1">
      <c r="B19" s="1454"/>
      <c r="C19" s="28"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8" t="str">
        <f>+'01-FR-03 POA INSTITUCIONAL'!D99</f>
        <v>5.3.1 Desarrollar ochenta (80) actividades de apropiación social del conocimiento para la creación de la cultura de la investigación e innovación.</v>
      </c>
      <c r="E19" s="46">
        <f>+'01-FR-03 POA INSTITUCIONAL'!E99</f>
        <v>1</v>
      </c>
      <c r="F19" s="123">
        <f>+'01-FR-03 POA INSTITUCIONAL'!F99</f>
        <v>80</v>
      </c>
      <c r="G19" s="58">
        <f>+'01-FR-03 POA INSTITUCIONAL'!M99</f>
        <v>39</v>
      </c>
      <c r="H19" s="35">
        <f>+'01-FR-03 POA INSTITUCIONAL'!G99</f>
        <v>3</v>
      </c>
      <c r="I19" s="35" t="str">
        <f>+'01-FR-03 POA INSTITUCIONAL'!H99</f>
        <v>Actividades de apropiación social del conocimiento desarrolladas</v>
      </c>
      <c r="J19" s="116" t="s">
        <v>587</v>
      </c>
      <c r="K19" s="119" t="s">
        <v>588</v>
      </c>
      <c r="L19" s="118" t="s">
        <v>589</v>
      </c>
      <c r="M19" s="122" t="s">
        <v>582</v>
      </c>
      <c r="N19" s="122" t="s">
        <v>583</v>
      </c>
      <c r="O19" s="54" t="str">
        <f>+'01-FR-03 POA INSTITUCIONAL'!J99</f>
        <v xml:space="preserve">Dirección de Gestión del Conocimiento e Innovación </v>
      </c>
      <c r="P19" s="717">
        <v>0</v>
      </c>
      <c r="Q19" s="717">
        <v>0</v>
      </c>
      <c r="R19" s="717">
        <v>3</v>
      </c>
      <c r="S19" s="717">
        <v>3</v>
      </c>
      <c r="T19" s="717">
        <v>4</v>
      </c>
      <c r="U19" s="717">
        <v>4</v>
      </c>
      <c r="V19" s="68">
        <f t="shared" si="8"/>
        <v>7</v>
      </c>
      <c r="W19" s="68">
        <f t="shared" si="8"/>
        <v>7</v>
      </c>
      <c r="X19" s="717">
        <v>4</v>
      </c>
      <c r="Y19" s="713">
        <v>4</v>
      </c>
      <c r="Z19" s="717">
        <v>4</v>
      </c>
      <c r="AA19" s="713">
        <v>4</v>
      </c>
      <c r="AB19" s="717">
        <v>4</v>
      </c>
      <c r="AC19" s="717">
        <v>4</v>
      </c>
      <c r="AD19" s="68">
        <f t="shared" si="9"/>
        <v>12</v>
      </c>
      <c r="AE19" s="68">
        <f t="shared" si="9"/>
        <v>12</v>
      </c>
      <c r="AF19" s="717">
        <v>4</v>
      </c>
      <c r="AG19" s="713"/>
      <c r="AH19" s="717">
        <v>4</v>
      </c>
      <c r="AI19" s="713"/>
      <c r="AJ19" s="717">
        <v>4</v>
      </c>
      <c r="AK19" s="718"/>
      <c r="AL19" s="68">
        <f t="shared" si="10"/>
        <v>12</v>
      </c>
      <c r="AM19" s="68">
        <f t="shared" si="10"/>
        <v>0</v>
      </c>
      <c r="AN19" s="717">
        <v>4</v>
      </c>
      <c r="AO19" s="713"/>
      <c r="AP19" s="717">
        <v>4</v>
      </c>
      <c r="AQ19" s="713"/>
      <c r="AR19" s="717">
        <v>0</v>
      </c>
      <c r="AS19" s="717"/>
      <c r="AT19" s="68">
        <f t="shared" si="11"/>
        <v>8</v>
      </c>
      <c r="AU19" s="68">
        <f t="shared" si="11"/>
        <v>0</v>
      </c>
      <c r="AV19" s="123">
        <f t="shared" si="12"/>
        <v>39</v>
      </c>
      <c r="AW19" s="62">
        <f>+W19</f>
        <v>7</v>
      </c>
      <c r="AX19" s="62">
        <f>+W19+AE19</f>
        <v>19</v>
      </c>
      <c r="AY19" s="928">
        <f>+W19+AE19+AM19</f>
        <v>19</v>
      </c>
      <c r="AZ19" s="928">
        <f>+W19+AE19+AM19+AU19</f>
        <v>19</v>
      </c>
      <c r="BA19" s="37">
        <f>IF(AND(AW19&gt;0,AV19&gt;0),AW19/AV19,0)</f>
        <v>0.17948717948717949</v>
      </c>
      <c r="BB19" s="37">
        <f t="shared" si="0"/>
        <v>0.48717948717948717</v>
      </c>
      <c r="BC19" s="192">
        <f t="shared" si="0"/>
        <v>0.48717948717948717</v>
      </c>
      <c r="BD19" s="192">
        <f t="shared" si="0"/>
        <v>0.48717948717948717</v>
      </c>
      <c r="BE19" s="186">
        <f>(IF(AND(AW19&gt;0,$F19&gt;0),AW19/$F19,0))</f>
        <v>8.7499999999999994E-2</v>
      </c>
      <c r="BF19" s="186">
        <f t="shared" si="1"/>
        <v>0.23749999999999999</v>
      </c>
      <c r="BG19" s="932">
        <f t="shared" si="1"/>
        <v>0.23749999999999999</v>
      </c>
      <c r="BH19" s="932">
        <f t="shared" si="1"/>
        <v>0.23749999999999999</v>
      </c>
    </row>
    <row r="20" spans="2:60" ht="22.8">
      <c r="B20" s="1371"/>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72"/>
      <c r="AS20" s="1372"/>
      <c r="AT20" s="1372"/>
      <c r="AU20" s="1372"/>
      <c r="AV20" s="1372"/>
      <c r="AW20" s="1455"/>
      <c r="AX20" s="1431" t="s">
        <v>19</v>
      </c>
      <c r="AY20" s="1432"/>
      <c r="AZ20" s="1432"/>
      <c r="BA20" s="59">
        <f t="shared" ref="BA20:BD20" si="13">AVERAGE(BA16:BA19)</f>
        <v>4.4871794871794872E-2</v>
      </c>
      <c r="BB20" s="59">
        <f t="shared" si="13"/>
        <v>0.20512820512820512</v>
      </c>
      <c r="BC20" s="59">
        <f t="shared" si="13"/>
        <v>0.20512820512820512</v>
      </c>
      <c r="BD20" s="183">
        <f t="shared" si="13"/>
        <v>0.20512820512820512</v>
      </c>
      <c r="BE20" s="1458"/>
      <c r="BF20" s="1459"/>
      <c r="BG20" s="1459"/>
      <c r="BH20" s="1460"/>
    </row>
    <row r="21" spans="2:60">
      <c r="B21" s="1413"/>
      <c r="C21" s="1413"/>
      <c r="D21" s="1413"/>
      <c r="E21" s="1413"/>
      <c r="F21" s="1413"/>
      <c r="G21" s="1413"/>
      <c r="H21" s="39"/>
      <c r="I21" s="38"/>
      <c r="J21" s="38"/>
      <c r="K21" s="38"/>
      <c r="L21" s="38"/>
      <c r="M21" s="38"/>
      <c r="N21" s="38"/>
      <c r="O21" s="38"/>
    </row>
    <row r="22" spans="2:60">
      <c r="B22" s="38"/>
      <c r="C22" s="38"/>
      <c r="D22" s="1440"/>
      <c r="E22" s="1440"/>
      <c r="F22" s="1440"/>
      <c r="G22" s="1440"/>
      <c r="H22" s="1440"/>
      <c r="I22" s="1440"/>
      <c r="J22" s="1440"/>
      <c r="K22" s="1440"/>
      <c r="L22" s="1440"/>
      <c r="M22" s="1440"/>
      <c r="N22" s="1440"/>
      <c r="O22" s="1440"/>
    </row>
    <row r="23" spans="2:60" ht="15.6" customHeight="1">
      <c r="B23" s="40" t="s">
        <v>26</v>
      </c>
      <c r="C23" s="41">
        <v>44224</v>
      </c>
      <c r="D23" s="121"/>
      <c r="E23" s="1443" t="s">
        <v>50</v>
      </c>
      <c r="F23" s="1448" t="s">
        <v>590</v>
      </c>
      <c r="G23" s="1449"/>
      <c r="H23" s="1449"/>
      <c r="I23" s="1449"/>
      <c r="J23" s="1450"/>
      <c r="K23" s="43"/>
      <c r="L23" s="1403"/>
      <c r="M23" s="1403"/>
      <c r="N23" s="1403"/>
      <c r="O23" s="1439"/>
    </row>
    <row r="24" spans="2:60" ht="15.6">
      <c r="B24" s="38"/>
      <c r="C24" s="38"/>
      <c r="D24" s="43"/>
      <c r="E24" s="1443"/>
      <c r="F24" s="1451"/>
      <c r="G24" s="1452"/>
      <c r="H24" s="1452"/>
      <c r="I24" s="1452"/>
      <c r="J24" s="1453"/>
      <c r="K24" s="38"/>
      <c r="L24" s="38"/>
      <c r="M24" s="38"/>
      <c r="N24" s="38"/>
      <c r="O24" s="38"/>
    </row>
    <row r="25" spans="2:60" ht="15.6">
      <c r="B25" s="40" t="s">
        <v>49</v>
      </c>
      <c r="C25" s="41">
        <v>44581</v>
      </c>
      <c r="D25" s="38"/>
      <c r="E25" s="38"/>
      <c r="F25" s="38"/>
      <c r="K25" s="38"/>
      <c r="L25" s="38"/>
      <c r="M25" s="38"/>
      <c r="N25" s="38"/>
      <c r="O25" s="38"/>
    </row>
    <row r="26" spans="2:60" ht="13.2" customHeight="1">
      <c r="B26" s="38"/>
      <c r="C26" s="868"/>
      <c r="D26" s="38"/>
      <c r="E26" s="38"/>
      <c r="F26" s="38"/>
      <c r="K26" s="38"/>
      <c r="L26" s="38"/>
      <c r="M26" s="38"/>
      <c r="N26" s="38"/>
      <c r="O26" s="38"/>
    </row>
    <row r="27" spans="2:60" ht="31.5" customHeight="1">
      <c r="B27" s="40" t="s">
        <v>49</v>
      </c>
      <c r="C27" s="41">
        <v>44953</v>
      </c>
      <c r="D27" s="38"/>
      <c r="E27" s="38"/>
      <c r="F27" s="38"/>
      <c r="K27" s="38"/>
      <c r="L27" s="38"/>
      <c r="M27" s="38"/>
      <c r="N27" s="38"/>
      <c r="O27" s="38"/>
    </row>
    <row r="28" spans="2:60">
      <c r="B28" s="38"/>
      <c r="C28" s="38"/>
      <c r="D28" s="38"/>
      <c r="E28" s="38"/>
      <c r="F28" s="38"/>
      <c r="K28" s="38"/>
      <c r="L28" s="38"/>
      <c r="M28" s="38"/>
      <c r="N28" s="38"/>
      <c r="O28" s="38"/>
    </row>
    <row r="29" spans="2:60">
      <c r="B29" s="445" t="s">
        <v>876</v>
      </c>
      <c r="C29" s="38"/>
      <c r="D29" s="38"/>
      <c r="E29" s="38"/>
      <c r="F29" s="38"/>
      <c r="G29" s="39"/>
      <c r="H29" s="39"/>
      <c r="I29" s="1438"/>
      <c r="J29" s="1438"/>
      <c r="K29" s="1438"/>
      <c r="L29" s="1438"/>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38"/>
      <c r="J31" s="1438"/>
      <c r="K31" s="1438"/>
      <c r="L31" s="1438"/>
      <c r="M31" s="44"/>
      <c r="N31" s="44"/>
      <c r="O31" s="44"/>
    </row>
    <row r="32" spans="2:60">
      <c r="B32" s="38"/>
      <c r="C32" s="38"/>
      <c r="D32" s="38"/>
      <c r="E32" s="38"/>
      <c r="F32" s="38"/>
      <c r="G32" s="39"/>
      <c r="H32" s="39"/>
      <c r="I32" s="38"/>
      <c r="J32" s="38"/>
      <c r="K32" s="45"/>
      <c r="L32" s="38"/>
      <c r="M32" s="38"/>
      <c r="N32" s="38"/>
      <c r="O32" s="38"/>
    </row>
    <row r="33" spans="2:15">
      <c r="B33" s="38"/>
      <c r="C33" s="38"/>
      <c r="D33" s="38"/>
      <c r="E33" s="38"/>
      <c r="F33" s="38"/>
      <c r="G33" s="39"/>
      <c r="H33" s="39"/>
      <c r="I33" s="1438"/>
      <c r="J33" s="1438"/>
      <c r="K33" s="1438"/>
      <c r="L33" s="1438"/>
      <c r="M33" s="44"/>
      <c r="N33" s="44"/>
      <c r="O33" s="44"/>
    </row>
  </sheetData>
  <sheetProtection algorithmName="SHA-512" hashValue="ZRxFhxkogLngQ/ICWJeDgCVxE/Ss7L2VxmoacmJW1iHu4cQ3DskWgcHTyaWPoCRfbEz7mKmCsIB8OMXS3qqO5Q==" saltValue="KyV3P3KXDmr0y5QikPPp0w==" spinCount="100000" sheet="1" objects="1" scenarios="1"/>
  <mergeCells count="71">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C16:C17"/>
    <mergeCell ref="I33:L33"/>
    <mergeCell ref="B21:G21"/>
    <mergeCell ref="D22:O22"/>
    <mergeCell ref="E23:E24"/>
    <mergeCell ref="L23:O23"/>
    <mergeCell ref="I29:L29"/>
    <mergeCell ref="I31:L31"/>
    <mergeCell ref="F23:J24"/>
  </mergeCells>
  <conditionalFormatting sqref="BA16:BD16 BA18:BD19">
    <cfRule type="cellIs" dxfId="66" priority="5" operator="greaterThan">
      <formula>1</formula>
    </cfRule>
    <cfRule type="cellIs" dxfId="65" priority="6" operator="between">
      <formula>0.8</formula>
      <formula>1</formula>
    </cfRule>
    <cfRule type="cellIs" dxfId="64" priority="7" operator="between">
      <formula>0.61</formula>
      <formula>0.79</formula>
    </cfRule>
    <cfRule type="cellIs" dxfId="63" priority="8" operator="between">
      <formula>0</formula>
      <formula>0.6</formula>
    </cfRule>
  </conditionalFormatting>
  <conditionalFormatting sqref="BA17:BD17">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I36"/>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6.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1" ht="15.6" thickBot="1"/>
    <row r="2" spans="2:61"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1"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1"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1"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1"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1" ht="21">
      <c r="B8" s="19" t="s">
        <v>45</v>
      </c>
      <c r="C8" s="1462" t="s">
        <v>81</v>
      </c>
      <c r="D8" s="1462"/>
      <c r="E8" s="17"/>
      <c r="F8" s="17"/>
      <c r="G8" s="17"/>
      <c r="H8" s="17"/>
      <c r="I8" s="17"/>
      <c r="J8" s="17"/>
      <c r="K8" s="17"/>
      <c r="L8" s="17"/>
      <c r="M8" s="17"/>
      <c r="N8" s="17"/>
      <c r="O8" s="17"/>
      <c r="AW8" s="34"/>
      <c r="AX8" s="34"/>
      <c r="AY8" s="34"/>
      <c r="AZ8" s="34"/>
      <c r="BA8" s="34"/>
      <c r="BB8" s="34"/>
      <c r="BC8" s="34"/>
      <c r="BD8" s="34"/>
    </row>
    <row r="9" spans="2:61" ht="96.75" customHeight="1">
      <c r="B9" s="19" t="s">
        <v>34</v>
      </c>
      <c r="C9" s="1427" t="s">
        <v>346</v>
      </c>
      <c r="D9" s="1428"/>
      <c r="E9" s="17"/>
      <c r="F9" s="17"/>
      <c r="G9" s="17"/>
      <c r="H9" s="17"/>
      <c r="I9" s="17"/>
      <c r="J9" s="17"/>
      <c r="K9" s="17"/>
      <c r="L9" s="17"/>
      <c r="M9" s="17"/>
      <c r="N9" s="17"/>
      <c r="O9" s="17"/>
      <c r="AW9" s="34"/>
      <c r="AX9" s="34"/>
      <c r="AY9" s="34"/>
      <c r="AZ9" s="34"/>
      <c r="BA9" s="34"/>
      <c r="BB9" s="34"/>
      <c r="BC9" s="34"/>
      <c r="BD9" s="34"/>
    </row>
    <row r="10" spans="2:61"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1">
      <c r="B11" s="2"/>
      <c r="C11" s="2"/>
      <c r="D11" s="2"/>
      <c r="E11" s="2"/>
      <c r="F11" s="2"/>
      <c r="G11" s="4"/>
      <c r="H11" s="4"/>
      <c r="I11" s="2"/>
      <c r="J11" s="2"/>
      <c r="K11" s="2"/>
      <c r="L11" s="2"/>
      <c r="M11" s="2"/>
      <c r="N11" s="2"/>
      <c r="O11" s="2"/>
      <c r="AW11" s="34"/>
      <c r="AX11" s="34"/>
      <c r="AY11" s="34"/>
      <c r="AZ11" s="34"/>
      <c r="BA11" s="34"/>
      <c r="BB11" s="34"/>
      <c r="BC11" s="34"/>
      <c r="BD11" s="34"/>
    </row>
    <row r="12" spans="2:61" ht="28.95"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1"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1"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1" ht="18"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1" ht="76.5" customHeight="1">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INSTITUCIONAL'!C48</f>
        <v>4.1. Implementar el 100% de las acciones que impulsen el crecimiento del Modelo de Madurez de Transformación Digital de la Entidad, aplicando los principios , lineamientos y normas que lo enmarcan.</v>
      </c>
      <c r="D16" s="28" t="str">
        <f>+'01-FR-03 POA INSTITUCIONAL'!D48</f>
        <v>4.1.1 Implementar el 100 % de los proyectos de hoja de ruta del Plan Estratégico de Tecnología de la Información de tal forma que se optimicen los procesos de la Entidad</v>
      </c>
      <c r="E16" s="46">
        <f>+'01-FR-03 POA INSTITUCIONAL'!E48</f>
        <v>0.14000000000000001</v>
      </c>
      <c r="F16" s="185">
        <f>+'01-FR-03 POA INSTITUCIONAL'!F48</f>
        <v>1</v>
      </c>
      <c r="G16" s="88">
        <f>+'01-FR-03 POA INSTITUCIONAL'!M48</f>
        <v>0.25</v>
      </c>
      <c r="H16" s="35" t="str">
        <f>+'01-FR-03 POA INSTITUCIONAL'!G48</f>
        <v>S.I.</v>
      </c>
      <c r="I16" s="125" t="str">
        <f>+'01-FR-03 POA INSTITUCIONAL'!H48</f>
        <v>Porcentaje de proyectos implementados de acuerdo al plan de tecnologías de la Información</v>
      </c>
      <c r="J16" s="119" t="s">
        <v>322</v>
      </c>
      <c r="K16" s="119" t="s">
        <v>323</v>
      </c>
      <c r="L16" s="118" t="s">
        <v>324</v>
      </c>
      <c r="M16" s="126" t="s">
        <v>325</v>
      </c>
      <c r="N16" s="119" t="s">
        <v>326</v>
      </c>
      <c r="O16" s="63" t="str">
        <f>+'01-FR-03 POA INSTITUCIONAL'!J48</f>
        <v>Dirección de Tecnologías de la  Información y las Comunicaciones</v>
      </c>
      <c r="P16" s="719">
        <v>0.01</v>
      </c>
      <c r="Q16" s="719">
        <v>0.01</v>
      </c>
      <c r="R16" s="719">
        <v>0.01</v>
      </c>
      <c r="S16" s="719">
        <v>0.01</v>
      </c>
      <c r="T16" s="719">
        <v>0.03</v>
      </c>
      <c r="U16" s="719">
        <v>0.03</v>
      </c>
      <c r="V16" s="194">
        <f t="shared" ref="V16:W22" si="0">P16+R16+T16</f>
        <v>0.05</v>
      </c>
      <c r="W16" s="194">
        <f t="shared" si="0"/>
        <v>0.05</v>
      </c>
      <c r="X16" s="719">
        <v>0.02</v>
      </c>
      <c r="Y16" s="719">
        <v>0.02</v>
      </c>
      <c r="Z16" s="719">
        <v>0.02</v>
      </c>
      <c r="AA16" s="719">
        <v>0.02</v>
      </c>
      <c r="AB16" s="719">
        <v>0.03</v>
      </c>
      <c r="AC16" s="719">
        <v>0.03</v>
      </c>
      <c r="AD16" s="194">
        <f t="shared" ref="AD16:AE22" si="1">X16+Z16+AB16</f>
        <v>7.0000000000000007E-2</v>
      </c>
      <c r="AE16" s="194">
        <f t="shared" si="1"/>
        <v>7.0000000000000007E-2</v>
      </c>
      <c r="AF16" s="719">
        <v>0.03</v>
      </c>
      <c r="AG16" s="719"/>
      <c r="AH16" s="719">
        <v>0.02</v>
      </c>
      <c r="AI16" s="719"/>
      <c r="AJ16" s="719">
        <v>0.02</v>
      </c>
      <c r="AK16" s="719"/>
      <c r="AL16" s="194">
        <f t="shared" ref="AL16:AM22" si="2">AF16+AH16+AJ16</f>
        <v>7.0000000000000007E-2</v>
      </c>
      <c r="AM16" s="194">
        <f t="shared" si="2"/>
        <v>0</v>
      </c>
      <c r="AN16" s="719">
        <v>0.02</v>
      </c>
      <c r="AO16" s="719"/>
      <c r="AP16" s="719">
        <v>0.02</v>
      </c>
      <c r="AQ16" s="719"/>
      <c r="AR16" s="719">
        <v>0.02</v>
      </c>
      <c r="AS16" s="719"/>
      <c r="AT16" s="194">
        <f>AN16+AP16+AR16</f>
        <v>0.06</v>
      </c>
      <c r="AU16" s="194">
        <f>AO16+AQ16+AS16</f>
        <v>0</v>
      </c>
      <c r="AV16" s="194">
        <f>V16+AD16+AL16+AT16</f>
        <v>0.25</v>
      </c>
      <c r="AW16" s="55">
        <f t="shared" ref="AW16:AW22" si="3">+W16</f>
        <v>0.05</v>
      </c>
      <c r="AX16" s="55">
        <f t="shared" ref="AX16:AX22" si="4">+W16+AE16</f>
        <v>0.12000000000000001</v>
      </c>
      <c r="AY16" s="929">
        <f t="shared" ref="AY16:AY22" si="5">+W16+AE16+AM16</f>
        <v>0.12000000000000001</v>
      </c>
      <c r="AZ16" s="929">
        <f t="shared" ref="AZ16:AZ22" si="6">+W16+AE16+AM16+AU16</f>
        <v>0.12000000000000001</v>
      </c>
      <c r="BA16" s="238">
        <f>IF(AND(AW16&gt;0,$AV16&gt;0),AW16/$AV16,0)</f>
        <v>0.2</v>
      </c>
      <c r="BB16" s="239">
        <f t="shared" ref="BB16:BD22" si="7">IF(AND(AX16&gt;0,$AV16&gt;0),AX16/$AV16,0)</f>
        <v>0.48000000000000004</v>
      </c>
      <c r="BC16" s="192">
        <f t="shared" si="7"/>
        <v>0.48000000000000004</v>
      </c>
      <c r="BD16" s="192">
        <f t="shared" si="7"/>
        <v>0.48000000000000004</v>
      </c>
      <c r="BE16" s="186">
        <f>(IF(AND(AW16&gt;0,$F16&gt;0),AW16/$F16,0))</f>
        <v>0.05</v>
      </c>
      <c r="BF16" s="186">
        <f t="shared" ref="BF16:BH22" si="8">(IF(AND(AX16&gt;0,$F16&gt;0),AX16/$F16,0))</f>
        <v>0.12000000000000001</v>
      </c>
      <c r="BG16" s="932">
        <f t="shared" si="8"/>
        <v>0.12000000000000001</v>
      </c>
      <c r="BH16" s="932">
        <f t="shared" si="8"/>
        <v>0.12000000000000001</v>
      </c>
      <c r="BI16" s="187"/>
    </row>
    <row r="17" spans="2:60" ht="84.75" customHeight="1">
      <c r="B17" s="1434"/>
      <c r="C17" s="1434"/>
      <c r="D17" s="28" t="str">
        <f>+'01-FR-03 POA INSTITUCIONAL'!D49</f>
        <v>4.1.2 Ejecutar en un 100 % las actividades programadas en el plan de Seguridad de la Información, garantizando la disponibilidad, confiabilidad e integridad de los activos de información</v>
      </c>
      <c r="E17" s="46">
        <f>+'01-FR-03 POA INSTITUCIONAL'!E49</f>
        <v>0.14000000000000001</v>
      </c>
      <c r="F17" s="185">
        <f>+'01-FR-03 POA INSTITUCIONAL'!F49</f>
        <v>1</v>
      </c>
      <c r="G17" s="88">
        <f>+'01-FR-03 POA INSTITUCIONAL'!M49</f>
        <v>0.25</v>
      </c>
      <c r="H17" s="35" t="str">
        <f>+'01-FR-03 POA INSTITUCIONAL'!G49</f>
        <v>S.I.</v>
      </c>
      <c r="I17" s="125" t="str">
        <f>+'01-FR-03 POA INSTITUCIONAL'!H49</f>
        <v>Porcentaje de actividades ejecutadas de acuerdo al plan de Seguridad de información</v>
      </c>
      <c r="J17" s="119" t="s">
        <v>327</v>
      </c>
      <c r="K17" s="119" t="s">
        <v>328</v>
      </c>
      <c r="L17" s="118" t="s">
        <v>329</v>
      </c>
      <c r="M17" s="126" t="s">
        <v>325</v>
      </c>
      <c r="N17" s="119" t="s">
        <v>330</v>
      </c>
      <c r="O17" s="63" t="str">
        <f>+'01-FR-03 POA INSTITUCIONAL'!J49</f>
        <v>Dirección de Tecnologías de la  Información y las Comunicaciones</v>
      </c>
      <c r="P17" s="719">
        <v>0.01</v>
      </c>
      <c r="Q17" s="719">
        <v>0.01</v>
      </c>
      <c r="R17" s="719">
        <v>0.01</v>
      </c>
      <c r="S17" s="719">
        <v>0.01</v>
      </c>
      <c r="T17" s="719">
        <v>0.03</v>
      </c>
      <c r="U17" s="719">
        <v>0.03</v>
      </c>
      <c r="V17" s="194">
        <f t="shared" si="0"/>
        <v>0.05</v>
      </c>
      <c r="W17" s="194">
        <f t="shared" si="0"/>
        <v>0.05</v>
      </c>
      <c r="X17" s="719">
        <v>0.02</v>
      </c>
      <c r="Y17" s="719">
        <v>0.02</v>
      </c>
      <c r="Z17" s="719">
        <v>0.02</v>
      </c>
      <c r="AA17" s="719">
        <v>0.02</v>
      </c>
      <c r="AB17" s="719">
        <v>0.03</v>
      </c>
      <c r="AC17" s="719">
        <v>0.03</v>
      </c>
      <c r="AD17" s="194">
        <f t="shared" si="1"/>
        <v>7.0000000000000007E-2</v>
      </c>
      <c r="AE17" s="194">
        <f t="shared" si="1"/>
        <v>7.0000000000000007E-2</v>
      </c>
      <c r="AF17" s="719">
        <v>0.03</v>
      </c>
      <c r="AG17" s="719"/>
      <c r="AH17" s="719">
        <v>0.02</v>
      </c>
      <c r="AI17" s="719"/>
      <c r="AJ17" s="719">
        <v>0.02</v>
      </c>
      <c r="AK17" s="719"/>
      <c r="AL17" s="194">
        <f t="shared" si="2"/>
        <v>7.0000000000000007E-2</v>
      </c>
      <c r="AM17" s="194">
        <f t="shared" si="2"/>
        <v>0</v>
      </c>
      <c r="AN17" s="719">
        <v>0.02</v>
      </c>
      <c r="AO17" s="719"/>
      <c r="AP17" s="719">
        <v>0.02</v>
      </c>
      <c r="AQ17" s="719"/>
      <c r="AR17" s="719">
        <v>0.02</v>
      </c>
      <c r="AS17" s="719"/>
      <c r="AT17" s="194">
        <f t="shared" ref="AT17:AU22" si="9">AN17+AP17+AR17</f>
        <v>0.06</v>
      </c>
      <c r="AU17" s="194">
        <f t="shared" si="9"/>
        <v>0</v>
      </c>
      <c r="AV17" s="194">
        <f t="shared" ref="AV17:AV22" si="10">V17+AD17+AL17+AT17</f>
        <v>0.25</v>
      </c>
      <c r="AW17" s="55">
        <f t="shared" si="3"/>
        <v>0.05</v>
      </c>
      <c r="AX17" s="55">
        <f t="shared" si="4"/>
        <v>0.12000000000000001</v>
      </c>
      <c r="AY17" s="929">
        <f t="shared" si="5"/>
        <v>0.12000000000000001</v>
      </c>
      <c r="AZ17" s="929">
        <f t="shared" si="6"/>
        <v>0.12000000000000001</v>
      </c>
      <c r="BA17" s="192">
        <f t="shared" ref="BA17:BA22" si="11">IF(AND(AW17&gt;0,AV17&gt;0),AW17/AV17,0)</f>
        <v>0.2</v>
      </c>
      <c r="BB17" s="239">
        <f t="shared" si="7"/>
        <v>0.48000000000000004</v>
      </c>
      <c r="BC17" s="192">
        <f t="shared" si="7"/>
        <v>0.48000000000000004</v>
      </c>
      <c r="BD17" s="192">
        <f t="shared" si="7"/>
        <v>0.48000000000000004</v>
      </c>
      <c r="BE17" s="186">
        <f t="shared" ref="BE17:BE22" si="12">(IF(AND(AW17&gt;0,$F17&gt;0),AW17/$F17,0))</f>
        <v>0.05</v>
      </c>
      <c r="BF17" s="186">
        <f t="shared" si="8"/>
        <v>0.12000000000000001</v>
      </c>
      <c r="BG17" s="932">
        <f t="shared" si="8"/>
        <v>0.12000000000000001</v>
      </c>
      <c r="BH17" s="932">
        <f t="shared" si="8"/>
        <v>0.12000000000000001</v>
      </c>
    </row>
    <row r="18" spans="2:60" ht="107.25" customHeight="1">
      <c r="B18" s="1434"/>
      <c r="C18" s="1434"/>
      <c r="D18" s="28" t="str">
        <f>+'01-FR-03 POA INSTITUCIONAL'!D50</f>
        <v>4.1.3 Realizar el 100% de las actividades definidas en la estrategia de servicios ciudadanos digitales, que permitan acceder a los tramites y servicios de la Entidad a través de canales digitales rápidos, fiables y seguros</v>
      </c>
      <c r="E18" s="46">
        <f>+'01-FR-03 POA INSTITUCIONAL'!E50</f>
        <v>0.14000000000000001</v>
      </c>
      <c r="F18" s="185">
        <f>+'01-FR-03 POA INSTITUCIONAL'!F50</f>
        <v>1</v>
      </c>
      <c r="G18" s="88">
        <f>+'01-FR-03 POA INSTITUCIONAL'!M50</f>
        <v>0.25</v>
      </c>
      <c r="H18" s="35" t="str">
        <f>+'01-FR-03 POA INSTITUCIONAL'!G50</f>
        <v>S.I.</v>
      </c>
      <c r="I18" s="125" t="str">
        <f>+'01-FR-03 POA INSTITUCIONAL'!H50</f>
        <v xml:space="preserve">Porcentaje de actividades ejecutadas  en la estrategia de servicios ciudadanos digitales </v>
      </c>
      <c r="J18" s="119" t="s">
        <v>327</v>
      </c>
      <c r="K18" s="119" t="s">
        <v>331</v>
      </c>
      <c r="L18" s="118" t="s">
        <v>332</v>
      </c>
      <c r="M18" s="126" t="s">
        <v>325</v>
      </c>
      <c r="N18" s="119" t="s">
        <v>330</v>
      </c>
      <c r="O18" s="63" t="str">
        <f>+'01-FR-03 POA INSTITUCIONAL'!J50</f>
        <v>Dirección de Tecnologías de la  Información y las Comunicaciones</v>
      </c>
      <c r="P18" s="719">
        <v>0.01</v>
      </c>
      <c r="Q18" s="719">
        <v>0.01</v>
      </c>
      <c r="R18" s="719">
        <v>0.01</v>
      </c>
      <c r="S18" s="719">
        <v>0.01</v>
      </c>
      <c r="T18" s="719">
        <v>0.03</v>
      </c>
      <c r="U18" s="719">
        <v>0.03</v>
      </c>
      <c r="V18" s="194">
        <f t="shared" si="0"/>
        <v>0.05</v>
      </c>
      <c r="W18" s="194">
        <f t="shared" si="0"/>
        <v>0.05</v>
      </c>
      <c r="X18" s="719">
        <v>0.02</v>
      </c>
      <c r="Y18" s="719">
        <v>0.02</v>
      </c>
      <c r="Z18" s="719">
        <v>0.02</v>
      </c>
      <c r="AA18" s="719">
        <v>0.02</v>
      </c>
      <c r="AB18" s="719">
        <v>0.03</v>
      </c>
      <c r="AC18" s="719">
        <v>0.03</v>
      </c>
      <c r="AD18" s="194">
        <f t="shared" si="1"/>
        <v>7.0000000000000007E-2</v>
      </c>
      <c r="AE18" s="194">
        <f t="shared" si="1"/>
        <v>7.0000000000000007E-2</v>
      </c>
      <c r="AF18" s="719">
        <v>0.03</v>
      </c>
      <c r="AG18" s="719"/>
      <c r="AH18" s="719">
        <v>0.02</v>
      </c>
      <c r="AI18" s="719"/>
      <c r="AJ18" s="719">
        <v>0.02</v>
      </c>
      <c r="AK18" s="719"/>
      <c r="AL18" s="194">
        <f t="shared" si="2"/>
        <v>7.0000000000000007E-2</v>
      </c>
      <c r="AM18" s="194">
        <f t="shared" si="2"/>
        <v>0</v>
      </c>
      <c r="AN18" s="719">
        <v>0.02</v>
      </c>
      <c r="AO18" s="719"/>
      <c r="AP18" s="719">
        <v>0.02</v>
      </c>
      <c r="AQ18" s="719"/>
      <c r="AR18" s="719">
        <v>0.02</v>
      </c>
      <c r="AS18" s="719"/>
      <c r="AT18" s="194">
        <f t="shared" si="9"/>
        <v>0.06</v>
      </c>
      <c r="AU18" s="194">
        <f t="shared" si="9"/>
        <v>0</v>
      </c>
      <c r="AV18" s="194">
        <f t="shared" si="10"/>
        <v>0.25</v>
      </c>
      <c r="AW18" s="55">
        <f t="shared" si="3"/>
        <v>0.05</v>
      </c>
      <c r="AX18" s="55">
        <f t="shared" si="4"/>
        <v>0.12000000000000001</v>
      </c>
      <c r="AY18" s="929">
        <f t="shared" si="5"/>
        <v>0.12000000000000001</v>
      </c>
      <c r="AZ18" s="929">
        <f t="shared" si="6"/>
        <v>0.12000000000000001</v>
      </c>
      <c r="BA18" s="192">
        <f t="shared" si="11"/>
        <v>0.2</v>
      </c>
      <c r="BB18" s="239">
        <f t="shared" si="7"/>
        <v>0.48000000000000004</v>
      </c>
      <c r="BC18" s="192">
        <f t="shared" si="7"/>
        <v>0.48000000000000004</v>
      </c>
      <c r="BD18" s="192">
        <f t="shared" si="7"/>
        <v>0.48000000000000004</v>
      </c>
      <c r="BE18" s="186">
        <f t="shared" si="12"/>
        <v>0.05</v>
      </c>
      <c r="BF18" s="186">
        <f t="shared" si="8"/>
        <v>0.12000000000000001</v>
      </c>
      <c r="BG18" s="932">
        <f t="shared" si="8"/>
        <v>0.12000000000000001</v>
      </c>
      <c r="BH18" s="932">
        <f t="shared" si="8"/>
        <v>0.12000000000000001</v>
      </c>
    </row>
    <row r="19" spans="2:60" ht="80.25" customHeight="1">
      <c r="B19" s="1434"/>
      <c r="C19" s="1434"/>
      <c r="D19" s="28" t="str">
        <f>+'01-FR-03 POA INSTITUCIONAL'!D51</f>
        <v>4.1.4 Implementar en un 100% los lineamientos que adopte la Entidad para mejorar la gestión de datos que facilite la toma de decisiones</v>
      </c>
      <c r="E19" s="46">
        <f>+'01-FR-03 POA INSTITUCIONAL'!E51</f>
        <v>0.14000000000000001</v>
      </c>
      <c r="F19" s="185">
        <f>+'01-FR-03 POA INSTITUCIONAL'!F51</f>
        <v>1</v>
      </c>
      <c r="G19" s="88">
        <f>+'01-FR-03 POA INSTITUCIONAL'!M51</f>
        <v>0.25</v>
      </c>
      <c r="H19" s="35" t="str">
        <f>+'01-FR-03 POA INSTITUCIONAL'!G51</f>
        <v>S.I.</v>
      </c>
      <c r="I19" s="125" t="str">
        <f>+'01-FR-03 POA INSTITUCIONAL'!H51</f>
        <v>Porcentaje de lineamientos adoptados  en la estrategia de gestión de datos</v>
      </c>
      <c r="J19" s="119" t="s">
        <v>333</v>
      </c>
      <c r="K19" s="119" t="s">
        <v>331</v>
      </c>
      <c r="L19" s="118" t="s">
        <v>334</v>
      </c>
      <c r="M19" s="126" t="s">
        <v>325</v>
      </c>
      <c r="N19" s="119" t="s">
        <v>330</v>
      </c>
      <c r="O19" s="63" t="str">
        <f>+'01-FR-03 POA INSTITUCIONAL'!J51</f>
        <v>Dirección de Tecnologías de la  Información y las Comunicaciones</v>
      </c>
      <c r="P19" s="719">
        <v>0.01</v>
      </c>
      <c r="Q19" s="719">
        <v>0</v>
      </c>
      <c r="R19" s="719">
        <v>0.01</v>
      </c>
      <c r="S19" s="719">
        <v>0</v>
      </c>
      <c r="T19" s="719">
        <v>0.03</v>
      </c>
      <c r="U19" s="719">
        <v>0.03</v>
      </c>
      <c r="V19" s="194">
        <f t="shared" si="0"/>
        <v>0.05</v>
      </c>
      <c r="W19" s="194">
        <f t="shared" si="0"/>
        <v>0.03</v>
      </c>
      <c r="X19" s="719">
        <v>0.02</v>
      </c>
      <c r="Y19" s="719">
        <v>0.02</v>
      </c>
      <c r="Z19" s="719">
        <v>0.02</v>
      </c>
      <c r="AA19" s="719">
        <v>0.02</v>
      </c>
      <c r="AB19" s="719">
        <v>0.03</v>
      </c>
      <c r="AC19" s="719">
        <v>0.03</v>
      </c>
      <c r="AD19" s="194">
        <f t="shared" si="1"/>
        <v>7.0000000000000007E-2</v>
      </c>
      <c r="AE19" s="194">
        <f t="shared" si="1"/>
        <v>7.0000000000000007E-2</v>
      </c>
      <c r="AF19" s="719">
        <v>0.03</v>
      </c>
      <c r="AG19" s="719"/>
      <c r="AH19" s="719">
        <v>0.02</v>
      </c>
      <c r="AI19" s="719"/>
      <c r="AJ19" s="719">
        <v>0.02</v>
      </c>
      <c r="AK19" s="719"/>
      <c r="AL19" s="194">
        <f t="shared" si="2"/>
        <v>7.0000000000000007E-2</v>
      </c>
      <c r="AM19" s="194">
        <f t="shared" si="2"/>
        <v>0</v>
      </c>
      <c r="AN19" s="719">
        <v>0.02</v>
      </c>
      <c r="AO19" s="719"/>
      <c r="AP19" s="719">
        <v>0.02</v>
      </c>
      <c r="AQ19" s="719"/>
      <c r="AR19" s="719">
        <v>0.02</v>
      </c>
      <c r="AS19" s="719"/>
      <c r="AT19" s="194">
        <f t="shared" si="9"/>
        <v>0.06</v>
      </c>
      <c r="AU19" s="194">
        <f t="shared" si="9"/>
        <v>0</v>
      </c>
      <c r="AV19" s="194">
        <f t="shared" si="10"/>
        <v>0.25</v>
      </c>
      <c r="AW19" s="55">
        <f t="shared" si="3"/>
        <v>0.03</v>
      </c>
      <c r="AX19" s="55">
        <f t="shared" si="4"/>
        <v>0.1</v>
      </c>
      <c r="AY19" s="929">
        <f t="shared" si="5"/>
        <v>0.1</v>
      </c>
      <c r="AZ19" s="929">
        <f t="shared" si="6"/>
        <v>0.1</v>
      </c>
      <c r="BA19" s="192">
        <f t="shared" si="11"/>
        <v>0.12</v>
      </c>
      <c r="BB19" s="239">
        <f t="shared" si="7"/>
        <v>0.4</v>
      </c>
      <c r="BC19" s="192">
        <f t="shared" si="7"/>
        <v>0.4</v>
      </c>
      <c r="BD19" s="192">
        <f t="shared" si="7"/>
        <v>0.4</v>
      </c>
      <c r="BE19" s="186">
        <f t="shared" si="12"/>
        <v>0.03</v>
      </c>
      <c r="BF19" s="186">
        <f t="shared" si="8"/>
        <v>0.1</v>
      </c>
      <c r="BG19" s="932">
        <f t="shared" si="8"/>
        <v>0.1</v>
      </c>
      <c r="BH19" s="932">
        <f t="shared" si="8"/>
        <v>0.1</v>
      </c>
    </row>
    <row r="20" spans="2:60" ht="88.5" customHeight="1">
      <c r="B20" s="1434"/>
      <c r="C20" s="1434"/>
      <c r="D20" s="28" t="str">
        <f>+'01-FR-03 POA INSTITUCIONAL'!D52</f>
        <v>4.1.5 Desarrollar el 100% de los requerimientos prioritarios a Sistemas de Información y de apoyo que garanticen el óptimo desempeño de la gestión de los procesos en la Entidad</v>
      </c>
      <c r="E20" s="46">
        <f>+'01-FR-03 POA INSTITUCIONAL'!E52</f>
        <v>0.14000000000000001</v>
      </c>
      <c r="F20" s="185">
        <f>+'01-FR-03 POA INSTITUCIONAL'!F52</f>
        <v>1</v>
      </c>
      <c r="G20" s="88">
        <f>+'01-FR-03 POA INSTITUCIONAL'!M52</f>
        <v>0.25</v>
      </c>
      <c r="H20" s="35" t="str">
        <f>+'01-FR-03 POA INSTITUCIONAL'!G52</f>
        <v>S.I.</v>
      </c>
      <c r="I20" s="125" t="str">
        <f>+'01-FR-03 POA INSTITUCIONAL'!H52</f>
        <v>Cantidad de requerimientos prioritarios desarrollados para los sistemas información</v>
      </c>
      <c r="J20" s="119" t="s">
        <v>347</v>
      </c>
      <c r="K20" s="119" t="s">
        <v>335</v>
      </c>
      <c r="L20" s="118" t="s">
        <v>336</v>
      </c>
      <c r="M20" s="126" t="s">
        <v>325</v>
      </c>
      <c r="N20" s="119" t="s">
        <v>330</v>
      </c>
      <c r="O20" s="63" t="str">
        <f>+'01-FR-03 POA INSTITUCIONAL'!J52</f>
        <v>Dirección de Tecnologías de la  Información y las Comunicaciones</v>
      </c>
      <c r="P20" s="719">
        <v>0.01</v>
      </c>
      <c r="Q20" s="719">
        <v>0.01</v>
      </c>
      <c r="R20" s="719">
        <v>0.01</v>
      </c>
      <c r="S20" s="719">
        <v>0.01</v>
      </c>
      <c r="T20" s="719">
        <v>0.03</v>
      </c>
      <c r="U20" s="719">
        <v>0.03</v>
      </c>
      <c r="V20" s="194">
        <f t="shared" si="0"/>
        <v>0.05</v>
      </c>
      <c r="W20" s="194">
        <f t="shared" si="0"/>
        <v>0.05</v>
      </c>
      <c r="X20" s="719">
        <v>0.02</v>
      </c>
      <c r="Y20" s="719">
        <v>0.02</v>
      </c>
      <c r="Z20" s="719">
        <v>0.02</v>
      </c>
      <c r="AA20" s="719">
        <v>0.02</v>
      </c>
      <c r="AB20" s="719">
        <v>0.03</v>
      </c>
      <c r="AC20" s="719">
        <v>0.03</v>
      </c>
      <c r="AD20" s="194">
        <f t="shared" si="1"/>
        <v>7.0000000000000007E-2</v>
      </c>
      <c r="AE20" s="194">
        <f t="shared" si="1"/>
        <v>7.0000000000000007E-2</v>
      </c>
      <c r="AF20" s="719">
        <v>0.03</v>
      </c>
      <c r="AG20" s="719"/>
      <c r="AH20" s="719">
        <v>0.02</v>
      </c>
      <c r="AI20" s="719"/>
      <c r="AJ20" s="719">
        <v>0.02</v>
      </c>
      <c r="AK20" s="719"/>
      <c r="AL20" s="194">
        <f t="shared" si="2"/>
        <v>7.0000000000000007E-2</v>
      </c>
      <c r="AM20" s="194">
        <f t="shared" si="2"/>
        <v>0</v>
      </c>
      <c r="AN20" s="719">
        <v>0.02</v>
      </c>
      <c r="AO20" s="719"/>
      <c r="AP20" s="719">
        <v>0.02</v>
      </c>
      <c r="AQ20" s="719"/>
      <c r="AR20" s="719">
        <v>0.02</v>
      </c>
      <c r="AS20" s="719"/>
      <c r="AT20" s="194">
        <f t="shared" si="9"/>
        <v>0.06</v>
      </c>
      <c r="AU20" s="194">
        <f t="shared" si="9"/>
        <v>0</v>
      </c>
      <c r="AV20" s="194">
        <f t="shared" si="10"/>
        <v>0.25</v>
      </c>
      <c r="AW20" s="55">
        <f t="shared" si="3"/>
        <v>0.05</v>
      </c>
      <c r="AX20" s="55">
        <f t="shared" si="4"/>
        <v>0.12000000000000001</v>
      </c>
      <c r="AY20" s="929">
        <f t="shared" si="5"/>
        <v>0.12000000000000001</v>
      </c>
      <c r="AZ20" s="929">
        <f t="shared" si="6"/>
        <v>0.12000000000000001</v>
      </c>
      <c r="BA20" s="192">
        <f t="shared" si="11"/>
        <v>0.2</v>
      </c>
      <c r="BB20" s="239">
        <f t="shared" si="7"/>
        <v>0.48000000000000004</v>
      </c>
      <c r="BC20" s="192">
        <f t="shared" si="7"/>
        <v>0.48000000000000004</v>
      </c>
      <c r="BD20" s="192">
        <f t="shared" si="7"/>
        <v>0.48000000000000004</v>
      </c>
      <c r="BE20" s="186">
        <f t="shared" si="12"/>
        <v>0.05</v>
      </c>
      <c r="BF20" s="186">
        <f t="shared" si="8"/>
        <v>0.12000000000000001</v>
      </c>
      <c r="BG20" s="932">
        <f t="shared" si="8"/>
        <v>0.12000000000000001</v>
      </c>
      <c r="BH20" s="932">
        <f t="shared" si="8"/>
        <v>0.12000000000000001</v>
      </c>
    </row>
    <row r="21" spans="2:60" ht="91.5" customHeight="1">
      <c r="B21" s="1434"/>
      <c r="C21" s="1434"/>
      <c r="D21" s="28" t="str">
        <f>+'01-FR-03 POA INSTITUCIONAL'!D53</f>
        <v>4.1.6 Implementar en un 100% las actividades programadas en el plan de uso y apropiación de las TIC, para una óptima gestión institucional</v>
      </c>
      <c r="E21" s="46">
        <f>+'01-FR-03 POA INSTITUCIONAL'!E53</f>
        <v>0.15</v>
      </c>
      <c r="F21" s="185">
        <f>+'01-FR-03 POA INSTITUCIONAL'!F53</f>
        <v>1</v>
      </c>
      <c r="G21" s="88">
        <f>+'01-FR-03 POA INSTITUCIONAL'!M53</f>
        <v>0.25</v>
      </c>
      <c r="H21" s="35" t="str">
        <f>+'01-FR-03 POA INSTITUCIONAL'!G53</f>
        <v>S.I.</v>
      </c>
      <c r="I21" s="125" t="str">
        <f>+'01-FR-03 POA INSTITUCIONAL'!H53</f>
        <v>Porcentaje de actividades ejecutadas del plan de uso y apropiación</v>
      </c>
      <c r="J21" s="119" t="s">
        <v>337</v>
      </c>
      <c r="K21" s="119" t="s">
        <v>338</v>
      </c>
      <c r="L21" s="118" t="s">
        <v>339</v>
      </c>
      <c r="M21" s="126" t="s">
        <v>325</v>
      </c>
      <c r="N21" s="119" t="s">
        <v>340</v>
      </c>
      <c r="O21" s="63" t="str">
        <f>+'01-FR-03 POA INSTITUCIONAL'!J53</f>
        <v>Dirección de Tecnologías de la  Información y las Comunicaciones</v>
      </c>
      <c r="P21" s="719">
        <v>0.01</v>
      </c>
      <c r="Q21" s="719">
        <v>0.01</v>
      </c>
      <c r="R21" s="719">
        <v>0.01</v>
      </c>
      <c r="S21" s="719">
        <v>0.01</v>
      </c>
      <c r="T21" s="719">
        <v>0.03</v>
      </c>
      <c r="U21" s="719">
        <v>0.03</v>
      </c>
      <c r="V21" s="194">
        <f t="shared" si="0"/>
        <v>0.05</v>
      </c>
      <c r="W21" s="194">
        <f t="shared" si="0"/>
        <v>0.05</v>
      </c>
      <c r="X21" s="719">
        <v>0.02</v>
      </c>
      <c r="Y21" s="719">
        <v>0.02</v>
      </c>
      <c r="Z21" s="719">
        <v>0.02</v>
      </c>
      <c r="AA21" s="719">
        <v>0.02</v>
      </c>
      <c r="AB21" s="719">
        <v>0.03</v>
      </c>
      <c r="AC21" s="719">
        <v>0.03</v>
      </c>
      <c r="AD21" s="194">
        <f t="shared" si="1"/>
        <v>7.0000000000000007E-2</v>
      </c>
      <c r="AE21" s="194">
        <f t="shared" si="1"/>
        <v>7.0000000000000007E-2</v>
      </c>
      <c r="AF21" s="719">
        <v>0.03</v>
      </c>
      <c r="AG21" s="719"/>
      <c r="AH21" s="719">
        <v>0.02</v>
      </c>
      <c r="AI21" s="719"/>
      <c r="AJ21" s="719">
        <v>0.02</v>
      </c>
      <c r="AK21" s="719"/>
      <c r="AL21" s="194">
        <f t="shared" si="2"/>
        <v>7.0000000000000007E-2</v>
      </c>
      <c r="AM21" s="194">
        <f t="shared" si="2"/>
        <v>0</v>
      </c>
      <c r="AN21" s="719">
        <v>0.02</v>
      </c>
      <c r="AO21" s="719"/>
      <c r="AP21" s="719">
        <v>0.02</v>
      </c>
      <c r="AQ21" s="719"/>
      <c r="AR21" s="719">
        <v>0.02</v>
      </c>
      <c r="AS21" s="719"/>
      <c r="AT21" s="194">
        <f t="shared" si="9"/>
        <v>0.06</v>
      </c>
      <c r="AU21" s="194">
        <f t="shared" si="9"/>
        <v>0</v>
      </c>
      <c r="AV21" s="194">
        <f t="shared" si="10"/>
        <v>0.25</v>
      </c>
      <c r="AW21" s="55">
        <f t="shared" si="3"/>
        <v>0.05</v>
      </c>
      <c r="AX21" s="55">
        <f t="shared" si="4"/>
        <v>0.12000000000000001</v>
      </c>
      <c r="AY21" s="929">
        <f t="shared" si="5"/>
        <v>0.12000000000000001</v>
      </c>
      <c r="AZ21" s="929">
        <f t="shared" si="6"/>
        <v>0.12000000000000001</v>
      </c>
      <c r="BA21" s="192">
        <f t="shared" si="11"/>
        <v>0.2</v>
      </c>
      <c r="BB21" s="239">
        <f t="shared" si="7"/>
        <v>0.48000000000000004</v>
      </c>
      <c r="BC21" s="192">
        <f t="shared" si="7"/>
        <v>0.48000000000000004</v>
      </c>
      <c r="BD21" s="192">
        <f t="shared" si="7"/>
        <v>0.48000000000000004</v>
      </c>
      <c r="BE21" s="186">
        <f t="shared" si="12"/>
        <v>0.05</v>
      </c>
      <c r="BF21" s="186">
        <f t="shared" si="8"/>
        <v>0.12000000000000001</v>
      </c>
      <c r="BG21" s="932">
        <f t="shared" si="8"/>
        <v>0.12000000000000001</v>
      </c>
      <c r="BH21" s="932">
        <f t="shared" si="8"/>
        <v>0.12000000000000001</v>
      </c>
    </row>
    <row r="22" spans="2:60" ht="81.75" customHeight="1">
      <c r="B22" s="1454"/>
      <c r="C22" s="1454"/>
      <c r="D22" s="28" t="str">
        <f>+'01-FR-03 POA INSTITUCIONAL'!D54</f>
        <v>4.1.7 Optimizar la infraestructura tecnológica cumpliendo el 100% de las actividades de la hoja de ruta proyectada para garantizar la prestación continua de los servicios en la Entidad</v>
      </c>
      <c r="E22" s="46">
        <f>+'01-FR-03 POA INSTITUCIONAL'!E54</f>
        <v>0.15</v>
      </c>
      <c r="F22" s="185">
        <f>+'01-FR-03 POA INSTITUCIONAL'!F54</f>
        <v>1</v>
      </c>
      <c r="G22" s="88">
        <f>+'01-FR-03 POA INSTITUCIONAL'!M54</f>
        <v>0.25</v>
      </c>
      <c r="H22" s="35" t="str">
        <f>+'01-FR-03 POA INSTITUCIONAL'!G54</f>
        <v>S.I</v>
      </c>
      <c r="I22" s="125" t="str">
        <f>+'01-FR-03 POA INSTITUCIONAL'!H54</f>
        <v>Porcentaje de actividades ejecutadas de la hoja de ruta de optimización tecnológica</v>
      </c>
      <c r="J22" s="119" t="s">
        <v>342</v>
      </c>
      <c r="K22" s="119" t="s">
        <v>343</v>
      </c>
      <c r="L22" s="118" t="s">
        <v>344</v>
      </c>
      <c r="M22" s="126" t="s">
        <v>325</v>
      </c>
      <c r="N22" s="119" t="s">
        <v>330</v>
      </c>
      <c r="O22" s="63" t="str">
        <f>+'01-FR-03 POA INSTITUCIONAL'!J54</f>
        <v>Dirección de Tecnologías de la  Información y las Comunicaciones</v>
      </c>
      <c r="P22" s="719">
        <v>0.01</v>
      </c>
      <c r="Q22" s="719">
        <v>0.01</v>
      </c>
      <c r="R22" s="719">
        <v>0.01</v>
      </c>
      <c r="S22" s="719">
        <v>0.01</v>
      </c>
      <c r="T22" s="719">
        <v>0.03</v>
      </c>
      <c r="U22" s="719">
        <v>0.03</v>
      </c>
      <c r="V22" s="194">
        <f t="shared" si="0"/>
        <v>0.05</v>
      </c>
      <c r="W22" s="194">
        <f t="shared" si="0"/>
        <v>0.05</v>
      </c>
      <c r="X22" s="719">
        <v>0.02</v>
      </c>
      <c r="Y22" s="719">
        <v>0.02</v>
      </c>
      <c r="Z22" s="719">
        <v>0.02</v>
      </c>
      <c r="AA22" s="719">
        <v>0.02</v>
      </c>
      <c r="AB22" s="719">
        <v>0.03</v>
      </c>
      <c r="AC22" s="719">
        <v>0.03</v>
      </c>
      <c r="AD22" s="194">
        <f t="shared" si="1"/>
        <v>7.0000000000000007E-2</v>
      </c>
      <c r="AE22" s="194">
        <f t="shared" si="1"/>
        <v>7.0000000000000007E-2</v>
      </c>
      <c r="AF22" s="719">
        <v>0.03</v>
      </c>
      <c r="AG22" s="719"/>
      <c r="AH22" s="719">
        <v>0.02</v>
      </c>
      <c r="AI22" s="719"/>
      <c r="AJ22" s="719">
        <v>0.02</v>
      </c>
      <c r="AK22" s="719"/>
      <c r="AL22" s="194">
        <f t="shared" si="2"/>
        <v>7.0000000000000007E-2</v>
      </c>
      <c r="AM22" s="194">
        <f t="shared" si="2"/>
        <v>0</v>
      </c>
      <c r="AN22" s="719">
        <v>0.02</v>
      </c>
      <c r="AO22" s="719"/>
      <c r="AP22" s="719">
        <v>0.02</v>
      </c>
      <c r="AQ22" s="719"/>
      <c r="AR22" s="719">
        <v>0.02</v>
      </c>
      <c r="AS22" s="719"/>
      <c r="AT22" s="194">
        <f t="shared" si="9"/>
        <v>0.06</v>
      </c>
      <c r="AU22" s="194">
        <f t="shared" si="9"/>
        <v>0</v>
      </c>
      <c r="AV22" s="194">
        <f t="shared" si="10"/>
        <v>0.25</v>
      </c>
      <c r="AW22" s="55">
        <f t="shared" si="3"/>
        <v>0.05</v>
      </c>
      <c r="AX22" s="55">
        <f t="shared" si="4"/>
        <v>0.12000000000000001</v>
      </c>
      <c r="AY22" s="929">
        <f t="shared" si="5"/>
        <v>0.12000000000000001</v>
      </c>
      <c r="AZ22" s="929">
        <f t="shared" si="6"/>
        <v>0.12000000000000001</v>
      </c>
      <c r="BA22" s="192">
        <f t="shared" si="11"/>
        <v>0.2</v>
      </c>
      <c r="BB22" s="239">
        <f t="shared" si="7"/>
        <v>0.48000000000000004</v>
      </c>
      <c r="BC22" s="192">
        <f t="shared" si="7"/>
        <v>0.48000000000000004</v>
      </c>
      <c r="BD22" s="192">
        <f t="shared" si="7"/>
        <v>0.48000000000000004</v>
      </c>
      <c r="BE22" s="186">
        <f t="shared" si="12"/>
        <v>0.05</v>
      </c>
      <c r="BF22" s="186">
        <f t="shared" si="8"/>
        <v>0.12000000000000001</v>
      </c>
      <c r="BG22" s="932">
        <f t="shared" si="8"/>
        <v>0.12000000000000001</v>
      </c>
      <c r="BH22" s="932">
        <f t="shared" si="8"/>
        <v>0.12000000000000001</v>
      </c>
    </row>
    <row r="23" spans="2:60" ht="22.8">
      <c r="B23" s="1371"/>
      <c r="C23" s="1372"/>
      <c r="D23" s="1372"/>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372"/>
      <c r="AM23" s="1372"/>
      <c r="AN23" s="1372"/>
      <c r="AO23" s="1372"/>
      <c r="AP23" s="1372"/>
      <c r="AQ23" s="1372"/>
      <c r="AR23" s="1372"/>
      <c r="AS23" s="1372"/>
      <c r="AT23" s="1372"/>
      <c r="AU23" s="1372"/>
      <c r="AV23" s="1372"/>
      <c r="AW23" s="1455"/>
      <c r="AX23" s="1431" t="s">
        <v>19</v>
      </c>
      <c r="AY23" s="1432"/>
      <c r="AZ23" s="1432"/>
      <c r="BA23" s="59">
        <f t="shared" ref="BA23:BD23" si="13">AVERAGE(BA16:BA22)</f>
        <v>0.18857142857142858</v>
      </c>
      <c r="BB23" s="59">
        <f t="shared" si="13"/>
        <v>0.46857142857142858</v>
      </c>
      <c r="BC23" s="59">
        <f t="shared" si="13"/>
        <v>0.46857142857142858</v>
      </c>
      <c r="BD23" s="59">
        <f t="shared" si="13"/>
        <v>0.46857142857142858</v>
      </c>
      <c r="BE23" s="1445"/>
      <c r="BF23" s="1446"/>
      <c r="BG23" s="1446"/>
      <c r="BH23" s="1447"/>
    </row>
    <row r="24" spans="2:60">
      <c r="B24" s="1413"/>
      <c r="C24" s="1413"/>
      <c r="D24" s="1413"/>
      <c r="E24" s="1413"/>
      <c r="F24" s="1413"/>
      <c r="G24" s="1413"/>
      <c r="H24" s="39"/>
      <c r="I24" s="38"/>
      <c r="J24" s="38"/>
      <c r="K24" s="38"/>
      <c r="L24" s="38"/>
      <c r="M24" s="38"/>
      <c r="N24" s="38"/>
      <c r="O24" s="38"/>
    </row>
    <row r="25" spans="2:60">
      <c r="B25" s="38"/>
      <c r="C25" s="38"/>
      <c r="D25" s="1440"/>
      <c r="E25" s="1440"/>
      <c r="F25" s="1440"/>
      <c r="G25" s="1440"/>
      <c r="H25" s="1440"/>
      <c r="I25" s="1440"/>
      <c r="J25" s="1440"/>
      <c r="K25" s="1440"/>
      <c r="L25" s="1440"/>
      <c r="M25" s="1440"/>
      <c r="N25" s="1440"/>
      <c r="O25" s="1440"/>
    </row>
    <row r="26" spans="2:60" ht="15.6">
      <c r="B26" s="40" t="s">
        <v>26</v>
      </c>
      <c r="C26" s="41">
        <v>44224</v>
      </c>
      <c r="D26" s="121"/>
      <c r="E26" s="1443" t="s">
        <v>50</v>
      </c>
      <c r="F26" s="201"/>
      <c r="G26" s="1444" t="s">
        <v>348</v>
      </c>
      <c r="H26" s="1444"/>
      <c r="I26" s="1444"/>
      <c r="J26" s="1444"/>
      <c r="K26" s="43"/>
      <c r="L26" s="1403"/>
      <c r="M26" s="1403"/>
      <c r="N26" s="1403"/>
      <c r="O26" s="1439"/>
    </row>
    <row r="27" spans="2:60" ht="15.6">
      <c r="B27" s="38"/>
      <c r="C27" s="38"/>
      <c r="D27" s="43"/>
      <c r="E27" s="1443"/>
      <c r="F27" s="201"/>
      <c r="G27" s="1444"/>
      <c r="H27" s="1444"/>
      <c r="I27" s="1444"/>
      <c r="J27" s="1444"/>
      <c r="K27" s="38"/>
      <c r="L27" s="38"/>
      <c r="M27" s="38"/>
      <c r="N27" s="38"/>
      <c r="O27" s="38"/>
    </row>
    <row r="28" spans="2:60" ht="15.6">
      <c r="B28" s="40" t="s">
        <v>49</v>
      </c>
      <c r="C28" s="41">
        <v>44581</v>
      </c>
      <c r="D28" s="38"/>
      <c r="E28" s="38"/>
      <c r="F28" s="38"/>
      <c r="K28" s="38"/>
      <c r="L28" s="38"/>
      <c r="M28" s="38"/>
      <c r="N28" s="38"/>
      <c r="O28" s="38"/>
    </row>
    <row r="29" spans="2:60" ht="13.2" customHeight="1">
      <c r="B29" s="38"/>
      <c r="C29" s="868"/>
      <c r="D29" s="38"/>
      <c r="E29" s="38"/>
      <c r="F29" s="38"/>
      <c r="K29" s="38"/>
      <c r="L29" s="38"/>
      <c r="M29" s="38"/>
      <c r="N29" s="38"/>
      <c r="O29" s="38"/>
    </row>
    <row r="30" spans="2:60" ht="31.5" customHeight="1">
      <c r="B30" s="40" t="s">
        <v>49</v>
      </c>
      <c r="C30" s="41">
        <v>44953</v>
      </c>
      <c r="D30" s="38"/>
      <c r="E30" s="38"/>
      <c r="F30" s="38"/>
      <c r="K30" s="38"/>
      <c r="L30" s="38"/>
      <c r="M30" s="38"/>
      <c r="N30" s="38"/>
      <c r="O30" s="38"/>
    </row>
    <row r="31" spans="2:60">
      <c r="B31" s="38"/>
      <c r="C31" s="38"/>
      <c r="D31" s="38"/>
      <c r="E31" s="38"/>
      <c r="F31" s="38"/>
      <c r="K31" s="38"/>
      <c r="L31" s="38"/>
      <c r="M31" s="38"/>
      <c r="N31" s="38"/>
      <c r="O31" s="38"/>
    </row>
    <row r="32" spans="2:60">
      <c r="B32" s="445" t="s">
        <v>876</v>
      </c>
      <c r="C32" s="38"/>
      <c r="D32" s="38"/>
      <c r="E32" s="38"/>
      <c r="F32" s="38"/>
      <c r="G32" s="39"/>
      <c r="H32" s="39"/>
      <c r="I32" s="1438"/>
      <c r="J32" s="1438"/>
      <c r="K32" s="1438"/>
      <c r="L32" s="1438"/>
      <c r="M32" s="44"/>
      <c r="N32" s="44"/>
      <c r="O32" s="44"/>
    </row>
    <row r="33" spans="2:15">
      <c r="B33" s="38"/>
      <c r="C33" s="38"/>
      <c r="D33" s="38"/>
      <c r="E33" s="38"/>
      <c r="F33" s="38"/>
      <c r="G33" s="39"/>
      <c r="H33" s="39"/>
      <c r="I33" s="38"/>
      <c r="J33" s="38"/>
      <c r="K33" s="45"/>
      <c r="L33" s="38"/>
      <c r="M33" s="38"/>
      <c r="N33" s="38"/>
      <c r="O33" s="38"/>
    </row>
    <row r="34" spans="2:15">
      <c r="B34" s="38"/>
      <c r="C34" s="38"/>
      <c r="D34" s="38"/>
      <c r="E34" s="38"/>
      <c r="F34" s="38"/>
      <c r="G34" s="39"/>
      <c r="H34" s="39"/>
      <c r="I34" s="1438"/>
      <c r="J34" s="1438"/>
      <c r="K34" s="1438"/>
      <c r="L34" s="1438"/>
      <c r="M34" s="44"/>
      <c r="N34" s="44"/>
      <c r="O34" s="44"/>
    </row>
    <row r="35" spans="2:15">
      <c r="B35" s="38"/>
      <c r="C35" s="38"/>
      <c r="D35" s="38"/>
      <c r="E35" s="38"/>
      <c r="F35" s="38"/>
      <c r="G35" s="39"/>
      <c r="H35" s="39"/>
      <c r="I35" s="38"/>
      <c r="J35" s="38"/>
      <c r="K35" s="45"/>
      <c r="L35" s="38"/>
      <c r="M35" s="38"/>
      <c r="N35" s="38"/>
      <c r="O35" s="38"/>
    </row>
    <row r="36" spans="2:15">
      <c r="B36" s="38"/>
      <c r="C36" s="38"/>
      <c r="D36" s="38"/>
      <c r="E36" s="38"/>
      <c r="F36" s="38"/>
      <c r="G36" s="39"/>
      <c r="H36" s="39"/>
      <c r="I36" s="1438"/>
      <c r="J36" s="1438"/>
      <c r="K36" s="1438"/>
      <c r="L36" s="1438"/>
      <c r="M36" s="44"/>
      <c r="N36" s="44"/>
      <c r="O36" s="44"/>
    </row>
  </sheetData>
  <sheetProtection algorithmName="SHA-512" hashValue="KMAK9ZrORK3HQ0daIA1LTMHaGqt7pRejYxN6DrRrEkvDpz7jHbGU/ySXnliB2OuEam4I3z7iHGP+P4SV5ZOG0Q==" saltValue="d+04s513PvZQho5kvxNRjg=="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4:L34"/>
    <mergeCell ref="I36:L36"/>
    <mergeCell ref="B24:G24"/>
    <mergeCell ref="AX23:AZ23"/>
    <mergeCell ref="D25:O25"/>
    <mergeCell ref="E26:E27"/>
    <mergeCell ref="G26:J27"/>
    <mergeCell ref="L26:O26"/>
    <mergeCell ref="I32:L32"/>
    <mergeCell ref="B23:AW2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31"/>
  <sheetViews>
    <sheetView showGridLines="0" zoomScale="70" zoomScaleNormal="70" workbookViewId="0">
      <selection activeCell="BF16" sqref="BF16:BF17"/>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4.6">
      <c r="B8" s="19" t="s">
        <v>45</v>
      </c>
      <c r="C8" s="1474" t="s">
        <v>86</v>
      </c>
      <c r="D8" s="1474"/>
      <c r="E8" s="17"/>
      <c r="F8" s="17"/>
      <c r="G8" s="17"/>
      <c r="H8" s="17"/>
      <c r="I8" s="17"/>
      <c r="J8" s="17"/>
      <c r="K8" s="17"/>
      <c r="L8" s="17"/>
      <c r="M8" s="17"/>
      <c r="N8" s="17"/>
      <c r="O8" s="17"/>
      <c r="AW8" s="34"/>
      <c r="AX8" s="34"/>
      <c r="AY8" s="34"/>
      <c r="AZ8" s="34"/>
      <c r="BA8" s="34"/>
      <c r="BB8" s="34"/>
      <c r="BC8" s="34"/>
      <c r="BD8" s="34"/>
    </row>
    <row r="9" spans="2:60" ht="50.25" customHeight="1">
      <c r="B9" s="19" t="s">
        <v>34</v>
      </c>
      <c r="C9" s="1475" t="s">
        <v>245</v>
      </c>
      <c r="D9" s="1476"/>
      <c r="E9" s="17"/>
      <c r="F9" s="17"/>
      <c r="G9" s="17"/>
      <c r="H9" s="17"/>
      <c r="I9" s="17"/>
      <c r="J9" s="17"/>
      <c r="K9" s="17"/>
      <c r="L9" s="17"/>
      <c r="M9" s="17"/>
      <c r="N9" s="17"/>
      <c r="O9" s="17"/>
      <c r="AW9" s="34"/>
      <c r="AX9" s="34"/>
      <c r="AY9" s="34"/>
      <c r="AZ9" s="34"/>
      <c r="BA9" s="34"/>
      <c r="BB9" s="34"/>
      <c r="BC9" s="34"/>
      <c r="BD9" s="34"/>
    </row>
    <row r="10" spans="2:60" ht="24.6">
      <c r="B10" s="19" t="s">
        <v>101</v>
      </c>
      <c r="C10" s="1477">
        <v>2023</v>
      </c>
      <c r="D10" s="1478"/>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81.599999999999994" customHeight="1">
      <c r="B16" s="132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27" t="str">
        <f>+'01-FR-03 POA INSTITUCIONAL'!C93</f>
        <v>4.6. Desarrollar el 100% de las estrategias de comunicación organizacional y de medios que contribuyan al logro de los objetivos institucionales y al posicionamiento de la Entidad.</v>
      </c>
      <c r="D16" s="28" t="str">
        <f>+'01-FR-03 POA INSTITUCIONAL'!D93</f>
        <v>4.6.1  Desarrollar el 100% de los productos para comunicación y divulgación externa que promuevan y difundan la gestión institucional</v>
      </c>
      <c r="E16" s="46">
        <f>+'01-FR-03 POA INSTITUCIONAL'!E93</f>
        <v>0.5</v>
      </c>
      <c r="F16" s="46">
        <f>+'01-FR-03 POA INSTITUCIONAL'!F93</f>
        <v>1</v>
      </c>
      <c r="G16" s="46">
        <f>+'01-FR-03 POA INSTITUCIONAL'!L93</f>
        <v>1</v>
      </c>
      <c r="H16" s="46">
        <f>+'01-FR-03 POA INSTITUCIONAL'!G93</f>
        <v>1</v>
      </c>
      <c r="I16" s="35" t="str">
        <f>+'01-FR-03 POA INSTITUCIONAL'!H93</f>
        <v>Productos de comunicación externa desarrollados</v>
      </c>
      <c r="J16" s="61" t="s">
        <v>564</v>
      </c>
      <c r="K16" s="53" t="s">
        <v>570</v>
      </c>
      <c r="L16" s="60" t="s">
        <v>565</v>
      </c>
      <c r="M16" s="60" t="s">
        <v>566</v>
      </c>
      <c r="N16" s="60" t="s">
        <v>567</v>
      </c>
      <c r="O16" s="54" t="str">
        <f>+'01-FR-03 POA INSTITUCIONAL'!J93</f>
        <v>Oficina Asesora de Comunicaciones</v>
      </c>
      <c r="P16" s="69">
        <v>1</v>
      </c>
      <c r="Q16" s="184">
        <v>1</v>
      </c>
      <c r="R16" s="69">
        <v>1</v>
      </c>
      <c r="S16" s="184">
        <v>1</v>
      </c>
      <c r="T16" s="69">
        <v>1</v>
      </c>
      <c r="U16" s="184">
        <v>1</v>
      </c>
      <c r="V16" s="66">
        <f>AVERAGE(P16,R16,T16)</f>
        <v>1</v>
      </c>
      <c r="W16" s="66">
        <f>IFERROR(AVERAGE(Q16,S16,U16),0)</f>
        <v>1</v>
      </c>
      <c r="X16" s="69">
        <v>1</v>
      </c>
      <c r="Y16" s="184">
        <v>1</v>
      </c>
      <c r="Z16" s="69">
        <v>1</v>
      </c>
      <c r="AA16" s="184">
        <v>1</v>
      </c>
      <c r="AB16" s="69">
        <v>1</v>
      </c>
      <c r="AC16" s="184">
        <v>1</v>
      </c>
      <c r="AD16" s="66">
        <f>AVERAGE(X16,Z16,AB16)</f>
        <v>1</v>
      </c>
      <c r="AE16" s="66">
        <f>IFERROR(AVERAGE(Y16,AA16,AC16),0)</f>
        <v>1</v>
      </c>
      <c r="AF16" s="69">
        <v>1</v>
      </c>
      <c r="AG16" s="69"/>
      <c r="AH16" s="69">
        <v>1</v>
      </c>
      <c r="AI16" s="184"/>
      <c r="AJ16" s="69">
        <v>1</v>
      </c>
      <c r="AK16" s="184"/>
      <c r="AL16" s="66">
        <f>AVERAGE(AF16,AH16,AJ16)</f>
        <v>1</v>
      </c>
      <c r="AM16" s="66">
        <f>IFERROR(AVERAGE(AG16,AI16,AK16),0)</f>
        <v>0</v>
      </c>
      <c r="AN16" s="69">
        <v>1</v>
      </c>
      <c r="AO16" s="184"/>
      <c r="AP16" s="69">
        <v>1</v>
      </c>
      <c r="AQ16" s="811"/>
      <c r="AR16" s="69">
        <v>1</v>
      </c>
      <c r="AS16" s="184"/>
      <c r="AT16" s="66">
        <f>AVERAGE(AN16,AP16,AR16)</f>
        <v>1</v>
      </c>
      <c r="AU16" s="66">
        <f>IFERROR(AVERAGE(AO16,AQ16,AS16),0)</f>
        <v>0</v>
      </c>
      <c r="AV16" s="66">
        <f>AVERAGE(P16,R16,T16,X16,Z16,AB16,AF16,AH16,AJ16,AN16,AP16,AR16)</f>
        <v>1</v>
      </c>
      <c r="AW16" s="55">
        <f>IFERROR(IF(OR($AV$16="",$AV$16=0),0,ROUNDDOWN(AVERAGE($Q16,$S16,$U16),3)),0)</f>
        <v>1</v>
      </c>
      <c r="AX16" s="55">
        <f>IFERROR(IF(OR($AV$17="",$AV$17=0),0,ROUNDDOWN(AVERAGE($Q16,$S16,$U16,$Y16,$AA16,$AC16),3)),0)</f>
        <v>1</v>
      </c>
      <c r="AY16" s="929">
        <f>IFERROR(IF(OR($AV$16="",$AV$16=0),0,ROUNDDOWN(AVERAGE($Q16,$S16,$U16,$Y16,$AA16,$AC16,$AG16,$AI16,$AK16),3)),0)</f>
        <v>1</v>
      </c>
      <c r="AZ16" s="929">
        <f t="shared" ref="AZ16" si="0">IFERROR(IF(OR($AV$16="",$AV$16=0),0,ROUNDDOWN(AVERAGE($Q16,$S16,$U16,$Y16,$AA16,$AC16,$AG16,$AI16,$AK16,$AO16,$AQ16,$AS16),3)),0)</f>
        <v>1</v>
      </c>
      <c r="BA16" s="211">
        <f>(IF(AND(AW16&gt;0,$AV16&gt;0),AW16/$AV16,0))*0.25</f>
        <v>0.25</v>
      </c>
      <c r="BB16" s="211">
        <f>(IF(AND(AX16&gt;0,$AV16&gt;0),AX16/$AV16,0))*0.5</f>
        <v>0.5</v>
      </c>
      <c r="BC16" s="930">
        <f>(IF(AND(AY16&gt;0,$AV16&gt;0),AY16/$AV16,0))*0.75</f>
        <v>0.75</v>
      </c>
      <c r="BD16" s="931">
        <f t="shared" ref="BD16" si="1">(IF(AND(AZ16&gt;0,$AV16&gt;0),AZ16/$AV16,0))</f>
        <v>1</v>
      </c>
      <c r="BE16" s="182">
        <f>((IF(AND(AW16&gt;0,$F16&gt;0),AW16/$F16,0))/4)*0.25</f>
        <v>6.25E-2</v>
      </c>
      <c r="BF16" s="214">
        <f>((IF(AND(AX16&gt;0,$F16&gt;0),AX16/$F16,0))/4)*0.5</f>
        <v>0.125</v>
      </c>
      <c r="BG16" s="752">
        <f>((IF(AND(AY16&gt;0,$F16&gt;0),AY16/$F16,0))/4)*0.75</f>
        <v>0.1875</v>
      </c>
      <c r="BH16" s="751">
        <f>((IF(AND(AZ16&gt;0,$F16&gt;0),AZ16/$F16,0))/4)</f>
        <v>0.25</v>
      </c>
    </row>
    <row r="17" spans="2:60" ht="78.599999999999994" customHeight="1">
      <c r="B17" s="1126"/>
      <c r="C17" s="1126"/>
      <c r="D17" s="28" t="str">
        <f>+'01-FR-03 POA INSTITUCIONAL'!D94</f>
        <v>4.6.2 Desarrollar el 100% de los productos para comunicación y divulgación interna que contribuyan a la consecución de objetivos institucionales</v>
      </c>
      <c r="E17" s="46">
        <f>+'01-FR-03 POA INSTITUCIONAL'!E94</f>
        <v>0.5</v>
      </c>
      <c r="F17" s="46">
        <f>+'01-FR-03 POA INSTITUCIONAL'!F94</f>
        <v>1</v>
      </c>
      <c r="G17" s="46">
        <f>+'01-FR-03 POA INSTITUCIONAL'!L94</f>
        <v>1</v>
      </c>
      <c r="H17" s="46">
        <f>+'01-FR-03 POA INSTITUCIONAL'!G94</f>
        <v>1</v>
      </c>
      <c r="I17" s="35" t="str">
        <f>+'01-FR-03 POA INSTITUCIONAL'!H94</f>
        <v>Productos  de comunicación interna
desarrollados</v>
      </c>
      <c r="J17" s="61" t="s">
        <v>568</v>
      </c>
      <c r="K17" s="53" t="s">
        <v>571</v>
      </c>
      <c r="L17" s="60" t="s">
        <v>569</v>
      </c>
      <c r="M17" s="60" t="s">
        <v>566</v>
      </c>
      <c r="N17" s="60" t="s">
        <v>567</v>
      </c>
      <c r="O17" s="54" t="str">
        <f>+'01-FR-03 POA INSTITUCIONAL'!J94</f>
        <v>Oficina Asesora de Comunicaciones</v>
      </c>
      <c r="P17" s="69">
        <v>1</v>
      </c>
      <c r="Q17" s="184">
        <v>1</v>
      </c>
      <c r="R17" s="69">
        <v>1</v>
      </c>
      <c r="S17" s="184">
        <v>1</v>
      </c>
      <c r="T17" s="69">
        <v>1</v>
      </c>
      <c r="U17" s="184">
        <v>1</v>
      </c>
      <c r="V17" s="66">
        <f t="shared" ref="V17" si="2">AVERAGE(P17,R17,T17)</f>
        <v>1</v>
      </c>
      <c r="W17" s="66">
        <f t="shared" ref="W17" si="3">IFERROR(AVERAGE(Q17,S17,U17),0)</f>
        <v>1</v>
      </c>
      <c r="X17" s="69">
        <v>1</v>
      </c>
      <c r="Y17" s="184">
        <v>1</v>
      </c>
      <c r="Z17" s="69">
        <v>1</v>
      </c>
      <c r="AA17" s="184">
        <v>1</v>
      </c>
      <c r="AB17" s="69">
        <v>1</v>
      </c>
      <c r="AC17" s="184">
        <v>1</v>
      </c>
      <c r="AD17" s="66">
        <f t="shared" ref="AD17" si="4">AVERAGE(X17,Z17,AB17)</f>
        <v>1</v>
      </c>
      <c r="AE17" s="66">
        <f t="shared" ref="AE17" si="5">IFERROR(AVERAGE(Y17,AA17,AC17),0)</f>
        <v>1</v>
      </c>
      <c r="AF17" s="69">
        <v>1</v>
      </c>
      <c r="AG17" s="69"/>
      <c r="AH17" s="69">
        <v>1</v>
      </c>
      <c r="AI17" s="184"/>
      <c r="AJ17" s="69">
        <v>1</v>
      </c>
      <c r="AK17" s="184"/>
      <c r="AL17" s="66">
        <f t="shared" ref="AL17" si="6">AVERAGE(AF17,AH17,AJ17)</f>
        <v>1</v>
      </c>
      <c r="AM17" s="66">
        <f t="shared" ref="AM17" si="7">IFERROR(AVERAGE(AG17,AI17,AK17),0)</f>
        <v>0</v>
      </c>
      <c r="AN17" s="69">
        <v>1</v>
      </c>
      <c r="AO17" s="184"/>
      <c r="AP17" s="69">
        <v>1</v>
      </c>
      <c r="AQ17" s="811"/>
      <c r="AR17" s="69">
        <v>1</v>
      </c>
      <c r="AS17" s="184"/>
      <c r="AT17" s="66">
        <f t="shared" ref="AT17" si="8">AVERAGE(AN17,AP17,AR17)</f>
        <v>1</v>
      </c>
      <c r="AU17" s="66">
        <f t="shared" ref="AU17" si="9">IFERROR(AVERAGE(AO17,AQ17,AS17),0)</f>
        <v>0</v>
      </c>
      <c r="AV17" s="66">
        <f t="shared" ref="AV17" si="10">AVERAGE(P17,R17,T17,X17,Z17,AB17,AF17,AH17,AJ17,AN17,AP17,AR17)</f>
        <v>1</v>
      </c>
      <c r="AW17" s="55">
        <f>IFERROR(IF(OR($AV$17="",$AV$17=0),0,ROUNDDOWN(AVERAGE($Q17,$S17,$U17),3)),0)</f>
        <v>1</v>
      </c>
      <c r="AX17" s="55">
        <f>IFERROR(IF(OR($AV$17="",$AV$17=0),0,ROUNDDOWN(AVERAGE($Q17,$S17,$U17,$Y17,$AA17,$AC17),3)),0)</f>
        <v>1</v>
      </c>
      <c r="AY17" s="929">
        <f>IFERROR(IF(OR($AV$17="",$AV$17=0),0,ROUNDDOWN(AVERAGE($Q17,$S17,$U17,$Y17,$AA17,$AC17,$AG17,$AI17,$AK17),3)),0)</f>
        <v>1</v>
      </c>
      <c r="AZ17" s="929">
        <f>IFERROR(IF(OR($AV$17="",$AV$17=0),0,ROUNDDOWN(AVERAGE($Q17,$S17,$U17,$Y17,$AA17,$AC17,$AG17,$AI17,$AK17,$AO17,$AQ17,$AS17),3)),0)</f>
        <v>1</v>
      </c>
      <c r="BA17" s="211">
        <f>(IF(AND(AW17&gt;0,$AV17&gt;0),AW17/$AV17,0))*0.25</f>
        <v>0.25</v>
      </c>
      <c r="BB17" s="211">
        <f>(IF(AND(AX17&gt;0,$AV17&gt;0),AX17/$AV17,0))*0.5</f>
        <v>0.5</v>
      </c>
      <c r="BC17" s="930">
        <f>(IF(AND(AY17&gt;0,$AV17&gt;0),AY17/$AV17,0))*0.75</f>
        <v>0.75</v>
      </c>
      <c r="BD17" s="931">
        <f t="shared" ref="BD17" si="11">(IF(AND(AZ17&gt;0,$AV17&gt;0),AZ17/$AV17,0))</f>
        <v>1</v>
      </c>
      <c r="BE17" s="182">
        <f>((IF(AND(AW17&gt;0,$F17&gt;0),AW17/$F17,0))*0.25)*0.25</f>
        <v>6.25E-2</v>
      </c>
      <c r="BF17" s="214">
        <f>((IF(AND(AX17&gt;0,$F17&gt;0),AX17/$F17,0))/4)*0.5</f>
        <v>0.125</v>
      </c>
      <c r="BG17" s="752">
        <f>((IF(AND(AY17&gt;0,$F17&gt;0),AY17/$F17,0))/4)*0.75</f>
        <v>0.1875</v>
      </c>
      <c r="BH17" s="751">
        <f>((IF(AND(AZ17&gt;0,$F17&gt;0),AZ17/$F17,0))/4)</f>
        <v>0.25</v>
      </c>
    </row>
    <row r="18" spans="2:60" ht="22.8">
      <c r="B18" s="1371"/>
      <c r="C18" s="1372"/>
      <c r="D18" s="1372"/>
      <c r="E18" s="1372"/>
      <c r="F18" s="1372"/>
      <c r="G18" s="1372"/>
      <c r="H18" s="1372"/>
      <c r="I18" s="1372"/>
      <c r="J18" s="1372"/>
      <c r="K18" s="1372"/>
      <c r="L18" s="1372"/>
      <c r="M18" s="1372"/>
      <c r="N18" s="1372"/>
      <c r="O18" s="1372"/>
      <c r="P18" s="1372"/>
      <c r="Q18" s="1372"/>
      <c r="R18" s="1372"/>
      <c r="S18" s="1372"/>
      <c r="T18" s="1372"/>
      <c r="U18" s="1372"/>
      <c r="V18" s="1372"/>
      <c r="W18" s="1372"/>
      <c r="X18" s="1372"/>
      <c r="Y18" s="1372"/>
      <c r="Z18" s="1372"/>
      <c r="AA18" s="1372"/>
      <c r="AB18" s="1372"/>
      <c r="AC18" s="1372"/>
      <c r="AD18" s="1372"/>
      <c r="AE18" s="1372"/>
      <c r="AF18" s="1372"/>
      <c r="AG18" s="1372"/>
      <c r="AH18" s="1372"/>
      <c r="AI18" s="1372"/>
      <c r="AJ18" s="1372"/>
      <c r="AK18" s="1372"/>
      <c r="AL18" s="1372"/>
      <c r="AM18" s="1372"/>
      <c r="AN18" s="1372"/>
      <c r="AO18" s="1372"/>
      <c r="AP18" s="1372"/>
      <c r="AQ18" s="1372"/>
      <c r="AR18" s="1372"/>
      <c r="AS18" s="1372"/>
      <c r="AT18" s="1372"/>
      <c r="AU18" s="1372"/>
      <c r="AV18" s="1372"/>
      <c r="AW18" s="1455"/>
      <c r="AX18" s="1431" t="s">
        <v>19</v>
      </c>
      <c r="AY18" s="1432"/>
      <c r="AZ18" s="1432"/>
      <c r="BA18" s="59">
        <f t="shared" ref="BA18:BD18" si="12">AVERAGE(BA16:BA17)</f>
        <v>0.25</v>
      </c>
      <c r="BB18" s="59">
        <f t="shared" si="12"/>
        <v>0.5</v>
      </c>
      <c r="BC18" s="59">
        <f t="shared" si="12"/>
        <v>0.75</v>
      </c>
      <c r="BD18" s="59">
        <f t="shared" si="12"/>
        <v>1</v>
      </c>
      <c r="BE18" s="1463"/>
      <c r="BF18" s="1464"/>
      <c r="BG18" s="1464"/>
      <c r="BH18" s="1465"/>
    </row>
    <row r="19" spans="2:60">
      <c r="B19" s="1413"/>
      <c r="C19" s="1413"/>
      <c r="D19" s="1413"/>
      <c r="E19" s="1413"/>
      <c r="F19" s="1413"/>
      <c r="G19" s="1413"/>
      <c r="H19" s="39"/>
      <c r="I19" s="38"/>
      <c r="J19" s="38"/>
      <c r="K19" s="38"/>
      <c r="L19" s="38"/>
      <c r="M19" s="38"/>
      <c r="N19" s="38"/>
      <c r="O19" s="38"/>
    </row>
    <row r="20" spans="2:60">
      <c r="B20" s="38"/>
      <c r="C20" s="38"/>
      <c r="D20" s="1440"/>
      <c r="E20" s="1440"/>
      <c r="F20" s="1440"/>
      <c r="G20" s="1440"/>
      <c r="H20" s="1440"/>
      <c r="I20" s="1440"/>
      <c r="J20" s="1440"/>
      <c r="K20" s="1440"/>
      <c r="L20" s="1440"/>
      <c r="M20" s="1440"/>
      <c r="N20" s="1440"/>
      <c r="O20" s="1440"/>
    </row>
    <row r="21" spans="2:60" ht="15.6" customHeight="1">
      <c r="B21" s="40" t="s">
        <v>26</v>
      </c>
      <c r="C21" s="41">
        <v>44224</v>
      </c>
      <c r="D21" s="42"/>
      <c r="E21" s="1443" t="s">
        <v>50</v>
      </c>
      <c r="F21" s="1468" t="s">
        <v>1039</v>
      </c>
      <c r="G21" s="1469"/>
      <c r="H21" s="1469"/>
      <c r="I21" s="1469"/>
      <c r="J21" s="1470"/>
      <c r="K21" s="43"/>
      <c r="L21" s="1466"/>
      <c r="M21" s="1466"/>
      <c r="N21" s="1466"/>
      <c r="O21" s="1467"/>
      <c r="T21" s="187"/>
    </row>
    <row r="22" spans="2:60" ht="15.6">
      <c r="B22" s="38"/>
      <c r="C22" s="38"/>
      <c r="D22" s="43"/>
      <c r="E22" s="1443"/>
      <c r="F22" s="1471"/>
      <c r="G22" s="1472"/>
      <c r="H22" s="1472"/>
      <c r="I22" s="1472"/>
      <c r="J22" s="1473"/>
      <c r="K22" s="38"/>
      <c r="L22" s="38"/>
      <c r="M22" s="38"/>
      <c r="N22" s="38"/>
      <c r="O22" s="38"/>
    </row>
    <row r="23" spans="2:60" ht="15.6">
      <c r="B23" s="40" t="s">
        <v>49</v>
      </c>
      <c r="C23" s="41">
        <v>44581</v>
      </c>
      <c r="D23" s="38"/>
      <c r="E23" s="38"/>
      <c r="F23" s="38"/>
      <c r="K23" s="38"/>
      <c r="L23" s="38"/>
      <c r="M23" s="38"/>
      <c r="N23" s="38"/>
      <c r="O23" s="38"/>
    </row>
    <row r="24" spans="2:60" ht="13.2" customHeight="1">
      <c r="B24" s="38"/>
      <c r="C24" s="868"/>
      <c r="D24" s="38"/>
      <c r="E24" s="38"/>
      <c r="F24" s="38"/>
      <c r="K24" s="38"/>
      <c r="L24" s="38"/>
      <c r="M24" s="38"/>
      <c r="N24" s="38"/>
      <c r="O24" s="38"/>
    </row>
    <row r="25" spans="2:60" ht="31.5" customHeight="1">
      <c r="B25" s="40" t="s">
        <v>49</v>
      </c>
      <c r="C25" s="41">
        <v>44953</v>
      </c>
      <c r="D25" s="38"/>
      <c r="E25" s="38"/>
      <c r="F25" s="38"/>
      <c r="K25" s="38"/>
      <c r="L25" s="38"/>
      <c r="M25" s="38"/>
      <c r="N25" s="38"/>
      <c r="O25" s="38"/>
    </row>
    <row r="26" spans="2:60">
      <c r="B26" s="38"/>
      <c r="C26" s="38"/>
      <c r="D26" s="38"/>
      <c r="E26" s="38"/>
      <c r="F26" s="38"/>
      <c r="K26" s="38"/>
      <c r="L26" s="38"/>
      <c r="M26" s="38"/>
      <c r="N26" s="38"/>
      <c r="O26" s="38"/>
    </row>
    <row r="27" spans="2:60">
      <c r="B27" s="445" t="s">
        <v>876</v>
      </c>
      <c r="C27" s="38"/>
      <c r="D27" s="38"/>
      <c r="E27" s="38"/>
      <c r="F27" s="38"/>
      <c r="G27" s="39"/>
      <c r="H27" s="39"/>
      <c r="I27" s="1438"/>
      <c r="J27" s="1438"/>
      <c r="K27" s="1438"/>
      <c r="L27" s="1438"/>
      <c r="M27" s="44"/>
      <c r="N27" s="44"/>
      <c r="O27" s="44"/>
    </row>
    <row r="28" spans="2:60">
      <c r="B28" s="38"/>
      <c r="C28" s="38"/>
      <c r="D28" s="38"/>
      <c r="E28" s="38"/>
      <c r="F28" s="38"/>
      <c r="G28" s="39"/>
      <c r="H28" s="39"/>
      <c r="I28" s="38"/>
      <c r="J28" s="38"/>
      <c r="K28" s="45"/>
      <c r="L28" s="38"/>
      <c r="M28" s="38"/>
      <c r="N28" s="38"/>
      <c r="O28" s="38"/>
    </row>
    <row r="29" spans="2:60">
      <c r="B29" s="38"/>
      <c r="C29" s="38"/>
      <c r="D29" s="38"/>
      <c r="E29" s="38"/>
      <c r="F29" s="38"/>
      <c r="G29" s="39"/>
      <c r="H29" s="39"/>
      <c r="I29" s="1438"/>
      <c r="J29" s="1438"/>
      <c r="K29" s="1438"/>
      <c r="L29" s="1438"/>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38"/>
      <c r="J31" s="1438"/>
      <c r="K31" s="1438"/>
      <c r="L31" s="1438"/>
      <c r="M31" s="44"/>
      <c r="N31" s="44"/>
      <c r="O31" s="44"/>
    </row>
  </sheetData>
  <sheetProtection algorithmName="SHA-512" hashValue="rselykm2h4E+VdqOuAUI9Mi6LaYgNJpUooett88yyh1dGHtj8xxSdOR8c/KGv/FyhqxjUfZGUHXcVqsuyL7L5Q==" saltValue="m8p3Tzdg74eSW426mRKAgg=="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7:L27"/>
    <mergeCell ref="I29:L29"/>
    <mergeCell ref="I31:L31"/>
    <mergeCell ref="B19:G19"/>
    <mergeCell ref="B18:AW18"/>
    <mergeCell ref="AX18:AZ18"/>
    <mergeCell ref="D20:O20"/>
    <mergeCell ref="E21:E22"/>
    <mergeCell ref="L21:O21"/>
    <mergeCell ref="F21:J22"/>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49"/>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9.6640625" style="3" customWidth="1"/>
    <col min="4" max="4" width="66.109375" style="3" customWidth="1"/>
    <col min="5" max="6" width="27.88671875" style="3" hidden="1" customWidth="1"/>
    <col min="7" max="7" width="23.5546875" style="5" hidden="1" customWidth="1"/>
    <col min="8" max="8" width="13.33203125" style="5" hidden="1" customWidth="1"/>
    <col min="9" max="9" width="46.88671875" style="3" customWidth="1"/>
    <col min="10" max="10" width="63" style="3" customWidth="1"/>
    <col min="11" max="11" width="69.33203125" style="3" customWidth="1"/>
    <col min="12" max="12" width="48.44140625" style="3" customWidth="1"/>
    <col min="13" max="13" width="28.5546875" style="3" customWidth="1"/>
    <col min="14" max="14" width="30.6640625" style="3" customWidth="1"/>
    <col min="15" max="15" width="60.44140625" style="3" customWidth="1"/>
    <col min="16" max="47" width="15.88671875" style="1" customWidth="1"/>
    <col min="48" max="48" width="24.5546875" style="1" customWidth="1"/>
    <col min="49" max="52" width="17.88671875" style="1" customWidth="1"/>
    <col min="53" max="56" width="18.88671875" style="1" customWidth="1"/>
    <col min="57" max="60" width="18.44140625" style="1" customWidth="1"/>
    <col min="61" max="16384" width="17.33203125" style="1"/>
  </cols>
  <sheetData>
    <row r="1" spans="2:60" ht="15" customHeight="1" thickBot="1"/>
    <row r="2" spans="2:60" ht="16.5"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6.5"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6.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6.5"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6.5"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ht="19.5" customHeight="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8.5" customHeight="1">
      <c r="B8" s="19" t="s">
        <v>45</v>
      </c>
      <c r="C8" s="1426" t="s">
        <v>88</v>
      </c>
      <c r="D8" s="1426"/>
      <c r="E8" s="17"/>
      <c r="F8" s="17"/>
      <c r="G8" s="17"/>
      <c r="H8" s="17"/>
      <c r="I8" s="17"/>
      <c r="J8" s="17"/>
      <c r="K8" s="17"/>
      <c r="L8" s="17"/>
      <c r="M8" s="17"/>
      <c r="N8" s="17"/>
      <c r="O8" s="17"/>
      <c r="AW8" s="34"/>
      <c r="AX8" s="34"/>
      <c r="AY8" s="34"/>
      <c r="AZ8" s="34"/>
      <c r="BA8" s="34"/>
      <c r="BB8" s="34"/>
      <c r="BC8" s="34"/>
      <c r="BD8" s="34"/>
    </row>
    <row r="9" spans="2:60" ht="98.25" customHeight="1">
      <c r="B9" s="19" t="s">
        <v>34</v>
      </c>
      <c r="C9" s="1456" t="s">
        <v>192</v>
      </c>
      <c r="D9" s="1457"/>
      <c r="E9" s="17"/>
      <c r="F9" s="17"/>
      <c r="G9" s="17"/>
      <c r="H9" s="17"/>
      <c r="I9" s="17"/>
      <c r="J9" s="17"/>
      <c r="K9" s="17"/>
      <c r="L9" s="17"/>
      <c r="M9" s="17"/>
      <c r="N9" s="17"/>
      <c r="O9" s="17"/>
      <c r="AW9" s="34"/>
      <c r="AX9" s="34"/>
      <c r="AY9" s="34"/>
      <c r="AZ9" s="34"/>
      <c r="BA9" s="34"/>
      <c r="BB9" s="34"/>
      <c r="BC9" s="34"/>
      <c r="BD9" s="34"/>
    </row>
    <row r="10" spans="2:60" ht="30" customHeight="1">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ht="14.25" customHeight="1">
      <c r="B11" s="2"/>
      <c r="C11" s="2"/>
      <c r="D11" s="2"/>
      <c r="E11" s="2"/>
      <c r="F11" s="2"/>
      <c r="G11" s="4"/>
      <c r="H11" s="4"/>
      <c r="I11" s="2"/>
      <c r="J11" s="2"/>
      <c r="K11" s="2"/>
      <c r="L11" s="2"/>
      <c r="M11" s="2"/>
      <c r="N11" s="2"/>
      <c r="O11" s="2"/>
      <c r="AW11" s="34"/>
      <c r="AX11" s="34"/>
      <c r="AY11" s="34"/>
      <c r="AZ11" s="34"/>
      <c r="BA11" s="34"/>
      <c r="BB11" s="34"/>
      <c r="BC11" s="34"/>
      <c r="BD11" s="34"/>
    </row>
    <row r="12" spans="2:60" ht="33"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21.75" customHeight="1">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21.75" customHeight="1">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21.75" customHeight="1">
      <c r="B15" s="1140"/>
      <c r="C15" s="1140"/>
      <c r="D15" s="1140"/>
      <c r="E15" s="1140"/>
      <c r="F15" s="1140"/>
      <c r="G15" s="1140"/>
      <c r="H15" s="1140"/>
      <c r="I15" s="1140"/>
      <c r="J15" s="1140"/>
      <c r="K15" s="1140"/>
      <c r="L15" s="1140"/>
      <c r="M15" s="1140"/>
      <c r="N15" s="1140"/>
      <c r="O15" s="1140"/>
      <c r="P15" s="127" t="s">
        <v>17</v>
      </c>
      <c r="Q15" s="128" t="s">
        <v>18</v>
      </c>
      <c r="R15" s="127" t="s">
        <v>17</v>
      </c>
      <c r="S15" s="128" t="s">
        <v>18</v>
      </c>
      <c r="T15" s="127" t="s">
        <v>17</v>
      </c>
      <c r="U15" s="128" t="s">
        <v>18</v>
      </c>
      <c r="V15" s="129" t="s">
        <v>17</v>
      </c>
      <c r="W15" s="130" t="s">
        <v>18</v>
      </c>
      <c r="X15" s="127" t="s">
        <v>17</v>
      </c>
      <c r="Y15" s="128" t="s">
        <v>18</v>
      </c>
      <c r="Z15" s="127" t="s">
        <v>17</v>
      </c>
      <c r="AA15" s="128" t="s">
        <v>18</v>
      </c>
      <c r="AB15" s="127" t="s">
        <v>17</v>
      </c>
      <c r="AC15" s="128" t="s">
        <v>18</v>
      </c>
      <c r="AD15" s="129" t="s">
        <v>17</v>
      </c>
      <c r="AE15" s="130" t="s">
        <v>18</v>
      </c>
      <c r="AF15" s="127" t="s">
        <v>17</v>
      </c>
      <c r="AG15" s="128" t="s">
        <v>18</v>
      </c>
      <c r="AH15" s="127" t="s">
        <v>17</v>
      </c>
      <c r="AI15" s="128" t="s">
        <v>18</v>
      </c>
      <c r="AJ15" s="127" t="s">
        <v>17</v>
      </c>
      <c r="AK15" s="128" t="s">
        <v>18</v>
      </c>
      <c r="AL15" s="129" t="s">
        <v>17</v>
      </c>
      <c r="AM15" s="130" t="s">
        <v>18</v>
      </c>
      <c r="AN15" s="127" t="s">
        <v>17</v>
      </c>
      <c r="AO15" s="128" t="s">
        <v>18</v>
      </c>
      <c r="AP15" s="127" t="s">
        <v>17</v>
      </c>
      <c r="AQ15" s="128" t="s">
        <v>18</v>
      </c>
      <c r="AR15" s="127" t="s">
        <v>17</v>
      </c>
      <c r="AS15" s="128" t="s">
        <v>18</v>
      </c>
      <c r="AT15" s="129" t="s">
        <v>17</v>
      </c>
      <c r="AU15" s="130" t="s">
        <v>18</v>
      </c>
      <c r="AV15" s="1405"/>
      <c r="AW15" s="1412"/>
      <c r="AX15" s="1412"/>
      <c r="AY15" s="1412"/>
      <c r="AZ15" s="1412"/>
      <c r="BA15" s="1401"/>
      <c r="BB15" s="1401"/>
      <c r="BC15" s="1401"/>
      <c r="BD15" s="1401"/>
      <c r="BE15" s="1395"/>
      <c r="BF15" s="1395"/>
      <c r="BG15" s="1395"/>
      <c r="BH15" s="1395"/>
    </row>
    <row r="16" spans="2:60" ht="92.25" customHeight="1">
      <c r="B16" s="1485" t="str" cm="1">
        <f t="array" ref="B16">'[5]POA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327" t="str">
        <f>+'01-FR-03 POA INSTITUCIONAL'!C13</f>
        <v>1.1. Realizar 914.879 acciones que promuevan la defensa, garantía y restablecimiento de los derechos de las personas en el Distrito Capital.</v>
      </c>
      <c r="D16" s="28" t="str">
        <f>+'01-FR-03 POA INSTITUCIONAL'!D13</f>
        <v>1.1.1 Realizar 373.106 intervenciones dentro del ejercicio del Ministerio Público para prevenir la vulneración de derechos y/o lograr el  restablecimiento de los mismos.</v>
      </c>
      <c r="E16" s="46">
        <f>+'01-FR-03 POA INSTITUCIONAL'!E13</f>
        <v>0.38</v>
      </c>
      <c r="F16" s="72">
        <f>+'01-FR-03 POA INSTITUCIONAL'!F13</f>
        <v>373106</v>
      </c>
      <c r="G16" s="72">
        <f>+'01-FR-03 POA INSTITUCIONAL'!M13</f>
        <v>114746</v>
      </c>
      <c r="H16" s="35">
        <f>+'01-FR-03 POA INSTITUCIONAL'!G13</f>
        <v>102450</v>
      </c>
      <c r="I16" s="35" t="str">
        <f>+'01-FR-03 POA INSTITUCIONAL'!H13</f>
        <v>Intervenciones realizadas en defensa de los derechos</v>
      </c>
      <c r="J16" s="35" t="s">
        <v>217</v>
      </c>
      <c r="K16" s="154" t="s">
        <v>193</v>
      </c>
      <c r="L16" s="122" t="s">
        <v>1115</v>
      </c>
      <c r="M16" s="117" t="s">
        <v>194</v>
      </c>
      <c r="N16" s="117" t="s">
        <v>195</v>
      </c>
      <c r="O16" s="31" t="str">
        <f>+'01-FR-03 POA INSTITUCIONAL'!J13</f>
        <v>P.D. para Asuntos Penales I, Penales II, Derechos Humanos y Policivos y Civiles
P.D. para los Sectores Planeación y Movilidad y la P.D. para los Sectores Educación y Cultura, Recreación y Deporte</v>
      </c>
      <c r="P16" s="658">
        <v>7207</v>
      </c>
      <c r="Q16" s="658">
        <v>10964</v>
      </c>
      <c r="R16" s="658">
        <v>10236</v>
      </c>
      <c r="S16" s="658">
        <v>10830</v>
      </c>
      <c r="T16" s="658">
        <v>10235</v>
      </c>
      <c r="U16" s="658">
        <v>13710</v>
      </c>
      <c r="V16" s="47">
        <f>P16+R16+T16</f>
        <v>27678</v>
      </c>
      <c r="W16" s="47">
        <f>Q16+S16+U16</f>
        <v>35504</v>
      </c>
      <c r="X16" s="658">
        <v>10249</v>
      </c>
      <c r="Y16" s="658">
        <v>9704</v>
      </c>
      <c r="Z16" s="658">
        <v>10279</v>
      </c>
      <c r="AA16" s="658">
        <v>12980</v>
      </c>
      <c r="AB16" s="658">
        <v>10291</v>
      </c>
      <c r="AC16" s="658">
        <v>9055</v>
      </c>
      <c r="AD16" s="47">
        <f>X16+Z16+AB16</f>
        <v>30819</v>
      </c>
      <c r="AE16" s="47">
        <f>Y16+AA16+AC16</f>
        <v>31739</v>
      </c>
      <c r="AF16" s="658">
        <v>9848</v>
      </c>
      <c r="AG16" s="658"/>
      <c r="AH16" s="658">
        <v>9852</v>
      </c>
      <c r="AI16" s="658"/>
      <c r="AJ16" s="658">
        <v>9800</v>
      </c>
      <c r="AK16" s="721"/>
      <c r="AL16" s="47">
        <f>AF16+AH16+AJ16</f>
        <v>29500</v>
      </c>
      <c r="AM16" s="47">
        <f>AG16+AI16+AK16</f>
        <v>0</v>
      </c>
      <c r="AN16" s="658">
        <v>9807</v>
      </c>
      <c r="AO16" s="658"/>
      <c r="AP16" s="658">
        <v>9740</v>
      </c>
      <c r="AQ16" s="658"/>
      <c r="AR16" s="721">
        <v>7202</v>
      </c>
      <c r="AS16" s="658"/>
      <c r="AT16" s="47">
        <f>AN16+AP16+AR16</f>
        <v>26749</v>
      </c>
      <c r="AU16" s="47">
        <f>AO16+AQ16+AS16</f>
        <v>0</v>
      </c>
      <c r="AV16" s="131">
        <f>V16+AD16+AL16+AT16</f>
        <v>114746</v>
      </c>
      <c r="AW16" s="62">
        <f>+W16</f>
        <v>35504</v>
      </c>
      <c r="AX16" s="62">
        <f>+W16+AE16</f>
        <v>67243</v>
      </c>
      <c r="AY16" s="928">
        <f>+W16+AE16+AM16</f>
        <v>67243</v>
      </c>
      <c r="AZ16" s="928">
        <f>+W16+AE16+AM16+AU16</f>
        <v>67243</v>
      </c>
      <c r="BA16" s="192">
        <f>IF(AND(AW16&gt;0,$AV16&gt;0),AW16/$AV16,0)</f>
        <v>0.30941383577641052</v>
      </c>
      <c r="BB16" s="192">
        <f t="shared" ref="BB16:BD16" si="0">IF(AND(AX16&gt;0,$AV16&gt;0),AX16/$AV16,0)</f>
        <v>0.58601607027695957</v>
      </c>
      <c r="BC16" s="192">
        <f t="shared" si="0"/>
        <v>0.58601607027695957</v>
      </c>
      <c r="BD16" s="192">
        <f t="shared" si="0"/>
        <v>0.58601607027695957</v>
      </c>
      <c r="BE16" s="214">
        <f>(IF(AND(AW16&gt;0,$F16&gt;0),AW16/$F16,0))</f>
        <v>9.5157944391138172E-2</v>
      </c>
      <c r="BF16" s="214">
        <f t="shared" ref="BF16:BH20" si="1">(IF(AND(AX16&gt;0,$F16&gt;0),AX16/$F16,0))</f>
        <v>0.18022492267612958</v>
      </c>
      <c r="BG16" s="752">
        <f t="shared" si="1"/>
        <v>0.18022492267612958</v>
      </c>
      <c r="BH16" s="752">
        <f t="shared" si="1"/>
        <v>0.18022492267612958</v>
      </c>
    </row>
    <row r="17" spans="2:60" ht="111.75" customHeight="1">
      <c r="B17" s="1486"/>
      <c r="C17" s="1134"/>
      <c r="D17" s="28" t="str">
        <f>+'01-FR-03 POA INSTITUCIONAL'!D14</f>
        <v>1.1.2 Orientar 317.663 personas en garantía de derechos.</v>
      </c>
      <c r="E17" s="46">
        <f>+'01-FR-03 POA INSTITUCIONAL'!E14</f>
        <v>0.3</v>
      </c>
      <c r="F17" s="72">
        <f>+'01-FR-03 POA INSTITUCIONAL'!F14</f>
        <v>317663</v>
      </c>
      <c r="G17" s="72">
        <f>+'01-FR-03 POA INSTITUCIONAL'!M14</f>
        <v>101508</v>
      </c>
      <c r="H17" s="35">
        <f>+'01-FR-03 POA INSTITUCIONAL'!G14</f>
        <v>78750</v>
      </c>
      <c r="I17" s="35" t="str">
        <f>+'01-FR-03 POA INSTITUCIONAL'!H14</f>
        <v>Personas orientadas en garantía de derechos</v>
      </c>
      <c r="J17" s="35" t="s">
        <v>218</v>
      </c>
      <c r="K17" s="154" t="s">
        <v>196</v>
      </c>
      <c r="L17" s="122" t="s">
        <v>1116</v>
      </c>
      <c r="M17" s="117" t="s">
        <v>194</v>
      </c>
      <c r="N17" s="117" t="s">
        <v>195</v>
      </c>
      <c r="O17" s="31"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658">
        <v>5253</v>
      </c>
      <c r="Q17" s="658">
        <v>8470</v>
      </c>
      <c r="R17" s="658">
        <v>8237</v>
      </c>
      <c r="S17" s="658">
        <v>8593</v>
      </c>
      <c r="T17" s="658">
        <v>9107</v>
      </c>
      <c r="U17" s="658">
        <v>11529</v>
      </c>
      <c r="V17" s="47">
        <f t="shared" ref="V17:W35" si="2">P17+R17+T17</f>
        <v>22597</v>
      </c>
      <c r="W17" s="47">
        <f t="shared" si="2"/>
        <v>28592</v>
      </c>
      <c r="X17" s="658">
        <v>8912</v>
      </c>
      <c r="Y17" s="658">
        <v>8713</v>
      </c>
      <c r="Z17" s="658">
        <v>9427</v>
      </c>
      <c r="AA17" s="658">
        <v>12273</v>
      </c>
      <c r="AB17" s="658">
        <v>9426</v>
      </c>
      <c r="AC17" s="721">
        <v>10943</v>
      </c>
      <c r="AD17" s="47">
        <f t="shared" ref="AD17:AE35" si="3">X17+Z17+AB17</f>
        <v>27765</v>
      </c>
      <c r="AE17" s="47">
        <f t="shared" si="3"/>
        <v>31929</v>
      </c>
      <c r="AF17" s="658">
        <v>9550</v>
      </c>
      <c r="AG17" s="658"/>
      <c r="AH17" s="658">
        <v>9436</v>
      </c>
      <c r="AI17" s="658"/>
      <c r="AJ17" s="658">
        <v>9312</v>
      </c>
      <c r="AK17" s="721"/>
      <c r="AL17" s="47">
        <f t="shared" ref="AL17:AM35" si="4">AF17+AH17+AJ17</f>
        <v>28298</v>
      </c>
      <c r="AM17" s="47">
        <f t="shared" si="4"/>
        <v>0</v>
      </c>
      <c r="AN17" s="721">
        <v>9031</v>
      </c>
      <c r="AO17" s="658"/>
      <c r="AP17" s="721">
        <v>8655</v>
      </c>
      <c r="AQ17" s="658"/>
      <c r="AR17" s="721">
        <v>5162</v>
      </c>
      <c r="AS17" s="658"/>
      <c r="AT17" s="47">
        <f t="shared" ref="AT17:AU35" si="5">AN17+AP17+AR17</f>
        <v>22848</v>
      </c>
      <c r="AU17" s="47">
        <f t="shared" si="5"/>
        <v>0</v>
      </c>
      <c r="AV17" s="131">
        <f t="shared" ref="AV17:AV35" si="6">V17+AD17+AL17+AT17</f>
        <v>101508</v>
      </c>
      <c r="AW17" s="62">
        <f t="shared" ref="AW17:AW35" si="7">+W17</f>
        <v>28592</v>
      </c>
      <c r="AX17" s="62">
        <f t="shared" ref="AX17:AX35" si="8">+W17+AE17</f>
        <v>60521</v>
      </c>
      <c r="AY17" s="928">
        <f t="shared" ref="AY17:AY35" si="9">+W17+AE17+AM17</f>
        <v>60521</v>
      </c>
      <c r="AZ17" s="928">
        <f t="shared" ref="AZ17:AZ35" si="10">+W17+AE17+AM17+AU17</f>
        <v>60521</v>
      </c>
      <c r="BA17" s="192">
        <f t="shared" ref="BA17:BA18" si="11">IF(AND(AW17&gt;0,$AV17&gt;0),AW17/$AV17,0)</f>
        <v>0.28167238050202942</v>
      </c>
      <c r="BB17" s="192">
        <f t="shared" ref="BB17:BB19" si="12">IF(AND(AX17&gt;0,$AV17&gt;0),AX17/$AV17,0)</f>
        <v>0.59621901722031756</v>
      </c>
      <c r="BC17" s="192">
        <f t="shared" ref="BC17:BC19" si="13">IF(AND(AY17&gt;0,$AV17&gt;0),AY17/$AV17,0)</f>
        <v>0.59621901722031756</v>
      </c>
      <c r="BD17" s="192">
        <f t="shared" ref="BD17:BD19" si="14">IF(AND(AZ17&gt;0,$AV17&gt;0),AZ17/$AV17,0)</f>
        <v>0.59621901722031756</v>
      </c>
      <c r="BE17" s="214">
        <f t="shared" ref="BE17:BE20" si="15">(IF(AND(AW17&gt;0,$F17&gt;0),AW17/$F17,0))</f>
        <v>9.0007334817086032E-2</v>
      </c>
      <c r="BF17" s="214">
        <f t="shared" si="1"/>
        <v>0.19051951281704196</v>
      </c>
      <c r="BG17" s="752">
        <f t="shared" si="1"/>
        <v>0.19051951281704196</v>
      </c>
      <c r="BH17" s="752">
        <f t="shared" si="1"/>
        <v>0.19051951281704196</v>
      </c>
    </row>
    <row r="18" spans="2:60" ht="138.75" customHeight="1">
      <c r="B18" s="1486"/>
      <c r="C18" s="1134"/>
      <c r="D18" s="28" t="str">
        <f>+'01-FR-03 POA INSTITUCIONAL'!D15</f>
        <v>1.1.3 Asistir 111.931 personas en garantía de derechos.</v>
      </c>
      <c r="E18" s="46">
        <f>+'01-FR-03 POA INSTITUCIONAL'!E15</f>
        <v>0.15</v>
      </c>
      <c r="F18" s="72">
        <f>+'01-FR-03 POA INSTITUCIONAL'!F15</f>
        <v>111931</v>
      </c>
      <c r="G18" s="72">
        <f>+'01-FR-03 POA INSTITUCIONAL'!M15</f>
        <v>33521</v>
      </c>
      <c r="H18" s="35">
        <f>+'01-FR-03 POA INSTITUCIONAL'!G15</f>
        <v>28695</v>
      </c>
      <c r="I18" s="35" t="str">
        <f>+'01-FR-03 POA INSTITUCIONAL'!H15</f>
        <v>Personas asistidas en garantía de derechos</v>
      </c>
      <c r="J18" s="35" t="s">
        <v>219</v>
      </c>
      <c r="K18" s="154" t="s">
        <v>197</v>
      </c>
      <c r="L18" s="122" t="s">
        <v>1117</v>
      </c>
      <c r="M18" s="117" t="s">
        <v>194</v>
      </c>
      <c r="N18" s="117" t="s">
        <v>195</v>
      </c>
      <c r="O18" s="31"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658">
        <v>1922</v>
      </c>
      <c r="Q18" s="658">
        <v>2867</v>
      </c>
      <c r="R18" s="658">
        <v>3025</v>
      </c>
      <c r="S18" s="658">
        <v>2896</v>
      </c>
      <c r="T18" s="658">
        <v>3427</v>
      </c>
      <c r="U18" s="658">
        <v>4094</v>
      </c>
      <c r="V18" s="47">
        <f t="shared" si="2"/>
        <v>8374</v>
      </c>
      <c r="W18" s="47">
        <f t="shared" si="2"/>
        <v>9857</v>
      </c>
      <c r="X18" s="658">
        <v>2812</v>
      </c>
      <c r="Y18" s="658">
        <v>3131</v>
      </c>
      <c r="Z18" s="658">
        <v>3137</v>
      </c>
      <c r="AA18" s="658">
        <v>3806</v>
      </c>
      <c r="AB18" s="658">
        <v>3288</v>
      </c>
      <c r="AC18" s="658">
        <v>3891</v>
      </c>
      <c r="AD18" s="47">
        <f t="shared" si="3"/>
        <v>9237</v>
      </c>
      <c r="AE18" s="47">
        <f t="shared" si="3"/>
        <v>10828</v>
      </c>
      <c r="AF18" s="658">
        <v>3158</v>
      </c>
      <c r="AG18" s="658"/>
      <c r="AH18" s="658">
        <v>3334</v>
      </c>
      <c r="AI18" s="658"/>
      <c r="AJ18" s="658">
        <v>3067</v>
      </c>
      <c r="AK18" s="658"/>
      <c r="AL18" s="47">
        <f t="shared" si="4"/>
        <v>9559</v>
      </c>
      <c r="AM18" s="47">
        <f t="shared" si="4"/>
        <v>0</v>
      </c>
      <c r="AN18" s="658">
        <v>3021</v>
      </c>
      <c r="AO18" s="658"/>
      <c r="AP18" s="658">
        <v>2274</v>
      </c>
      <c r="AQ18" s="658"/>
      <c r="AR18" s="721">
        <v>1056</v>
      </c>
      <c r="AS18" s="658"/>
      <c r="AT18" s="47">
        <f t="shared" si="5"/>
        <v>6351</v>
      </c>
      <c r="AU18" s="47">
        <f t="shared" si="5"/>
        <v>0</v>
      </c>
      <c r="AV18" s="131">
        <f t="shared" si="6"/>
        <v>33521</v>
      </c>
      <c r="AW18" s="62">
        <f t="shared" si="7"/>
        <v>9857</v>
      </c>
      <c r="AX18" s="62">
        <f t="shared" si="8"/>
        <v>20685</v>
      </c>
      <c r="AY18" s="928">
        <f t="shared" si="9"/>
        <v>20685</v>
      </c>
      <c r="AZ18" s="928">
        <f t="shared" si="10"/>
        <v>20685</v>
      </c>
      <c r="BA18" s="192">
        <f t="shared" si="11"/>
        <v>0.29405447331523521</v>
      </c>
      <c r="BB18" s="192">
        <f t="shared" si="12"/>
        <v>0.61707586289191851</v>
      </c>
      <c r="BC18" s="192">
        <f t="shared" si="13"/>
        <v>0.61707586289191851</v>
      </c>
      <c r="BD18" s="192">
        <f t="shared" si="14"/>
        <v>0.61707586289191851</v>
      </c>
      <c r="BE18" s="214">
        <f t="shared" si="15"/>
        <v>8.8063181781633332E-2</v>
      </c>
      <c r="BF18" s="214">
        <f t="shared" si="1"/>
        <v>0.18480135083220914</v>
      </c>
      <c r="BG18" s="752">
        <f t="shared" si="1"/>
        <v>0.18480135083220914</v>
      </c>
      <c r="BH18" s="752">
        <f t="shared" si="1"/>
        <v>0.18480135083220914</v>
      </c>
    </row>
    <row r="19" spans="2:60" ht="84" customHeight="1">
      <c r="B19" s="1486"/>
      <c r="C19" s="1134"/>
      <c r="D19" s="28" t="str">
        <f>+'01-FR-03 POA INSTITUCIONAL'!D16</f>
        <v>1.1.4 Asistir a 27.767 personas en mecanismos alternativos de solución de conflictos.</v>
      </c>
      <c r="E19" s="46">
        <f>+'01-FR-03 POA INSTITUCIONAL'!E16</f>
        <v>0.04</v>
      </c>
      <c r="F19" s="72">
        <f>+'01-FR-03 POA INSTITUCIONAL'!F16</f>
        <v>27767</v>
      </c>
      <c r="G19" s="72">
        <f>+'01-FR-03 POA INSTITUCIONAL'!M16</f>
        <v>9681</v>
      </c>
      <c r="H19" s="35">
        <f>+'01-FR-03 POA INSTITUCIONAL'!G16</f>
        <v>6810</v>
      </c>
      <c r="I19" s="35" t="str">
        <f>+'01-FR-03 POA INSTITUCIONAL'!H16</f>
        <v>Personas asistidas en Mecanismos Alternativos de Solución de Conflictos</v>
      </c>
      <c r="J19" s="35" t="s">
        <v>220</v>
      </c>
      <c r="K19" s="154" t="s">
        <v>198</v>
      </c>
      <c r="L19" s="875" t="s">
        <v>1118</v>
      </c>
      <c r="M19" s="117" t="s">
        <v>194</v>
      </c>
      <c r="N19" s="117" t="s">
        <v>195</v>
      </c>
      <c r="O19" s="31" t="str">
        <f>+'01-FR-03 POA INSTITUCIONAL'!J16</f>
        <v>Dirección de Conciliación y M.A.S.C.</v>
      </c>
      <c r="P19" s="658">
        <v>532</v>
      </c>
      <c r="Q19" s="658">
        <v>816</v>
      </c>
      <c r="R19" s="658">
        <v>532</v>
      </c>
      <c r="S19" s="658">
        <v>1059</v>
      </c>
      <c r="T19" s="658">
        <v>532</v>
      </c>
      <c r="U19" s="658">
        <v>1109</v>
      </c>
      <c r="V19" s="47">
        <f t="shared" si="2"/>
        <v>1596</v>
      </c>
      <c r="W19" s="47">
        <f t="shared" si="2"/>
        <v>2984</v>
      </c>
      <c r="X19" s="658">
        <v>532</v>
      </c>
      <c r="Y19" s="658">
        <v>967</v>
      </c>
      <c r="Z19" s="658">
        <v>532</v>
      </c>
      <c r="AA19" s="658">
        <v>1201</v>
      </c>
      <c r="AB19" s="658">
        <v>830</v>
      </c>
      <c r="AC19" s="658">
        <v>1524</v>
      </c>
      <c r="AD19" s="47">
        <f t="shared" si="3"/>
        <v>1894</v>
      </c>
      <c r="AE19" s="47">
        <f t="shared" si="3"/>
        <v>3692</v>
      </c>
      <c r="AF19" s="658">
        <v>1032</v>
      </c>
      <c r="AG19" s="658"/>
      <c r="AH19" s="658">
        <v>1032</v>
      </c>
      <c r="AI19" s="658"/>
      <c r="AJ19" s="658">
        <v>1032</v>
      </c>
      <c r="AK19" s="658"/>
      <c r="AL19" s="47">
        <f t="shared" si="4"/>
        <v>3096</v>
      </c>
      <c r="AM19" s="47">
        <f t="shared" si="4"/>
        <v>0</v>
      </c>
      <c r="AN19" s="658">
        <v>1032</v>
      </c>
      <c r="AO19" s="658"/>
      <c r="AP19" s="658">
        <v>1032</v>
      </c>
      <c r="AQ19" s="658"/>
      <c r="AR19" s="658">
        <v>1031</v>
      </c>
      <c r="AS19" s="658"/>
      <c r="AT19" s="47">
        <f t="shared" si="5"/>
        <v>3095</v>
      </c>
      <c r="AU19" s="47">
        <f t="shared" si="5"/>
        <v>0</v>
      </c>
      <c r="AV19" s="131">
        <f t="shared" si="6"/>
        <v>9681</v>
      </c>
      <c r="AW19" s="62">
        <f t="shared" si="7"/>
        <v>2984</v>
      </c>
      <c r="AX19" s="62">
        <f t="shared" si="8"/>
        <v>6676</v>
      </c>
      <c r="AY19" s="928">
        <f t="shared" si="9"/>
        <v>6676</v>
      </c>
      <c r="AZ19" s="928">
        <f t="shared" si="10"/>
        <v>6676</v>
      </c>
      <c r="BA19" s="192">
        <f>IF(AND(AW19&gt;0,$AV19&gt;0),AW19/$AV19,0)</f>
        <v>0.30823262059704576</v>
      </c>
      <c r="BB19" s="192">
        <f t="shared" si="12"/>
        <v>0.6895981820059911</v>
      </c>
      <c r="BC19" s="192">
        <f t="shared" si="13"/>
        <v>0.6895981820059911</v>
      </c>
      <c r="BD19" s="192">
        <f t="shared" si="14"/>
        <v>0.6895981820059911</v>
      </c>
      <c r="BE19" s="214">
        <f t="shared" si="15"/>
        <v>0.10746569669031585</v>
      </c>
      <c r="BF19" s="214">
        <f t="shared" si="1"/>
        <v>0.24042928656318652</v>
      </c>
      <c r="BG19" s="752">
        <f t="shared" si="1"/>
        <v>0.24042928656318652</v>
      </c>
      <c r="BH19" s="752">
        <f t="shared" si="1"/>
        <v>0.24042928656318652</v>
      </c>
    </row>
    <row r="20" spans="2:60" ht="144.75" customHeight="1">
      <c r="B20" s="1486"/>
      <c r="C20" s="1134"/>
      <c r="D20" s="28" t="str">
        <f>+'01-FR-03 POA INSTITUCIONAL'!D17</f>
        <v>1.1.5 Atender y gestionar 53.992 peticiones y/o requerimientos presentados por la comunidad en garantía de derechos.</v>
      </c>
      <c r="E20" s="46">
        <f>+'01-FR-03 POA INSTITUCIONAL'!E17</f>
        <v>0.06</v>
      </c>
      <c r="F20" s="72">
        <f>+'01-FR-03 POA INSTITUCIONAL'!F17</f>
        <v>53992</v>
      </c>
      <c r="G20" s="72">
        <f>+'01-FR-03 POA INSTITUCIONAL'!M17</f>
        <v>19470</v>
      </c>
      <c r="H20" s="35">
        <f>+'01-FR-03 POA INSTITUCIONAL'!G17</f>
        <v>14307</v>
      </c>
      <c r="I20" s="35" t="str">
        <f>+'01-FR-03 POA INSTITUCIONAL'!H17</f>
        <v>Peticiones o requerimientos ciudadanos atendidos en garantía de derechos</v>
      </c>
      <c r="J20" s="35" t="s">
        <v>229</v>
      </c>
      <c r="K20" s="154" t="s">
        <v>197</v>
      </c>
      <c r="L20" s="122" t="s">
        <v>1119</v>
      </c>
      <c r="M20" s="117" t="s">
        <v>194</v>
      </c>
      <c r="N20" s="117" t="s">
        <v>195</v>
      </c>
      <c r="O20" s="31"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658">
        <v>984</v>
      </c>
      <c r="Q20" s="658">
        <v>1961</v>
      </c>
      <c r="R20" s="658">
        <v>1677</v>
      </c>
      <c r="S20" s="658">
        <v>1899</v>
      </c>
      <c r="T20" s="658">
        <v>1946</v>
      </c>
      <c r="U20" s="658">
        <v>2181</v>
      </c>
      <c r="V20" s="47">
        <f t="shared" si="2"/>
        <v>4607</v>
      </c>
      <c r="W20" s="47">
        <f t="shared" si="2"/>
        <v>6041</v>
      </c>
      <c r="X20" s="658">
        <v>1808</v>
      </c>
      <c r="Y20" s="658">
        <v>1904</v>
      </c>
      <c r="Z20" s="658">
        <v>1853</v>
      </c>
      <c r="AA20" s="658">
        <v>3167</v>
      </c>
      <c r="AB20" s="658">
        <v>1797</v>
      </c>
      <c r="AC20" s="658">
        <v>2546</v>
      </c>
      <c r="AD20" s="47">
        <f t="shared" si="3"/>
        <v>5458</v>
      </c>
      <c r="AE20" s="47">
        <f t="shared" si="3"/>
        <v>7617</v>
      </c>
      <c r="AF20" s="658">
        <v>1982</v>
      </c>
      <c r="AG20" s="658"/>
      <c r="AH20" s="658">
        <v>1774</v>
      </c>
      <c r="AI20" s="658"/>
      <c r="AJ20" s="658">
        <v>1702</v>
      </c>
      <c r="AK20" s="658"/>
      <c r="AL20" s="47">
        <f t="shared" si="4"/>
        <v>5458</v>
      </c>
      <c r="AM20" s="47">
        <f t="shared" si="4"/>
        <v>0</v>
      </c>
      <c r="AN20" s="658">
        <v>1758</v>
      </c>
      <c r="AO20" s="658"/>
      <c r="AP20" s="658">
        <v>1371</v>
      </c>
      <c r="AQ20" s="658"/>
      <c r="AR20" s="658">
        <v>818</v>
      </c>
      <c r="AS20" s="658"/>
      <c r="AT20" s="47">
        <f t="shared" si="5"/>
        <v>3947</v>
      </c>
      <c r="AU20" s="47">
        <f t="shared" si="5"/>
        <v>0</v>
      </c>
      <c r="AV20" s="131">
        <f t="shared" si="6"/>
        <v>19470</v>
      </c>
      <c r="AW20" s="62">
        <f t="shared" si="7"/>
        <v>6041</v>
      </c>
      <c r="AX20" s="62">
        <f t="shared" si="8"/>
        <v>13658</v>
      </c>
      <c r="AY20" s="928">
        <f t="shared" si="9"/>
        <v>13658</v>
      </c>
      <c r="AZ20" s="928">
        <f t="shared" si="10"/>
        <v>13658</v>
      </c>
      <c r="BA20" s="192">
        <f t="shared" ref="BA20:BA21" si="16">IF(AND(AW20&gt;0,$AV20&gt;0),AW20/$AV20,0)</f>
        <v>0.31027221366204416</v>
      </c>
      <c r="BB20" s="192">
        <f t="shared" ref="BB20:BB21" si="17">IF(AND(AX20&gt;0,$AV20&gt;0),AX20/$AV20,0)</f>
        <v>0.70148947098099645</v>
      </c>
      <c r="BC20" s="192">
        <f t="shared" ref="BC20:BC21" si="18">IF(AND(AY20&gt;0,$AV20&gt;0),AY20/$AV20,0)</f>
        <v>0.70148947098099645</v>
      </c>
      <c r="BD20" s="192">
        <f t="shared" ref="BD20:BD21" si="19">IF(AND(AZ20&gt;0,$AV20&gt;0),AZ20/$AV20,0)</f>
        <v>0.70148947098099645</v>
      </c>
      <c r="BE20" s="214">
        <f t="shared" si="15"/>
        <v>0.11188694621425396</v>
      </c>
      <c r="BF20" s="214">
        <f t="shared" si="1"/>
        <v>0.25296340198547934</v>
      </c>
      <c r="BG20" s="752">
        <f t="shared" si="1"/>
        <v>0.25296340198547934</v>
      </c>
      <c r="BH20" s="752">
        <f t="shared" si="1"/>
        <v>0.25296340198547934</v>
      </c>
    </row>
    <row r="21" spans="2:60" ht="189.75" customHeight="1">
      <c r="B21" s="1486"/>
      <c r="C21" s="1134"/>
      <c r="D21" s="28" t="str">
        <f>+'01-FR-03 POA INSTITUCIONAL'!D18</f>
        <v>1.1.6 Generar 80 espacios de mejora, de transferencia de conocimientos y buenas prácticas que permitan brindar una atención idónea a las personas que acuden a la Personería de Bogotá, D. C</v>
      </c>
      <c r="E21" s="46">
        <f>+'01-FR-03 POA INSTITUCIONAL'!E18</f>
        <v>0.01</v>
      </c>
      <c r="F21" s="72">
        <f>+'01-FR-03 POA INSTITUCIONAL'!F18</f>
        <v>80</v>
      </c>
      <c r="G21" s="72">
        <f>+'01-FR-03 POA INSTITUCIONAL'!M18</f>
        <v>20</v>
      </c>
      <c r="H21" s="35">
        <f>+'01-FR-03 POA INSTITUCIONAL'!G18</f>
        <v>20</v>
      </c>
      <c r="I21" s="35" t="str">
        <f>+'01-FR-03 POA INSTITUCIONAL'!H18</f>
        <v>Espacios de mejora y transferencia de conocimiento realizados</v>
      </c>
      <c r="J21" s="35" t="s">
        <v>221</v>
      </c>
      <c r="K21" s="154" t="s">
        <v>199</v>
      </c>
      <c r="L21" s="122" t="s">
        <v>200</v>
      </c>
      <c r="M21" s="117" t="s">
        <v>194</v>
      </c>
      <c r="N21" s="117" t="s">
        <v>195</v>
      </c>
      <c r="O21" s="31" t="str">
        <f>+'01-FR-03 POA INSTITUCIONAL'!J18</f>
        <v>P.D. para la Coordinación del MP y DDHH y sus dependencias adscritas.</v>
      </c>
      <c r="P21" s="658">
        <v>0</v>
      </c>
      <c r="Q21" s="658">
        <v>0</v>
      </c>
      <c r="R21" s="658">
        <v>0</v>
      </c>
      <c r="S21" s="658">
        <v>0</v>
      </c>
      <c r="T21" s="658">
        <v>0</v>
      </c>
      <c r="U21" s="658">
        <v>2</v>
      </c>
      <c r="V21" s="47">
        <f t="shared" si="2"/>
        <v>0</v>
      </c>
      <c r="W21" s="47">
        <f t="shared" si="2"/>
        <v>2</v>
      </c>
      <c r="X21" s="658">
        <v>0</v>
      </c>
      <c r="Y21" s="658">
        <v>3</v>
      </c>
      <c r="Z21" s="658">
        <v>0</v>
      </c>
      <c r="AA21" s="658">
        <v>2</v>
      </c>
      <c r="AB21" s="658">
        <v>7</v>
      </c>
      <c r="AC21" s="658">
        <v>0</v>
      </c>
      <c r="AD21" s="47">
        <f t="shared" si="3"/>
        <v>7</v>
      </c>
      <c r="AE21" s="47">
        <f t="shared" si="3"/>
        <v>5</v>
      </c>
      <c r="AF21" s="658">
        <v>3</v>
      </c>
      <c r="AG21" s="658"/>
      <c r="AH21" s="658">
        <v>0</v>
      </c>
      <c r="AI21" s="658"/>
      <c r="AJ21" s="721">
        <v>6</v>
      </c>
      <c r="AK21" s="721"/>
      <c r="AL21" s="47">
        <f t="shared" si="4"/>
        <v>9</v>
      </c>
      <c r="AM21" s="47">
        <f t="shared" si="4"/>
        <v>0</v>
      </c>
      <c r="AN21" s="658">
        <v>4</v>
      </c>
      <c r="AO21" s="658"/>
      <c r="AP21" s="658">
        <v>0</v>
      </c>
      <c r="AQ21" s="658"/>
      <c r="AR21" s="658">
        <v>0</v>
      </c>
      <c r="AS21" s="658"/>
      <c r="AT21" s="47">
        <f t="shared" si="5"/>
        <v>4</v>
      </c>
      <c r="AU21" s="47">
        <f t="shared" si="5"/>
        <v>0</v>
      </c>
      <c r="AV21" s="131">
        <f t="shared" si="6"/>
        <v>20</v>
      </c>
      <c r="AW21" s="62">
        <f t="shared" si="7"/>
        <v>2</v>
      </c>
      <c r="AX21" s="62">
        <f t="shared" si="8"/>
        <v>7</v>
      </c>
      <c r="AY21" s="928">
        <f t="shared" si="9"/>
        <v>7</v>
      </c>
      <c r="AZ21" s="928">
        <f t="shared" si="10"/>
        <v>7</v>
      </c>
      <c r="BA21" s="192">
        <f t="shared" si="16"/>
        <v>0.1</v>
      </c>
      <c r="BB21" s="192">
        <f t="shared" si="17"/>
        <v>0.35</v>
      </c>
      <c r="BC21" s="192">
        <f t="shared" si="18"/>
        <v>0.35</v>
      </c>
      <c r="BD21" s="192">
        <f t="shared" si="19"/>
        <v>0.35</v>
      </c>
      <c r="BE21" s="214">
        <f t="shared" ref="BE21" si="20">(IF(AND(AW21&gt;0,$F21&gt;0),AW21/$F21,0))</f>
        <v>2.5000000000000001E-2</v>
      </c>
      <c r="BF21" s="214">
        <f t="shared" ref="BF21" si="21">(IF(AND(AX21&gt;0,$F21&gt;0),AX21/$F21,0))</f>
        <v>8.7499999999999994E-2</v>
      </c>
      <c r="BG21" s="752">
        <f t="shared" ref="BG21" si="22">(IF(AND(AY21&gt;0,$F21&gt;0),AY21/$F21,0))</f>
        <v>8.7499999999999994E-2</v>
      </c>
      <c r="BH21" s="752">
        <f t="shared" ref="BH21" si="23">(IF(AND(AZ21&gt;0,$F21&gt;0),AZ21/$F21,0))</f>
        <v>8.7499999999999994E-2</v>
      </c>
    </row>
    <row r="22" spans="2:60" ht="160.5" customHeight="1">
      <c r="B22" s="1486"/>
      <c r="C22" s="1134"/>
      <c r="D22" s="28" t="str">
        <f>+'01-FR-03 POA INSTITUCIONAL'!D19</f>
        <v>1.1.7 Entregar en un termino menor a los cinco (5) días hábiles, mas del 95% de las solicitudes de elaboración de tutelas, desacatos e impugnaciones que realicen las personas en el Distrito Capital.</v>
      </c>
      <c r="E22" s="46">
        <f>+'01-FR-03 POA INSTITUCIONAL'!E19</f>
        <v>0.01</v>
      </c>
      <c r="F22" s="72" t="str">
        <f>+'01-FR-03 POA INSTITUCIONAL'!F19</f>
        <v>&gt;=95%</v>
      </c>
      <c r="G22" s="72" t="str">
        <f>+'01-FR-03 POA INSTITUCIONAL'!M19</f>
        <v>&gt;=95%</v>
      </c>
      <c r="H22" s="35" t="str">
        <f>+'01-FR-03 POA INSTITUCIONAL'!G19</f>
        <v>S.I.</v>
      </c>
      <c r="I22" s="35" t="str">
        <f>+'01-FR-03 POA INSTITUCIONAL'!H19</f>
        <v>Porcentaje de Acciones de Tutela, Desacatos e Impugnaciones Entregadas en un Termino Menor a Cinco (5) Días Hábiles</v>
      </c>
      <c r="J22" s="35" t="s">
        <v>222</v>
      </c>
      <c r="K22" s="154" t="s">
        <v>201</v>
      </c>
      <c r="L22" s="676" t="s">
        <v>202</v>
      </c>
      <c r="M22" s="117" t="s">
        <v>194</v>
      </c>
      <c r="N22" s="117" t="s">
        <v>195</v>
      </c>
      <c r="O22" s="31" t="str">
        <f>+'01-FR-03 POA INSTITUCIONAL'!J19</f>
        <v>P.D. para Asuntos Jurisdiccionales, Víctimas y Penal II.
P.D. para la Coordinación de la Gestión de Personerías Locales y sus Personerías Locales adscritas</v>
      </c>
      <c r="P22" s="720">
        <v>0.95</v>
      </c>
      <c r="Q22" s="720">
        <v>1</v>
      </c>
      <c r="R22" s="720">
        <v>0.95</v>
      </c>
      <c r="S22" s="720">
        <v>1</v>
      </c>
      <c r="T22" s="720">
        <v>0.95</v>
      </c>
      <c r="U22" s="720">
        <v>1</v>
      </c>
      <c r="V22" s="200">
        <f>AVERAGE(P22,R22,T22)</f>
        <v>0.94999999999999984</v>
      </c>
      <c r="W22" s="200">
        <f>IFERROR(AVERAGE(Q22,S22,U22),0)</f>
        <v>1</v>
      </c>
      <c r="X22" s="720">
        <v>0.95</v>
      </c>
      <c r="Y22" s="776">
        <v>1</v>
      </c>
      <c r="Z22" s="720">
        <v>0.95</v>
      </c>
      <c r="AA22" s="776">
        <v>1</v>
      </c>
      <c r="AB22" s="720">
        <v>0.95</v>
      </c>
      <c r="AC22" s="776">
        <v>1</v>
      </c>
      <c r="AD22" s="200">
        <f>AVERAGE(X22,Z22,AB22)</f>
        <v>0.94999999999999984</v>
      </c>
      <c r="AE22" s="200">
        <f>IFERROR(AVERAGE(Y22,AA22,AC22),0)</f>
        <v>1</v>
      </c>
      <c r="AF22" s="720">
        <v>0.95</v>
      </c>
      <c r="AG22" s="776"/>
      <c r="AH22" s="720">
        <v>0.95</v>
      </c>
      <c r="AI22" s="776"/>
      <c r="AJ22" s="720">
        <v>0.95</v>
      </c>
      <c r="AK22" s="658"/>
      <c r="AL22" s="200">
        <f>AVERAGE(AF22,AH22,AJ22)</f>
        <v>0.94999999999999984</v>
      </c>
      <c r="AM22" s="200">
        <f>IFERROR(AVERAGE(AG22,AI22,AK22),0)</f>
        <v>0</v>
      </c>
      <c r="AN22" s="720">
        <v>0.95</v>
      </c>
      <c r="AO22" s="776"/>
      <c r="AP22" s="720">
        <v>0.95</v>
      </c>
      <c r="AQ22" s="776"/>
      <c r="AR22" s="720">
        <v>0.95</v>
      </c>
      <c r="AS22" s="658"/>
      <c r="AT22" s="200">
        <f>AVERAGE(AN22,AP22,AR22)</f>
        <v>0.94999999999999984</v>
      </c>
      <c r="AU22" s="200">
        <f>IFERROR(AVERAGE(AO22,AQ22,AS22),0)</f>
        <v>0</v>
      </c>
      <c r="AV22" s="200">
        <f>AVERAGE(P22,R22,T22,X22,Z22,AB22,AF22,AH22,AJ22,AN22,AP22,AR22)</f>
        <v>0.94999999999999984</v>
      </c>
      <c r="AW22" s="181">
        <f>IFERROR(IF(OR($AV$22="",$AV$22=0),0,ROUNDDOWN(AVERAGE($Q22,$S22,$U22),3)),0)</f>
        <v>1</v>
      </c>
      <c r="AX22" s="181">
        <f>IFERROR(IF(OR($AV$22="",$AV$22=0),0,ROUNDDOWN(AVERAGE($Q22,$S22,$U22,$Y22,$AA22,$AC22),3)),0)</f>
        <v>1</v>
      </c>
      <c r="AY22" s="925">
        <f>IFERROR(IF(OR($AV$22="",$AV$22=0),0,ROUNDDOWN(AVERAGE($Q22,$S22,$U22,$Y22,$AA22,$AC22,$AG22,$AI22,$AK22),3)),0)</f>
        <v>1</v>
      </c>
      <c r="AZ22" s="925">
        <f>IFERROR(IF(OR($AV$22="",$AV$22=0),0,ROUNDDOWN(AVERAGE($Q22,$S22,$U22,$Y22,$AA22,$AC22,$AG22,$AI22,$AK22,$AO22,$AQ22,$AS22),3)),0)</f>
        <v>1</v>
      </c>
      <c r="BA22" s="192">
        <f>IF(AND(AW22&gt;0,$AV22&gt;0),AW22/$AV22,0)*0.25</f>
        <v>0.26315789473684215</v>
      </c>
      <c r="BB22" s="192">
        <f>IF(AND(AX22&gt;0,$AV22&gt;0),AX22/$AV22,0)*0.5</f>
        <v>0.52631578947368429</v>
      </c>
      <c r="BC22" s="192">
        <f>IF(AND(AY22&gt;0,$AV22&gt;0),AY22/$AV22,0)*0.75</f>
        <v>0.78947368421052644</v>
      </c>
      <c r="BD22" s="192">
        <f>IF(AND(AZ22&gt;0,$AV22&gt;0),AZ22/$AV22,0)</f>
        <v>1.0526315789473686</v>
      </c>
      <c r="BE22" s="214">
        <f>((IF(AND(AW22&gt;0,95%&gt;0),AW22/95%,0))/4)*0.25</f>
        <v>6.5789473684210523E-2</v>
      </c>
      <c r="BF22" s="214">
        <f>((IF(AND(AX22&gt;0,95%&gt;0),AX22/95%,0))/4)*0.5</f>
        <v>0.13157894736842105</v>
      </c>
      <c r="BG22" s="752">
        <f>((IF(AND(AY22&gt;0,95%&gt;0),AY22/95%,0))/4)*0.75</f>
        <v>0.19736842105263158</v>
      </c>
      <c r="BH22" s="752">
        <f>(IF(AND(AZ22&gt;0,95%&gt;0),AZ22/95%,0))/4</f>
        <v>0.26315789473684209</v>
      </c>
    </row>
    <row r="23" spans="2:60" ht="138.75" customHeight="1">
      <c r="B23" s="1486"/>
      <c r="C23" s="1134"/>
      <c r="D23" s="28"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46">
        <f>+'01-FR-03 POA INSTITUCIONAL'!E20</f>
        <v>0.02</v>
      </c>
      <c r="F23" s="72">
        <f>+'01-FR-03 POA INSTITUCIONAL'!F20</f>
        <v>19500</v>
      </c>
      <c r="G23" s="72">
        <f>+'01-FR-03 POA INSTITUCIONAL'!M20</f>
        <v>6500</v>
      </c>
      <c r="H23" s="35">
        <f>+'01-FR-03 POA INSTITUCIONAL'!G20</f>
        <v>5000</v>
      </c>
      <c r="I23" s="35" t="str">
        <f>+'01-FR-03 POA INSTITUCIONAL'!H20</f>
        <v>Audiencias Publicas Realizadas con Asistencia del Ministerio Público</v>
      </c>
      <c r="J23" s="35" t="s">
        <v>223</v>
      </c>
      <c r="K23" s="154" t="s">
        <v>203</v>
      </c>
      <c r="L23" s="122" t="s">
        <v>1120</v>
      </c>
      <c r="M23" s="117" t="s">
        <v>194</v>
      </c>
      <c r="N23" s="117" t="s">
        <v>195</v>
      </c>
      <c r="O23" s="31" t="str">
        <f>+'01-FR-03 POA INSTITUCIONAL'!J20</f>
        <v>P.D. para la Coordinación de la Gestión de Personerías Locales y sus Personerías Locales adscritas</v>
      </c>
      <c r="P23" s="721">
        <v>0</v>
      </c>
      <c r="Q23" s="658">
        <v>350</v>
      </c>
      <c r="R23" s="721">
        <v>650</v>
      </c>
      <c r="S23" s="658">
        <v>756</v>
      </c>
      <c r="T23" s="721">
        <v>650</v>
      </c>
      <c r="U23" s="658">
        <v>773</v>
      </c>
      <c r="V23" s="47">
        <f t="shared" si="2"/>
        <v>1300</v>
      </c>
      <c r="W23" s="47">
        <f t="shared" si="2"/>
        <v>1879</v>
      </c>
      <c r="X23" s="721">
        <v>650</v>
      </c>
      <c r="Y23" s="658">
        <v>501</v>
      </c>
      <c r="Z23" s="721">
        <v>650</v>
      </c>
      <c r="AA23" s="658">
        <v>869</v>
      </c>
      <c r="AB23" s="721">
        <v>650</v>
      </c>
      <c r="AC23" s="658">
        <v>610</v>
      </c>
      <c r="AD23" s="47">
        <f t="shared" si="3"/>
        <v>1950</v>
      </c>
      <c r="AE23" s="47">
        <f t="shared" si="3"/>
        <v>1980</v>
      </c>
      <c r="AF23" s="721">
        <v>650</v>
      </c>
      <c r="AG23" s="658"/>
      <c r="AH23" s="721">
        <v>650</v>
      </c>
      <c r="AI23" s="658"/>
      <c r="AJ23" s="721">
        <v>650</v>
      </c>
      <c r="AK23" s="658"/>
      <c r="AL23" s="47">
        <f t="shared" si="4"/>
        <v>1950</v>
      </c>
      <c r="AM23" s="47">
        <f t="shared" si="4"/>
        <v>0</v>
      </c>
      <c r="AN23" s="721">
        <v>650</v>
      </c>
      <c r="AO23" s="658"/>
      <c r="AP23" s="721">
        <v>650</v>
      </c>
      <c r="AQ23" s="658"/>
      <c r="AR23" s="658">
        <v>0</v>
      </c>
      <c r="AS23" s="658"/>
      <c r="AT23" s="47">
        <f t="shared" si="5"/>
        <v>1300</v>
      </c>
      <c r="AU23" s="47">
        <f t="shared" si="5"/>
        <v>0</v>
      </c>
      <c r="AV23" s="131">
        <f t="shared" si="6"/>
        <v>6500</v>
      </c>
      <c r="AW23" s="62">
        <f t="shared" si="7"/>
        <v>1879</v>
      </c>
      <c r="AX23" s="62">
        <f t="shared" si="8"/>
        <v>3859</v>
      </c>
      <c r="AY23" s="928">
        <f t="shared" si="9"/>
        <v>3859</v>
      </c>
      <c r="AZ23" s="928">
        <f t="shared" si="10"/>
        <v>3859</v>
      </c>
      <c r="BA23" s="192">
        <f t="shared" ref="BA23:BA24" si="24">IF(AND(AW23&gt;0,$AV23&gt;0),AW23/$AV23,0)</f>
        <v>0.28907692307692306</v>
      </c>
      <c r="BB23" s="192">
        <f t="shared" ref="BB23:BB24" si="25">IF(AND(AX23&gt;0,$AV23&gt;0),AX23/$AV23,0)</f>
        <v>0.59369230769230774</v>
      </c>
      <c r="BC23" s="192">
        <f t="shared" ref="BC23:BC24" si="26">IF(AND(AY23&gt;0,$AV23&gt;0),AY23/$AV23,0)</f>
        <v>0.59369230769230774</v>
      </c>
      <c r="BD23" s="192">
        <f t="shared" ref="BD23:BD24" si="27">IF(AND(AZ23&gt;0,$AV23&gt;0),AZ23/$AV23,0)</f>
        <v>0.59369230769230774</v>
      </c>
      <c r="BE23" s="214">
        <f t="shared" ref="BE23:BE35" si="28">(IF(AND(AW23&gt;0,$F23&gt;0),AW23/$F23,0))</f>
        <v>9.6358974358974364E-2</v>
      </c>
      <c r="BF23" s="214">
        <f t="shared" ref="BF23:BF24" si="29">(IF(AND(AX23&gt;0,$F23&gt;0),AX23/$F23,0))</f>
        <v>0.19789743589743589</v>
      </c>
      <c r="BG23" s="752">
        <f t="shared" ref="BG23:BH24" si="30">(IF(AND(AY23&gt;0,$F23&gt;0),AY23/$F23,0))</f>
        <v>0.19789743589743589</v>
      </c>
      <c r="BH23" s="752">
        <f t="shared" ref="BH23" si="31">(IF(AND(AZ23&gt;0,$F23&gt;0),AZ23/$F23,0))</f>
        <v>0.19789743589743589</v>
      </c>
    </row>
    <row r="24" spans="2:60" ht="236.25" customHeight="1">
      <c r="B24" s="1486"/>
      <c r="C24" s="1134"/>
      <c r="D24" s="28" t="str">
        <f>+'01-FR-03 POA INSTITUCIONAL'!D21</f>
        <v>1.1.9 Realizar 9.000 intervenciones de manera oportuna para evitar situaciones de caducidad y perdida de fuerza ejecutoria en las actuaciones administrativas y policivas</v>
      </c>
      <c r="E24" s="46">
        <f>+'01-FR-03 POA INSTITUCIONAL'!E21</f>
        <v>0.01</v>
      </c>
      <c r="F24" s="72">
        <f>+'01-FR-03 POA INSTITUCIONAL'!F21</f>
        <v>9000</v>
      </c>
      <c r="G24" s="72">
        <f>+'01-FR-03 POA INSTITUCIONAL'!M21</f>
        <v>2000</v>
      </c>
      <c r="H24" s="35">
        <f>+'01-FR-03 POA INSTITUCIONAL'!G21</f>
        <v>3000</v>
      </c>
      <c r="I24" s="35" t="str">
        <f>+'01-FR-03 POA INSTITUCIONAL'!H21</f>
        <v>Intervenciones realizadas oportunamente para evitar la caducidad y perdida de fuerza ejecutoria (Impulsos procesales)</v>
      </c>
      <c r="J24" s="35" t="s">
        <v>231</v>
      </c>
      <c r="K24" s="154" t="s">
        <v>204</v>
      </c>
      <c r="L24" s="122" t="s">
        <v>1121</v>
      </c>
      <c r="M24" s="117" t="s">
        <v>194</v>
      </c>
      <c r="N24" s="117" t="s">
        <v>195</v>
      </c>
      <c r="O24" s="31" t="str">
        <f>+'01-FR-03 POA INSTITUCIONAL'!J21</f>
        <v>P.D. para la Coordinación de la Gestión de Personerías Locales y sus Personerías Locales adscritas</v>
      </c>
      <c r="P24" s="721">
        <v>0</v>
      </c>
      <c r="Q24" s="658">
        <v>46</v>
      </c>
      <c r="R24" s="721">
        <v>200</v>
      </c>
      <c r="S24" s="658">
        <v>133</v>
      </c>
      <c r="T24" s="721">
        <v>200</v>
      </c>
      <c r="U24" s="658">
        <v>228</v>
      </c>
      <c r="V24" s="47">
        <f t="shared" si="2"/>
        <v>400</v>
      </c>
      <c r="W24" s="47">
        <f t="shared" si="2"/>
        <v>407</v>
      </c>
      <c r="X24" s="721">
        <v>200</v>
      </c>
      <c r="Y24" s="658">
        <v>206</v>
      </c>
      <c r="Z24" s="721">
        <v>200</v>
      </c>
      <c r="AA24" s="658">
        <v>169</v>
      </c>
      <c r="AB24" s="721">
        <v>200</v>
      </c>
      <c r="AC24" s="721">
        <v>196</v>
      </c>
      <c r="AD24" s="47">
        <f t="shared" si="3"/>
        <v>600</v>
      </c>
      <c r="AE24" s="47">
        <f t="shared" si="3"/>
        <v>571</v>
      </c>
      <c r="AF24" s="721">
        <v>200</v>
      </c>
      <c r="AG24" s="658"/>
      <c r="AH24" s="721">
        <v>200</v>
      </c>
      <c r="AI24" s="658"/>
      <c r="AJ24" s="721">
        <v>200</v>
      </c>
      <c r="AK24" s="721"/>
      <c r="AL24" s="47">
        <f t="shared" si="4"/>
        <v>600</v>
      </c>
      <c r="AM24" s="47">
        <f t="shared" si="4"/>
        <v>0</v>
      </c>
      <c r="AN24" s="721">
        <v>200</v>
      </c>
      <c r="AO24" s="658"/>
      <c r="AP24" s="721">
        <v>200</v>
      </c>
      <c r="AQ24" s="658"/>
      <c r="AR24" s="658">
        <v>0</v>
      </c>
      <c r="AS24" s="658"/>
      <c r="AT24" s="47">
        <f t="shared" si="5"/>
        <v>400</v>
      </c>
      <c r="AU24" s="47">
        <f t="shared" si="5"/>
        <v>0</v>
      </c>
      <c r="AV24" s="131">
        <f t="shared" si="6"/>
        <v>2000</v>
      </c>
      <c r="AW24" s="62">
        <f t="shared" si="7"/>
        <v>407</v>
      </c>
      <c r="AX24" s="62">
        <f t="shared" si="8"/>
        <v>978</v>
      </c>
      <c r="AY24" s="928">
        <f t="shared" si="9"/>
        <v>978</v>
      </c>
      <c r="AZ24" s="928">
        <f t="shared" si="10"/>
        <v>978</v>
      </c>
      <c r="BA24" s="192">
        <f t="shared" si="24"/>
        <v>0.20349999999999999</v>
      </c>
      <c r="BB24" s="192">
        <f t="shared" si="25"/>
        <v>0.48899999999999999</v>
      </c>
      <c r="BC24" s="192">
        <f t="shared" si="26"/>
        <v>0.48899999999999999</v>
      </c>
      <c r="BD24" s="192">
        <f t="shared" si="27"/>
        <v>0.48899999999999999</v>
      </c>
      <c r="BE24" s="214">
        <f t="shared" si="28"/>
        <v>4.5222222222222219E-2</v>
      </c>
      <c r="BF24" s="214">
        <f t="shared" si="29"/>
        <v>0.10866666666666666</v>
      </c>
      <c r="BG24" s="752">
        <f t="shared" si="30"/>
        <v>0.10866666666666666</v>
      </c>
      <c r="BH24" s="752">
        <f t="shared" si="30"/>
        <v>0.10866666666666666</v>
      </c>
    </row>
    <row r="25" spans="2:60" ht="136.5" customHeight="1">
      <c r="B25" s="1486"/>
      <c r="C25" s="1134"/>
      <c r="D25" s="28" t="str">
        <f>+'01-FR-03 POA INSTITUCIONAL'!D22</f>
        <v>1.1.10 Impulsar 1.800 expedientes que contengan orden de policía (MULTA) en firme y ejecutoriada, para que se efectúen cobros persuasivos y/o se de traslado para el cobro coactivo.</v>
      </c>
      <c r="E25" s="46">
        <f>+'01-FR-03 POA INSTITUCIONAL'!E22</f>
        <v>0.01</v>
      </c>
      <c r="F25" s="72">
        <f>+'01-FR-03 POA INSTITUCIONAL'!F22</f>
        <v>1800</v>
      </c>
      <c r="G25" s="72">
        <f>+'01-FR-03 POA INSTITUCIONAL'!M22</f>
        <v>300</v>
      </c>
      <c r="H25" s="35">
        <f>+'01-FR-03 POA INSTITUCIONAL'!G22</f>
        <v>700</v>
      </c>
      <c r="I25" s="35" t="str">
        <f>+'01-FR-03 POA INSTITUCIONAL'!H22</f>
        <v>Expedientes con impulso procesal para la gestión de multas</v>
      </c>
      <c r="J25" s="35" t="s">
        <v>630</v>
      </c>
      <c r="K25" s="154" t="s">
        <v>205</v>
      </c>
      <c r="L25" s="122" t="s">
        <v>1122</v>
      </c>
      <c r="M25" s="117" t="s">
        <v>194</v>
      </c>
      <c r="N25" s="117" t="s">
        <v>195</v>
      </c>
      <c r="O25" s="31" t="str">
        <f>+'01-FR-03 POA INSTITUCIONAL'!J22</f>
        <v>P.D. para la Coordinación de la Gestión de Personerías Locales y sus Personerías Locales adscritas</v>
      </c>
      <c r="P25" s="721">
        <v>0</v>
      </c>
      <c r="Q25" s="721">
        <v>27</v>
      </c>
      <c r="R25" s="721">
        <v>30</v>
      </c>
      <c r="S25" s="721">
        <v>21</v>
      </c>
      <c r="T25" s="721">
        <v>30</v>
      </c>
      <c r="U25" s="721">
        <v>24</v>
      </c>
      <c r="V25" s="47">
        <f t="shared" si="2"/>
        <v>60</v>
      </c>
      <c r="W25" s="47">
        <f t="shared" si="2"/>
        <v>72</v>
      </c>
      <c r="X25" s="721">
        <v>30</v>
      </c>
      <c r="Y25" s="721">
        <v>27</v>
      </c>
      <c r="Z25" s="721">
        <v>30</v>
      </c>
      <c r="AA25" s="721">
        <v>41</v>
      </c>
      <c r="AB25" s="721">
        <v>30</v>
      </c>
      <c r="AC25" s="721">
        <v>31</v>
      </c>
      <c r="AD25" s="47">
        <f t="shared" si="3"/>
        <v>90</v>
      </c>
      <c r="AE25" s="47">
        <f t="shared" si="3"/>
        <v>99</v>
      </c>
      <c r="AF25" s="721">
        <v>30</v>
      </c>
      <c r="AG25" s="658"/>
      <c r="AH25" s="721">
        <v>30</v>
      </c>
      <c r="AI25" s="658"/>
      <c r="AJ25" s="721">
        <v>30</v>
      </c>
      <c r="AK25" s="721"/>
      <c r="AL25" s="47">
        <f t="shared" si="4"/>
        <v>90</v>
      </c>
      <c r="AM25" s="47">
        <f t="shared" si="4"/>
        <v>0</v>
      </c>
      <c r="AN25" s="658">
        <v>30</v>
      </c>
      <c r="AO25" s="658"/>
      <c r="AP25" s="658">
        <v>30</v>
      </c>
      <c r="AQ25" s="658"/>
      <c r="AR25" s="658">
        <v>0</v>
      </c>
      <c r="AS25" s="658"/>
      <c r="AT25" s="47">
        <f t="shared" si="5"/>
        <v>60</v>
      </c>
      <c r="AU25" s="47">
        <f t="shared" si="5"/>
        <v>0</v>
      </c>
      <c r="AV25" s="131">
        <f t="shared" si="6"/>
        <v>300</v>
      </c>
      <c r="AW25" s="62">
        <f t="shared" si="7"/>
        <v>72</v>
      </c>
      <c r="AX25" s="62">
        <f t="shared" si="8"/>
        <v>171</v>
      </c>
      <c r="AY25" s="928">
        <f t="shared" si="9"/>
        <v>171</v>
      </c>
      <c r="AZ25" s="928">
        <f t="shared" si="10"/>
        <v>171</v>
      </c>
      <c r="BA25" s="192">
        <f t="shared" ref="BA25:BA35" si="32">IF(AND(AW25&gt;0,$AV25&gt;0),AW25/$AV25,0)</f>
        <v>0.24</v>
      </c>
      <c r="BB25" s="192">
        <f t="shared" ref="BB25:BB35" si="33">IF(AND(AX25&gt;0,$AV25&gt;0),AX25/$AV25,0)</f>
        <v>0.56999999999999995</v>
      </c>
      <c r="BC25" s="192">
        <f t="shared" ref="BC25:BC35" si="34">IF(AND(AY25&gt;0,$AV25&gt;0),AY25/$AV25,0)</f>
        <v>0.56999999999999995</v>
      </c>
      <c r="BD25" s="192">
        <f t="shared" ref="BD25:BD35" si="35">IF(AND(AZ25&gt;0,$AV25&gt;0),AZ25/$AV25,0)</f>
        <v>0.56999999999999995</v>
      </c>
      <c r="BE25" s="214">
        <f t="shared" si="28"/>
        <v>0.04</v>
      </c>
      <c r="BF25" s="214">
        <f t="shared" ref="BF25" si="36">(IF(AND(AX25&gt;0,$F25&gt;0),AX25/$F25,0))</f>
        <v>9.5000000000000001E-2</v>
      </c>
      <c r="BG25" s="752">
        <f t="shared" ref="BG25:BH25" si="37">(IF(AND(AY25&gt;0,$F25&gt;0),AY25/$F25,0))</f>
        <v>9.5000000000000001E-2</v>
      </c>
      <c r="BH25" s="752">
        <f t="shared" si="37"/>
        <v>9.5000000000000001E-2</v>
      </c>
    </row>
    <row r="26" spans="2:60" ht="196.5" customHeight="1">
      <c r="B26" s="1486"/>
      <c r="C26" s="1126"/>
      <c r="D26" s="28" t="str">
        <f>+'01-FR-03 POA INSTITUCIONAL'!D23</f>
        <v>1.1.11 Establecer de forma periódica, 40 estados de la vulneración de  los derechos humanos en las localidades, dando a conocer a las Entidades correspondientes los hechos observados que requieren su intervención.</v>
      </c>
      <c r="E26" s="46">
        <f>+'01-FR-03 POA INSTITUCIONAL'!E23</f>
        <v>0.01</v>
      </c>
      <c r="F26" s="72">
        <f>+'01-FR-03 POA INSTITUCIONAL'!F23</f>
        <v>40</v>
      </c>
      <c r="G26" s="72">
        <f>+'01-FR-03 POA INSTITUCIONAL'!M23</f>
        <v>20</v>
      </c>
      <c r="H26" s="35" t="str">
        <f>+'01-FR-03 POA INSTITUCIONAL'!G23</f>
        <v>S.I.</v>
      </c>
      <c r="I26" s="35" t="str">
        <f>+'01-FR-03 POA INSTITUCIONAL'!H23</f>
        <v>Estados de vulneración establecidos</v>
      </c>
      <c r="J26" s="35" t="s">
        <v>236</v>
      </c>
      <c r="K26" s="154" t="s">
        <v>206</v>
      </c>
      <c r="L26" s="122" t="s">
        <v>1123</v>
      </c>
      <c r="M26" s="117" t="s">
        <v>194</v>
      </c>
      <c r="N26" s="117" t="s">
        <v>195</v>
      </c>
      <c r="O26" s="31" t="str">
        <f>+'01-FR-03 POA INSTITUCIONAL'!J23</f>
        <v>P.D. para la Coordinación de la Gestión de Personerías Locales y sus Personerías Locales adscritas</v>
      </c>
      <c r="P26" s="658">
        <v>0</v>
      </c>
      <c r="Q26" s="658">
        <v>0</v>
      </c>
      <c r="R26" s="658">
        <v>0</v>
      </c>
      <c r="S26" s="658">
        <v>0</v>
      </c>
      <c r="T26" s="658">
        <v>0</v>
      </c>
      <c r="U26" s="658">
        <v>0</v>
      </c>
      <c r="V26" s="47">
        <f t="shared" si="2"/>
        <v>0</v>
      </c>
      <c r="W26" s="47">
        <f t="shared" si="2"/>
        <v>0</v>
      </c>
      <c r="X26" s="658">
        <v>0</v>
      </c>
      <c r="Y26" s="658">
        <v>0</v>
      </c>
      <c r="Z26" s="658">
        <v>0</v>
      </c>
      <c r="AA26" s="658">
        <v>0</v>
      </c>
      <c r="AB26" s="658">
        <v>0</v>
      </c>
      <c r="AC26" s="658">
        <v>0</v>
      </c>
      <c r="AD26" s="47">
        <f t="shared" si="3"/>
        <v>0</v>
      </c>
      <c r="AE26" s="47">
        <f t="shared" si="3"/>
        <v>0</v>
      </c>
      <c r="AF26" s="658">
        <v>0</v>
      </c>
      <c r="AG26" s="658"/>
      <c r="AH26" s="658">
        <v>0</v>
      </c>
      <c r="AI26" s="658"/>
      <c r="AJ26" s="721">
        <v>0</v>
      </c>
      <c r="AK26" s="721"/>
      <c r="AL26" s="47">
        <f t="shared" si="4"/>
        <v>0</v>
      </c>
      <c r="AM26" s="47">
        <f t="shared" si="4"/>
        <v>0</v>
      </c>
      <c r="AN26" s="658">
        <v>20</v>
      </c>
      <c r="AO26" s="658"/>
      <c r="AP26" s="658">
        <v>0</v>
      </c>
      <c r="AQ26" s="658"/>
      <c r="AR26" s="658">
        <v>0</v>
      </c>
      <c r="AS26" s="658"/>
      <c r="AT26" s="47">
        <f t="shared" si="5"/>
        <v>20</v>
      </c>
      <c r="AU26" s="47">
        <f t="shared" si="5"/>
        <v>0</v>
      </c>
      <c r="AV26" s="131">
        <f t="shared" si="6"/>
        <v>20</v>
      </c>
      <c r="AW26" s="62">
        <f t="shared" si="7"/>
        <v>0</v>
      </c>
      <c r="AX26" s="62">
        <f t="shared" si="8"/>
        <v>0</v>
      </c>
      <c r="AY26" s="928">
        <f t="shared" si="9"/>
        <v>0</v>
      </c>
      <c r="AZ26" s="928">
        <f t="shared" si="10"/>
        <v>0</v>
      </c>
      <c r="BA26" s="192">
        <f t="shared" si="32"/>
        <v>0</v>
      </c>
      <c r="BB26" s="192">
        <f t="shared" si="33"/>
        <v>0</v>
      </c>
      <c r="BC26" s="192">
        <f t="shared" si="34"/>
        <v>0</v>
      </c>
      <c r="BD26" s="192">
        <f t="shared" si="35"/>
        <v>0</v>
      </c>
      <c r="BE26" s="214">
        <f t="shared" si="28"/>
        <v>0</v>
      </c>
      <c r="BF26" s="182">
        <f t="shared" ref="BF26" si="38">(IF(AND(AX26&gt;0,$AV26&gt;0),AX26/$AV26,0))*$E26</f>
        <v>0</v>
      </c>
      <c r="BG26" s="751">
        <f t="shared" ref="BG26" si="39">(IF(AND(AY26&gt;0,$AV26&gt;0),AY26/$AV26,0))*$E26</f>
        <v>0</v>
      </c>
      <c r="BH26" s="751">
        <f t="shared" ref="BH26" si="40">(IF(AND(AZ26&gt;0,$AV26&gt;0),AZ26/$AV26,0))*$E26</f>
        <v>0</v>
      </c>
    </row>
    <row r="27" spans="2:60" ht="123" customHeight="1">
      <c r="B27" s="1486"/>
      <c r="C27" s="1327" t="str">
        <f>+'01-FR-03 POA INSTITUCIONAL'!C24</f>
        <v>1.2. Realizar 284.891 acciones que propendan por la efectiva defensa y garantía de los derechos de los sujetos de especial protección constitucional, con énfasis en las personas mayores, mujeres y la población migrante en el Distrito Capital</v>
      </c>
      <c r="D27" s="28"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46">
        <f>+'01-FR-03 POA INSTITUCIONAL'!E24</f>
        <v>0.75</v>
      </c>
      <c r="F27" s="72">
        <f>+'01-FR-03 POA INSTITUCIONAL'!F24</f>
        <v>231061</v>
      </c>
      <c r="G27" s="72">
        <f>+'01-FR-03 POA INSTITUCIONAL'!M24</f>
        <v>78131</v>
      </c>
      <c r="H27" s="35">
        <f>+'01-FR-03 POA INSTITUCIONAL'!G24</f>
        <v>62360</v>
      </c>
      <c r="I27" s="35" t="str">
        <f>+'01-FR-03 POA INSTITUCIONAL'!H24</f>
        <v>Personas sensibilizadas en el Distrito Capital</v>
      </c>
      <c r="J27" s="35" t="s">
        <v>224</v>
      </c>
      <c r="K27" s="154" t="s">
        <v>207</v>
      </c>
      <c r="L27" s="122" t="s">
        <v>1124</v>
      </c>
      <c r="M27" s="117" t="s">
        <v>194</v>
      </c>
      <c r="N27" s="117" t="s">
        <v>195</v>
      </c>
      <c r="O27" s="31" t="str">
        <f>+'01-FR-03 POA INSTITUCIONAL'!J24</f>
        <v>P.D. para la Coordinación del MP y DDHH y sus dependencias adscritas
P.D. para la Coordinación de la Gestión de Personerías Locales y sus Personerías Locales adscritas</v>
      </c>
      <c r="P27" s="658">
        <v>250</v>
      </c>
      <c r="Q27" s="658">
        <v>1355</v>
      </c>
      <c r="R27" s="658">
        <v>3743</v>
      </c>
      <c r="S27" s="658">
        <v>7378</v>
      </c>
      <c r="T27" s="658">
        <v>8137</v>
      </c>
      <c r="U27" s="658">
        <v>8698</v>
      </c>
      <c r="V27" s="47">
        <f t="shared" si="2"/>
        <v>12130</v>
      </c>
      <c r="W27" s="47">
        <f t="shared" si="2"/>
        <v>17431</v>
      </c>
      <c r="X27" s="658">
        <v>8386</v>
      </c>
      <c r="Y27" s="658">
        <v>7357</v>
      </c>
      <c r="Z27" s="658">
        <v>8436</v>
      </c>
      <c r="AA27" s="658">
        <v>12456</v>
      </c>
      <c r="AB27" s="658">
        <v>6436</v>
      </c>
      <c r="AC27" s="658">
        <v>5620</v>
      </c>
      <c r="AD27" s="47">
        <f t="shared" si="3"/>
        <v>23258</v>
      </c>
      <c r="AE27" s="47">
        <f t="shared" si="3"/>
        <v>25433</v>
      </c>
      <c r="AF27" s="658">
        <v>8444</v>
      </c>
      <c r="AG27" s="658"/>
      <c r="AH27" s="658">
        <v>8448</v>
      </c>
      <c r="AI27" s="658"/>
      <c r="AJ27" s="658">
        <v>8448</v>
      </c>
      <c r="AK27" s="658"/>
      <c r="AL27" s="47">
        <f t="shared" si="4"/>
        <v>25340</v>
      </c>
      <c r="AM27" s="47">
        <f t="shared" si="4"/>
        <v>0</v>
      </c>
      <c r="AN27" s="658">
        <v>8448</v>
      </c>
      <c r="AO27" s="658"/>
      <c r="AP27" s="658">
        <v>8445</v>
      </c>
      <c r="AQ27" s="658"/>
      <c r="AR27" s="658">
        <v>510</v>
      </c>
      <c r="AS27" s="658"/>
      <c r="AT27" s="47">
        <f t="shared" si="5"/>
        <v>17403</v>
      </c>
      <c r="AU27" s="47">
        <f t="shared" si="5"/>
        <v>0</v>
      </c>
      <c r="AV27" s="131">
        <f t="shared" si="6"/>
        <v>78131</v>
      </c>
      <c r="AW27" s="62">
        <f t="shared" si="7"/>
        <v>17431</v>
      </c>
      <c r="AX27" s="62">
        <f t="shared" si="8"/>
        <v>42864</v>
      </c>
      <c r="AY27" s="928">
        <f t="shared" si="9"/>
        <v>42864</v>
      </c>
      <c r="AZ27" s="928">
        <f t="shared" si="10"/>
        <v>42864</v>
      </c>
      <c r="BA27" s="192">
        <f t="shared" si="32"/>
        <v>0.22309966594565536</v>
      </c>
      <c r="BB27" s="192">
        <f t="shared" si="33"/>
        <v>0.54861706620931516</v>
      </c>
      <c r="BC27" s="192">
        <f t="shared" si="34"/>
        <v>0.54861706620931516</v>
      </c>
      <c r="BD27" s="192">
        <f t="shared" si="35"/>
        <v>0.54861706620931516</v>
      </c>
      <c r="BE27" s="214">
        <f t="shared" si="28"/>
        <v>7.5438953349981172E-2</v>
      </c>
      <c r="BF27" s="214">
        <f t="shared" ref="BF27:BF28" si="41">(IF(AND(AX27&gt;0,$F27&gt;0),AX27/$F27,0))</f>
        <v>0.18550945421338955</v>
      </c>
      <c r="BG27" s="752">
        <f t="shared" ref="BG27:BH28" si="42">(IF(AND(AY27&gt;0,$F27&gt;0),AY27/$F27,0))</f>
        <v>0.18550945421338955</v>
      </c>
      <c r="BH27" s="752">
        <f t="shared" si="42"/>
        <v>0.18550945421338955</v>
      </c>
    </row>
    <row r="28" spans="2:60" ht="144.75" customHeight="1">
      <c r="B28" s="1486"/>
      <c r="C28" s="1134"/>
      <c r="D28" s="28" t="str">
        <f>+'01-FR-03 POA INSTITUCIONAL'!D25</f>
        <v>1.2.2 Adelantar 22.448 acciones necesarias en favor de la población víctima del conflicto armado interno mediante el apoyo jurídico, la atención psicosocial, la gestión para acceso a derechos, la toma de declaraciones y la elaboración de derechos de petición.</v>
      </c>
      <c r="E28" s="46">
        <f>+'01-FR-03 POA INSTITUCIONAL'!E25</f>
        <v>0.12</v>
      </c>
      <c r="F28" s="72">
        <f>+'01-FR-03 POA INSTITUCIONAL'!F25</f>
        <v>22448</v>
      </c>
      <c r="G28" s="72">
        <f>+'01-FR-03 POA INSTITUCIONAL'!M25</f>
        <v>7188</v>
      </c>
      <c r="H28" s="35">
        <f>+'01-FR-03 POA INSTITUCIONAL'!G25</f>
        <v>5480</v>
      </c>
      <c r="I28" s="35" t="str">
        <f>+'01-FR-03 POA INSTITUCIONAL'!H25</f>
        <v>Acciones en favor de las víctimas del conflicto armado interno adelantadas</v>
      </c>
      <c r="J28" s="35" t="s">
        <v>225</v>
      </c>
      <c r="K28" s="154" t="s">
        <v>208</v>
      </c>
      <c r="L28" s="122" t="s">
        <v>1125</v>
      </c>
      <c r="M28" s="117" t="s">
        <v>194</v>
      </c>
      <c r="N28" s="117" t="s">
        <v>195</v>
      </c>
      <c r="O28" s="31" t="str">
        <f>+'01-FR-03 POA INSTITUCIONAL'!J25</f>
        <v>P.D. para la Protección de las Víctimas del Conflicto Armado Interno
P.D. para la Coordinación de la Gestión de Personerías Locales y sus Personerías Locales adscritas</v>
      </c>
      <c r="P28" s="658">
        <v>296</v>
      </c>
      <c r="Q28" s="658">
        <v>582</v>
      </c>
      <c r="R28" s="658">
        <v>446</v>
      </c>
      <c r="S28" s="658">
        <v>567</v>
      </c>
      <c r="T28" s="658">
        <v>596</v>
      </c>
      <c r="U28" s="658">
        <v>866</v>
      </c>
      <c r="V28" s="47">
        <f t="shared" si="2"/>
        <v>1338</v>
      </c>
      <c r="W28" s="47">
        <f t="shared" si="2"/>
        <v>2015</v>
      </c>
      <c r="X28" s="658">
        <v>696</v>
      </c>
      <c r="Y28" s="658">
        <v>684</v>
      </c>
      <c r="Z28" s="658">
        <v>736</v>
      </c>
      <c r="AA28" s="658">
        <v>983</v>
      </c>
      <c r="AB28" s="658">
        <v>736</v>
      </c>
      <c r="AC28" s="658">
        <v>899</v>
      </c>
      <c r="AD28" s="47">
        <f t="shared" si="3"/>
        <v>2168</v>
      </c>
      <c r="AE28" s="47">
        <f t="shared" si="3"/>
        <v>2566</v>
      </c>
      <c r="AF28" s="658">
        <v>696</v>
      </c>
      <c r="AG28" s="658"/>
      <c r="AH28" s="658">
        <v>696</v>
      </c>
      <c r="AI28" s="658"/>
      <c r="AJ28" s="658">
        <v>696</v>
      </c>
      <c r="AK28" s="658"/>
      <c r="AL28" s="47">
        <f t="shared" si="4"/>
        <v>2088</v>
      </c>
      <c r="AM28" s="47">
        <f t="shared" si="4"/>
        <v>0</v>
      </c>
      <c r="AN28" s="658">
        <v>748</v>
      </c>
      <c r="AO28" s="658"/>
      <c r="AP28" s="658">
        <v>696</v>
      </c>
      <c r="AQ28" s="658"/>
      <c r="AR28" s="721">
        <v>150</v>
      </c>
      <c r="AS28" s="658"/>
      <c r="AT28" s="47">
        <f t="shared" si="5"/>
        <v>1594</v>
      </c>
      <c r="AU28" s="47">
        <f t="shared" si="5"/>
        <v>0</v>
      </c>
      <c r="AV28" s="131">
        <f t="shared" si="6"/>
        <v>7188</v>
      </c>
      <c r="AW28" s="62">
        <f t="shared" si="7"/>
        <v>2015</v>
      </c>
      <c r="AX28" s="62">
        <f t="shared" si="8"/>
        <v>4581</v>
      </c>
      <c r="AY28" s="928">
        <f t="shared" si="9"/>
        <v>4581</v>
      </c>
      <c r="AZ28" s="928">
        <f t="shared" si="10"/>
        <v>4581</v>
      </c>
      <c r="BA28" s="192">
        <f t="shared" si="32"/>
        <v>0.28032832498608795</v>
      </c>
      <c r="BB28" s="192">
        <f t="shared" si="33"/>
        <v>0.63731218697829717</v>
      </c>
      <c r="BC28" s="192">
        <f t="shared" si="34"/>
        <v>0.63731218697829717</v>
      </c>
      <c r="BD28" s="192">
        <f t="shared" si="35"/>
        <v>0.63731218697829717</v>
      </c>
      <c r="BE28" s="214">
        <f t="shared" si="28"/>
        <v>8.9763007840342121E-2</v>
      </c>
      <c r="BF28" s="214">
        <f t="shared" si="41"/>
        <v>0.20407163221667854</v>
      </c>
      <c r="BG28" s="752">
        <f t="shared" si="42"/>
        <v>0.20407163221667854</v>
      </c>
      <c r="BH28" s="752">
        <f t="shared" si="42"/>
        <v>0.20407163221667854</v>
      </c>
    </row>
    <row r="29" spans="2:60" ht="136.5" customHeight="1">
      <c r="B29" s="1486"/>
      <c r="C29" s="1134"/>
      <c r="D29" s="28" t="str">
        <f>+'01-FR-03 POA INSTITUCIONAL'!D26</f>
        <v>1.2.3 Prevenir mediante la elaboración de 18.412 acciones constitucionales, la vulneración de derechos  con énfasis en sujetos de especial protección constitucional.</v>
      </c>
      <c r="E29" s="46">
        <f>+'01-FR-03 POA INSTITUCIONAL'!E26</f>
        <v>0.09</v>
      </c>
      <c r="F29" s="72">
        <f>+'01-FR-03 POA INSTITUCIONAL'!F26</f>
        <v>18412</v>
      </c>
      <c r="G29" s="72">
        <f>+'01-FR-03 POA INSTITUCIONAL'!M26</f>
        <v>5832</v>
      </c>
      <c r="H29" s="35">
        <f>+'01-FR-03 POA INSTITUCIONAL'!G26</f>
        <v>4790</v>
      </c>
      <c r="I29" s="35" t="str">
        <f>+'01-FR-03 POA INSTITUCIONAL'!H26</f>
        <v>Acciones constitucionales elaboradas para prevenir vulneración de derechos</v>
      </c>
      <c r="J29" s="35" t="s">
        <v>226</v>
      </c>
      <c r="K29" s="154" t="s">
        <v>209</v>
      </c>
      <c r="L29" s="122" t="s">
        <v>1126</v>
      </c>
      <c r="M29" s="117" t="s">
        <v>194</v>
      </c>
      <c r="N29" s="117" t="s">
        <v>195</v>
      </c>
      <c r="O29" s="31" t="str">
        <f>+'01-FR-03 POA INSTITUCIONAL'!J26</f>
        <v>P.D. para Asuntos Jurisdiccionales y Víctimas.
P.D. para la Coordinación de la Gestión de Personerías Locales y sus Personerías Locales adscritas</v>
      </c>
      <c r="P29" s="658">
        <v>330</v>
      </c>
      <c r="Q29" s="658">
        <v>604</v>
      </c>
      <c r="R29" s="658">
        <v>483</v>
      </c>
      <c r="S29" s="658">
        <v>638</v>
      </c>
      <c r="T29" s="658">
        <v>494</v>
      </c>
      <c r="U29" s="658">
        <v>798</v>
      </c>
      <c r="V29" s="47">
        <f t="shared" si="2"/>
        <v>1307</v>
      </c>
      <c r="W29" s="47">
        <f t="shared" si="2"/>
        <v>2040</v>
      </c>
      <c r="X29" s="658">
        <v>515</v>
      </c>
      <c r="Y29" s="658">
        <v>683</v>
      </c>
      <c r="Z29" s="658">
        <v>515</v>
      </c>
      <c r="AA29" s="658">
        <v>947</v>
      </c>
      <c r="AB29" s="658">
        <v>515</v>
      </c>
      <c r="AC29" s="658">
        <v>914</v>
      </c>
      <c r="AD29" s="47">
        <f t="shared" si="3"/>
        <v>1545</v>
      </c>
      <c r="AE29" s="47">
        <f t="shared" si="3"/>
        <v>2544</v>
      </c>
      <c r="AF29" s="658">
        <v>515</v>
      </c>
      <c r="AG29" s="658"/>
      <c r="AH29" s="658">
        <v>525</v>
      </c>
      <c r="AI29" s="658"/>
      <c r="AJ29" s="658">
        <v>525</v>
      </c>
      <c r="AK29" s="658"/>
      <c r="AL29" s="47">
        <f t="shared" si="4"/>
        <v>1565</v>
      </c>
      <c r="AM29" s="47">
        <f t="shared" si="4"/>
        <v>0</v>
      </c>
      <c r="AN29" s="658">
        <v>525</v>
      </c>
      <c r="AO29" s="658"/>
      <c r="AP29" s="658">
        <v>525</v>
      </c>
      <c r="AQ29" s="658"/>
      <c r="AR29" s="658">
        <v>365</v>
      </c>
      <c r="AS29" s="658"/>
      <c r="AT29" s="47">
        <f t="shared" si="5"/>
        <v>1415</v>
      </c>
      <c r="AU29" s="47">
        <f t="shared" si="5"/>
        <v>0</v>
      </c>
      <c r="AV29" s="131">
        <f t="shared" si="6"/>
        <v>5832</v>
      </c>
      <c r="AW29" s="62">
        <f t="shared" si="7"/>
        <v>2040</v>
      </c>
      <c r="AX29" s="62">
        <f t="shared" si="8"/>
        <v>4584</v>
      </c>
      <c r="AY29" s="928">
        <f t="shared" si="9"/>
        <v>4584</v>
      </c>
      <c r="AZ29" s="928">
        <f t="shared" si="10"/>
        <v>4584</v>
      </c>
      <c r="BA29" s="192">
        <f t="shared" si="32"/>
        <v>0.34979423868312759</v>
      </c>
      <c r="BB29" s="192">
        <f t="shared" si="33"/>
        <v>0.78600823045267487</v>
      </c>
      <c r="BC29" s="192">
        <f t="shared" si="34"/>
        <v>0.78600823045267487</v>
      </c>
      <c r="BD29" s="192">
        <f t="shared" si="35"/>
        <v>0.78600823045267487</v>
      </c>
      <c r="BE29" s="214">
        <f t="shared" si="28"/>
        <v>0.11079730610471432</v>
      </c>
      <c r="BF29" s="214">
        <f t="shared" ref="BF29:BF35" si="43">(IF(AND(AX29&gt;0,$F29&gt;0),AX29/$F29,0))</f>
        <v>0.24896806430588747</v>
      </c>
      <c r="BG29" s="752">
        <f t="shared" ref="BG29:BH35" si="44">(IF(AND(AY29&gt;0,$F29&gt;0),AY29/$F29,0))</f>
        <v>0.24896806430588747</v>
      </c>
      <c r="BH29" s="752">
        <f t="shared" si="44"/>
        <v>0.24896806430588747</v>
      </c>
    </row>
    <row r="30" spans="2:60" ht="91.5" customHeight="1">
      <c r="B30" s="1486"/>
      <c r="C30" s="1134"/>
      <c r="D30" s="28" t="str">
        <f>+'01-FR-03 POA INSTITUCIONAL'!D27</f>
        <v>1.2.4 Fortalecer el ejercicio del ministerio público ante las comisarías de familia, verificando el cumplimiento a 3.154 medidas de protección que se imponen.</v>
      </c>
      <c r="E30" s="46">
        <f>+'01-FR-03 POA INSTITUCIONAL'!E27</f>
        <v>0.02</v>
      </c>
      <c r="F30" s="72">
        <f>+'01-FR-03 POA INSTITUCIONAL'!F27</f>
        <v>3154</v>
      </c>
      <c r="G30" s="72">
        <f>+'01-FR-03 POA INSTITUCIONAL'!M27</f>
        <v>814</v>
      </c>
      <c r="H30" s="35">
        <f>+'01-FR-03 POA INSTITUCIONAL'!G27</f>
        <v>940</v>
      </c>
      <c r="I30" s="35" t="str">
        <f>+'01-FR-03 POA INSTITUCIONAL'!H27</f>
        <v>Verificaciones de cumplimiento realizadas por el Ministerio Público a las medidas de protección impuestas por las Comisarías de Familia</v>
      </c>
      <c r="J30" s="35" t="s">
        <v>233</v>
      </c>
      <c r="K30" s="154" t="s">
        <v>1040</v>
      </c>
      <c r="L30" s="122" t="s">
        <v>1127</v>
      </c>
      <c r="M30" s="117" t="s">
        <v>194</v>
      </c>
      <c r="N30" s="117" t="s">
        <v>195</v>
      </c>
      <c r="O30" s="31" t="str">
        <f>+'01-FR-03 POA INSTITUCIONAL'!J27</f>
        <v>P.D. para la Familia y Sujetos de Especial Protección Constitucional</v>
      </c>
      <c r="P30" s="658">
        <v>0</v>
      </c>
      <c r="Q30" s="658">
        <v>34</v>
      </c>
      <c r="R30" s="658">
        <v>50</v>
      </c>
      <c r="S30" s="658">
        <v>56</v>
      </c>
      <c r="T30" s="658">
        <v>92</v>
      </c>
      <c r="U30" s="658">
        <v>85</v>
      </c>
      <c r="V30" s="47">
        <f t="shared" si="2"/>
        <v>142</v>
      </c>
      <c r="W30" s="47">
        <f t="shared" si="2"/>
        <v>175</v>
      </c>
      <c r="X30" s="658">
        <v>92</v>
      </c>
      <c r="Y30" s="658">
        <v>42</v>
      </c>
      <c r="Z30" s="658">
        <v>92</v>
      </c>
      <c r="AA30" s="658">
        <v>66</v>
      </c>
      <c r="AB30" s="658">
        <v>92</v>
      </c>
      <c r="AC30" s="658">
        <v>48</v>
      </c>
      <c r="AD30" s="47">
        <f t="shared" si="3"/>
        <v>276</v>
      </c>
      <c r="AE30" s="47">
        <f t="shared" si="3"/>
        <v>156</v>
      </c>
      <c r="AF30" s="658">
        <v>82</v>
      </c>
      <c r="AG30" s="658"/>
      <c r="AH30" s="658">
        <v>82</v>
      </c>
      <c r="AI30" s="658"/>
      <c r="AJ30" s="658">
        <v>81</v>
      </c>
      <c r="AK30" s="721"/>
      <c r="AL30" s="47">
        <f t="shared" si="4"/>
        <v>245</v>
      </c>
      <c r="AM30" s="47">
        <f t="shared" si="4"/>
        <v>0</v>
      </c>
      <c r="AN30" s="658">
        <v>81</v>
      </c>
      <c r="AO30" s="658"/>
      <c r="AP30" s="658">
        <v>70</v>
      </c>
      <c r="AQ30" s="658"/>
      <c r="AR30" s="658">
        <v>0</v>
      </c>
      <c r="AS30" s="658"/>
      <c r="AT30" s="47">
        <f t="shared" si="5"/>
        <v>151</v>
      </c>
      <c r="AU30" s="47">
        <f t="shared" si="5"/>
        <v>0</v>
      </c>
      <c r="AV30" s="131">
        <f t="shared" si="6"/>
        <v>814</v>
      </c>
      <c r="AW30" s="62">
        <f t="shared" si="7"/>
        <v>175</v>
      </c>
      <c r="AX30" s="62">
        <f t="shared" si="8"/>
        <v>331</v>
      </c>
      <c r="AY30" s="928">
        <f t="shared" si="9"/>
        <v>331</v>
      </c>
      <c r="AZ30" s="928">
        <f t="shared" si="10"/>
        <v>331</v>
      </c>
      <c r="BA30" s="192">
        <f t="shared" si="32"/>
        <v>0.21498771498771499</v>
      </c>
      <c r="BB30" s="192">
        <f t="shared" si="33"/>
        <v>0.40663390663390664</v>
      </c>
      <c r="BC30" s="192">
        <f t="shared" si="34"/>
        <v>0.40663390663390664</v>
      </c>
      <c r="BD30" s="192">
        <f t="shared" si="35"/>
        <v>0.40663390663390664</v>
      </c>
      <c r="BE30" s="214">
        <f t="shared" si="28"/>
        <v>5.5485098287888397E-2</v>
      </c>
      <c r="BF30" s="214">
        <f t="shared" si="43"/>
        <v>0.10494610019023462</v>
      </c>
      <c r="BG30" s="752">
        <f t="shared" si="44"/>
        <v>0.10494610019023462</v>
      </c>
      <c r="BH30" s="752">
        <f t="shared" si="44"/>
        <v>0.10494610019023462</v>
      </c>
    </row>
    <row r="31" spans="2:60" ht="145.5" customHeight="1">
      <c r="B31" s="1486"/>
      <c r="C31" s="1134"/>
      <c r="D31" s="28"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31" s="46">
        <f>+'01-FR-03 POA INSTITUCIONAL'!E28</f>
        <v>0.01</v>
      </c>
      <c r="F31" s="72">
        <f>+'01-FR-03 POA INSTITUCIONAL'!F28</f>
        <v>9024</v>
      </c>
      <c r="G31" s="72">
        <f>+'01-FR-03 POA INSTITUCIONAL'!M28</f>
        <v>2405</v>
      </c>
      <c r="H31" s="35">
        <f>+'01-FR-03 POA INSTITUCIONAL'!G28</f>
        <v>2802</v>
      </c>
      <c r="I31" s="35" t="str">
        <f>+'01-FR-03 POA INSTITUCIONAL'!H28</f>
        <v>Espacios Interinstitucionales con participación</v>
      </c>
      <c r="J31" s="35" t="s">
        <v>232</v>
      </c>
      <c r="K31" s="154" t="s">
        <v>210</v>
      </c>
      <c r="L31" s="122" t="s">
        <v>1128</v>
      </c>
      <c r="M31" s="117" t="s">
        <v>194</v>
      </c>
      <c r="N31" s="117" t="s">
        <v>195</v>
      </c>
      <c r="O31" s="31"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658">
        <v>115</v>
      </c>
      <c r="Q31" s="658">
        <v>77</v>
      </c>
      <c r="R31" s="658">
        <v>213</v>
      </c>
      <c r="S31" s="658">
        <v>200</v>
      </c>
      <c r="T31" s="658">
        <v>216</v>
      </c>
      <c r="U31" s="658">
        <v>206</v>
      </c>
      <c r="V31" s="47">
        <f t="shared" si="2"/>
        <v>544</v>
      </c>
      <c r="W31" s="47">
        <f t="shared" si="2"/>
        <v>483</v>
      </c>
      <c r="X31" s="658">
        <v>216</v>
      </c>
      <c r="Y31" s="658">
        <v>248</v>
      </c>
      <c r="Z31" s="658">
        <v>219</v>
      </c>
      <c r="AA31" s="658">
        <v>290</v>
      </c>
      <c r="AB31" s="658">
        <v>217</v>
      </c>
      <c r="AC31" s="721">
        <v>290</v>
      </c>
      <c r="AD31" s="47">
        <f t="shared" si="3"/>
        <v>652</v>
      </c>
      <c r="AE31" s="47">
        <f t="shared" si="3"/>
        <v>828</v>
      </c>
      <c r="AF31" s="658">
        <v>218</v>
      </c>
      <c r="AG31" s="658"/>
      <c r="AH31" s="658">
        <v>220</v>
      </c>
      <c r="AI31" s="658"/>
      <c r="AJ31" s="658">
        <v>219</v>
      </c>
      <c r="AK31" s="721"/>
      <c r="AL31" s="47">
        <f t="shared" si="4"/>
        <v>657</v>
      </c>
      <c r="AM31" s="47">
        <f t="shared" si="4"/>
        <v>0</v>
      </c>
      <c r="AN31" s="658">
        <v>216</v>
      </c>
      <c r="AO31" s="658"/>
      <c r="AP31" s="658">
        <v>217</v>
      </c>
      <c r="AQ31" s="658"/>
      <c r="AR31" s="658">
        <v>119</v>
      </c>
      <c r="AS31" s="658"/>
      <c r="AT31" s="47">
        <f t="shared" si="5"/>
        <v>552</v>
      </c>
      <c r="AU31" s="47">
        <f t="shared" si="5"/>
        <v>0</v>
      </c>
      <c r="AV31" s="131">
        <f t="shared" si="6"/>
        <v>2405</v>
      </c>
      <c r="AW31" s="62">
        <f t="shared" si="7"/>
        <v>483</v>
      </c>
      <c r="AX31" s="62">
        <f t="shared" si="8"/>
        <v>1311</v>
      </c>
      <c r="AY31" s="928">
        <f t="shared" si="9"/>
        <v>1311</v>
      </c>
      <c r="AZ31" s="928">
        <f t="shared" si="10"/>
        <v>1311</v>
      </c>
      <c r="BA31" s="192">
        <f t="shared" si="32"/>
        <v>0.20083160083160084</v>
      </c>
      <c r="BB31" s="192">
        <f t="shared" si="33"/>
        <v>0.54511434511434509</v>
      </c>
      <c r="BC31" s="192">
        <f t="shared" si="34"/>
        <v>0.54511434511434509</v>
      </c>
      <c r="BD31" s="192">
        <f t="shared" si="35"/>
        <v>0.54511434511434509</v>
      </c>
      <c r="BE31" s="214">
        <f t="shared" si="28"/>
        <v>5.3523936170212769E-2</v>
      </c>
      <c r="BF31" s="214">
        <f t="shared" si="43"/>
        <v>0.14527925531914893</v>
      </c>
      <c r="BG31" s="752">
        <f t="shared" si="44"/>
        <v>0.14527925531914893</v>
      </c>
      <c r="BH31" s="752">
        <f t="shared" si="44"/>
        <v>0.14527925531914893</v>
      </c>
    </row>
    <row r="32" spans="2:60" ht="99.75" customHeight="1">
      <c r="B32" s="1486"/>
      <c r="C32" s="1126"/>
      <c r="D32" s="28" t="str">
        <f>+'01-FR-03 POA INSTITUCIONAL'!D29</f>
        <v>1.2.6 Realizar 792 seguimientos a la amenaza y vulneración de los derechos, con énfasis en sujetos de especial protección constitucional, en particular, persona mayor, mujer y población migrante</v>
      </c>
      <c r="E32" s="46">
        <f>+'01-FR-03 POA INSTITUCIONAL'!E29</f>
        <v>0.01</v>
      </c>
      <c r="F32" s="72">
        <f>+'01-FR-03 POA INSTITUCIONAL'!F29</f>
        <v>792</v>
      </c>
      <c r="G32" s="72">
        <f>+'01-FR-03 POA INSTITUCIONAL'!M29</f>
        <v>236</v>
      </c>
      <c r="H32" s="35">
        <f>+'01-FR-03 POA INSTITUCIONAL'!G29</f>
        <v>228</v>
      </c>
      <c r="I32" s="35" t="str">
        <f>+'01-FR-03 POA INSTITUCIONAL'!H29</f>
        <v>Seguimientos a la Amenaza y Vulneración de los Derechos, realizados</v>
      </c>
      <c r="J32" s="35" t="s">
        <v>227</v>
      </c>
      <c r="K32" s="154" t="s">
        <v>211</v>
      </c>
      <c r="L32" s="122" t="s">
        <v>1129</v>
      </c>
      <c r="M32" s="117" t="s">
        <v>194</v>
      </c>
      <c r="N32" s="117" t="s">
        <v>195</v>
      </c>
      <c r="O32" s="31"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658">
        <v>3</v>
      </c>
      <c r="Q32" s="658">
        <v>10</v>
      </c>
      <c r="R32" s="658">
        <v>17</v>
      </c>
      <c r="S32" s="658">
        <v>22</v>
      </c>
      <c r="T32" s="658">
        <v>24</v>
      </c>
      <c r="U32" s="658">
        <v>18</v>
      </c>
      <c r="V32" s="47">
        <f t="shared" si="2"/>
        <v>44</v>
      </c>
      <c r="W32" s="47">
        <f t="shared" si="2"/>
        <v>50</v>
      </c>
      <c r="X32" s="658">
        <v>25</v>
      </c>
      <c r="Y32" s="658">
        <v>36</v>
      </c>
      <c r="Z32" s="658">
        <v>25</v>
      </c>
      <c r="AA32" s="658">
        <v>27</v>
      </c>
      <c r="AB32" s="658">
        <v>26</v>
      </c>
      <c r="AC32" s="721">
        <v>19</v>
      </c>
      <c r="AD32" s="47">
        <f t="shared" si="3"/>
        <v>76</v>
      </c>
      <c r="AE32" s="47">
        <f t="shared" si="3"/>
        <v>82</v>
      </c>
      <c r="AF32" s="658">
        <v>25</v>
      </c>
      <c r="AG32" s="658"/>
      <c r="AH32" s="658">
        <v>24</v>
      </c>
      <c r="AI32" s="658"/>
      <c r="AJ32" s="658">
        <v>20</v>
      </c>
      <c r="AK32" s="721"/>
      <c r="AL32" s="47">
        <f t="shared" si="4"/>
        <v>69</v>
      </c>
      <c r="AM32" s="47">
        <f t="shared" si="4"/>
        <v>0</v>
      </c>
      <c r="AN32" s="658">
        <v>22</v>
      </c>
      <c r="AO32" s="658"/>
      <c r="AP32" s="658">
        <v>18</v>
      </c>
      <c r="AQ32" s="658"/>
      <c r="AR32" s="658">
        <v>7</v>
      </c>
      <c r="AS32" s="658"/>
      <c r="AT32" s="47">
        <f t="shared" si="5"/>
        <v>47</v>
      </c>
      <c r="AU32" s="47">
        <f t="shared" si="5"/>
        <v>0</v>
      </c>
      <c r="AV32" s="131">
        <f t="shared" si="6"/>
        <v>236</v>
      </c>
      <c r="AW32" s="62">
        <f t="shared" si="7"/>
        <v>50</v>
      </c>
      <c r="AX32" s="62">
        <f t="shared" si="8"/>
        <v>132</v>
      </c>
      <c r="AY32" s="928">
        <f t="shared" si="9"/>
        <v>132</v>
      </c>
      <c r="AZ32" s="928">
        <f t="shared" si="10"/>
        <v>132</v>
      </c>
      <c r="BA32" s="192">
        <f t="shared" si="32"/>
        <v>0.21186440677966101</v>
      </c>
      <c r="BB32" s="192">
        <f t="shared" si="33"/>
        <v>0.55932203389830504</v>
      </c>
      <c r="BC32" s="192">
        <f t="shared" si="34"/>
        <v>0.55932203389830504</v>
      </c>
      <c r="BD32" s="192">
        <f t="shared" si="35"/>
        <v>0.55932203389830504</v>
      </c>
      <c r="BE32" s="214">
        <f t="shared" si="28"/>
        <v>6.3131313131313135E-2</v>
      </c>
      <c r="BF32" s="214">
        <f t="shared" si="43"/>
        <v>0.16666666666666666</v>
      </c>
      <c r="BG32" s="752">
        <f t="shared" si="44"/>
        <v>0.16666666666666666</v>
      </c>
      <c r="BH32" s="752">
        <f t="shared" si="44"/>
        <v>0.16666666666666666</v>
      </c>
    </row>
    <row r="33" spans="2:60" ht="102" customHeight="1">
      <c r="B33" s="1486"/>
      <c r="C33" s="1327" t="str">
        <f>+'01-FR-03 POA INSTITUCIONAL'!C30</f>
        <v>1.3. Construir e Implementar 35 estrategias que permitan incrementar la oferta y cobertura de los servicios prestados por la Entidad.</v>
      </c>
      <c r="D33" s="28" t="str">
        <f>+'01-FR-03 POA INSTITUCIONAL'!D30</f>
        <v>1.3.1 Realizar 20 actividades que permitan el acercamiento de la Entidad a la Comunidad.</v>
      </c>
      <c r="E33" s="46">
        <f>+'01-FR-03 POA INSTITUCIONAL'!E30</f>
        <v>0.56000000000000005</v>
      </c>
      <c r="F33" s="72">
        <f>+'01-FR-03 POA INSTITUCIONAL'!F30</f>
        <v>20</v>
      </c>
      <c r="G33" s="72">
        <f>+'01-FR-03 POA INSTITUCIONAL'!M30</f>
        <v>8</v>
      </c>
      <c r="H33" s="35">
        <f>+'01-FR-03 POA INSTITUCIONAL'!G30</f>
        <v>2</v>
      </c>
      <c r="I33" s="35" t="str">
        <f>+'01-FR-03 POA INSTITUCIONAL'!H30</f>
        <v>Actividades de acercamiento de la Entidad a la comunidad realizadas</v>
      </c>
      <c r="J33" s="35" t="s">
        <v>228</v>
      </c>
      <c r="K33" s="154" t="s">
        <v>212</v>
      </c>
      <c r="L33" s="122" t="s">
        <v>1130</v>
      </c>
      <c r="M33" s="117" t="s">
        <v>194</v>
      </c>
      <c r="N33" s="117" t="s">
        <v>195</v>
      </c>
      <c r="O33" s="31" t="str">
        <f>+'01-FR-03 POA INSTITUCIONAL'!J30</f>
        <v>P.D. para la Coordinación del MP y DDHH y sus dependencias adscritas
 P.D. para la Coordinación de la Gestión de Personerías Locales y sus Personerías Locales adscritas</v>
      </c>
      <c r="P33" s="658">
        <v>0</v>
      </c>
      <c r="Q33" s="658">
        <v>0</v>
      </c>
      <c r="R33" s="658">
        <v>0</v>
      </c>
      <c r="S33" s="658">
        <v>0</v>
      </c>
      <c r="T33" s="658">
        <v>0</v>
      </c>
      <c r="U33" s="658">
        <v>0.4</v>
      </c>
      <c r="V33" s="47">
        <f t="shared" si="2"/>
        <v>0</v>
      </c>
      <c r="W33" s="47">
        <f t="shared" si="2"/>
        <v>0.4</v>
      </c>
      <c r="X33" s="658">
        <v>1</v>
      </c>
      <c r="Y33" s="658">
        <v>1</v>
      </c>
      <c r="Z33" s="658">
        <v>0</v>
      </c>
      <c r="AA33" s="658">
        <v>2.4</v>
      </c>
      <c r="AB33" s="658">
        <v>1</v>
      </c>
      <c r="AC33" s="658">
        <v>3</v>
      </c>
      <c r="AD33" s="47">
        <f t="shared" si="3"/>
        <v>2</v>
      </c>
      <c r="AE33" s="924">
        <f t="shared" si="3"/>
        <v>6.4</v>
      </c>
      <c r="AF33" s="658">
        <v>0.4</v>
      </c>
      <c r="AG33" s="658"/>
      <c r="AH33" s="658">
        <v>3.4</v>
      </c>
      <c r="AI33" s="658"/>
      <c r="AJ33" s="658">
        <v>1.8</v>
      </c>
      <c r="AK33" s="721"/>
      <c r="AL33" s="47">
        <f t="shared" si="4"/>
        <v>5.6</v>
      </c>
      <c r="AM33" s="47">
        <f t="shared" si="4"/>
        <v>0</v>
      </c>
      <c r="AN33" s="658">
        <v>0</v>
      </c>
      <c r="AO33" s="658"/>
      <c r="AP33" s="658">
        <v>0.4</v>
      </c>
      <c r="AQ33" s="658"/>
      <c r="AR33" s="658">
        <v>0</v>
      </c>
      <c r="AS33" s="658"/>
      <c r="AT33" s="47">
        <f t="shared" si="5"/>
        <v>0.4</v>
      </c>
      <c r="AU33" s="47">
        <f t="shared" si="5"/>
        <v>0</v>
      </c>
      <c r="AV33" s="131">
        <f t="shared" si="6"/>
        <v>8</v>
      </c>
      <c r="AW33" s="62">
        <f t="shared" si="7"/>
        <v>0.4</v>
      </c>
      <c r="AX33" s="775">
        <f t="shared" si="8"/>
        <v>6.8000000000000007</v>
      </c>
      <c r="AY33" s="935">
        <f t="shared" si="9"/>
        <v>6.8000000000000007</v>
      </c>
      <c r="AZ33" s="928">
        <f t="shared" si="10"/>
        <v>6.8000000000000007</v>
      </c>
      <c r="BA33" s="192">
        <f t="shared" si="32"/>
        <v>0.05</v>
      </c>
      <c r="BB33" s="192">
        <f t="shared" si="33"/>
        <v>0.85000000000000009</v>
      </c>
      <c r="BC33" s="192">
        <f t="shared" si="34"/>
        <v>0.85000000000000009</v>
      </c>
      <c r="BD33" s="192">
        <f t="shared" si="35"/>
        <v>0.85000000000000009</v>
      </c>
      <c r="BE33" s="214">
        <f t="shared" si="28"/>
        <v>0.02</v>
      </c>
      <c r="BF33" s="214">
        <f t="shared" si="43"/>
        <v>0.34</v>
      </c>
      <c r="BG33" s="752">
        <f t="shared" si="44"/>
        <v>0.34</v>
      </c>
      <c r="BH33" s="752">
        <f t="shared" si="44"/>
        <v>0.34</v>
      </c>
    </row>
    <row r="34" spans="2:60" ht="87.75" customHeight="1">
      <c r="B34" s="1486"/>
      <c r="C34" s="1134"/>
      <c r="D34" s="28" t="str">
        <f>+'01-FR-03 POA INSTITUCIONAL'!D31</f>
        <v>1.3.2 Incrementar la cobertura de los servicios que presta el proceso de Promoción y Defensa de Derechos, mediante la implementación de 11 acciones que propendan por el mejoramiento de los mismos.</v>
      </c>
      <c r="E34" s="46">
        <f>+'01-FR-03 POA INSTITUCIONAL'!E31</f>
        <v>0.31</v>
      </c>
      <c r="F34" s="72">
        <f>+'01-FR-03 POA INSTITUCIONAL'!F31</f>
        <v>11</v>
      </c>
      <c r="G34" s="72">
        <f>+'01-FR-03 POA INSTITUCIONAL'!M31</f>
        <v>3</v>
      </c>
      <c r="H34" s="35">
        <f>+'01-FR-03 POA INSTITUCIONAL'!G31</f>
        <v>3</v>
      </c>
      <c r="I34" s="35" t="str">
        <f>+'01-FR-03 POA INSTITUCIONAL'!H31</f>
        <v>Acciones realizadas para incrementar la cobertura de los servicios</v>
      </c>
      <c r="J34" s="35" t="s">
        <v>234</v>
      </c>
      <c r="K34" s="154" t="s">
        <v>213</v>
      </c>
      <c r="L34" s="122" t="s">
        <v>214</v>
      </c>
      <c r="M34" s="117" t="s">
        <v>194</v>
      </c>
      <c r="N34" s="117" t="s">
        <v>195</v>
      </c>
      <c r="O34" s="31" t="str">
        <f>+'01-FR-03 POA INSTITUCIONAL'!J31</f>
        <v>P.D. para la Coordinación del MP y DDHH y sus dependencias adscritas
 P.D. para la Coordinación de la Gestión de Personerías Locales y sus Personerías Locales adscritas</v>
      </c>
      <c r="P34" s="658">
        <v>0</v>
      </c>
      <c r="Q34" s="658">
        <v>0</v>
      </c>
      <c r="R34" s="658">
        <v>0</v>
      </c>
      <c r="S34" s="658">
        <v>0</v>
      </c>
      <c r="T34" s="658">
        <v>0</v>
      </c>
      <c r="U34" s="658">
        <v>0</v>
      </c>
      <c r="V34" s="47">
        <f t="shared" si="2"/>
        <v>0</v>
      </c>
      <c r="W34" s="47">
        <f t="shared" si="2"/>
        <v>0</v>
      </c>
      <c r="X34" s="658">
        <v>1</v>
      </c>
      <c r="Y34" s="658">
        <v>1</v>
      </c>
      <c r="Z34" s="658">
        <v>0</v>
      </c>
      <c r="AA34" s="658">
        <v>0</v>
      </c>
      <c r="AB34" s="658">
        <v>0</v>
      </c>
      <c r="AC34" s="658">
        <v>0</v>
      </c>
      <c r="AD34" s="47">
        <f t="shared" si="3"/>
        <v>1</v>
      </c>
      <c r="AE34" s="924">
        <f t="shared" si="3"/>
        <v>1</v>
      </c>
      <c r="AF34" s="658">
        <v>0</v>
      </c>
      <c r="AG34" s="658"/>
      <c r="AH34" s="658">
        <v>0</v>
      </c>
      <c r="AI34" s="658"/>
      <c r="AJ34" s="658">
        <v>0</v>
      </c>
      <c r="AK34" s="721"/>
      <c r="AL34" s="47">
        <f t="shared" si="4"/>
        <v>0</v>
      </c>
      <c r="AM34" s="47">
        <f t="shared" si="4"/>
        <v>0</v>
      </c>
      <c r="AN34" s="658">
        <v>1</v>
      </c>
      <c r="AO34" s="658"/>
      <c r="AP34" s="658">
        <v>1</v>
      </c>
      <c r="AQ34" s="658"/>
      <c r="AR34" s="658">
        <v>0</v>
      </c>
      <c r="AS34" s="658"/>
      <c r="AT34" s="47">
        <f t="shared" si="5"/>
        <v>2</v>
      </c>
      <c r="AU34" s="47">
        <f t="shared" si="5"/>
        <v>0</v>
      </c>
      <c r="AV34" s="131">
        <f t="shared" si="6"/>
        <v>3</v>
      </c>
      <c r="AW34" s="62">
        <f t="shared" si="7"/>
        <v>0</v>
      </c>
      <c r="AX34" s="62">
        <f t="shared" si="8"/>
        <v>1</v>
      </c>
      <c r="AY34" s="928">
        <f t="shared" si="9"/>
        <v>1</v>
      </c>
      <c r="AZ34" s="928">
        <f t="shared" si="10"/>
        <v>1</v>
      </c>
      <c r="BA34" s="192">
        <f t="shared" si="32"/>
        <v>0</v>
      </c>
      <c r="BB34" s="192">
        <f t="shared" si="33"/>
        <v>0.33333333333333331</v>
      </c>
      <c r="BC34" s="192">
        <f t="shared" si="34"/>
        <v>0.33333333333333331</v>
      </c>
      <c r="BD34" s="192">
        <f t="shared" si="35"/>
        <v>0.33333333333333331</v>
      </c>
      <c r="BE34" s="214">
        <f t="shared" si="28"/>
        <v>0</v>
      </c>
      <c r="BF34" s="214">
        <f t="shared" si="43"/>
        <v>9.0909090909090912E-2</v>
      </c>
      <c r="BG34" s="752">
        <f t="shared" si="44"/>
        <v>9.0909090909090912E-2</v>
      </c>
      <c r="BH34" s="752">
        <f t="shared" si="44"/>
        <v>9.0909090909090912E-2</v>
      </c>
    </row>
    <row r="35" spans="2:60" ht="81" customHeight="1">
      <c r="B35" s="1486"/>
      <c r="C35" s="1134"/>
      <c r="D35" s="28" t="str">
        <f>+'01-FR-03 POA INSTITUCIONAL'!D32</f>
        <v>1.3.3 Implementar 4 herramientas para la promoción y prevención a infracciones del Derecho Internacional Humanitario en el Distrito Capital</v>
      </c>
      <c r="E35" s="46">
        <f>+'01-FR-03 POA INSTITUCIONAL'!E32</f>
        <v>0.13</v>
      </c>
      <c r="F35" s="72">
        <f>+'01-FR-03 POA INSTITUCIONAL'!F32</f>
        <v>4</v>
      </c>
      <c r="G35" s="72">
        <f>+'01-FR-03 POA INSTITUCIONAL'!M32</f>
        <v>1</v>
      </c>
      <c r="H35" s="35">
        <f>+'01-FR-03 POA INSTITUCIONAL'!G32</f>
        <v>1</v>
      </c>
      <c r="I35" s="35" t="str">
        <f>+'01-FR-03 POA INSTITUCIONAL'!H32</f>
        <v>Herramientas de promoción y prevención a infracciones del Derecho Internacional Humanitario implementadas</v>
      </c>
      <c r="J35" s="35" t="s">
        <v>235</v>
      </c>
      <c r="K35" s="154" t="s">
        <v>215</v>
      </c>
      <c r="L35" s="122" t="s">
        <v>216</v>
      </c>
      <c r="M35" s="117" t="s">
        <v>194</v>
      </c>
      <c r="N35" s="117" t="s">
        <v>195</v>
      </c>
      <c r="O35" s="31" t="str">
        <f>+'01-FR-03 POA INSTITUCIONAL'!J32</f>
        <v>P.D. para la Coordinación del MP y DDHH y sus dependencias adscritas
 P.D. para la Coordinación de la Gestión de Personerías Locales y sus Personerías Locales adscritas</v>
      </c>
      <c r="P35" s="658">
        <v>0</v>
      </c>
      <c r="Q35" s="658">
        <v>0</v>
      </c>
      <c r="R35" s="658">
        <v>0</v>
      </c>
      <c r="S35" s="658">
        <v>0</v>
      </c>
      <c r="T35" s="658">
        <v>0</v>
      </c>
      <c r="U35" s="658">
        <v>0</v>
      </c>
      <c r="V35" s="47">
        <f t="shared" si="2"/>
        <v>0</v>
      </c>
      <c r="W35" s="47">
        <f t="shared" si="2"/>
        <v>0</v>
      </c>
      <c r="X35" s="658">
        <v>0</v>
      </c>
      <c r="Y35" s="658">
        <v>0</v>
      </c>
      <c r="Z35" s="658">
        <v>0</v>
      </c>
      <c r="AA35" s="658">
        <v>0</v>
      </c>
      <c r="AB35" s="658">
        <v>0</v>
      </c>
      <c r="AC35" s="658">
        <v>0</v>
      </c>
      <c r="AD35" s="47">
        <f t="shared" si="3"/>
        <v>0</v>
      </c>
      <c r="AE35" s="924">
        <f t="shared" si="3"/>
        <v>0</v>
      </c>
      <c r="AF35" s="658">
        <v>0</v>
      </c>
      <c r="AG35" s="658"/>
      <c r="AH35" s="658">
        <v>0</v>
      </c>
      <c r="AI35" s="658"/>
      <c r="AJ35" s="721">
        <v>0</v>
      </c>
      <c r="AK35" s="721"/>
      <c r="AL35" s="47">
        <f t="shared" si="4"/>
        <v>0</v>
      </c>
      <c r="AM35" s="47">
        <f t="shared" si="4"/>
        <v>0</v>
      </c>
      <c r="AN35" s="658">
        <v>0</v>
      </c>
      <c r="AO35" s="658"/>
      <c r="AP35" s="658">
        <v>0</v>
      </c>
      <c r="AQ35" s="658"/>
      <c r="AR35" s="658">
        <v>1</v>
      </c>
      <c r="AS35" s="658"/>
      <c r="AT35" s="47">
        <f t="shared" si="5"/>
        <v>1</v>
      </c>
      <c r="AU35" s="47">
        <f t="shared" si="5"/>
        <v>0</v>
      </c>
      <c r="AV35" s="131">
        <f t="shared" si="6"/>
        <v>1</v>
      </c>
      <c r="AW35" s="62">
        <f t="shared" si="7"/>
        <v>0</v>
      </c>
      <c r="AX35" s="62">
        <f t="shared" si="8"/>
        <v>0</v>
      </c>
      <c r="AY35" s="928">
        <f t="shared" si="9"/>
        <v>0</v>
      </c>
      <c r="AZ35" s="928">
        <f t="shared" si="10"/>
        <v>0</v>
      </c>
      <c r="BA35" s="192">
        <f t="shared" si="32"/>
        <v>0</v>
      </c>
      <c r="BB35" s="192">
        <f t="shared" si="33"/>
        <v>0</v>
      </c>
      <c r="BC35" s="192">
        <f t="shared" si="34"/>
        <v>0</v>
      </c>
      <c r="BD35" s="192">
        <f t="shared" si="35"/>
        <v>0</v>
      </c>
      <c r="BE35" s="214">
        <f t="shared" si="28"/>
        <v>0</v>
      </c>
      <c r="BF35" s="214">
        <f t="shared" si="43"/>
        <v>0</v>
      </c>
      <c r="BG35" s="752">
        <f t="shared" si="44"/>
        <v>0</v>
      </c>
      <c r="BH35" s="752">
        <f t="shared" si="44"/>
        <v>0</v>
      </c>
    </row>
    <row r="36" spans="2:60" ht="22.8">
      <c r="B36" s="1371" t="s">
        <v>637</v>
      </c>
      <c r="C36" s="1372"/>
      <c r="D36" s="1372"/>
      <c r="E36" s="1372"/>
      <c r="F36" s="1372"/>
      <c r="G36" s="1372"/>
      <c r="H36" s="1372"/>
      <c r="I36" s="1372"/>
      <c r="J36" s="1372"/>
      <c r="K36" s="1372"/>
      <c r="L36" s="1372"/>
      <c r="M36" s="1372"/>
      <c r="N36" s="1372"/>
      <c r="O36" s="1372"/>
      <c r="P36" s="1372"/>
      <c r="Q36" s="1372"/>
      <c r="R36" s="1372"/>
      <c r="S36" s="1372"/>
      <c r="T36" s="1372"/>
      <c r="U36" s="1372"/>
      <c r="V36" s="1372"/>
      <c r="W36" s="1372"/>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72"/>
      <c r="AS36" s="1372"/>
      <c r="AT36" s="1372"/>
      <c r="AU36" s="1372"/>
      <c r="AV36" s="1372"/>
      <c r="AW36" s="1455"/>
      <c r="AX36" s="1487" t="s">
        <v>19</v>
      </c>
      <c r="AY36" s="1487"/>
      <c r="AZ36" s="1487"/>
      <c r="BA36" s="59">
        <f>AVERAGE(BA16:BA35)</f>
        <v>0.20651431469401893</v>
      </c>
      <c r="BB36" s="59">
        <f>AVERAGE(BB16:BB35)</f>
        <v>0.51928739015811765</v>
      </c>
      <c r="BC36" s="59">
        <f>AVERAGE(BC16:BC35)</f>
        <v>0.53244528489495979</v>
      </c>
      <c r="BD36" s="59">
        <f>AVERAGE(BD16:BD35)</f>
        <v>0.54560317963180194</v>
      </c>
      <c r="BE36" s="1463"/>
      <c r="BF36" s="1464"/>
      <c r="BG36" s="1464"/>
      <c r="BH36" s="1465"/>
    </row>
    <row r="37" spans="2:60">
      <c r="B37" s="1413"/>
      <c r="C37" s="1413"/>
      <c r="D37" s="1413"/>
      <c r="E37" s="1413"/>
      <c r="F37" s="1413"/>
      <c r="G37" s="1413"/>
      <c r="H37" s="39"/>
      <c r="I37" s="38"/>
      <c r="J37" s="38"/>
      <c r="K37" s="38"/>
      <c r="L37" s="38"/>
      <c r="M37" s="38"/>
      <c r="N37" s="38"/>
      <c r="O37" s="38"/>
    </row>
    <row r="38" spans="2:60">
      <c r="B38" s="38"/>
      <c r="C38" s="38"/>
      <c r="D38" s="1440"/>
      <c r="E38" s="1440"/>
      <c r="F38" s="1440"/>
      <c r="G38" s="1440"/>
      <c r="H38" s="1440"/>
      <c r="I38" s="1440"/>
      <c r="J38" s="1440"/>
      <c r="K38" s="1440"/>
      <c r="L38" s="1440"/>
      <c r="M38" s="1440"/>
      <c r="N38" s="1440"/>
      <c r="O38" s="1440"/>
    </row>
    <row r="39" spans="2:60" ht="30" customHeight="1">
      <c r="B39" s="40" t="s">
        <v>26</v>
      </c>
      <c r="C39" s="41">
        <v>44224</v>
      </c>
      <c r="D39" s="121"/>
      <c r="E39" s="1443" t="s">
        <v>50</v>
      </c>
      <c r="F39" s="1479" t="s">
        <v>1114</v>
      </c>
      <c r="G39" s="1480"/>
      <c r="H39" s="1480"/>
      <c r="I39" s="1480"/>
      <c r="J39" s="1481"/>
      <c r="K39" s="43"/>
      <c r="L39" s="1403"/>
      <c r="M39" s="1403"/>
      <c r="N39" s="1403"/>
      <c r="O39" s="1439"/>
    </row>
    <row r="40" spans="2:60" ht="40.200000000000003" customHeight="1">
      <c r="B40" s="38"/>
      <c r="C40" s="38"/>
      <c r="D40" s="43"/>
      <c r="E40" s="1443"/>
      <c r="F40" s="1482"/>
      <c r="G40" s="1483"/>
      <c r="H40" s="1483"/>
      <c r="I40" s="1483"/>
      <c r="J40" s="1484"/>
      <c r="K40" s="38"/>
      <c r="L40" s="38"/>
      <c r="M40" s="38"/>
      <c r="N40" s="38"/>
      <c r="O40" s="38"/>
    </row>
    <row r="41" spans="2:60" ht="31.5" customHeight="1">
      <c r="B41" s="40" t="s">
        <v>49</v>
      </c>
      <c r="C41" s="41">
        <v>44581</v>
      </c>
      <c r="D41" s="38"/>
      <c r="E41" s="38"/>
      <c r="F41" s="38"/>
      <c r="K41" s="38"/>
      <c r="L41" s="38"/>
      <c r="M41" s="38"/>
      <c r="N41" s="38"/>
      <c r="O41" s="38"/>
    </row>
    <row r="42" spans="2:60" ht="13.2" customHeight="1">
      <c r="B42" s="38"/>
      <c r="C42" s="868"/>
      <c r="D42" s="38"/>
      <c r="E42" s="38"/>
      <c r="F42" s="38"/>
      <c r="K42" s="38"/>
      <c r="L42" s="38"/>
      <c r="M42" s="38"/>
      <c r="N42" s="38"/>
      <c r="O42" s="38"/>
    </row>
    <row r="43" spans="2:60" ht="31.5" customHeight="1">
      <c r="B43" s="40" t="s">
        <v>49</v>
      </c>
      <c r="C43" s="41">
        <v>44953</v>
      </c>
      <c r="D43" s="38"/>
      <c r="E43" s="38"/>
      <c r="F43" s="38"/>
      <c r="K43" s="38"/>
      <c r="L43" s="38"/>
      <c r="M43" s="38"/>
      <c r="N43" s="38"/>
      <c r="O43" s="38"/>
    </row>
    <row r="44" spans="2:60">
      <c r="B44" s="38"/>
      <c r="C44" s="38"/>
      <c r="D44" s="38"/>
      <c r="E44" s="38"/>
      <c r="F44" s="38"/>
      <c r="K44" s="38"/>
      <c r="L44" s="38"/>
      <c r="M44" s="38"/>
      <c r="N44" s="38"/>
      <c r="O44" s="38"/>
    </row>
    <row r="45" spans="2:60" ht="15" customHeight="1">
      <c r="B45" s="445" t="s">
        <v>876</v>
      </c>
      <c r="C45" s="38"/>
      <c r="D45" s="38"/>
      <c r="E45" s="38"/>
      <c r="F45" s="38"/>
      <c r="G45" s="39"/>
      <c r="H45" s="39"/>
      <c r="I45" s="1438"/>
      <c r="J45" s="1438"/>
      <c r="K45" s="1438"/>
      <c r="L45" s="1438"/>
      <c r="M45" s="44"/>
      <c r="N45" s="44"/>
      <c r="O45" s="44"/>
    </row>
    <row r="46" spans="2:60" ht="15" customHeight="1">
      <c r="B46" s="38"/>
      <c r="C46" s="38"/>
      <c r="D46" s="38"/>
      <c r="E46" s="38"/>
      <c r="F46" s="38"/>
      <c r="G46" s="39"/>
      <c r="H46" s="39"/>
      <c r="I46" s="38"/>
      <c r="J46" s="38"/>
      <c r="K46" s="45"/>
      <c r="L46" s="38"/>
      <c r="M46" s="38"/>
      <c r="N46" s="38"/>
      <c r="O46" s="38"/>
    </row>
    <row r="47" spans="2:60" ht="15" customHeight="1">
      <c r="B47" s="38"/>
      <c r="C47" s="38"/>
      <c r="D47" s="38"/>
      <c r="E47" s="38"/>
      <c r="F47" s="38"/>
      <c r="G47" s="39"/>
      <c r="H47" s="39"/>
      <c r="I47" s="1438"/>
      <c r="J47" s="1438"/>
      <c r="K47" s="1438"/>
      <c r="L47" s="1438"/>
      <c r="M47" s="44"/>
      <c r="N47" s="44"/>
      <c r="O47" s="44"/>
    </row>
    <row r="48" spans="2:60" ht="15" customHeight="1">
      <c r="B48" s="38"/>
      <c r="C48" s="38"/>
      <c r="D48" s="38"/>
      <c r="E48" s="38"/>
      <c r="F48" s="38"/>
      <c r="G48" s="39"/>
      <c r="H48" s="39"/>
      <c r="I48" s="38"/>
      <c r="J48" s="38"/>
      <c r="K48" s="45"/>
      <c r="L48" s="38"/>
      <c r="M48" s="38"/>
      <c r="N48" s="38"/>
      <c r="O48" s="38"/>
    </row>
    <row r="49" spans="2:15" ht="15" customHeight="1">
      <c r="B49" s="38"/>
      <c r="C49" s="38"/>
      <c r="D49" s="38"/>
      <c r="E49" s="38"/>
      <c r="F49" s="38"/>
      <c r="G49" s="39"/>
      <c r="H49" s="39"/>
      <c r="I49" s="1438"/>
      <c r="J49" s="1438"/>
      <c r="K49" s="1438"/>
      <c r="L49" s="1438"/>
      <c r="M49" s="44"/>
      <c r="N49" s="44"/>
      <c r="O49" s="44"/>
    </row>
  </sheetData>
  <sheetProtection algorithmName="SHA-512" hashValue="PAY42rGe1OAhgi5NeK0E4Y9VWeJsSPM2MDmrDBaq+cTpB7dnSGyibHNMqDIsr11L34uTgA23kOEl+Z/SfT+1IQ==" saltValue="oZgrRmyVn/h7QAA8Vg6urg==" spinCount="100000" sheet="1" objects="1" scenarios="1"/>
  <mergeCells count="73">
    <mergeCell ref="BE36:BH36"/>
    <mergeCell ref="I12:I15"/>
    <mergeCell ref="J12:J15"/>
    <mergeCell ref="K12:K15"/>
    <mergeCell ref="L12:L15"/>
    <mergeCell ref="AV12:AV15"/>
    <mergeCell ref="AW12:AZ12"/>
    <mergeCell ref="BA12:BD12"/>
    <mergeCell ref="BB13:BB15"/>
    <mergeCell ref="AX36:AZ36"/>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I47:L47"/>
    <mergeCell ref="I49:L49"/>
    <mergeCell ref="B37:G37"/>
    <mergeCell ref="B36:AW36"/>
    <mergeCell ref="D38:O38"/>
    <mergeCell ref="E39:E40"/>
    <mergeCell ref="L39:O39"/>
    <mergeCell ref="F39:J40"/>
    <mergeCell ref="I45:L45"/>
  </mergeCells>
  <conditionalFormatting sqref="BA16:BD35">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36"/>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7" width="29.33203125" style="5" customWidth="1"/>
    <col min="8" max="8" width="27.109375" style="5" customWidth="1"/>
    <col min="9" max="9" width="28.8867187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23" width="15.88671875" style="1" customWidth="1"/>
    <col min="24" max="24" width="14" style="1" bestFit="1" customWidth="1"/>
    <col min="25" max="25" width="12" style="1" bestFit="1" customWidth="1"/>
    <col min="26" max="26" width="14" style="1" bestFit="1" customWidth="1"/>
    <col min="27" max="27" width="12" style="1" bestFit="1" customWidth="1"/>
    <col min="28" max="28" width="14" style="1" bestFit="1" customWidth="1"/>
    <col min="29" max="29" width="12" style="1" bestFit="1" customWidth="1"/>
    <col min="30" max="31" width="15.44140625" style="1" customWidth="1"/>
    <col min="32" max="32" width="14" style="1" hidden="1" customWidth="1"/>
    <col min="33" max="33" width="12" style="1" hidden="1" customWidth="1"/>
    <col min="34" max="34" width="14" style="1" hidden="1" customWidth="1"/>
    <col min="35" max="35" width="12" style="1" hidden="1" customWidth="1"/>
    <col min="36" max="36" width="14" style="1" hidden="1" customWidth="1"/>
    <col min="37" max="37" width="12" style="1" hidden="1" customWidth="1"/>
    <col min="38" max="39" width="14.5546875" style="1" hidden="1" customWidth="1"/>
    <col min="40" max="40" width="18.44140625" style="1" hidden="1" customWidth="1"/>
    <col min="41" max="41" width="13.5546875" style="1" hidden="1" customWidth="1"/>
    <col min="42" max="42" width="15" style="1" hidden="1" customWidth="1"/>
    <col min="43" max="43" width="14.109375" style="1" hidden="1" customWidth="1"/>
    <col min="44" max="44" width="15.88671875" style="1" hidden="1" customWidth="1"/>
    <col min="45" max="45" width="14.109375" style="1" hidden="1" customWidth="1"/>
    <col min="46" max="47" width="15.33203125" style="1" hidden="1" customWidth="1"/>
    <col min="48" max="48" width="24.44140625" style="1" customWidth="1"/>
    <col min="49" max="51" width="16" style="1" bestFit="1" customWidth="1"/>
    <col min="52" max="52" width="14.33203125" style="1" bestFit="1" customWidth="1"/>
    <col min="53" max="58" width="16" style="1" bestFit="1" customWidth="1"/>
    <col min="59" max="59" width="19.33203125" style="1" bestFit="1" customWidth="1"/>
    <col min="60" max="60" width="16" style="1" bestFit="1" customWidth="1"/>
    <col min="61" max="16384" width="17.33203125" style="1"/>
  </cols>
  <sheetData>
    <row r="1" spans="2:61" ht="15" customHeight="1" thickBot="1"/>
    <row r="2" spans="2:61" ht="16.5"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1" ht="16.5"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1" ht="16.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1" ht="16.5"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1" ht="16.5"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1" ht="19.5" customHeight="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1" ht="28.5" customHeight="1">
      <c r="B8" s="19" t="s">
        <v>45</v>
      </c>
      <c r="C8" s="1462" t="s">
        <v>89</v>
      </c>
      <c r="D8" s="1462"/>
      <c r="E8" s="17"/>
      <c r="F8" s="17"/>
      <c r="G8" s="17"/>
      <c r="H8" s="17"/>
      <c r="I8" s="17"/>
      <c r="J8" s="17"/>
      <c r="K8" s="17"/>
      <c r="L8" s="17"/>
      <c r="M8" s="17"/>
      <c r="N8" s="17"/>
      <c r="O8" s="17"/>
      <c r="AW8" s="34"/>
      <c r="AX8" s="34"/>
      <c r="AY8" s="34"/>
      <c r="AZ8" s="34"/>
      <c r="BA8" s="34"/>
      <c r="BB8" s="34"/>
      <c r="BC8" s="34"/>
      <c r="BD8" s="34"/>
    </row>
    <row r="9" spans="2:61" ht="98.25" customHeight="1">
      <c r="B9" s="19" t="s">
        <v>34</v>
      </c>
      <c r="C9" s="1456" t="s">
        <v>267</v>
      </c>
      <c r="D9" s="1457"/>
      <c r="E9" s="17"/>
      <c r="F9" s="17"/>
      <c r="G9" s="17"/>
      <c r="H9" s="17"/>
      <c r="I9" s="17"/>
      <c r="J9" s="17"/>
      <c r="K9" s="17"/>
      <c r="L9" s="17"/>
      <c r="M9" s="17"/>
      <c r="N9" s="17"/>
      <c r="O9" s="17"/>
      <c r="AW9" s="34"/>
      <c r="AX9" s="34"/>
      <c r="AY9" s="34"/>
      <c r="AZ9" s="34"/>
      <c r="BA9" s="34"/>
      <c r="BB9" s="34"/>
      <c r="BC9" s="34"/>
      <c r="BD9" s="34"/>
    </row>
    <row r="10" spans="2:61" ht="30" customHeight="1">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1" ht="14.25" customHeight="1">
      <c r="B11" s="2"/>
      <c r="C11" s="2"/>
      <c r="D11" s="2"/>
      <c r="E11" s="2"/>
      <c r="F11" s="2"/>
      <c r="G11" s="4"/>
      <c r="H11" s="4"/>
      <c r="I11" s="2"/>
      <c r="J11" s="2"/>
      <c r="K11" s="2"/>
      <c r="L11" s="2"/>
      <c r="M11" s="2"/>
      <c r="N11" s="2"/>
      <c r="O11" s="2"/>
      <c r="AW11" s="34"/>
      <c r="AX11" s="34"/>
      <c r="AY11" s="34"/>
      <c r="AZ11" s="34"/>
      <c r="BA11" s="34"/>
      <c r="BB11" s="34"/>
      <c r="BC11" s="34"/>
      <c r="BD11" s="34"/>
    </row>
    <row r="12" spans="2:61" ht="33"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246</v>
      </c>
      <c r="AW12" s="1407" t="s">
        <v>639</v>
      </c>
      <c r="AX12" s="1408"/>
      <c r="AY12" s="1408"/>
      <c r="AZ12" s="1409"/>
      <c r="BA12" s="1396" t="s">
        <v>640</v>
      </c>
      <c r="BB12" s="1397"/>
      <c r="BC12" s="1397"/>
      <c r="BD12" s="1398"/>
      <c r="BE12" s="1435" t="s">
        <v>641</v>
      </c>
      <c r="BF12" s="1436"/>
      <c r="BG12" s="1436"/>
      <c r="BH12" s="1437"/>
    </row>
    <row r="13" spans="2:61" ht="21.75" customHeight="1">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247</v>
      </c>
      <c r="AX13" s="1410" t="s">
        <v>248</v>
      </c>
      <c r="AY13" s="1410" t="s">
        <v>249</v>
      </c>
      <c r="AZ13" s="1410" t="s">
        <v>250</v>
      </c>
      <c r="BA13" s="1399" t="s">
        <v>251</v>
      </c>
      <c r="BB13" s="1399" t="s">
        <v>248</v>
      </c>
      <c r="BC13" s="1399" t="s">
        <v>252</v>
      </c>
      <c r="BD13" s="1399" t="s">
        <v>253</v>
      </c>
      <c r="BE13" s="1393" t="s">
        <v>251</v>
      </c>
      <c r="BF13" s="1393" t="s">
        <v>248</v>
      </c>
      <c r="BG13" s="1393" t="s">
        <v>252</v>
      </c>
      <c r="BH13" s="1393" t="s">
        <v>253</v>
      </c>
    </row>
    <row r="14" spans="2:61" ht="21.75" customHeight="1">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1" ht="21.75"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1" ht="186" customHeight="1">
      <c r="B16" s="1433" t="str">
        <f>+'01-FR-03 POA INSTITUCIONAL'!B33</f>
        <v>2. Realizar acciones de prevención y control a la Función Pública, en el marco del cumplimiento del Plan de Desarrollo, con énfasis en los Derechos e intereses colectivos.</v>
      </c>
      <c r="C16" s="1433" t="str">
        <f>+'01-FR-03 POA INSTITUCIONAL'!C33</f>
        <v>2.1. Realizar 22 acciones de prevención y control a la función pública en medio ambiente, agua, protección y bienestar animal y desarrollo urbano.</v>
      </c>
      <c r="D16" s="28" t="str">
        <f>+'01-FR-03 POA INSTITUCIONAL'!D33</f>
        <v>2.1.1 Realizar 16 informes en los cuales se evalúen las políticas ambientales, el manejo de recursos hídricos, protección y bienestar animal y desarrollo urbano en el Distrito Capital.</v>
      </c>
      <c r="E16" s="46">
        <f>+'01-FR-03 POA INSTITUCIONAL'!E33</f>
        <v>0.72727272727272696</v>
      </c>
      <c r="F16" s="94">
        <f>+'01-FR-03 POA INSTITUCIONAL'!F33</f>
        <v>16</v>
      </c>
      <c r="G16" s="94">
        <f>+'01-FR-03 POA INSTITUCIONAL'!M33</f>
        <v>6</v>
      </c>
      <c r="H16" s="35" t="str">
        <f>+'01-FR-03 POA INSTITUCIONAL'!G33</f>
        <v>S.I.</v>
      </c>
      <c r="I16" s="35" t="str">
        <f>+'01-FR-03 POA INSTITUCIONAL'!H33</f>
        <v>Informes realizados en temas específicos.</v>
      </c>
      <c r="J16" s="35" t="s">
        <v>623</v>
      </c>
      <c r="K16" s="119" t="s">
        <v>254</v>
      </c>
      <c r="L16" s="118" t="s">
        <v>1131</v>
      </c>
      <c r="M16" s="117" t="s">
        <v>255</v>
      </c>
      <c r="N16" s="117" t="s">
        <v>256</v>
      </c>
      <c r="O16" s="132"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722">
        <v>0</v>
      </c>
      <c r="Q16" s="722">
        <v>0</v>
      </c>
      <c r="R16" s="722">
        <v>0</v>
      </c>
      <c r="S16" s="722">
        <v>0</v>
      </c>
      <c r="T16" s="722">
        <v>0</v>
      </c>
      <c r="U16" s="723">
        <v>0</v>
      </c>
      <c r="V16" s="36">
        <f>P16+R16+T16</f>
        <v>0</v>
      </c>
      <c r="W16" s="36">
        <f>Q16+S16+U16</f>
        <v>0</v>
      </c>
      <c r="X16" s="722">
        <v>1</v>
      </c>
      <c r="Y16" s="722">
        <v>0</v>
      </c>
      <c r="Z16" s="722">
        <v>2</v>
      </c>
      <c r="AA16" s="722">
        <v>0</v>
      </c>
      <c r="AB16" s="722">
        <v>0</v>
      </c>
      <c r="AC16" s="722">
        <v>0</v>
      </c>
      <c r="AD16" s="36">
        <f>X16+Z16+AB16</f>
        <v>3</v>
      </c>
      <c r="AE16" s="36">
        <f>Y16+AA16+AC16</f>
        <v>0</v>
      </c>
      <c r="AF16" s="722">
        <v>0</v>
      </c>
      <c r="AG16" s="722"/>
      <c r="AH16" s="722">
        <v>0</v>
      </c>
      <c r="AI16" s="722"/>
      <c r="AJ16" s="723">
        <v>0</v>
      </c>
      <c r="AK16" s="723"/>
      <c r="AL16" s="36">
        <f>AF16+AH16+AJ16</f>
        <v>0</v>
      </c>
      <c r="AM16" s="36">
        <f>AG16+AI16+AK16</f>
        <v>0</v>
      </c>
      <c r="AN16" s="722">
        <v>1</v>
      </c>
      <c r="AO16" s="722"/>
      <c r="AP16" s="722">
        <v>2</v>
      </c>
      <c r="AQ16" s="722"/>
      <c r="AR16" s="722">
        <v>0</v>
      </c>
      <c r="AS16" s="722"/>
      <c r="AT16" s="36">
        <f>AN16+AP16+AR16</f>
        <v>3</v>
      </c>
      <c r="AU16" s="36">
        <f>AO16+AQ16+AS16</f>
        <v>0</v>
      </c>
      <c r="AV16" s="25">
        <f>V16+AD16+AL16+AT16</f>
        <v>6</v>
      </c>
      <c r="AW16" s="62">
        <f>+W16</f>
        <v>0</v>
      </c>
      <c r="AX16" s="62">
        <f>+W16+AE16</f>
        <v>0</v>
      </c>
      <c r="AY16" s="928">
        <f>+W16+AE16+AM16</f>
        <v>0</v>
      </c>
      <c r="AZ16" s="928">
        <f>+W16+AE16+AM16+AU16</f>
        <v>0</v>
      </c>
      <c r="BA16" s="37">
        <f>IF(AND(AW16&gt;0,$AV16&gt;0),AW16/$AV16,0)</f>
        <v>0</v>
      </c>
      <c r="BB16" s="37">
        <f t="shared" ref="BB16:BD22" si="0">IF(AND(AX16&gt;0,$AV16&gt;0),AX16/$AV16,0)</f>
        <v>0</v>
      </c>
      <c r="BC16" s="37">
        <f t="shared" si="0"/>
        <v>0</v>
      </c>
      <c r="BD16" s="37">
        <f t="shared" si="0"/>
        <v>0</v>
      </c>
      <c r="BE16" s="182">
        <f>(IF(AND(AW16&gt;0,$F16&gt;0),AW16/$F16,0))</f>
        <v>0</v>
      </c>
      <c r="BF16" s="182">
        <f t="shared" ref="BF16:BH16" si="1">(IF(AND(AX16&gt;0,$F16&gt;0),AX16/$F16,0))</f>
        <v>0</v>
      </c>
      <c r="BG16" s="751">
        <f t="shared" si="1"/>
        <v>0</v>
      </c>
      <c r="BH16" s="751">
        <f t="shared" si="1"/>
        <v>0</v>
      </c>
      <c r="BI16" s="133"/>
    </row>
    <row r="17" spans="2:61" ht="135" customHeight="1">
      <c r="B17" s="1434"/>
      <c r="C17" s="1454"/>
      <c r="D17" s="28"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46">
        <f>+'01-FR-03 POA INSTITUCIONAL'!E34</f>
        <v>0.27272727272727298</v>
      </c>
      <c r="F17" s="94">
        <f>+'01-FR-03 POA INSTITUCIONAL'!F34</f>
        <v>6</v>
      </c>
      <c r="G17" s="94">
        <f>+'01-FR-03 POA INSTITUCIONAL'!M34</f>
        <v>3</v>
      </c>
      <c r="H17" s="35" t="str">
        <f>+'01-FR-03 POA INSTITUCIONAL'!G34</f>
        <v>S.I.</v>
      </c>
      <c r="I17" s="35" t="str">
        <f>+'01-FR-03 POA INSTITUCIONAL'!H34</f>
        <v>Informes de seguimientos realizados en temas específicos.</v>
      </c>
      <c r="J17" s="35" t="s">
        <v>624</v>
      </c>
      <c r="K17" s="119" t="s">
        <v>257</v>
      </c>
      <c r="L17" s="118" t="s">
        <v>1132</v>
      </c>
      <c r="M17" s="117" t="s">
        <v>255</v>
      </c>
      <c r="N17" s="117" t="s">
        <v>256</v>
      </c>
      <c r="O17" s="132"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722">
        <v>0</v>
      </c>
      <c r="Q17" s="722">
        <v>0</v>
      </c>
      <c r="R17" s="722">
        <v>0</v>
      </c>
      <c r="S17" s="722">
        <v>0</v>
      </c>
      <c r="T17" s="722">
        <v>0</v>
      </c>
      <c r="U17" s="723">
        <v>0</v>
      </c>
      <c r="V17" s="36">
        <f t="shared" ref="V17:W22" si="2">P17+R17+T17</f>
        <v>0</v>
      </c>
      <c r="W17" s="36">
        <f t="shared" si="2"/>
        <v>0</v>
      </c>
      <c r="X17" s="722">
        <v>0</v>
      </c>
      <c r="Y17" s="722">
        <v>0</v>
      </c>
      <c r="Z17" s="722">
        <v>0</v>
      </c>
      <c r="AA17" s="722">
        <v>0</v>
      </c>
      <c r="AB17" s="722">
        <v>1</v>
      </c>
      <c r="AC17" s="722">
        <v>2</v>
      </c>
      <c r="AD17" s="36">
        <f t="shared" ref="AD17:AE22" si="3">X17+Z17+AB17</f>
        <v>1</v>
      </c>
      <c r="AE17" s="36">
        <f t="shared" si="3"/>
        <v>2</v>
      </c>
      <c r="AF17" s="722">
        <v>1</v>
      </c>
      <c r="AG17" s="722"/>
      <c r="AH17" s="722">
        <v>0</v>
      </c>
      <c r="AI17" s="722"/>
      <c r="AJ17" s="723">
        <v>0</v>
      </c>
      <c r="AK17" s="723"/>
      <c r="AL17" s="36">
        <f t="shared" ref="AL17:AM22" si="4">AF17+AH17+AJ17</f>
        <v>1</v>
      </c>
      <c r="AM17" s="36">
        <f t="shared" si="4"/>
        <v>0</v>
      </c>
      <c r="AN17" s="722">
        <v>0</v>
      </c>
      <c r="AO17" s="722"/>
      <c r="AP17" s="722">
        <v>1</v>
      </c>
      <c r="AQ17" s="722"/>
      <c r="AR17" s="722">
        <v>0</v>
      </c>
      <c r="AS17" s="722"/>
      <c r="AT17" s="36">
        <f t="shared" ref="AT17:AU22" si="5">AN17+AP17+AR17</f>
        <v>1</v>
      </c>
      <c r="AU17" s="36">
        <f t="shared" si="5"/>
        <v>0</v>
      </c>
      <c r="AV17" s="25">
        <f t="shared" ref="AV17:AV22" si="6">V17+AD17+AL17+AT17</f>
        <v>3</v>
      </c>
      <c r="AW17" s="62">
        <f t="shared" ref="AW17:AW22" si="7">+W17</f>
        <v>0</v>
      </c>
      <c r="AX17" s="62">
        <f t="shared" ref="AX17:AX22" si="8">+W17+AE17</f>
        <v>2</v>
      </c>
      <c r="AY17" s="928">
        <f t="shared" ref="AY17:AY22" si="9">+W17+AE17+AM17</f>
        <v>2</v>
      </c>
      <c r="AZ17" s="928">
        <f t="shared" ref="AZ17:AZ22" si="10">+W17+AE17+AM17+AU17</f>
        <v>2</v>
      </c>
      <c r="BA17" s="37">
        <f>IF(AND(AW17&gt;0,AV17&gt;0),AW17/AV17,0)</f>
        <v>0</v>
      </c>
      <c r="BB17" s="37">
        <f t="shared" si="0"/>
        <v>0.66666666666666663</v>
      </c>
      <c r="BC17" s="37">
        <f t="shared" si="0"/>
        <v>0.66666666666666663</v>
      </c>
      <c r="BD17" s="37">
        <f t="shared" si="0"/>
        <v>0.66666666666666663</v>
      </c>
      <c r="BE17" s="182">
        <f t="shared" ref="BE17:BE19" si="11">(IF(AND(AW17&gt;0,$F17&gt;0),AW17/$F17,0))</f>
        <v>0</v>
      </c>
      <c r="BF17" s="182">
        <f t="shared" ref="BF17:BF19" si="12">(IF(AND(AX17&gt;0,$F17&gt;0),AX17/$F17,0))</f>
        <v>0.33333333333333331</v>
      </c>
      <c r="BG17" s="751">
        <f t="shared" ref="BG17:BG19" si="13">(IF(AND(AY17&gt;0,$F17&gt;0),AY17/$F17,0))</f>
        <v>0.33333333333333331</v>
      </c>
      <c r="BH17" s="751">
        <f t="shared" ref="BH17:BH19" si="14">(IF(AND(AZ17&gt;0,$F17&gt;0),AZ17/$F17,0))</f>
        <v>0.33333333333333331</v>
      </c>
      <c r="BI17" s="133"/>
    </row>
    <row r="18" spans="2:61" ht="126" customHeight="1">
      <c r="B18" s="1434"/>
      <c r="C18" s="1433" t="str">
        <f>+'01-FR-03 POA INSTITUCIONAL'!C35</f>
        <v>2.2. Fortalecer la moralidad publica realizando  952 acciones de prevención y control a la función pública.</v>
      </c>
      <c r="D18" s="28" t="str">
        <f>+'01-FR-03 POA INSTITUCIONAL'!D35</f>
        <v>2.2.1 Realizar 817 acciones de prevención y control a la función pública para fortalecer la moralidad pública.</v>
      </c>
      <c r="E18" s="46">
        <f>+'01-FR-03 POA INSTITUCIONAL'!E35</f>
        <v>0.89</v>
      </c>
      <c r="F18" s="94">
        <f>+'01-FR-03 POA INSTITUCIONAL'!F35</f>
        <v>817</v>
      </c>
      <c r="G18" s="94">
        <f>+'01-FR-03 POA INSTITUCIONAL'!M35</f>
        <v>259</v>
      </c>
      <c r="H18" s="35" t="str">
        <f>+'01-FR-03 POA INSTITUCIONAL'!G35</f>
        <v>S.I.</v>
      </c>
      <c r="I18" s="35" t="str">
        <f>+'01-FR-03 POA INSTITUCIONAL'!H35</f>
        <v>Acciones de Prevención y Control a la Función Pública realizadas, con informe.</v>
      </c>
      <c r="J18" s="35" t="s">
        <v>625</v>
      </c>
      <c r="K18" s="119" t="s">
        <v>258</v>
      </c>
      <c r="L18" s="118" t="s">
        <v>1133</v>
      </c>
      <c r="M18" s="117" t="s">
        <v>255</v>
      </c>
      <c r="N18" s="117" t="s">
        <v>256</v>
      </c>
      <c r="O18" s="132"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876">
        <v>0</v>
      </c>
      <c r="Q18" s="876">
        <v>4</v>
      </c>
      <c r="R18" s="876">
        <v>15</v>
      </c>
      <c r="S18" s="876">
        <v>6</v>
      </c>
      <c r="T18" s="876">
        <v>28</v>
      </c>
      <c r="U18" s="876">
        <v>19</v>
      </c>
      <c r="V18" s="36">
        <f t="shared" si="2"/>
        <v>43</v>
      </c>
      <c r="W18" s="36">
        <f t="shared" si="2"/>
        <v>29</v>
      </c>
      <c r="X18" s="876">
        <v>27</v>
      </c>
      <c r="Y18" s="876">
        <v>11</v>
      </c>
      <c r="Z18" s="876">
        <v>33</v>
      </c>
      <c r="AA18" s="876">
        <v>12</v>
      </c>
      <c r="AB18" s="876">
        <v>28</v>
      </c>
      <c r="AC18" s="876">
        <v>33</v>
      </c>
      <c r="AD18" s="36">
        <f t="shared" si="3"/>
        <v>88</v>
      </c>
      <c r="AE18" s="36">
        <f t="shared" si="3"/>
        <v>56</v>
      </c>
      <c r="AF18" s="876">
        <v>36</v>
      </c>
      <c r="AG18" s="876"/>
      <c r="AH18" s="876">
        <v>26</v>
      </c>
      <c r="AI18" s="876"/>
      <c r="AJ18" s="876">
        <v>29</v>
      </c>
      <c r="AK18" s="876"/>
      <c r="AL18" s="36">
        <f t="shared" si="4"/>
        <v>91</v>
      </c>
      <c r="AM18" s="36">
        <f t="shared" si="4"/>
        <v>0</v>
      </c>
      <c r="AN18" s="876">
        <v>24</v>
      </c>
      <c r="AO18" s="876"/>
      <c r="AP18" s="876">
        <v>13</v>
      </c>
      <c r="AQ18" s="876"/>
      <c r="AR18" s="876">
        <v>0</v>
      </c>
      <c r="AS18" s="876"/>
      <c r="AT18" s="36">
        <f t="shared" si="5"/>
        <v>37</v>
      </c>
      <c r="AU18" s="36">
        <f t="shared" si="5"/>
        <v>0</v>
      </c>
      <c r="AV18" s="25">
        <f t="shared" si="6"/>
        <v>259</v>
      </c>
      <c r="AW18" s="62">
        <f t="shared" si="7"/>
        <v>29</v>
      </c>
      <c r="AX18" s="62">
        <f t="shared" si="8"/>
        <v>85</v>
      </c>
      <c r="AY18" s="928">
        <f t="shared" si="9"/>
        <v>85</v>
      </c>
      <c r="AZ18" s="928">
        <f t="shared" si="10"/>
        <v>85</v>
      </c>
      <c r="BA18" s="192">
        <f t="shared" ref="BA18:BA22" si="15">IF(AND(AW18&gt;0,AV18&gt;0),AW18/AV18,0)</f>
        <v>0.11196911196911197</v>
      </c>
      <c r="BB18" s="192">
        <f t="shared" si="0"/>
        <v>0.3281853281853282</v>
      </c>
      <c r="BC18" s="192">
        <f t="shared" si="0"/>
        <v>0.3281853281853282</v>
      </c>
      <c r="BD18" s="192">
        <f t="shared" si="0"/>
        <v>0.3281853281853282</v>
      </c>
      <c r="BE18" s="182">
        <f t="shared" si="11"/>
        <v>3.5495716034271728E-2</v>
      </c>
      <c r="BF18" s="182">
        <f t="shared" si="12"/>
        <v>0.10403916768665851</v>
      </c>
      <c r="BG18" s="751">
        <f t="shared" si="13"/>
        <v>0.10403916768665851</v>
      </c>
      <c r="BH18" s="751">
        <f t="shared" si="14"/>
        <v>0.10403916768665851</v>
      </c>
      <c r="BI18" s="133"/>
    </row>
    <row r="19" spans="2:61" ht="105.6" customHeight="1">
      <c r="B19" s="1434"/>
      <c r="C19" s="1454"/>
      <c r="D19" s="28" t="str">
        <f>+'01-FR-03 POA INSTITUCIONAL'!D36</f>
        <v>2.2.2 Realizar 135 acciones de prevención y control a la función pública - seguimientos, para fortalecer la moralidad pública en el Distrito Capital.</v>
      </c>
      <c r="E19" s="46">
        <f>+'01-FR-03 POA INSTITUCIONAL'!E36</f>
        <v>0.11</v>
      </c>
      <c r="F19" s="94">
        <f>+'01-FR-03 POA INSTITUCIONAL'!F36</f>
        <v>135</v>
      </c>
      <c r="G19" s="94">
        <f>+'01-FR-03 POA INSTITUCIONAL'!M36</f>
        <v>30</v>
      </c>
      <c r="H19" s="35" t="str">
        <f>+'01-FR-03 POA INSTITUCIONAL'!G36</f>
        <v>S.I.</v>
      </c>
      <c r="I19" s="35" t="str">
        <f>+'01-FR-03 POA INSTITUCIONAL'!H36</f>
        <v>Seguimientos realizados sobre acciones previas, con informe</v>
      </c>
      <c r="J19" s="35" t="s">
        <v>626</v>
      </c>
      <c r="K19" s="119" t="s">
        <v>259</v>
      </c>
      <c r="L19" s="118" t="s">
        <v>1134</v>
      </c>
      <c r="M19" s="117" t="s">
        <v>255</v>
      </c>
      <c r="N19" s="117" t="s">
        <v>256</v>
      </c>
      <c r="O19" s="132"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876">
        <v>0</v>
      </c>
      <c r="Q19" s="876">
        <v>0</v>
      </c>
      <c r="R19" s="876">
        <v>0</v>
      </c>
      <c r="S19" s="876">
        <v>0</v>
      </c>
      <c r="T19" s="876">
        <v>1</v>
      </c>
      <c r="U19" s="876">
        <v>1</v>
      </c>
      <c r="V19" s="36">
        <f t="shared" si="2"/>
        <v>1</v>
      </c>
      <c r="W19" s="36">
        <f t="shared" si="2"/>
        <v>1</v>
      </c>
      <c r="X19" s="876">
        <v>1</v>
      </c>
      <c r="Y19" s="876">
        <v>1</v>
      </c>
      <c r="Z19" s="876">
        <v>1</v>
      </c>
      <c r="AA19" s="876">
        <v>1</v>
      </c>
      <c r="AB19" s="876">
        <v>1</v>
      </c>
      <c r="AC19" s="876">
        <v>0</v>
      </c>
      <c r="AD19" s="36">
        <f t="shared" si="3"/>
        <v>3</v>
      </c>
      <c r="AE19" s="36">
        <f t="shared" si="3"/>
        <v>2</v>
      </c>
      <c r="AF19" s="876">
        <v>3</v>
      </c>
      <c r="AG19" s="876"/>
      <c r="AH19" s="876">
        <v>16</v>
      </c>
      <c r="AI19" s="876"/>
      <c r="AJ19" s="876">
        <v>1</v>
      </c>
      <c r="AK19" s="876"/>
      <c r="AL19" s="36">
        <f t="shared" si="4"/>
        <v>20</v>
      </c>
      <c r="AM19" s="36">
        <f t="shared" si="4"/>
        <v>0</v>
      </c>
      <c r="AN19" s="876">
        <v>3</v>
      </c>
      <c r="AO19" s="876"/>
      <c r="AP19" s="876">
        <v>3</v>
      </c>
      <c r="AQ19" s="876"/>
      <c r="AR19" s="876">
        <v>0</v>
      </c>
      <c r="AS19" s="876"/>
      <c r="AT19" s="36">
        <f t="shared" si="5"/>
        <v>6</v>
      </c>
      <c r="AU19" s="36">
        <f t="shared" si="5"/>
        <v>0</v>
      </c>
      <c r="AV19" s="25">
        <f t="shared" si="6"/>
        <v>30</v>
      </c>
      <c r="AW19" s="62">
        <f t="shared" si="7"/>
        <v>1</v>
      </c>
      <c r="AX19" s="62">
        <f t="shared" si="8"/>
        <v>3</v>
      </c>
      <c r="AY19" s="928">
        <f t="shared" si="9"/>
        <v>3</v>
      </c>
      <c r="AZ19" s="928">
        <f t="shared" si="10"/>
        <v>3</v>
      </c>
      <c r="BA19" s="37">
        <f t="shared" si="15"/>
        <v>3.3333333333333333E-2</v>
      </c>
      <c r="BB19" s="37">
        <f t="shared" si="0"/>
        <v>0.1</v>
      </c>
      <c r="BC19" s="37">
        <f t="shared" si="0"/>
        <v>0.1</v>
      </c>
      <c r="BD19" s="37">
        <f t="shared" si="0"/>
        <v>0.1</v>
      </c>
      <c r="BE19" s="182">
        <f t="shared" si="11"/>
        <v>7.4074074074074077E-3</v>
      </c>
      <c r="BF19" s="182">
        <f t="shared" si="12"/>
        <v>2.2222222222222223E-2</v>
      </c>
      <c r="BG19" s="751">
        <f t="shared" si="13"/>
        <v>2.2222222222222223E-2</v>
      </c>
      <c r="BH19" s="751">
        <f t="shared" si="14"/>
        <v>2.2222222222222223E-2</v>
      </c>
      <c r="BI19" s="133"/>
    </row>
    <row r="20" spans="2:61" ht="322.5" customHeight="1">
      <c r="B20" s="1434"/>
      <c r="C20" s="1433" t="str">
        <f>+'01-FR-03 POA INSTITUCIONAL'!C37</f>
        <v>2.3. Fortalecer 312 espacios de participación ciudadana en la Personería de Bogotá</v>
      </c>
      <c r="D20" s="28" t="str">
        <f>+'01-FR-03 POA INSTITUCIONAL'!D37</f>
        <v>2.3.1 Realizar 52 audiencias públicas y/o mesas de trabajo, las cuales permitan la participación ciudadana, con énfasis en los Derechos e intereses colectivos.</v>
      </c>
      <c r="E20" s="46">
        <f>+'01-FR-03 POA INSTITUCIONAL'!E37</f>
        <v>0.2</v>
      </c>
      <c r="F20" s="94">
        <f>+'01-FR-03 POA INSTITUCIONAL'!F37</f>
        <v>52</v>
      </c>
      <c r="G20" s="94">
        <f>+'01-FR-03 POA INSTITUCIONAL'!M37</f>
        <v>15</v>
      </c>
      <c r="H20" s="35">
        <f>+'01-FR-03 POA INSTITUCIONAL'!G37</f>
        <v>75</v>
      </c>
      <c r="I20" s="35" t="str">
        <f>+'01-FR-03 POA INSTITUCIONAL'!H37</f>
        <v>Audiencias públicas y/o mesas de trabajo realizadas.</v>
      </c>
      <c r="J20" s="35" t="s">
        <v>260</v>
      </c>
      <c r="K20" s="119" t="s">
        <v>261</v>
      </c>
      <c r="L20" s="118" t="s">
        <v>1135</v>
      </c>
      <c r="M20" s="117" t="s">
        <v>255</v>
      </c>
      <c r="N20" s="117" t="s">
        <v>256</v>
      </c>
      <c r="O20" s="132" t="str">
        <f>+'01-FR-03 POA INSTITUCIONAL'!J37</f>
        <v>Personería Delegada para la Coordinación de Prevención y Control a la Función Pública y sus Personerías Delegadas.</v>
      </c>
      <c r="P20" s="722">
        <v>0</v>
      </c>
      <c r="Q20" s="722">
        <v>0</v>
      </c>
      <c r="R20" s="722">
        <v>2</v>
      </c>
      <c r="S20" s="722">
        <v>2</v>
      </c>
      <c r="T20" s="722">
        <v>3</v>
      </c>
      <c r="U20" s="723">
        <v>3</v>
      </c>
      <c r="V20" s="36">
        <f t="shared" si="2"/>
        <v>5</v>
      </c>
      <c r="W20" s="36">
        <f t="shared" si="2"/>
        <v>5</v>
      </c>
      <c r="X20" s="722">
        <v>3</v>
      </c>
      <c r="Y20" s="722">
        <v>3</v>
      </c>
      <c r="Z20" s="722">
        <v>3</v>
      </c>
      <c r="AA20" s="722">
        <v>2</v>
      </c>
      <c r="AB20" s="722">
        <v>3</v>
      </c>
      <c r="AC20" s="722">
        <v>3</v>
      </c>
      <c r="AD20" s="36">
        <f t="shared" si="3"/>
        <v>9</v>
      </c>
      <c r="AE20" s="36">
        <f t="shared" si="3"/>
        <v>8</v>
      </c>
      <c r="AF20" s="722">
        <v>0</v>
      </c>
      <c r="AG20" s="722"/>
      <c r="AH20" s="722">
        <v>0</v>
      </c>
      <c r="AI20" s="722"/>
      <c r="AJ20" s="723">
        <v>0</v>
      </c>
      <c r="AK20" s="723"/>
      <c r="AL20" s="36">
        <f t="shared" si="4"/>
        <v>0</v>
      </c>
      <c r="AM20" s="36">
        <f t="shared" si="4"/>
        <v>0</v>
      </c>
      <c r="AN20" s="722">
        <v>0</v>
      </c>
      <c r="AO20" s="722"/>
      <c r="AP20" s="722">
        <v>1</v>
      </c>
      <c r="AQ20" s="722"/>
      <c r="AR20" s="722">
        <v>0</v>
      </c>
      <c r="AS20" s="722"/>
      <c r="AT20" s="36">
        <f t="shared" si="5"/>
        <v>1</v>
      </c>
      <c r="AU20" s="36">
        <f t="shared" si="5"/>
        <v>0</v>
      </c>
      <c r="AV20" s="25">
        <f t="shared" si="6"/>
        <v>15</v>
      </c>
      <c r="AW20" s="62">
        <f t="shared" si="7"/>
        <v>5</v>
      </c>
      <c r="AX20" s="62">
        <f t="shared" si="8"/>
        <v>13</v>
      </c>
      <c r="AY20" s="928">
        <f t="shared" si="9"/>
        <v>13</v>
      </c>
      <c r="AZ20" s="928">
        <f t="shared" si="10"/>
        <v>13</v>
      </c>
      <c r="BA20" s="37">
        <f t="shared" si="15"/>
        <v>0.33333333333333331</v>
      </c>
      <c r="BB20" s="37">
        <f t="shared" si="0"/>
        <v>0.8666666666666667</v>
      </c>
      <c r="BC20" s="37">
        <f t="shared" si="0"/>
        <v>0.8666666666666667</v>
      </c>
      <c r="BD20" s="37">
        <f t="shared" si="0"/>
        <v>0.8666666666666667</v>
      </c>
      <c r="BE20" s="182">
        <f t="shared" ref="BE20:BE22" si="16">(IF(AND(AW20&gt;0,$F20&gt;0),AW20/$F20,0))</f>
        <v>9.6153846153846159E-2</v>
      </c>
      <c r="BF20" s="182">
        <f t="shared" ref="BF20:BF22" si="17">(IF(AND(AX20&gt;0,$F20&gt;0),AX20/$F20,0))</f>
        <v>0.25</v>
      </c>
      <c r="BG20" s="751">
        <f t="shared" ref="BG20:BG22" si="18">(IF(AND(AY20&gt;0,$F20&gt;0),AY20/$F20,0))</f>
        <v>0.25</v>
      </c>
      <c r="BH20" s="751">
        <f t="shared" ref="BH20:BH22" si="19">(IF(AND(AZ20&gt;0,$F20&gt;0),AZ20/$F20,0))</f>
        <v>0.25</v>
      </c>
      <c r="BI20" s="133"/>
    </row>
    <row r="21" spans="2:61" ht="171" customHeight="1">
      <c r="B21" s="1434"/>
      <c r="C21" s="1434"/>
      <c r="D21" s="28" t="str">
        <f>+'01-FR-03 POA INSTITUCIONAL'!D38</f>
        <v>2.3.2 Realizar 160 acompañamientos a los ciudadanos que intervienen en los diferentes espacios de participación ciudadana.</v>
      </c>
      <c r="E21" s="46">
        <f>+'01-FR-03 POA INSTITUCIONAL'!E38</f>
        <v>0.46700000000000003</v>
      </c>
      <c r="F21" s="94">
        <f>+'01-FR-03 POA INSTITUCIONAL'!F38</f>
        <v>160</v>
      </c>
      <c r="G21" s="94">
        <f>+'01-FR-03 POA INSTITUCIONAL'!M38</f>
        <v>40</v>
      </c>
      <c r="H21" s="35" t="str">
        <f>+'01-FR-03 POA INSTITUCIONAL'!G38</f>
        <v>S.I.</v>
      </c>
      <c r="I21" s="35" t="str">
        <f>+'01-FR-03 POA INSTITUCIONAL'!H38</f>
        <v>Acompañamientos a los ciudadanos realizados.</v>
      </c>
      <c r="J21" s="35" t="s">
        <v>262</v>
      </c>
      <c r="K21" s="119" t="s">
        <v>263</v>
      </c>
      <c r="L21" s="118" t="s">
        <v>1136</v>
      </c>
      <c r="M21" s="117" t="s">
        <v>255</v>
      </c>
      <c r="N21" s="117" t="s">
        <v>256</v>
      </c>
      <c r="O21" s="132" t="str">
        <f>+'01-FR-03 POA INSTITUCIONAL'!J38</f>
        <v xml:space="preserve">Personería Delegada para la Coordinación de Gestión de las Personerías Locales y sus Personerías Locales. </v>
      </c>
      <c r="P21" s="722">
        <v>0</v>
      </c>
      <c r="Q21" s="722">
        <v>1</v>
      </c>
      <c r="R21" s="722">
        <v>4</v>
      </c>
      <c r="S21" s="722">
        <v>8</v>
      </c>
      <c r="T21" s="722">
        <v>4</v>
      </c>
      <c r="U21" s="723">
        <v>15</v>
      </c>
      <c r="V21" s="36">
        <f t="shared" si="2"/>
        <v>8</v>
      </c>
      <c r="W21" s="36">
        <f t="shared" si="2"/>
        <v>24</v>
      </c>
      <c r="X21" s="722">
        <v>4</v>
      </c>
      <c r="Y21" s="722">
        <v>2</v>
      </c>
      <c r="Z21" s="722">
        <v>4</v>
      </c>
      <c r="AA21" s="722">
        <v>0</v>
      </c>
      <c r="AB21" s="722">
        <v>4</v>
      </c>
      <c r="AC21" s="722">
        <v>0</v>
      </c>
      <c r="AD21" s="36">
        <f t="shared" si="3"/>
        <v>12</v>
      </c>
      <c r="AE21" s="36">
        <f t="shared" si="3"/>
        <v>2</v>
      </c>
      <c r="AF21" s="722">
        <v>4</v>
      </c>
      <c r="AG21" s="722"/>
      <c r="AH21" s="722">
        <v>4</v>
      </c>
      <c r="AI21" s="722"/>
      <c r="AJ21" s="722">
        <v>4</v>
      </c>
      <c r="AK21" s="723"/>
      <c r="AL21" s="36">
        <f t="shared" si="4"/>
        <v>12</v>
      </c>
      <c r="AM21" s="36">
        <f t="shared" si="4"/>
        <v>0</v>
      </c>
      <c r="AN21" s="722">
        <v>4</v>
      </c>
      <c r="AO21" s="722"/>
      <c r="AP21" s="722">
        <v>4</v>
      </c>
      <c r="AQ21" s="722"/>
      <c r="AR21" s="722">
        <v>0</v>
      </c>
      <c r="AS21" s="722"/>
      <c r="AT21" s="36">
        <f t="shared" si="5"/>
        <v>8</v>
      </c>
      <c r="AU21" s="36">
        <f t="shared" si="5"/>
        <v>0</v>
      </c>
      <c r="AV21" s="25">
        <f t="shared" si="6"/>
        <v>40</v>
      </c>
      <c r="AW21" s="62">
        <f t="shared" si="7"/>
        <v>24</v>
      </c>
      <c r="AX21" s="62">
        <f t="shared" si="8"/>
        <v>26</v>
      </c>
      <c r="AY21" s="928">
        <f t="shared" si="9"/>
        <v>26</v>
      </c>
      <c r="AZ21" s="928">
        <f t="shared" si="10"/>
        <v>26</v>
      </c>
      <c r="BA21" s="37">
        <f t="shared" si="15"/>
        <v>0.6</v>
      </c>
      <c r="BB21" s="37">
        <f t="shared" si="0"/>
        <v>0.65</v>
      </c>
      <c r="BC21" s="37">
        <f t="shared" si="0"/>
        <v>0.65</v>
      </c>
      <c r="BD21" s="37">
        <f t="shared" si="0"/>
        <v>0.65</v>
      </c>
      <c r="BE21" s="182">
        <f t="shared" si="16"/>
        <v>0.15</v>
      </c>
      <c r="BF21" s="182">
        <f t="shared" si="17"/>
        <v>0.16250000000000001</v>
      </c>
      <c r="BG21" s="751">
        <f t="shared" si="18"/>
        <v>0.16250000000000001</v>
      </c>
      <c r="BH21" s="751">
        <f t="shared" si="19"/>
        <v>0.16250000000000001</v>
      </c>
      <c r="BI21" s="133"/>
    </row>
    <row r="22" spans="2:61" ht="177" customHeight="1">
      <c r="B22" s="1454"/>
      <c r="C22" s="1454"/>
      <c r="D22" s="28" t="str">
        <f>+'01-FR-03 POA INSTITUCIONAL'!D39</f>
        <v>2.3.3 Realizar 100 espacios de diálogo con las personas para retroalimentar las actividades de participación ciudadana</v>
      </c>
      <c r="E22" s="46">
        <f>+'01-FR-03 POA INSTITUCIONAL'!E39</f>
        <v>0.33300000000000002</v>
      </c>
      <c r="F22" s="94">
        <f>+'01-FR-03 POA INSTITUCIONAL'!F39</f>
        <v>100</v>
      </c>
      <c r="G22" s="94">
        <f>+'01-FR-03 POA INSTITUCIONAL'!M39</f>
        <v>30</v>
      </c>
      <c r="H22" s="35" t="str">
        <f>+'01-FR-03 POA INSTITUCIONAL'!G39</f>
        <v>S.I.</v>
      </c>
      <c r="I22" s="35" t="str">
        <f>+'01-FR-03 POA INSTITUCIONAL'!H39</f>
        <v>Espacios de dialogo realizados.</v>
      </c>
      <c r="J22" s="35" t="s">
        <v>627</v>
      </c>
      <c r="K22" s="119" t="s">
        <v>264</v>
      </c>
      <c r="L22" s="118" t="s">
        <v>1042</v>
      </c>
      <c r="M22" s="117" t="s">
        <v>255</v>
      </c>
      <c r="N22" s="117" t="s">
        <v>256</v>
      </c>
      <c r="O22" s="132" t="str">
        <f>+'01-FR-03 POA INSTITUCIONAL'!J39</f>
        <v>Personería Delegada para la Coordinación de Gestión de las Personerías Locales y sus Personerías Locales. 
Personería Delegada para la Coordinación de Prevención y Control a la Función Pública y sus Personerías Delegadas.</v>
      </c>
      <c r="P22" s="722">
        <v>0</v>
      </c>
      <c r="Q22" s="722">
        <v>1</v>
      </c>
      <c r="R22" s="722">
        <v>0</v>
      </c>
      <c r="S22" s="722">
        <v>4</v>
      </c>
      <c r="T22" s="722">
        <v>2</v>
      </c>
      <c r="U22" s="723">
        <v>12</v>
      </c>
      <c r="V22" s="36">
        <f t="shared" si="2"/>
        <v>2</v>
      </c>
      <c r="W22" s="36">
        <f t="shared" si="2"/>
        <v>17</v>
      </c>
      <c r="X22" s="722">
        <v>2</v>
      </c>
      <c r="Y22" s="722">
        <v>3</v>
      </c>
      <c r="Z22" s="722">
        <v>4</v>
      </c>
      <c r="AA22" s="722">
        <v>2</v>
      </c>
      <c r="AB22" s="722">
        <v>4</v>
      </c>
      <c r="AC22" s="722">
        <v>0</v>
      </c>
      <c r="AD22" s="36">
        <f t="shared" si="3"/>
        <v>10</v>
      </c>
      <c r="AE22" s="36">
        <f t="shared" si="3"/>
        <v>5</v>
      </c>
      <c r="AF22" s="722">
        <v>2</v>
      </c>
      <c r="AG22" s="722"/>
      <c r="AH22" s="722">
        <v>4</v>
      </c>
      <c r="AI22" s="722"/>
      <c r="AJ22" s="723">
        <v>4</v>
      </c>
      <c r="AK22" s="723"/>
      <c r="AL22" s="36">
        <f t="shared" si="4"/>
        <v>10</v>
      </c>
      <c r="AM22" s="36">
        <f t="shared" si="4"/>
        <v>0</v>
      </c>
      <c r="AN22" s="722">
        <v>3</v>
      </c>
      <c r="AO22" s="722"/>
      <c r="AP22" s="722">
        <v>2</v>
      </c>
      <c r="AQ22" s="722"/>
      <c r="AR22" s="722">
        <v>3</v>
      </c>
      <c r="AS22" s="722"/>
      <c r="AT22" s="36">
        <f t="shared" si="5"/>
        <v>8</v>
      </c>
      <c r="AU22" s="36">
        <f t="shared" si="5"/>
        <v>0</v>
      </c>
      <c r="AV22" s="25">
        <f t="shared" si="6"/>
        <v>30</v>
      </c>
      <c r="AW22" s="62">
        <f t="shared" si="7"/>
        <v>17</v>
      </c>
      <c r="AX22" s="62">
        <f t="shared" si="8"/>
        <v>22</v>
      </c>
      <c r="AY22" s="928">
        <f t="shared" si="9"/>
        <v>22</v>
      </c>
      <c r="AZ22" s="928">
        <f t="shared" si="10"/>
        <v>22</v>
      </c>
      <c r="BA22" s="37">
        <f t="shared" si="15"/>
        <v>0.56666666666666665</v>
      </c>
      <c r="BB22" s="37">
        <f t="shared" si="0"/>
        <v>0.73333333333333328</v>
      </c>
      <c r="BC22" s="37">
        <f t="shared" si="0"/>
        <v>0.73333333333333328</v>
      </c>
      <c r="BD22" s="37">
        <f t="shared" si="0"/>
        <v>0.73333333333333328</v>
      </c>
      <c r="BE22" s="182">
        <f t="shared" si="16"/>
        <v>0.17</v>
      </c>
      <c r="BF22" s="182">
        <f t="shared" si="17"/>
        <v>0.22</v>
      </c>
      <c r="BG22" s="751">
        <f t="shared" si="18"/>
        <v>0.22</v>
      </c>
      <c r="BH22" s="751">
        <f t="shared" si="19"/>
        <v>0.22</v>
      </c>
      <c r="BI22" s="133"/>
    </row>
    <row r="23" spans="2:61" ht="22.8">
      <c r="B23" s="1371"/>
      <c r="C23" s="1372"/>
      <c r="D23" s="1372"/>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1372"/>
      <c r="AM23" s="1372"/>
      <c r="AN23" s="1372"/>
      <c r="AO23" s="1372"/>
      <c r="AP23" s="1372"/>
      <c r="AQ23" s="1372"/>
      <c r="AR23" s="1372"/>
      <c r="AS23" s="1372"/>
      <c r="AT23" s="1372"/>
      <c r="AU23" s="1372"/>
      <c r="AV23" s="1372"/>
      <c r="AW23" s="1455"/>
      <c r="AX23" s="1431" t="s">
        <v>19</v>
      </c>
      <c r="AY23" s="1432"/>
      <c r="AZ23" s="1432"/>
      <c r="BA23" s="59">
        <f t="shared" ref="BA23:BD23" si="20">AVERAGE(BA16:BA22)</f>
        <v>0.23504320647177787</v>
      </c>
      <c r="BB23" s="59">
        <f t="shared" si="20"/>
        <v>0.47783599926457071</v>
      </c>
      <c r="BC23" s="59">
        <f t="shared" si="20"/>
        <v>0.47783599926457071</v>
      </c>
      <c r="BD23" s="59">
        <f t="shared" si="20"/>
        <v>0.47783599926457071</v>
      </c>
      <c r="BE23" s="1463"/>
      <c r="BF23" s="1464"/>
      <c r="BG23" s="1464"/>
      <c r="BH23" s="1465"/>
    </row>
    <row r="24" spans="2:61">
      <c r="B24" s="1413"/>
      <c r="C24" s="1413"/>
      <c r="D24" s="1413"/>
      <c r="E24" s="1413"/>
      <c r="F24" s="1413"/>
      <c r="G24" s="1413"/>
      <c r="H24" s="39"/>
      <c r="I24" s="38"/>
      <c r="J24" s="38"/>
      <c r="K24" s="38"/>
      <c r="L24" s="38"/>
      <c r="M24" s="38"/>
      <c r="N24" s="38"/>
      <c r="O24" s="38"/>
    </row>
    <row r="25" spans="2:61">
      <c r="B25" s="38"/>
      <c r="C25" s="38"/>
      <c r="D25" s="1440"/>
      <c r="E25" s="1440"/>
      <c r="F25" s="1440"/>
      <c r="G25" s="1440"/>
      <c r="H25" s="1440"/>
      <c r="I25" s="1440"/>
      <c r="J25" s="1440"/>
      <c r="K25" s="1440"/>
      <c r="L25" s="1440"/>
      <c r="M25" s="1440"/>
      <c r="N25" s="1440"/>
      <c r="O25" s="1440"/>
    </row>
    <row r="26" spans="2:61" ht="38.25" customHeight="1">
      <c r="B26" s="40" t="s">
        <v>26</v>
      </c>
      <c r="C26" s="41">
        <v>44224</v>
      </c>
      <c r="D26" s="121"/>
      <c r="E26" s="1443" t="s">
        <v>50</v>
      </c>
      <c r="F26" s="1488" t="s">
        <v>1041</v>
      </c>
      <c r="G26" s="1489"/>
      <c r="H26" s="1489"/>
      <c r="I26" s="1489"/>
      <c r="J26" s="1490"/>
      <c r="K26" s="43"/>
      <c r="L26" s="1403"/>
      <c r="M26" s="1403"/>
      <c r="N26" s="1403"/>
      <c r="O26" s="1439"/>
    </row>
    <row r="27" spans="2:61" ht="32.25" customHeight="1">
      <c r="B27" s="38"/>
      <c r="C27" s="38"/>
      <c r="D27" s="43"/>
      <c r="E27" s="1443"/>
      <c r="F27" s="1491"/>
      <c r="G27" s="1492"/>
      <c r="H27" s="1492"/>
      <c r="I27" s="1492"/>
      <c r="J27" s="1493"/>
      <c r="K27" s="38"/>
      <c r="L27" s="38"/>
      <c r="M27" s="38"/>
      <c r="N27" s="38"/>
      <c r="O27" s="38"/>
    </row>
    <row r="28" spans="2:61" ht="31.5" customHeight="1">
      <c r="B28" s="40" t="s">
        <v>49</v>
      </c>
      <c r="C28" s="41">
        <v>44581</v>
      </c>
      <c r="D28" s="38"/>
      <c r="E28" s="38"/>
      <c r="F28" s="38"/>
      <c r="K28" s="38"/>
      <c r="L28" s="38"/>
      <c r="M28" s="38"/>
      <c r="N28" s="38"/>
      <c r="O28" s="38"/>
    </row>
    <row r="29" spans="2:61" ht="13.2" customHeight="1">
      <c r="B29" s="38"/>
      <c r="C29" s="868"/>
      <c r="D29" s="38"/>
      <c r="E29" s="38"/>
      <c r="F29" s="38"/>
      <c r="K29" s="38"/>
      <c r="L29" s="38"/>
      <c r="M29" s="38"/>
      <c r="N29" s="38"/>
      <c r="O29" s="38"/>
    </row>
    <row r="30" spans="2:61" ht="31.5" customHeight="1">
      <c r="B30" s="40" t="s">
        <v>49</v>
      </c>
      <c r="C30" s="41">
        <v>44953</v>
      </c>
      <c r="D30" s="38"/>
      <c r="E30" s="38"/>
      <c r="F30" s="38"/>
      <c r="K30" s="38"/>
      <c r="L30" s="38"/>
      <c r="M30" s="38"/>
      <c r="N30" s="38"/>
      <c r="O30" s="38"/>
    </row>
    <row r="31" spans="2:61">
      <c r="B31" s="38"/>
      <c r="C31" s="38"/>
      <c r="D31" s="38"/>
      <c r="E31" s="38"/>
      <c r="F31" s="38"/>
      <c r="K31" s="38"/>
      <c r="L31" s="38"/>
      <c r="M31" s="38"/>
      <c r="N31" s="38"/>
      <c r="O31" s="38"/>
    </row>
    <row r="32" spans="2:61" ht="15" customHeight="1">
      <c r="B32" s="445" t="s">
        <v>876</v>
      </c>
      <c r="C32" s="38"/>
      <c r="D32" s="38"/>
      <c r="E32" s="38"/>
      <c r="F32" s="38"/>
      <c r="G32" s="39"/>
      <c r="H32" s="39"/>
      <c r="I32" s="1438"/>
      <c r="J32" s="1438"/>
      <c r="K32" s="1438"/>
      <c r="L32" s="1438"/>
      <c r="M32" s="44"/>
      <c r="N32" s="44"/>
      <c r="O32" s="44"/>
    </row>
    <row r="33" spans="2:15" ht="15" customHeight="1">
      <c r="B33" s="38"/>
      <c r="C33" s="38"/>
      <c r="D33" s="38"/>
      <c r="E33" s="38"/>
      <c r="F33" s="38"/>
      <c r="G33" s="39"/>
      <c r="H33" s="39"/>
      <c r="I33" s="38"/>
      <c r="J33" s="38"/>
      <c r="K33" s="45"/>
      <c r="L33" s="38"/>
      <c r="M33" s="38"/>
      <c r="N33" s="38"/>
      <c r="O33" s="38"/>
    </row>
    <row r="34" spans="2:15" ht="15" customHeight="1">
      <c r="B34" s="38"/>
      <c r="C34" s="38"/>
      <c r="D34" s="38"/>
      <c r="E34" s="38"/>
      <c r="F34" s="38"/>
      <c r="G34" s="39"/>
      <c r="H34" s="39"/>
      <c r="I34" s="1438"/>
      <c r="J34" s="1438"/>
      <c r="K34" s="1438"/>
      <c r="L34" s="1438"/>
      <c r="M34" s="44"/>
      <c r="N34" s="44"/>
      <c r="O34" s="44"/>
    </row>
    <row r="35" spans="2:15" ht="15" customHeight="1">
      <c r="B35" s="38"/>
      <c r="C35" s="38"/>
      <c r="D35" s="38"/>
      <c r="E35" s="38"/>
      <c r="F35" s="38"/>
      <c r="G35" s="39"/>
      <c r="H35" s="39"/>
      <c r="I35" s="38"/>
      <c r="J35" s="38"/>
      <c r="K35" s="45"/>
      <c r="L35" s="38"/>
      <c r="M35" s="38"/>
      <c r="N35" s="38"/>
      <c r="O35" s="38"/>
    </row>
    <row r="36" spans="2:15" ht="15" customHeight="1">
      <c r="B36" s="38"/>
      <c r="C36" s="38"/>
      <c r="D36" s="38"/>
      <c r="E36" s="38"/>
      <c r="F36" s="38"/>
      <c r="G36" s="39"/>
      <c r="H36" s="39"/>
      <c r="I36" s="1438"/>
      <c r="J36" s="1438"/>
      <c r="K36" s="1438"/>
      <c r="L36" s="1438"/>
      <c r="M36" s="44"/>
      <c r="N36" s="44"/>
      <c r="O36" s="44"/>
    </row>
  </sheetData>
  <sheetProtection algorithmName="SHA-512" hashValue="9d8s2svi+3xx0mN8K9ntUAV/Uy7hC4jHXNFerX4gEC3yF0U7l9qqwDO5o8uWRqs57ThY6FpF7oMek9Dh8vc+Ng==" saltValue="OXw57x8/GlRpWbaIfvBiVA=="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2:L32"/>
    <mergeCell ref="I34:L34"/>
    <mergeCell ref="I36:L36"/>
    <mergeCell ref="B24:G24"/>
    <mergeCell ref="B23:AW23"/>
    <mergeCell ref="AX23:AZ23"/>
    <mergeCell ref="D25:O25"/>
    <mergeCell ref="E26:E27"/>
    <mergeCell ref="L26:O26"/>
    <mergeCell ref="F26:J27"/>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37"/>
  <sheetViews>
    <sheetView showGridLines="0" zoomScale="60" zoomScaleNormal="6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6.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31" width="15.88671875" style="1" customWidth="1"/>
    <col min="32" max="47" width="15.88671875" style="1" hidden="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2.8">
      <c r="B8" s="19" t="s">
        <v>45</v>
      </c>
      <c r="C8" s="1494" t="s">
        <v>90</v>
      </c>
      <c r="D8" s="1494"/>
      <c r="E8" s="17"/>
      <c r="F8" s="17"/>
      <c r="G8" s="17"/>
      <c r="H8" s="17"/>
      <c r="I8" s="17"/>
      <c r="J8" s="17"/>
      <c r="K8" s="17"/>
      <c r="L8" s="17"/>
      <c r="M8" s="17"/>
      <c r="N8" s="17"/>
      <c r="O8" s="17"/>
      <c r="AW8" s="34"/>
      <c r="AX8" s="34"/>
      <c r="AY8" s="34"/>
      <c r="AZ8" s="34"/>
      <c r="BA8" s="34"/>
      <c r="BB8" s="34"/>
      <c r="BC8" s="34"/>
      <c r="BD8" s="34"/>
    </row>
    <row r="9" spans="2:60" ht="69.75" customHeight="1">
      <c r="B9" s="19" t="s">
        <v>34</v>
      </c>
      <c r="C9" s="1427" t="s">
        <v>310</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21.6"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304</v>
      </c>
      <c r="AZ13" s="1410" t="s">
        <v>305</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90">
      <c r="B16" s="1433" t="str">
        <f>+'01-FR-03 POA INSTITUCIONAL'!B40</f>
        <v>3. Vigilar la conducta oficial de los(as) servidores(as) públicos(as) del Distrito Capital, mediante acciones preventivas y correctivas, que permitan un adecuado cumplimiento de los principios de la Función Pública</v>
      </c>
      <c r="C16" s="1433" t="str">
        <f>+'01-FR-03 POA INSTITUCIONAL'!C40</f>
        <v>3.1. Descongestionar 6.700 procesos disciplinarios con criterios de calidad, efectividad y garantía del debido proceso.</v>
      </c>
      <c r="D16" s="28" t="str">
        <f>+'01-FR-03 POA INSTITUCIONAL'!D40</f>
        <v xml:space="preserve">3.1.1 Identificar y decidir de fondo 6.700  procesos, priorizando aquellos que se encuentren con riesgo de prescripción y/o vencidos en su etapa procesal (indagación, investigación y juzgamiento). </v>
      </c>
      <c r="E16" s="46">
        <f>+'01-FR-03 POA INSTITUCIONAL'!E40</f>
        <v>0.8</v>
      </c>
      <c r="F16" s="135">
        <f>+'01-FR-03 POA INSTITUCIONAL'!F40</f>
        <v>6700</v>
      </c>
      <c r="G16" s="135">
        <f>+'01-FR-03 POA INSTITUCIONAL'!M40</f>
        <v>1800</v>
      </c>
      <c r="H16" s="135">
        <f>+'01-FR-03 POA INSTITUCIONAL'!G40</f>
        <v>6287</v>
      </c>
      <c r="I16" s="35" t="str">
        <f>+'01-FR-03 POA INSTITUCIONAL'!H40</f>
        <v>Procesos priorizados identificados y decididos de fondo</v>
      </c>
      <c r="J16" s="116" t="s">
        <v>294</v>
      </c>
      <c r="K16" s="119" t="s">
        <v>306</v>
      </c>
      <c r="L16" s="118" t="s">
        <v>283</v>
      </c>
      <c r="M16" s="118" t="s">
        <v>311</v>
      </c>
      <c r="N16" s="118" t="s">
        <v>301</v>
      </c>
      <c r="O16" s="63" t="str">
        <f>+'01-FR-03 POA INSTITUCIONAL'!J40</f>
        <v>Personería Delegada para la Coordinación de Potestad Disciplinaria</v>
      </c>
      <c r="P16" s="677">
        <v>80</v>
      </c>
      <c r="Q16" s="677">
        <v>34</v>
      </c>
      <c r="R16" s="677">
        <v>80</v>
      </c>
      <c r="S16" s="677">
        <v>142</v>
      </c>
      <c r="T16" s="677">
        <v>160</v>
      </c>
      <c r="U16" s="677">
        <v>118</v>
      </c>
      <c r="V16" s="57">
        <f>P16+R16+T16</f>
        <v>320</v>
      </c>
      <c r="W16" s="57">
        <f>Q16+S16+U16</f>
        <v>294</v>
      </c>
      <c r="X16" s="677">
        <v>86</v>
      </c>
      <c r="Y16" s="677">
        <v>105</v>
      </c>
      <c r="Z16" s="677">
        <v>160</v>
      </c>
      <c r="AA16" s="677">
        <v>142</v>
      </c>
      <c r="AB16" s="677">
        <v>150</v>
      </c>
      <c r="AC16" s="677">
        <v>113</v>
      </c>
      <c r="AD16" s="57">
        <f>X16+Z16+AB16</f>
        <v>396</v>
      </c>
      <c r="AE16" s="57">
        <f>Y16+AA16+AC16</f>
        <v>360</v>
      </c>
      <c r="AF16" s="677">
        <v>150</v>
      </c>
      <c r="AG16" s="677"/>
      <c r="AH16" s="677">
        <v>164</v>
      </c>
      <c r="AI16" s="677"/>
      <c r="AJ16" s="729">
        <v>167</v>
      </c>
      <c r="AK16" s="729"/>
      <c r="AL16" s="57">
        <f>AF16+AH16+AJ16</f>
        <v>481</v>
      </c>
      <c r="AM16" s="57">
        <f>AG16+AI16+AK16</f>
        <v>0</v>
      </c>
      <c r="AN16" s="677">
        <v>200</v>
      </c>
      <c r="AO16" s="677"/>
      <c r="AP16" s="677">
        <v>232</v>
      </c>
      <c r="AQ16" s="677"/>
      <c r="AR16" s="677">
        <v>171</v>
      </c>
      <c r="AS16" s="677"/>
      <c r="AT16" s="57">
        <f>AN16+AP16+AR16</f>
        <v>603</v>
      </c>
      <c r="AU16" s="57">
        <f>AO16+AQ16+AS16</f>
        <v>0</v>
      </c>
      <c r="AV16" s="123">
        <f>V16+AD16+AL16+AT16</f>
        <v>1800</v>
      </c>
      <c r="AW16" s="62">
        <f>+W16</f>
        <v>294</v>
      </c>
      <c r="AX16" s="62">
        <f>+W16+AE16</f>
        <v>654</v>
      </c>
      <c r="AY16" s="928">
        <f>+W16+AE16+AM16</f>
        <v>654</v>
      </c>
      <c r="AZ16" s="928">
        <f>+W16+AE16+AM16+AU16</f>
        <v>654</v>
      </c>
      <c r="BA16" s="192">
        <f>IF(AND(AW16&gt;0,$AV16&gt;0),AW16/$AV16,0)</f>
        <v>0.16333333333333333</v>
      </c>
      <c r="BB16" s="192">
        <f t="shared" ref="BB16:BD23" si="0">IF(AND(AX16&gt;0,$AV16&gt;0),AX16/$AV16,0)</f>
        <v>0.36333333333333334</v>
      </c>
      <c r="BC16" s="192">
        <f t="shared" si="0"/>
        <v>0.36333333333333334</v>
      </c>
      <c r="BD16" s="192">
        <f t="shared" si="0"/>
        <v>0.36333333333333334</v>
      </c>
      <c r="BE16" s="214">
        <f>(IF(AND(AW16&gt;0,$F16&gt;0),AW16/$F16,0))</f>
        <v>4.3880597014925374E-2</v>
      </c>
      <c r="BF16" s="214">
        <f t="shared" ref="BF16:BH16" si="1">(IF(AND(AX16&gt;0,$F16&gt;0),AX16/$F16,0))</f>
        <v>9.7611940298507463E-2</v>
      </c>
      <c r="BG16" s="752">
        <f t="shared" ref="BG16:BG18" si="2">(IF(AND(AY16&gt;0,$F16&gt;0),AY16/$F16,0))</f>
        <v>9.7611940298507463E-2</v>
      </c>
      <c r="BH16" s="752">
        <f t="shared" si="1"/>
        <v>9.7611940298507463E-2</v>
      </c>
    </row>
    <row r="17" spans="2:60" ht="90" customHeight="1">
      <c r="B17" s="1434"/>
      <c r="C17" s="1454"/>
      <c r="D17" s="28" t="str">
        <f>+'01-FR-03 POA INSTITUCIONAL'!D41</f>
        <v>3.1.2 Evaluar y dar impulso procesal al 100% las noticias disciplinarias (quejas) puestas en conocimiento de la Entidad.</v>
      </c>
      <c r="E17" s="46">
        <f>+'01-FR-03 POA INSTITUCIONAL'!E41</f>
        <v>0.2</v>
      </c>
      <c r="F17" s="96">
        <f>+'01-FR-03 POA INSTITUCIONAL'!F41</f>
        <v>1</v>
      </c>
      <c r="G17" s="96">
        <f>+'01-FR-03 POA INSTITUCIONAL'!M41</f>
        <v>1</v>
      </c>
      <c r="H17" s="96">
        <f>+'01-FR-03 POA INSTITUCIONAL'!G41</f>
        <v>0.98</v>
      </c>
      <c r="I17" s="35" t="str">
        <f>+'01-FR-03 POA INSTITUCIONAL'!H41</f>
        <v>Noticias disciplinarias  evaluadas y con impulso procesal</v>
      </c>
      <c r="J17" s="116" t="s">
        <v>302</v>
      </c>
      <c r="K17" s="119" t="s">
        <v>284</v>
      </c>
      <c r="L17" s="118" t="s">
        <v>285</v>
      </c>
      <c r="M17" s="118" t="s">
        <v>311</v>
      </c>
      <c r="N17" s="118" t="s">
        <v>301</v>
      </c>
      <c r="O17" s="63" t="str">
        <f>+'01-FR-03 POA INSTITUCIONAL'!J41</f>
        <v>Personería Delegada para la Coordinación de Potestad Disciplinaria</v>
      </c>
      <c r="P17" s="724">
        <v>1</v>
      </c>
      <c r="Q17" s="727">
        <v>0.91400000000000003</v>
      </c>
      <c r="R17" s="724">
        <v>1</v>
      </c>
      <c r="S17" s="727">
        <v>0.97899999999999998</v>
      </c>
      <c r="T17" s="724">
        <v>1</v>
      </c>
      <c r="U17" s="727">
        <v>0.66</v>
      </c>
      <c r="V17" s="66">
        <f>AVERAGE(P17,R17,T17)</f>
        <v>1</v>
      </c>
      <c r="W17" s="191">
        <f>IFERROR(AVERAGE(Q17,S17,U17),0)</f>
        <v>0.85099999999999998</v>
      </c>
      <c r="X17" s="724">
        <v>1</v>
      </c>
      <c r="Y17" s="728">
        <v>0.97799999999999998</v>
      </c>
      <c r="Z17" s="724">
        <v>1</v>
      </c>
      <c r="AA17" s="728">
        <v>0.71399999999999997</v>
      </c>
      <c r="AB17" s="724">
        <v>1</v>
      </c>
      <c r="AC17" s="896">
        <v>1.026</v>
      </c>
      <c r="AD17" s="66">
        <f>AVERAGE(X17,Z17,AB17)</f>
        <v>1</v>
      </c>
      <c r="AE17" s="191">
        <f>IFERROR(AVERAGE(Y17,AA17,AC17),0)</f>
        <v>0.90600000000000003</v>
      </c>
      <c r="AF17" s="724">
        <v>1</v>
      </c>
      <c r="AG17" s="877"/>
      <c r="AH17" s="724">
        <v>1</v>
      </c>
      <c r="AI17" s="877"/>
      <c r="AJ17" s="724">
        <v>1</v>
      </c>
      <c r="AK17" s="729"/>
      <c r="AL17" s="66">
        <f>AVERAGE(AF17,AH17,AJ17)</f>
        <v>1</v>
      </c>
      <c r="AM17" s="66">
        <f>IFERROR(AVERAGE(AG17,AI17,AK17),0)</f>
        <v>0</v>
      </c>
      <c r="AN17" s="724">
        <v>1</v>
      </c>
      <c r="AO17" s="879"/>
      <c r="AP17" s="724">
        <v>1</v>
      </c>
      <c r="AQ17" s="879"/>
      <c r="AR17" s="724">
        <v>1</v>
      </c>
      <c r="AS17" s="677"/>
      <c r="AT17" s="66">
        <f>AVERAGE(AN17,AP17,AR17)</f>
        <v>1</v>
      </c>
      <c r="AU17" s="66">
        <f>IFERROR(AVERAGE(AO17,AQ17,AS17),0)</f>
        <v>0</v>
      </c>
      <c r="AV17" s="66">
        <f>AVERAGE(P17,R17,T17,X17,Z17,AB17,AF17,AH17,AJ17,AN17,AP17,AR17)</f>
        <v>1</v>
      </c>
      <c r="AW17" s="181">
        <f>IFERROR(IF(OR($AV$17="",$AV$17=0),0,ROUNDDOWN(AVERAGE($Q17,$S17,$U17),3)),0)</f>
        <v>0.85099999999999998</v>
      </c>
      <c r="AX17" s="181">
        <f>IFERROR(IF(OR($AV$17="",$AV$17=0),0,ROUNDDOWN(AVERAGE($Q17,$S17,$U17,$Y17,$AA17,$AC17),3)),0)</f>
        <v>0.878</v>
      </c>
      <c r="AY17" s="925">
        <f>IFERROR(IF(OR($AV$17="",$AV$17=0),0,ROUNDDOWN(AVERAGE($Q17,$S17,$U17,$Y17,$AA17,$AC17,$AG17,$AI17,$AK17),3)),0)</f>
        <v>0.878</v>
      </c>
      <c r="AZ17" s="925">
        <f>IFERROR(IF(OR($AV$17="",$AV$17=0),0,ROUNDDOWN(AVERAGE($Q17,$S17,$U17,$Y17,$AA17,$AC17,$AG17,$AI17,$AK17,$AO17,$AQ17,$AS17),3)),0)</f>
        <v>0.878</v>
      </c>
      <c r="BA17" s="192">
        <f>IF(AND(AW17&gt;0,AV17&gt;0),AW17/AV17,0)*0.25</f>
        <v>0.21274999999999999</v>
      </c>
      <c r="BB17" s="192">
        <f>IF(AND(AX17&gt;0,$AV17&gt;0),AX17/$AV17,0)*0.5</f>
        <v>0.439</v>
      </c>
      <c r="BC17" s="192">
        <f>IF(AND(AY17&gt;0,$AV17&gt;0),AY17/$AV17,0)*0.75</f>
        <v>0.65849999999999997</v>
      </c>
      <c r="BD17" s="192">
        <f>IF(AND(AZ17&gt;0,$AV17&gt;0),AZ17/$AV17,0)*1</f>
        <v>0.878</v>
      </c>
      <c r="BE17" s="214">
        <f>((IF(AND(AW17&gt;0,$F17&gt;0),AW17/$F17,0))/4)*0.25</f>
        <v>5.3187499999999999E-2</v>
      </c>
      <c r="BF17" s="214">
        <f>((IF(AND(AX17&gt;0,$F17&gt;0),AX17/$F17,0))/4)*0.5</f>
        <v>0.10975</v>
      </c>
      <c r="BG17" s="752">
        <f>((IF(AND(AY17&gt;0,$F17&gt;0),AY17/$F17,0))/4)*0.75</f>
        <v>0.16462499999999999</v>
      </c>
      <c r="BH17" s="752">
        <f>((IF(AND(AZ17&gt;0,$F17&gt;0),AZ17/$F17,0))/4)</f>
        <v>0.2195</v>
      </c>
    </row>
    <row r="18" spans="2:60" ht="90" customHeight="1">
      <c r="B18" s="1434"/>
      <c r="C18" s="1433"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8" t="str">
        <f>+'01-FR-03 POA INSTITUCIONAL'!D42</f>
        <v>3.2.1 Realizar una visita de seguimiento a las 51 Oficinas de Control Interno Disciplinario del Distrito e identificar hechos constitutivos de faltas relevantes en temas de interés e impacto en cada anualidad.</v>
      </c>
      <c r="E18" s="46">
        <f>+'01-FR-03 POA INSTITUCIONAL'!E42</f>
        <v>0.5</v>
      </c>
      <c r="F18" s="135">
        <f>+'01-FR-03 POA INSTITUCIONAL'!F42</f>
        <v>204</v>
      </c>
      <c r="G18" s="135">
        <f>+'01-FR-03 POA INSTITUCIONAL'!M42</f>
        <v>51</v>
      </c>
      <c r="H18" s="135">
        <f>+'01-FR-03 POA INSTITUCIONAL'!G42</f>
        <v>204</v>
      </c>
      <c r="I18" s="35" t="str">
        <f>+'01-FR-03 POA INSTITUCIONAL'!H42</f>
        <v>Visitas de seguimiento a Oficinas de Control Interno Disciplinario realizadas</v>
      </c>
      <c r="J18" s="116" t="s">
        <v>286</v>
      </c>
      <c r="K18" s="119" t="s">
        <v>307</v>
      </c>
      <c r="L18" s="118" t="s">
        <v>287</v>
      </c>
      <c r="M18" s="118" t="s">
        <v>311</v>
      </c>
      <c r="N18" s="118" t="s">
        <v>301</v>
      </c>
      <c r="O18" s="63" t="str">
        <f>+'01-FR-03 POA INSTITUCIONAL'!J42</f>
        <v>Personería Delegada para la Coordinación de Potestad Disciplinaria</v>
      </c>
      <c r="P18" s="677">
        <v>0</v>
      </c>
      <c r="Q18" s="677">
        <v>0</v>
      </c>
      <c r="R18" s="677">
        <v>0</v>
      </c>
      <c r="S18" s="677">
        <v>0</v>
      </c>
      <c r="T18" s="677">
        <v>0</v>
      </c>
      <c r="U18" s="677">
        <v>0</v>
      </c>
      <c r="V18" s="57">
        <f t="shared" ref="V18:W23" si="3">P18+R18+T18</f>
        <v>0</v>
      </c>
      <c r="W18" s="57">
        <f t="shared" si="3"/>
        <v>0</v>
      </c>
      <c r="X18" s="677">
        <v>7</v>
      </c>
      <c r="Y18" s="677">
        <v>0</v>
      </c>
      <c r="Z18" s="677">
        <v>7</v>
      </c>
      <c r="AA18" s="677">
        <v>4</v>
      </c>
      <c r="AB18" s="677">
        <v>7</v>
      </c>
      <c r="AC18" s="677">
        <v>6</v>
      </c>
      <c r="AD18" s="57">
        <f t="shared" ref="AD18:AE23" si="4">X18+Z18+AB18</f>
        <v>21</v>
      </c>
      <c r="AE18" s="57">
        <f t="shared" si="4"/>
        <v>10</v>
      </c>
      <c r="AF18" s="677">
        <v>6</v>
      </c>
      <c r="AG18" s="677"/>
      <c r="AH18" s="677">
        <v>6</v>
      </c>
      <c r="AI18" s="677"/>
      <c r="AJ18" s="729">
        <v>6</v>
      </c>
      <c r="AK18" s="729"/>
      <c r="AL18" s="57">
        <f t="shared" ref="AL18:AM23" si="5">AF18+AH18+AJ18</f>
        <v>18</v>
      </c>
      <c r="AM18" s="57">
        <f t="shared" si="5"/>
        <v>0</v>
      </c>
      <c r="AN18" s="677">
        <v>6</v>
      </c>
      <c r="AO18" s="677"/>
      <c r="AP18" s="677">
        <v>6</v>
      </c>
      <c r="AQ18" s="677"/>
      <c r="AR18" s="677">
        <v>0</v>
      </c>
      <c r="AS18" s="677"/>
      <c r="AT18" s="57">
        <f t="shared" ref="AT18:AU23" si="6">AN18+AP18+AR18</f>
        <v>12</v>
      </c>
      <c r="AU18" s="57">
        <f t="shared" si="6"/>
        <v>0</v>
      </c>
      <c r="AV18" s="123">
        <f t="shared" ref="AV18:AV23" si="7">V18+AD18+AL18+AT18</f>
        <v>51</v>
      </c>
      <c r="AW18" s="62">
        <f t="shared" ref="AW18:AW23" si="8">+W18</f>
        <v>0</v>
      </c>
      <c r="AX18" s="62">
        <f t="shared" ref="AX18:AX23" si="9">+W18+AE18</f>
        <v>10</v>
      </c>
      <c r="AY18" s="928">
        <f t="shared" ref="AY18:AY23" si="10">+W18+AE18+AM18</f>
        <v>10</v>
      </c>
      <c r="AZ18" s="928">
        <f t="shared" ref="AZ18:AZ23" si="11">+W18+AE18+AM18+AU18</f>
        <v>10</v>
      </c>
      <c r="BA18" s="192">
        <f t="shared" ref="BA18:BA22" si="12">IF(AND(AW18&gt;0,AV18&gt;0),AW18/AV18,0)</f>
        <v>0</v>
      </c>
      <c r="BB18" s="192">
        <f t="shared" si="0"/>
        <v>0.19607843137254902</v>
      </c>
      <c r="BC18" s="192">
        <f t="shared" si="0"/>
        <v>0.19607843137254902</v>
      </c>
      <c r="BD18" s="192">
        <f t="shared" si="0"/>
        <v>0.19607843137254902</v>
      </c>
      <c r="BE18" s="214">
        <f>(IF(AND(AW18&gt;0,$F18&gt;0),AW18/$F18,0))</f>
        <v>0</v>
      </c>
      <c r="BF18" s="214">
        <f t="shared" ref="BF18" si="13">(IF(AND(AX18&gt;0,$F18&gt;0),AX18/$F18,0))</f>
        <v>4.9019607843137254E-2</v>
      </c>
      <c r="BG18" s="752">
        <f t="shared" si="2"/>
        <v>4.9019607843137254E-2</v>
      </c>
      <c r="BH18" s="752">
        <f t="shared" ref="BH18" si="14">(IF(AND(AZ18&gt;0,$F18&gt;0),AZ18/$F18,0))</f>
        <v>4.9019607843137254E-2</v>
      </c>
    </row>
    <row r="19" spans="2:60" ht="102" customHeight="1">
      <c r="B19" s="1434"/>
      <c r="C19" s="1454"/>
      <c r="D19" s="28" t="str">
        <f>+'01-FR-03 POA INSTITUCIONAL'!D43</f>
        <v>3.2.2 Asumir por competencia preferente el 100% de los procesos cuyos temas sean considerados de interés e impacto el Distrito Capital.</v>
      </c>
      <c r="E19" s="46">
        <f>+'01-FR-03 POA INSTITUCIONAL'!E43</f>
        <v>0.5</v>
      </c>
      <c r="F19" s="96">
        <f>+'01-FR-03 POA INSTITUCIONAL'!F43</f>
        <v>1</v>
      </c>
      <c r="G19" s="96">
        <f>+'01-FR-03 POA INSTITUCIONAL'!M43</f>
        <v>1</v>
      </c>
      <c r="H19" s="96">
        <f>+'01-FR-03 POA INSTITUCIONAL'!G43</f>
        <v>1</v>
      </c>
      <c r="I19" s="35" t="str">
        <f>+'01-FR-03 POA INSTITUCIONAL'!H43</f>
        <v>Procesos de interés e impacto asumidos por competencia</v>
      </c>
      <c r="J19" s="116" t="s">
        <v>622</v>
      </c>
      <c r="K19" s="119" t="s">
        <v>298</v>
      </c>
      <c r="L19" s="118" t="s">
        <v>303</v>
      </c>
      <c r="M19" s="118" t="s">
        <v>311</v>
      </c>
      <c r="N19" s="118" t="s">
        <v>301</v>
      </c>
      <c r="O19" s="63" t="str">
        <f>+'01-FR-03 POA INSTITUCIONAL'!J43</f>
        <v>Personería Delegada para la Coordinación de Potestad Disciplinaria</v>
      </c>
      <c r="P19" s="724">
        <v>1</v>
      </c>
      <c r="Q19" s="719">
        <v>1</v>
      </c>
      <c r="R19" s="724">
        <v>1</v>
      </c>
      <c r="S19" s="719">
        <v>1</v>
      </c>
      <c r="T19" s="724">
        <v>1</v>
      </c>
      <c r="U19" s="719">
        <v>1</v>
      </c>
      <c r="V19" s="66">
        <f>AVERAGE(P19,R19,T19)</f>
        <v>1</v>
      </c>
      <c r="W19" s="66">
        <f>IFERROR(AVERAGE(S19,U19),0)</f>
        <v>1</v>
      </c>
      <c r="X19" s="724">
        <v>1</v>
      </c>
      <c r="Y19" s="719">
        <v>1</v>
      </c>
      <c r="Z19" s="724">
        <v>1</v>
      </c>
      <c r="AA19" s="719">
        <v>1</v>
      </c>
      <c r="AB19" s="724">
        <v>1</v>
      </c>
      <c r="AC19" s="724">
        <v>1</v>
      </c>
      <c r="AD19" s="66">
        <f>AVERAGE(X19,Z19,AB19)</f>
        <v>1</v>
      </c>
      <c r="AE19" s="66">
        <f>IFERROR(AVERAGE(Y19,AA19,AC19),0)</f>
        <v>1</v>
      </c>
      <c r="AF19" s="724">
        <v>1</v>
      </c>
      <c r="AG19" s="878"/>
      <c r="AH19" s="724">
        <v>1</v>
      </c>
      <c r="AI19" s="878"/>
      <c r="AJ19" s="724">
        <v>1</v>
      </c>
      <c r="AK19" s="729"/>
      <c r="AL19" s="66">
        <f>AVERAGE(AF19,AH19,AJ19)</f>
        <v>1</v>
      </c>
      <c r="AM19" s="191">
        <f>IFERROR(AVERAGE(AG19,AI19,AK19),0)</f>
        <v>0</v>
      </c>
      <c r="AN19" s="724">
        <v>1</v>
      </c>
      <c r="AO19" s="879"/>
      <c r="AP19" s="724">
        <v>1</v>
      </c>
      <c r="AQ19" s="879"/>
      <c r="AR19" s="724">
        <v>1</v>
      </c>
      <c r="AS19" s="677"/>
      <c r="AT19" s="66">
        <f>AVERAGE(AN19,AP19,AR19)</f>
        <v>1</v>
      </c>
      <c r="AU19" s="66">
        <f>IFERROR(AVERAGE(AO19,AQ19,AS19),0)</f>
        <v>0</v>
      </c>
      <c r="AV19" s="66">
        <f>AVERAGE(X19,Z19,AB19,AF19,AH19,AJ19,AN19,AP19,AR19)</f>
        <v>1</v>
      </c>
      <c r="AW19" s="181">
        <f>IFERROR(IF(OR($AV$19="",$AV$19=0),0,ROUNDDOWN(AVERAGE($Q19,$S19,$U19),3)),0)</f>
        <v>1</v>
      </c>
      <c r="AX19" s="181">
        <f>IFERROR(IF(OR($AV$19="",$AV$19=0),0,ROUNDDOWN(AVERAGE($Q19,$S19,$U19,$Y19,$AA19,$AC19),3)),0)</f>
        <v>1</v>
      </c>
      <c r="AY19" s="925">
        <f>IFERROR(IF(OR($AV$19="",$AV$19=0),0,ROUNDDOWN(AVERAGE($Q19,$S19,$U19,$Y19,$AA19,$AC19,$AG19,$AI19,$AK19),3)),0)</f>
        <v>1</v>
      </c>
      <c r="AZ19" s="925">
        <f>(IFERROR(IF(OR($AV$19="",$AV$19=0),0,ROUNDDOWN(AVERAGE($Q19,$S19,$U19,$Y19,$AA19,$AC19,$AG19,$AI19,$AK19,$AO19,$AQ19,$AS19),3)),0))-0.004</f>
        <v>0.996</v>
      </c>
      <c r="BA19" s="192">
        <f>IF(AND(AW19&gt;0,AV19&gt;0),AW19/AV19,0)*0.25</f>
        <v>0.25</v>
      </c>
      <c r="BB19" s="192">
        <f>IF(AND(AX19&gt;0,$AV19&gt;0),AX19/$AV19,0)*0.5</f>
        <v>0.5</v>
      </c>
      <c r="BC19" s="192">
        <f>IF(AND(AY19&gt;0,$AV19&gt;0),AY19/$AV19,0)*0.75</f>
        <v>0.75</v>
      </c>
      <c r="BD19" s="192">
        <f>IF(AND(AZ19&gt;0,$AV19&gt;0),AZ19/$AV19,0)*1</f>
        <v>0.996</v>
      </c>
      <c r="BE19" s="214">
        <f>((IF(AND(AW19&gt;0,$F19&gt;0),AW19/$F19,0))/4)*0.25</f>
        <v>6.25E-2</v>
      </c>
      <c r="BF19" s="214">
        <f>((IF(AND(AX19&gt;0,$F19&gt;0),AX19/$F19,0))/4)*0.5</f>
        <v>0.125</v>
      </c>
      <c r="BG19" s="752">
        <f>((IF(AND(AY19&gt;0,$F19&gt;0),AY19/$F19,0))/4)*0.75</f>
        <v>0.1875</v>
      </c>
      <c r="BH19" s="752">
        <f>((IF(AND(AZ19&gt;0,$F19&gt;0),AZ19/$F19,0))/4)</f>
        <v>0.249</v>
      </c>
    </row>
    <row r="20" spans="2:60" ht="161.4" customHeight="1">
      <c r="B20" s="1434"/>
      <c r="C20" s="28" t="str">
        <f>+'01-FR-03 POA INSTITUCIONAL'!C44</f>
        <v>3.3. Generar 8 escenarios que fortalezcan el conocimiento y las competencias del operador disciplinario, que apoya el cumplimiento de la labor misional, extendiendo el alcance a los jueces naturales en el Distrito Capital.</v>
      </c>
      <c r="D20" s="28" t="str">
        <f>+'01-FR-03 POA INSTITUCIONAL'!D44</f>
        <v>3.3.1 Generar 8 escenarios de intercambio de conocimiento con los(as) servidores(as) públicos(as) para fortalecer el conocimiento en la sustanciación de procesos disciplinarios en el Distrito Capital.</v>
      </c>
      <c r="E20" s="46">
        <f>+'01-FR-03 POA INSTITUCIONAL'!E44</f>
        <v>1</v>
      </c>
      <c r="F20" s="135">
        <f>+'01-FR-03 POA INSTITUCIONAL'!F44</f>
        <v>8</v>
      </c>
      <c r="G20" s="135">
        <f>+'01-FR-03 POA INSTITUCIONAL'!M44</f>
        <v>2</v>
      </c>
      <c r="H20" s="135">
        <f>+'01-FR-03 POA INSTITUCIONAL'!G44</f>
        <v>8</v>
      </c>
      <c r="I20" s="35" t="str">
        <f>+'01-FR-03 POA INSTITUCIONAL'!H44</f>
        <v>Escenarios de intercambio de conocimiento generados</v>
      </c>
      <c r="J20" s="116" t="s">
        <v>288</v>
      </c>
      <c r="K20" s="119" t="s">
        <v>299</v>
      </c>
      <c r="L20" s="118" t="s">
        <v>289</v>
      </c>
      <c r="M20" s="118" t="s">
        <v>311</v>
      </c>
      <c r="N20" s="118" t="s">
        <v>301</v>
      </c>
      <c r="O20" s="63" t="str">
        <f>+'01-FR-03 POA INSTITUCIONAL'!J44</f>
        <v>Personería Delegada para la Coordinación de Potestad Disciplinaria</v>
      </c>
      <c r="P20" s="677">
        <v>0</v>
      </c>
      <c r="Q20" s="677">
        <v>0</v>
      </c>
      <c r="R20" s="677">
        <v>0</v>
      </c>
      <c r="S20" s="677">
        <v>0</v>
      </c>
      <c r="T20" s="677">
        <v>0</v>
      </c>
      <c r="U20" s="677">
        <v>0</v>
      </c>
      <c r="V20" s="57">
        <f t="shared" si="3"/>
        <v>0</v>
      </c>
      <c r="W20" s="57">
        <f t="shared" si="3"/>
        <v>0</v>
      </c>
      <c r="X20" s="677">
        <v>0</v>
      </c>
      <c r="Y20" s="677">
        <v>0</v>
      </c>
      <c r="Z20" s="677">
        <v>0</v>
      </c>
      <c r="AA20" s="677">
        <v>1</v>
      </c>
      <c r="AB20" s="677">
        <v>0</v>
      </c>
      <c r="AC20" s="677">
        <v>0</v>
      </c>
      <c r="AD20" s="57">
        <f t="shared" si="4"/>
        <v>0</v>
      </c>
      <c r="AE20" s="57">
        <f t="shared" si="4"/>
        <v>1</v>
      </c>
      <c r="AF20" s="677">
        <v>0</v>
      </c>
      <c r="AG20" s="677"/>
      <c r="AH20" s="677">
        <v>1</v>
      </c>
      <c r="AI20" s="677"/>
      <c r="AJ20" s="729">
        <v>0</v>
      </c>
      <c r="AK20" s="729"/>
      <c r="AL20" s="57">
        <f t="shared" si="5"/>
        <v>1</v>
      </c>
      <c r="AM20" s="57">
        <f t="shared" si="5"/>
        <v>0</v>
      </c>
      <c r="AN20" s="677">
        <v>0</v>
      </c>
      <c r="AO20" s="677"/>
      <c r="AP20" s="677">
        <v>1</v>
      </c>
      <c r="AQ20" s="677"/>
      <c r="AR20" s="677">
        <v>0</v>
      </c>
      <c r="AS20" s="677"/>
      <c r="AT20" s="57">
        <f t="shared" si="6"/>
        <v>1</v>
      </c>
      <c r="AU20" s="57">
        <f t="shared" si="6"/>
        <v>0</v>
      </c>
      <c r="AV20" s="123">
        <f>V20+AD20+AL20+AT20</f>
        <v>2</v>
      </c>
      <c r="AW20" s="62">
        <f t="shared" si="8"/>
        <v>0</v>
      </c>
      <c r="AX20" s="62">
        <f t="shared" si="9"/>
        <v>1</v>
      </c>
      <c r="AY20" s="928">
        <f t="shared" si="10"/>
        <v>1</v>
      </c>
      <c r="AZ20" s="928">
        <f t="shared" si="11"/>
        <v>1</v>
      </c>
      <c r="BA20" s="192">
        <f t="shared" si="12"/>
        <v>0</v>
      </c>
      <c r="BB20" s="192">
        <f t="shared" si="0"/>
        <v>0.5</v>
      </c>
      <c r="BC20" s="192">
        <f t="shared" si="0"/>
        <v>0.5</v>
      </c>
      <c r="BD20" s="192">
        <f t="shared" si="0"/>
        <v>0.5</v>
      </c>
      <c r="BE20" s="214">
        <f>(IF(AND(AW20&gt;0,$F20&gt;0),AW20/$F20,0))</f>
        <v>0</v>
      </c>
      <c r="BF20" s="214">
        <f t="shared" ref="BF20:BF23" si="15">(IF(AND(AX20&gt;0,$F20&gt;0),AX20/$F20,0))</f>
        <v>0.125</v>
      </c>
      <c r="BG20" s="752">
        <f t="shared" ref="BG20:BG23" si="16">(IF(AND(AY20&gt;0,$F20&gt;0),AY20/$F20,0))</f>
        <v>0.125</v>
      </c>
      <c r="BH20" s="752">
        <f t="shared" ref="BH20:BH23" si="17">(IF(AND(AZ20&gt;0,$F20&gt;0),AZ20/$F20,0))</f>
        <v>0.125</v>
      </c>
    </row>
    <row r="21" spans="2:60" ht="90" hidden="1">
      <c r="B21" s="1434"/>
      <c r="C21" s="1433" t="str">
        <f>+'01-FR-03 POA INSTITUCIONAL'!C45</f>
        <v>3.4. Implementar al 100% tres soluciones informáticas propias para la ejecución y gestión de la Potestad Disciplinaria.</v>
      </c>
      <c r="D21" s="28" t="str">
        <f>+'01-FR-03 POA INSTITUCIONAL'!D45</f>
        <v>3.4.1 Implementar un sistema de comunicación efectiva y eficiente con las Oficinas de Control Interno del Distrito Capital.</v>
      </c>
      <c r="E21" s="46">
        <f>+'01-FR-03 POA INSTITUCIONAL'!E45</f>
        <v>0.2</v>
      </c>
      <c r="F21" s="135">
        <f>+'01-FR-03 POA INSTITUCIONAL'!F45</f>
        <v>1</v>
      </c>
      <c r="G21" s="136">
        <f>+'01-FR-03 POA INSTITUCIONAL'!M45</f>
        <v>0</v>
      </c>
      <c r="H21" s="135" t="str">
        <f>+'01-FR-03 POA INSTITUCIONAL'!G45</f>
        <v>S.I.</v>
      </c>
      <c r="I21" s="35" t="str">
        <f>+'01-FR-03 POA INSTITUCIONAL'!H45</f>
        <v xml:space="preserve">Sistema de Comunicación con las Oficinas de Control Interno Disciplinario implementado </v>
      </c>
      <c r="J21" s="116" t="s">
        <v>295</v>
      </c>
      <c r="K21" s="119" t="s">
        <v>300</v>
      </c>
      <c r="L21" s="118" t="s">
        <v>290</v>
      </c>
      <c r="M21" s="118" t="s">
        <v>311</v>
      </c>
      <c r="N21" s="118" t="s">
        <v>301</v>
      </c>
      <c r="O21" s="63" t="str">
        <f>+'01-FR-03 POA INSTITUCIONAL'!J45</f>
        <v>Personería Delegada para la Coordinación de Potestad Disciplinaria</v>
      </c>
      <c r="P21" s="725">
        <v>0</v>
      </c>
      <c r="Q21" s="725">
        <v>0</v>
      </c>
      <c r="R21" s="725">
        <v>0</v>
      </c>
      <c r="S21" s="725">
        <v>0</v>
      </c>
      <c r="T21" s="725">
        <v>0</v>
      </c>
      <c r="U21" s="725">
        <v>0</v>
      </c>
      <c r="V21" s="134">
        <f t="shared" si="3"/>
        <v>0</v>
      </c>
      <c r="W21" s="134">
        <f t="shared" si="3"/>
        <v>0</v>
      </c>
      <c r="X21" s="725">
        <v>0</v>
      </c>
      <c r="Y21" s="725">
        <v>0</v>
      </c>
      <c r="Z21" s="725">
        <v>0</v>
      </c>
      <c r="AA21" s="725">
        <v>0</v>
      </c>
      <c r="AB21" s="725">
        <v>0</v>
      </c>
      <c r="AC21" s="725">
        <v>0</v>
      </c>
      <c r="AD21" s="134">
        <f t="shared" si="4"/>
        <v>0</v>
      </c>
      <c r="AE21" s="134">
        <f t="shared" si="4"/>
        <v>0</v>
      </c>
      <c r="AF21" s="725">
        <v>0</v>
      </c>
      <c r="AG21" s="725"/>
      <c r="AH21" s="725">
        <v>0</v>
      </c>
      <c r="AI21" s="725"/>
      <c r="AJ21" s="725">
        <v>0</v>
      </c>
      <c r="AK21" s="730"/>
      <c r="AL21" s="134">
        <f t="shared" si="5"/>
        <v>0</v>
      </c>
      <c r="AM21" s="134">
        <f t="shared" si="5"/>
        <v>0</v>
      </c>
      <c r="AN21" s="725">
        <v>0</v>
      </c>
      <c r="AO21" s="725"/>
      <c r="AP21" s="725">
        <v>0</v>
      </c>
      <c r="AQ21" s="725"/>
      <c r="AR21" s="725">
        <v>0</v>
      </c>
      <c r="AS21" s="725"/>
      <c r="AT21" s="134">
        <f t="shared" si="6"/>
        <v>0</v>
      </c>
      <c r="AU21" s="134">
        <f t="shared" si="6"/>
        <v>0</v>
      </c>
      <c r="AV21" s="137">
        <f t="shared" si="7"/>
        <v>0</v>
      </c>
      <c r="AW21" s="193">
        <f t="shared" si="8"/>
        <v>0</v>
      </c>
      <c r="AX21" s="193">
        <f t="shared" si="9"/>
        <v>0</v>
      </c>
      <c r="AY21" s="933">
        <f t="shared" si="10"/>
        <v>0</v>
      </c>
      <c r="AZ21" s="933">
        <f t="shared" si="11"/>
        <v>0</v>
      </c>
      <c r="BA21" s="192">
        <f t="shared" si="12"/>
        <v>0</v>
      </c>
      <c r="BB21" s="192">
        <f t="shared" si="0"/>
        <v>0</v>
      </c>
      <c r="BC21" s="192">
        <f t="shared" si="0"/>
        <v>0</v>
      </c>
      <c r="BD21" s="192">
        <f t="shared" si="0"/>
        <v>0</v>
      </c>
      <c r="BE21" s="214">
        <f>(IF(AND(AW21&gt;0,$F21&gt;0),AW21/$F21,0))</f>
        <v>0</v>
      </c>
      <c r="BF21" s="214">
        <f t="shared" si="15"/>
        <v>0</v>
      </c>
      <c r="BG21" s="752">
        <f t="shared" si="16"/>
        <v>0</v>
      </c>
      <c r="BH21" s="752">
        <f t="shared" si="17"/>
        <v>0</v>
      </c>
    </row>
    <row r="22" spans="2:60" ht="90">
      <c r="B22" s="1434"/>
      <c r="C22" s="1434"/>
      <c r="D22" s="28" t="str">
        <f>+'01-FR-03 POA INSTITUCIONAL'!D46</f>
        <v xml:space="preserve">3.4.2 Diseñar e implementar un sistema de información misional que generé el expediente electrónico  </v>
      </c>
      <c r="E22" s="46">
        <f>+'01-FR-03 POA INSTITUCIONAL'!E46</f>
        <v>0.7</v>
      </c>
      <c r="F22" s="135">
        <f>+'01-FR-03 POA INSTITUCIONAL'!F46</f>
        <v>1</v>
      </c>
      <c r="G22" s="136">
        <f>+'01-FR-03 POA INSTITUCIONAL'!M46</f>
        <v>0.3</v>
      </c>
      <c r="H22" s="135" t="str">
        <f>+'01-FR-03 POA INSTITUCIONAL'!G46</f>
        <v>S.I.</v>
      </c>
      <c r="I22" s="35" t="str">
        <f>+'01-FR-03 POA INSTITUCIONAL'!H46</f>
        <v xml:space="preserve">Sistema de información misional implementado </v>
      </c>
      <c r="J22" s="116" t="s">
        <v>296</v>
      </c>
      <c r="K22" s="119" t="s">
        <v>308</v>
      </c>
      <c r="L22" s="118" t="s">
        <v>290</v>
      </c>
      <c r="M22" s="118" t="s">
        <v>311</v>
      </c>
      <c r="N22" s="118" t="s">
        <v>301</v>
      </c>
      <c r="O22" s="63" t="str">
        <f>+'01-FR-03 POA INSTITUCIONAL'!J46</f>
        <v>Personería Delegada para la Coordinación de Potestad Disciplinaria</v>
      </c>
      <c r="P22" s="725">
        <v>0</v>
      </c>
      <c r="Q22" s="725">
        <v>0</v>
      </c>
      <c r="R22" s="725">
        <v>0.03</v>
      </c>
      <c r="S22" s="725">
        <v>0.03</v>
      </c>
      <c r="T22" s="725">
        <v>0.03</v>
      </c>
      <c r="U22" s="725">
        <v>0.03</v>
      </c>
      <c r="V22" s="134">
        <f t="shared" si="3"/>
        <v>0.06</v>
      </c>
      <c r="W22" s="134">
        <f t="shared" si="3"/>
        <v>0.06</v>
      </c>
      <c r="X22" s="726">
        <v>0.03</v>
      </c>
      <c r="Y22" s="725">
        <v>0.03</v>
      </c>
      <c r="Z22" s="726">
        <v>0.03</v>
      </c>
      <c r="AA22" s="725">
        <v>0.02</v>
      </c>
      <c r="AB22" s="726">
        <v>0.03</v>
      </c>
      <c r="AC22" s="725">
        <v>0</v>
      </c>
      <c r="AD22" s="134">
        <f t="shared" si="4"/>
        <v>0.09</v>
      </c>
      <c r="AE22" s="134">
        <f t="shared" si="4"/>
        <v>0.05</v>
      </c>
      <c r="AF22" s="726">
        <v>0.03</v>
      </c>
      <c r="AG22" s="725"/>
      <c r="AH22" s="726">
        <v>0.03</v>
      </c>
      <c r="AI22" s="725"/>
      <c r="AJ22" s="726">
        <v>0.03</v>
      </c>
      <c r="AK22" s="730"/>
      <c r="AL22" s="134">
        <f t="shared" si="5"/>
        <v>0.09</v>
      </c>
      <c r="AM22" s="134">
        <f t="shared" si="5"/>
        <v>0</v>
      </c>
      <c r="AN22" s="726">
        <v>0.03</v>
      </c>
      <c r="AO22" s="725"/>
      <c r="AP22" s="726">
        <v>0.03</v>
      </c>
      <c r="AQ22" s="725"/>
      <c r="AR22" s="726">
        <v>0</v>
      </c>
      <c r="AS22" s="725"/>
      <c r="AT22" s="134">
        <f>AN22+AP22+AR22</f>
        <v>0.06</v>
      </c>
      <c r="AU22" s="134">
        <f t="shared" si="6"/>
        <v>0</v>
      </c>
      <c r="AV22" s="138">
        <f t="shared" si="7"/>
        <v>0.3</v>
      </c>
      <c r="AW22" s="193">
        <f t="shared" si="8"/>
        <v>0.06</v>
      </c>
      <c r="AX22" s="193">
        <f t="shared" si="9"/>
        <v>0.11</v>
      </c>
      <c r="AY22" s="933">
        <f t="shared" si="10"/>
        <v>0.11</v>
      </c>
      <c r="AZ22" s="933">
        <f t="shared" si="11"/>
        <v>0.11</v>
      </c>
      <c r="BA22" s="192">
        <f t="shared" si="12"/>
        <v>0.2</v>
      </c>
      <c r="BB22" s="192">
        <f t="shared" si="0"/>
        <v>0.3666666666666667</v>
      </c>
      <c r="BC22" s="192">
        <f t="shared" si="0"/>
        <v>0.3666666666666667</v>
      </c>
      <c r="BD22" s="192">
        <f t="shared" si="0"/>
        <v>0.3666666666666667</v>
      </c>
      <c r="BE22" s="214">
        <f>(IF(AND(AW22&gt;0,$F22&gt;0),AW22/$F22,0))</f>
        <v>0.06</v>
      </c>
      <c r="BF22" s="214">
        <f t="shared" si="15"/>
        <v>0.11</v>
      </c>
      <c r="BG22" s="752">
        <f t="shared" si="16"/>
        <v>0.11</v>
      </c>
      <c r="BH22" s="752">
        <f t="shared" si="17"/>
        <v>0.11</v>
      </c>
    </row>
    <row r="23" spans="2:60" ht="90">
      <c r="B23" s="1434"/>
      <c r="C23" s="1454"/>
      <c r="D23" s="28" t="str">
        <f>+'01-FR-03 POA INSTITUCIONAL'!D47</f>
        <v xml:space="preserve">3.4.3 Diseñar e implementar una relatoría de las decisiones de fondo adoptadas en ejercicio de la potestad disciplinaria  </v>
      </c>
      <c r="E23" s="46">
        <f>+'01-FR-03 POA INSTITUCIONAL'!E47</f>
        <v>0.1</v>
      </c>
      <c r="F23" s="135">
        <f>+'01-FR-03 POA INSTITUCIONAL'!F47</f>
        <v>1</v>
      </c>
      <c r="G23" s="136">
        <f>+'01-FR-03 POA INSTITUCIONAL'!M47</f>
        <v>0.4</v>
      </c>
      <c r="H23" s="135" t="str">
        <f>+'01-FR-03 POA INSTITUCIONAL'!G47</f>
        <v>S.I.</v>
      </c>
      <c r="I23" s="35" t="str">
        <f>+'01-FR-03 POA INSTITUCIONAL'!H47</f>
        <v>Relatoría diseñada e implementada</v>
      </c>
      <c r="J23" s="116" t="s">
        <v>297</v>
      </c>
      <c r="K23" s="119" t="s">
        <v>309</v>
      </c>
      <c r="L23" s="118" t="s">
        <v>291</v>
      </c>
      <c r="M23" s="118" t="s">
        <v>311</v>
      </c>
      <c r="N23" s="118" t="s">
        <v>301</v>
      </c>
      <c r="O23" s="63" t="str">
        <f>+'01-FR-03 POA INSTITUCIONAL'!J47</f>
        <v>Personería Delegada para la Coordinación de Potestad Disciplinaria</v>
      </c>
      <c r="P23" s="725">
        <v>0</v>
      </c>
      <c r="Q23" s="725">
        <v>0</v>
      </c>
      <c r="R23" s="726">
        <v>0.04</v>
      </c>
      <c r="S23" s="725">
        <v>0.04</v>
      </c>
      <c r="T23" s="726">
        <v>0.04</v>
      </c>
      <c r="U23" s="725">
        <v>0.04</v>
      </c>
      <c r="V23" s="134">
        <f t="shared" si="3"/>
        <v>0.08</v>
      </c>
      <c r="W23" s="134">
        <f t="shared" si="3"/>
        <v>0.08</v>
      </c>
      <c r="X23" s="726">
        <v>0.04</v>
      </c>
      <c r="Y23" s="725">
        <v>0.04</v>
      </c>
      <c r="Z23" s="726">
        <v>0.04</v>
      </c>
      <c r="AA23" s="725">
        <v>0.2</v>
      </c>
      <c r="AB23" s="726">
        <v>0.04</v>
      </c>
      <c r="AC23" s="725">
        <v>0.04</v>
      </c>
      <c r="AD23" s="134">
        <f t="shared" si="4"/>
        <v>0.12</v>
      </c>
      <c r="AE23" s="134">
        <f t="shared" si="4"/>
        <v>0.28000000000000003</v>
      </c>
      <c r="AF23" s="726">
        <v>0.04</v>
      </c>
      <c r="AG23" s="725"/>
      <c r="AH23" s="726">
        <v>0.04</v>
      </c>
      <c r="AI23" s="725"/>
      <c r="AJ23" s="726">
        <v>0.04</v>
      </c>
      <c r="AK23" s="730"/>
      <c r="AL23" s="134">
        <f t="shared" si="5"/>
        <v>0.12</v>
      </c>
      <c r="AM23" s="134">
        <f t="shared" si="5"/>
        <v>0</v>
      </c>
      <c r="AN23" s="726">
        <v>0.04</v>
      </c>
      <c r="AO23" s="725"/>
      <c r="AP23" s="726">
        <v>0.04</v>
      </c>
      <c r="AQ23" s="725"/>
      <c r="AR23" s="726">
        <v>0</v>
      </c>
      <c r="AS23" s="725"/>
      <c r="AT23" s="134">
        <f t="shared" si="6"/>
        <v>0.08</v>
      </c>
      <c r="AU23" s="134">
        <f t="shared" si="6"/>
        <v>0</v>
      </c>
      <c r="AV23" s="138">
        <f t="shared" si="7"/>
        <v>0.4</v>
      </c>
      <c r="AW23" s="193">
        <f t="shared" si="8"/>
        <v>0.08</v>
      </c>
      <c r="AX23" s="193">
        <f t="shared" si="9"/>
        <v>0.36000000000000004</v>
      </c>
      <c r="AY23" s="933">
        <f t="shared" si="10"/>
        <v>0.36000000000000004</v>
      </c>
      <c r="AZ23" s="933">
        <f t="shared" si="11"/>
        <v>0.36000000000000004</v>
      </c>
      <c r="BA23" s="192">
        <f>IF(AND(AW23&gt;0,AV23&gt;0),AW23/AV23,0)</f>
        <v>0.19999999999999998</v>
      </c>
      <c r="BB23" s="192">
        <f t="shared" si="0"/>
        <v>0.9</v>
      </c>
      <c r="BC23" s="192">
        <f t="shared" si="0"/>
        <v>0.9</v>
      </c>
      <c r="BD23" s="192">
        <f t="shared" si="0"/>
        <v>0.9</v>
      </c>
      <c r="BE23" s="214">
        <f>(IF(AND(AW23&gt;0,$F23&gt;0),AW23/$F23,0))</f>
        <v>0.08</v>
      </c>
      <c r="BF23" s="214">
        <f t="shared" si="15"/>
        <v>0.36000000000000004</v>
      </c>
      <c r="BG23" s="752">
        <f t="shared" si="16"/>
        <v>0.36000000000000004</v>
      </c>
      <c r="BH23" s="752">
        <f t="shared" si="17"/>
        <v>0.36000000000000004</v>
      </c>
    </row>
    <row r="24" spans="2:60" ht="22.8">
      <c r="B24" s="1371"/>
      <c r="C24" s="1372"/>
      <c r="D24" s="1372"/>
      <c r="E24" s="1372"/>
      <c r="F24" s="1372"/>
      <c r="G24" s="1372"/>
      <c r="H24" s="1372"/>
      <c r="I24" s="1372"/>
      <c r="J24" s="1372"/>
      <c r="K24" s="1372"/>
      <c r="L24" s="1372"/>
      <c r="M24" s="1372"/>
      <c r="N24" s="1372"/>
      <c r="O24" s="1372"/>
      <c r="P24" s="1372"/>
      <c r="Q24" s="1372"/>
      <c r="R24" s="1372"/>
      <c r="S24" s="1372"/>
      <c r="T24" s="1372"/>
      <c r="U24" s="1372"/>
      <c r="V24" s="1372"/>
      <c r="W24" s="1372"/>
      <c r="X24" s="1372"/>
      <c r="Y24" s="1372"/>
      <c r="Z24" s="1372"/>
      <c r="AA24" s="1372"/>
      <c r="AB24" s="1372"/>
      <c r="AC24" s="1372"/>
      <c r="AD24" s="1372"/>
      <c r="AE24" s="1372"/>
      <c r="AF24" s="1372"/>
      <c r="AG24" s="1372"/>
      <c r="AH24" s="1372"/>
      <c r="AI24" s="1372"/>
      <c r="AJ24" s="1372"/>
      <c r="AK24" s="1372"/>
      <c r="AL24" s="1372"/>
      <c r="AM24" s="1372"/>
      <c r="AN24" s="1372"/>
      <c r="AO24" s="1372"/>
      <c r="AP24" s="1372"/>
      <c r="AQ24" s="1372"/>
      <c r="AR24" s="1372"/>
      <c r="AS24" s="1372"/>
      <c r="AT24" s="1372"/>
      <c r="AU24" s="1372"/>
      <c r="AV24" s="1372"/>
      <c r="AW24" s="1455"/>
      <c r="AX24" s="1431" t="s">
        <v>19</v>
      </c>
      <c r="AY24" s="1432"/>
      <c r="AZ24" s="1432"/>
      <c r="BA24" s="59">
        <f>AVERAGE(BA16,BA17,BA18,BA19,BA20,BA22,BA23)</f>
        <v>0.14658333333333332</v>
      </c>
      <c r="BB24" s="937">
        <f t="shared" ref="BB24:BD24" si="18">AVERAGE(BB16,BB17,BB18,BB19,BB20,BB22,BB23)</f>
        <v>0.46643977591036412</v>
      </c>
      <c r="BC24" s="937">
        <f t="shared" si="18"/>
        <v>0.53351120448179279</v>
      </c>
      <c r="BD24" s="937">
        <f t="shared" si="18"/>
        <v>0.60001120448179268</v>
      </c>
      <c r="BE24" s="1463"/>
      <c r="BF24" s="1464"/>
      <c r="BG24" s="1464"/>
      <c r="BH24" s="1465"/>
    </row>
    <row r="25" spans="2:60">
      <c r="B25" s="1413"/>
      <c r="C25" s="1413"/>
      <c r="D25" s="1413"/>
      <c r="E25" s="1413"/>
      <c r="F25" s="1413"/>
      <c r="G25" s="1413"/>
      <c r="H25" s="39"/>
      <c r="I25" s="38"/>
      <c r="J25" s="38"/>
      <c r="K25" s="38"/>
      <c r="L25" s="38"/>
      <c r="M25" s="38"/>
      <c r="N25" s="38"/>
      <c r="O25" s="38"/>
    </row>
    <row r="26" spans="2:60">
      <c r="B26" s="38"/>
      <c r="C26" s="38"/>
      <c r="D26" s="1440"/>
      <c r="E26" s="1440"/>
      <c r="F26" s="1440"/>
      <c r="G26" s="1440"/>
      <c r="H26" s="1440"/>
      <c r="I26" s="1440"/>
      <c r="J26" s="1440"/>
      <c r="K26" s="1440"/>
      <c r="L26" s="1440"/>
      <c r="M26" s="1440"/>
      <c r="N26" s="1440"/>
      <c r="O26" s="1440"/>
    </row>
    <row r="27" spans="2:60" ht="15.6" customHeight="1">
      <c r="B27" s="40" t="s">
        <v>26</v>
      </c>
      <c r="C27" s="41">
        <v>44224</v>
      </c>
      <c r="D27" s="121"/>
      <c r="E27" s="1443" t="s">
        <v>50</v>
      </c>
      <c r="F27" s="1488" t="s">
        <v>1137</v>
      </c>
      <c r="G27" s="1489"/>
      <c r="H27" s="1489"/>
      <c r="I27" s="1489"/>
      <c r="J27" s="1490"/>
      <c r="K27" s="43"/>
      <c r="L27" s="1403"/>
      <c r="M27" s="1403"/>
      <c r="N27" s="1403"/>
      <c r="O27" s="1439"/>
    </row>
    <row r="28" spans="2:60" ht="33" customHeight="1">
      <c r="B28" s="38"/>
      <c r="C28" s="38"/>
      <c r="D28" s="43"/>
      <c r="E28" s="1443"/>
      <c r="F28" s="1491"/>
      <c r="G28" s="1492"/>
      <c r="H28" s="1492"/>
      <c r="I28" s="1492"/>
      <c r="J28" s="1493"/>
      <c r="K28" s="38"/>
      <c r="L28" s="38"/>
      <c r="M28" s="38"/>
      <c r="N28" s="38"/>
      <c r="O28" s="38"/>
    </row>
    <row r="29" spans="2:60" ht="15.6">
      <c r="B29" s="40" t="s">
        <v>49</v>
      </c>
      <c r="C29" s="41">
        <v>44581</v>
      </c>
      <c r="D29" s="38"/>
      <c r="E29" s="38"/>
      <c r="F29" s="38"/>
      <c r="K29" s="38"/>
      <c r="L29" s="38"/>
      <c r="M29" s="38"/>
      <c r="N29" s="38"/>
      <c r="O29" s="38"/>
    </row>
    <row r="30" spans="2:60" ht="13.2" customHeight="1">
      <c r="B30" s="38"/>
      <c r="C30" s="868"/>
      <c r="D30" s="38"/>
      <c r="E30" s="38"/>
      <c r="F30" s="38"/>
      <c r="K30" s="38"/>
      <c r="L30" s="38"/>
      <c r="M30" s="38"/>
      <c r="N30" s="38"/>
      <c r="O30" s="38"/>
    </row>
    <row r="31" spans="2:60" ht="31.5" customHeight="1">
      <c r="B31" s="40" t="s">
        <v>49</v>
      </c>
      <c r="C31" s="41">
        <v>44953</v>
      </c>
      <c r="D31" s="38"/>
      <c r="E31" s="38"/>
      <c r="F31" s="38"/>
      <c r="K31" s="38"/>
      <c r="L31" s="38"/>
      <c r="M31" s="38"/>
      <c r="N31" s="38"/>
      <c r="O31" s="38"/>
    </row>
    <row r="32" spans="2:60">
      <c r="B32" s="38"/>
      <c r="C32" s="38"/>
      <c r="D32" s="38"/>
      <c r="E32" s="38"/>
      <c r="F32" s="38"/>
      <c r="K32" s="38"/>
      <c r="L32" s="38"/>
      <c r="M32" s="38"/>
      <c r="N32" s="38"/>
      <c r="O32" s="38"/>
    </row>
    <row r="33" spans="2:15">
      <c r="B33" s="445" t="s">
        <v>876</v>
      </c>
      <c r="C33" s="38"/>
      <c r="D33" s="38"/>
      <c r="E33" s="38"/>
      <c r="F33" s="38"/>
      <c r="G33" s="39"/>
      <c r="H33" s="39"/>
      <c r="I33" s="1438"/>
      <c r="J33" s="1438"/>
      <c r="K33" s="1438"/>
      <c r="L33" s="1438"/>
      <c r="M33" s="44"/>
      <c r="N33" s="44"/>
      <c r="O33" s="44"/>
    </row>
    <row r="34" spans="2:15">
      <c r="B34" s="38"/>
      <c r="C34" s="38"/>
      <c r="D34" s="38"/>
      <c r="E34" s="38"/>
      <c r="F34" s="38"/>
      <c r="G34" s="39"/>
      <c r="H34" s="39"/>
      <c r="I34" s="38"/>
      <c r="J34" s="38"/>
      <c r="K34" s="45"/>
      <c r="L34" s="38"/>
      <c r="M34" s="38"/>
      <c r="N34" s="38"/>
      <c r="O34" s="38"/>
    </row>
    <row r="35" spans="2:15">
      <c r="B35" s="38"/>
      <c r="C35" s="38"/>
      <c r="D35" s="38"/>
      <c r="E35" s="38"/>
      <c r="F35" s="38"/>
      <c r="G35" s="39"/>
      <c r="H35" s="39"/>
      <c r="I35" s="1438"/>
      <c r="J35" s="1438"/>
      <c r="K35" s="1438"/>
      <c r="L35" s="1438"/>
      <c r="M35" s="44"/>
      <c r="N35" s="44"/>
      <c r="O35" s="44"/>
    </row>
    <row r="36" spans="2:15">
      <c r="B36" s="38"/>
      <c r="C36" s="38"/>
      <c r="D36" s="38"/>
      <c r="E36" s="38"/>
      <c r="F36" s="38"/>
      <c r="G36" s="39"/>
      <c r="H36" s="39"/>
      <c r="I36" s="38"/>
      <c r="J36" s="38"/>
      <c r="K36" s="45"/>
      <c r="L36" s="38"/>
      <c r="M36" s="38"/>
      <c r="N36" s="38"/>
      <c r="O36" s="38"/>
    </row>
    <row r="37" spans="2:15">
      <c r="B37" s="38"/>
      <c r="C37" s="38"/>
      <c r="D37" s="38"/>
      <c r="E37" s="38"/>
      <c r="F37" s="38"/>
      <c r="G37" s="39"/>
      <c r="H37" s="39"/>
      <c r="I37" s="1438"/>
      <c r="J37" s="1438"/>
      <c r="K37" s="1438"/>
      <c r="L37" s="1438"/>
      <c r="M37" s="44"/>
      <c r="N37" s="44"/>
      <c r="O37" s="44"/>
    </row>
  </sheetData>
  <sheetProtection algorithmName="SHA-512" hashValue="MtiJVBto896tsnmDgbgThPpFxd9udaEr+PADxP3sVBLVdgvJ1dtd6tBwRLjKk3ZRYnUjXkJNW09bDSaaiX3ARA==" saltValue="1MRIGeBJnhiMCWT4IY8uSw=="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5:L35"/>
    <mergeCell ref="I37:L37"/>
    <mergeCell ref="B25:G25"/>
    <mergeCell ref="B24:AW24"/>
    <mergeCell ref="D26:O26"/>
    <mergeCell ref="E27:E28"/>
    <mergeCell ref="L27:O27"/>
    <mergeCell ref="F27:J28"/>
    <mergeCell ref="I33:L33"/>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39"/>
  <sheetViews>
    <sheetView showGridLines="0" zoomScale="60" zoomScaleNormal="60" workbookViewId="0">
      <selection activeCell="C34" sqref="C34"/>
    </sheetView>
  </sheetViews>
  <sheetFormatPr baseColWidth="10" defaultColWidth="17.33203125" defaultRowHeight="15"/>
  <cols>
    <col min="1" max="1" width="4.33203125" style="139" customWidth="1"/>
    <col min="2" max="2" width="50.44140625" style="139" customWidth="1"/>
    <col min="3" max="3" width="31.44140625" style="139" customWidth="1"/>
    <col min="4" max="4" width="49.6640625" style="139" customWidth="1"/>
    <col min="5" max="6" width="27.5546875" style="139" customWidth="1"/>
    <col min="7" max="8" width="29.33203125" style="140" customWidth="1"/>
    <col min="9" max="9" width="36.33203125" style="139" customWidth="1"/>
    <col min="10" max="10" width="31.88671875" style="139" customWidth="1"/>
    <col min="11" max="11" width="63.88671875" style="139" customWidth="1"/>
    <col min="12" max="12" width="48.44140625" style="139" customWidth="1"/>
    <col min="13" max="14" width="28.5546875" style="139" customWidth="1"/>
    <col min="15" max="15" width="50" style="139" customWidth="1"/>
    <col min="16" max="47" width="15.88671875" style="139" customWidth="1"/>
    <col min="48" max="48" width="24.5546875" style="139" customWidth="1"/>
    <col min="49" max="49" width="22.88671875" style="139" customWidth="1"/>
    <col min="50" max="50" width="19.33203125" style="139" customWidth="1"/>
    <col min="51" max="51" width="18.44140625" style="139" customWidth="1"/>
    <col min="52" max="52" width="19.44140625" style="139" customWidth="1"/>
    <col min="53" max="53" width="23.33203125" style="139" customWidth="1"/>
    <col min="54" max="55" width="25.109375" style="139" customWidth="1"/>
    <col min="56" max="56" width="26.6640625" style="139" customWidth="1"/>
    <col min="57" max="57" width="26.33203125" style="139" customWidth="1"/>
    <col min="58" max="58" width="26.5546875" style="139" customWidth="1"/>
    <col min="59" max="59" width="26.33203125" style="139" customWidth="1"/>
    <col min="60" max="60" width="27.33203125" style="139" customWidth="1"/>
    <col min="61" max="16384" width="17.33203125" style="139"/>
  </cols>
  <sheetData>
    <row r="1" spans="2:60" ht="15.6" thickBot="1"/>
    <row r="2" spans="2:60"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141" t="s">
        <v>390</v>
      </c>
      <c r="BH2" s="142"/>
    </row>
    <row r="3" spans="2:60"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43" t="s">
        <v>28</v>
      </c>
      <c r="BH3" s="144"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17"/>
      <c r="C7" s="17"/>
      <c r="D7" s="17"/>
      <c r="E7" s="17"/>
      <c r="F7" s="17"/>
      <c r="G7" s="145"/>
      <c r="H7" s="145"/>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402"/>
      <c r="AX7" s="1403"/>
      <c r="AY7" s="1403"/>
      <c r="AZ7" s="1403"/>
      <c r="BA7" s="1404"/>
      <c r="BB7" s="34"/>
      <c r="BC7" s="34"/>
      <c r="BD7" s="34"/>
      <c r="BE7" s="17"/>
      <c r="BF7" s="17"/>
    </row>
    <row r="8" spans="2:60" ht="15.6">
      <c r="B8" s="146" t="s">
        <v>45</v>
      </c>
      <c r="C8" s="1516" t="s">
        <v>91</v>
      </c>
      <c r="D8" s="1516"/>
      <c r="E8" s="17"/>
      <c r="F8" s="17"/>
      <c r="G8" s="17"/>
      <c r="H8" s="17"/>
      <c r="I8" s="17"/>
      <c r="J8" s="17"/>
      <c r="K8" s="17"/>
      <c r="L8" s="17"/>
      <c r="M8" s="17"/>
      <c r="N8" s="17"/>
      <c r="O8" s="17"/>
      <c r="AW8" s="34"/>
      <c r="AX8" s="34"/>
      <c r="AY8" s="34"/>
      <c r="AZ8" s="34"/>
      <c r="BA8" s="34"/>
      <c r="BB8" s="34"/>
      <c r="BC8" s="34"/>
      <c r="BD8" s="34"/>
    </row>
    <row r="9" spans="2:60" ht="95.25" customHeight="1">
      <c r="B9" s="146" t="s">
        <v>34</v>
      </c>
      <c r="C9" s="1515" t="s">
        <v>412</v>
      </c>
      <c r="D9" s="1428"/>
      <c r="E9" s="17"/>
      <c r="F9" s="17"/>
      <c r="G9" s="17"/>
      <c r="H9" s="17"/>
      <c r="I9" s="17"/>
      <c r="J9" s="17"/>
      <c r="K9" s="17"/>
      <c r="L9" s="17"/>
      <c r="M9" s="17"/>
      <c r="N9" s="17"/>
      <c r="O9" s="17"/>
      <c r="AW9" s="34"/>
      <c r="AX9" s="34"/>
      <c r="AY9" s="34"/>
      <c r="AZ9" s="34"/>
      <c r="BA9" s="34"/>
      <c r="BB9" s="34"/>
      <c r="BC9" s="34"/>
      <c r="BD9" s="34"/>
    </row>
    <row r="10" spans="2:60" ht="15.6">
      <c r="B10" s="146" t="s">
        <v>101</v>
      </c>
      <c r="C10" s="1507">
        <v>2023</v>
      </c>
      <c r="D10" s="1508"/>
      <c r="E10" s="17"/>
      <c r="F10" s="17"/>
      <c r="G10" s="17"/>
      <c r="H10" s="17"/>
      <c r="I10" s="17"/>
      <c r="J10" s="17"/>
      <c r="K10" s="17"/>
      <c r="L10" s="17"/>
      <c r="M10" s="17"/>
      <c r="N10" s="17"/>
      <c r="O10" s="17"/>
      <c r="AW10" s="34"/>
      <c r="AX10" s="34"/>
      <c r="AY10" s="34"/>
      <c r="AZ10" s="34"/>
      <c r="BA10" s="34"/>
      <c r="BB10" s="34"/>
      <c r="BC10" s="34"/>
      <c r="BD10" s="34"/>
    </row>
    <row r="11" spans="2:60">
      <c r="B11" s="17"/>
      <c r="C11" s="17"/>
      <c r="D11" s="17"/>
      <c r="E11" s="17"/>
      <c r="F11" s="17"/>
      <c r="G11" s="145"/>
      <c r="H11" s="145"/>
      <c r="I11" s="17"/>
      <c r="J11" s="17"/>
      <c r="K11" s="17"/>
      <c r="L11" s="17"/>
      <c r="M11" s="17"/>
      <c r="N11" s="17"/>
      <c r="O11" s="17"/>
      <c r="AW11" s="34"/>
      <c r="AX11" s="34"/>
      <c r="AY11" s="34"/>
      <c r="AZ11" s="34"/>
      <c r="BA11" s="34"/>
      <c r="BB11" s="34"/>
      <c r="BC11" s="34"/>
      <c r="BD11" s="34"/>
    </row>
    <row r="12" spans="2:60" ht="31.95" customHeight="1">
      <c r="B12" s="1140" t="s">
        <v>0</v>
      </c>
      <c r="C12" s="1140" t="s">
        <v>52</v>
      </c>
      <c r="D12" s="1140" t="s">
        <v>53</v>
      </c>
      <c r="E12" s="1140" t="s">
        <v>61</v>
      </c>
      <c r="F12" s="1140" t="s">
        <v>638</v>
      </c>
      <c r="G12" s="1140" t="s">
        <v>58</v>
      </c>
      <c r="H12" s="1140" t="s">
        <v>25</v>
      </c>
      <c r="I12" s="1140" t="s">
        <v>60</v>
      </c>
      <c r="J12" s="1140" t="s">
        <v>39</v>
      </c>
      <c r="K12" s="1140" t="s">
        <v>36</v>
      </c>
      <c r="L12" s="1140" t="s">
        <v>20</v>
      </c>
      <c r="M12" s="1140" t="s">
        <v>51</v>
      </c>
      <c r="N12" s="1140" t="s">
        <v>40</v>
      </c>
      <c r="O12" s="1140" t="s">
        <v>42</v>
      </c>
      <c r="P12" s="1391" t="s">
        <v>112</v>
      </c>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502"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43" t="s">
        <v>21</v>
      </c>
      <c r="Q13" s="1443"/>
      <c r="R13" s="1443"/>
      <c r="S13" s="1443"/>
      <c r="T13" s="1443"/>
      <c r="U13" s="1443"/>
      <c r="V13" s="1443"/>
      <c r="W13" s="1443"/>
      <c r="X13" s="1443" t="s">
        <v>22</v>
      </c>
      <c r="Y13" s="1443"/>
      <c r="Z13" s="1443"/>
      <c r="AA13" s="1443"/>
      <c r="AB13" s="1443"/>
      <c r="AC13" s="1443"/>
      <c r="AD13" s="1443"/>
      <c r="AE13" s="1443"/>
      <c r="AF13" s="1443" t="s">
        <v>23</v>
      </c>
      <c r="AG13" s="1443"/>
      <c r="AH13" s="1443"/>
      <c r="AI13" s="1443"/>
      <c r="AJ13" s="1443"/>
      <c r="AK13" s="1443"/>
      <c r="AL13" s="1443"/>
      <c r="AM13" s="1443"/>
      <c r="AN13" s="1443" t="s">
        <v>24</v>
      </c>
      <c r="AO13" s="1443"/>
      <c r="AP13" s="1443"/>
      <c r="AQ13" s="1443"/>
      <c r="AR13" s="1443"/>
      <c r="AS13" s="1443"/>
      <c r="AT13" s="1443"/>
      <c r="AU13" s="1443"/>
      <c r="AV13" s="1502"/>
      <c r="AW13" s="1512" t="s">
        <v>119</v>
      </c>
      <c r="AX13" s="1512" t="s">
        <v>22</v>
      </c>
      <c r="AY13" s="1512" t="s">
        <v>120</v>
      </c>
      <c r="AZ13" s="1512" t="s">
        <v>121</v>
      </c>
      <c r="BA13" s="1499" t="s">
        <v>119</v>
      </c>
      <c r="BB13" s="1499" t="s">
        <v>122</v>
      </c>
      <c r="BC13" s="1499" t="s">
        <v>123</v>
      </c>
      <c r="BD13" s="1499" t="s">
        <v>124</v>
      </c>
      <c r="BE13" s="1509" t="s">
        <v>21</v>
      </c>
      <c r="BF13" s="1509" t="s">
        <v>22</v>
      </c>
      <c r="BG13" s="1509" t="s">
        <v>23</v>
      </c>
      <c r="BH13" s="1509" t="s">
        <v>24</v>
      </c>
    </row>
    <row r="14" spans="2:60" ht="15.6">
      <c r="B14" s="1140"/>
      <c r="C14" s="1140"/>
      <c r="D14" s="1140"/>
      <c r="E14" s="1140"/>
      <c r="F14" s="1140"/>
      <c r="G14" s="1140"/>
      <c r="H14" s="1140"/>
      <c r="I14" s="1140"/>
      <c r="J14" s="1140"/>
      <c r="K14" s="1140"/>
      <c r="L14" s="1140"/>
      <c r="M14" s="1140"/>
      <c r="N14" s="1140"/>
      <c r="O14" s="1140"/>
      <c r="P14" s="1495" t="s">
        <v>5</v>
      </c>
      <c r="Q14" s="1495"/>
      <c r="R14" s="1495" t="s">
        <v>6</v>
      </c>
      <c r="S14" s="1495"/>
      <c r="T14" s="1495" t="s">
        <v>7</v>
      </c>
      <c r="U14" s="1495"/>
      <c r="V14" s="1391" t="s">
        <v>8</v>
      </c>
      <c r="W14" s="1391"/>
      <c r="X14" s="1495" t="s">
        <v>27</v>
      </c>
      <c r="Y14" s="1495"/>
      <c r="Z14" s="1495" t="s">
        <v>9</v>
      </c>
      <c r="AA14" s="1495"/>
      <c r="AB14" s="1495" t="s">
        <v>10</v>
      </c>
      <c r="AC14" s="1495"/>
      <c r="AD14" s="1391" t="s">
        <v>8</v>
      </c>
      <c r="AE14" s="1391"/>
      <c r="AF14" s="1495" t="s">
        <v>11</v>
      </c>
      <c r="AG14" s="1495"/>
      <c r="AH14" s="1495" t="s">
        <v>12</v>
      </c>
      <c r="AI14" s="1495"/>
      <c r="AJ14" s="1495" t="s">
        <v>13</v>
      </c>
      <c r="AK14" s="1495"/>
      <c r="AL14" s="1391" t="s">
        <v>8</v>
      </c>
      <c r="AM14" s="1391"/>
      <c r="AN14" s="1495" t="s">
        <v>14</v>
      </c>
      <c r="AO14" s="1495"/>
      <c r="AP14" s="1495" t="s">
        <v>15</v>
      </c>
      <c r="AQ14" s="1495"/>
      <c r="AR14" s="1495" t="s">
        <v>16</v>
      </c>
      <c r="AS14" s="1495"/>
      <c r="AT14" s="1391" t="s">
        <v>8</v>
      </c>
      <c r="AU14" s="1391"/>
      <c r="AV14" s="1502"/>
      <c r="AW14" s="1513"/>
      <c r="AX14" s="1513"/>
      <c r="AY14" s="1513"/>
      <c r="AZ14" s="1513"/>
      <c r="BA14" s="1500"/>
      <c r="BB14" s="1500"/>
      <c r="BC14" s="1500"/>
      <c r="BD14" s="1500"/>
      <c r="BE14" s="1510"/>
      <c r="BF14" s="1510"/>
      <c r="BG14" s="1510"/>
      <c r="BH14" s="1510"/>
    </row>
    <row r="15" spans="2:60" ht="16.2" thickBot="1">
      <c r="B15" s="1140"/>
      <c r="C15" s="1140"/>
      <c r="D15" s="1140"/>
      <c r="E15" s="1140"/>
      <c r="F15" s="1140"/>
      <c r="G15" s="1140"/>
      <c r="H15" s="1140"/>
      <c r="I15" s="1140"/>
      <c r="J15" s="1140"/>
      <c r="K15" s="1140"/>
      <c r="L15" s="1140"/>
      <c r="M15" s="1140"/>
      <c r="N15" s="1140"/>
      <c r="O15" s="1140"/>
      <c r="P15" s="147" t="s">
        <v>17</v>
      </c>
      <c r="Q15" s="147" t="s">
        <v>18</v>
      </c>
      <c r="R15" s="147" t="s">
        <v>17</v>
      </c>
      <c r="S15" s="147" t="s">
        <v>18</v>
      </c>
      <c r="T15" s="147" t="s">
        <v>17</v>
      </c>
      <c r="U15" s="147" t="s">
        <v>18</v>
      </c>
      <c r="V15" s="148" t="s">
        <v>17</v>
      </c>
      <c r="W15" s="148" t="s">
        <v>18</v>
      </c>
      <c r="X15" s="147" t="s">
        <v>17</v>
      </c>
      <c r="Y15" s="147" t="s">
        <v>18</v>
      </c>
      <c r="Z15" s="147" t="s">
        <v>17</v>
      </c>
      <c r="AA15" s="147" t="s">
        <v>18</v>
      </c>
      <c r="AB15" s="147" t="s">
        <v>17</v>
      </c>
      <c r="AC15" s="147" t="s">
        <v>18</v>
      </c>
      <c r="AD15" s="148" t="s">
        <v>17</v>
      </c>
      <c r="AE15" s="148" t="s">
        <v>18</v>
      </c>
      <c r="AF15" s="147" t="s">
        <v>17</v>
      </c>
      <c r="AG15" s="147" t="s">
        <v>18</v>
      </c>
      <c r="AH15" s="147" t="s">
        <v>17</v>
      </c>
      <c r="AI15" s="147" t="s">
        <v>18</v>
      </c>
      <c r="AJ15" s="147" t="s">
        <v>17</v>
      </c>
      <c r="AK15" s="147" t="s">
        <v>18</v>
      </c>
      <c r="AL15" s="148" t="s">
        <v>17</v>
      </c>
      <c r="AM15" s="148" t="s">
        <v>18</v>
      </c>
      <c r="AN15" s="147" t="s">
        <v>17</v>
      </c>
      <c r="AO15" s="147" t="s">
        <v>18</v>
      </c>
      <c r="AP15" s="147" t="s">
        <v>17</v>
      </c>
      <c r="AQ15" s="147" t="s">
        <v>18</v>
      </c>
      <c r="AR15" s="147" t="s">
        <v>17</v>
      </c>
      <c r="AS15" s="147" t="s">
        <v>18</v>
      </c>
      <c r="AT15" s="148" t="s">
        <v>17</v>
      </c>
      <c r="AU15" s="148" t="s">
        <v>18</v>
      </c>
      <c r="AV15" s="1502"/>
      <c r="AW15" s="1514"/>
      <c r="AX15" s="1514"/>
      <c r="AY15" s="1514"/>
      <c r="AZ15" s="1514"/>
      <c r="BA15" s="1501"/>
      <c r="BB15" s="1501"/>
      <c r="BC15" s="1501"/>
      <c r="BD15" s="1501"/>
      <c r="BE15" s="1511"/>
      <c r="BF15" s="1511"/>
      <c r="BG15" s="1511"/>
      <c r="BH15" s="1511"/>
    </row>
    <row r="16" spans="2:60" ht="397.95" customHeight="1">
      <c r="B16" s="1504"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04" t="str">
        <f>+'01-FR-03 POA INSTITUCIONAL'!C61</f>
        <v xml:space="preserve">4.3. Realizar el 100% de las actividades relacionadas con la Gestión del Talento Humano, que permita su fortalecimiento y el desarrollo de sus conocimientos, su competencia y bienestar. </v>
      </c>
      <c r="D16" s="28" t="str">
        <f>+'01-FR-03 POA INSTITUCIONAL'!D61</f>
        <v xml:space="preserve">4.3.1 Gestionar el 100% de las novedades y situaciones administrativas de los servidores públicos de la Entidad.
</v>
      </c>
      <c r="E16" s="46">
        <f>+'01-FR-03 POA INSTITUCIONAL'!E61</f>
        <v>0.1</v>
      </c>
      <c r="F16" s="46">
        <f>+'01-FR-03 POA INSTITUCIONAL'!F61</f>
        <v>1</v>
      </c>
      <c r="G16" s="46">
        <f>+'01-FR-03 POA INSTITUCIONAL'!M61</f>
        <v>1</v>
      </c>
      <c r="H16" s="46">
        <v>1</v>
      </c>
      <c r="I16" s="35" t="str">
        <f>+'01-FR-03 POA INSTITUCIONAL'!H61</f>
        <v>Porcentaje de novedades y situaciones administrativas gestionadas</v>
      </c>
      <c r="J16" s="149" t="s">
        <v>391</v>
      </c>
      <c r="K16" s="150" t="s">
        <v>392</v>
      </c>
      <c r="L16" s="151" t="s">
        <v>393</v>
      </c>
      <c r="M16" s="118" t="s">
        <v>394</v>
      </c>
      <c r="N16" s="118" t="s">
        <v>395</v>
      </c>
      <c r="O16" s="119" t="str">
        <f>+'01-FR-03 POA INSTITUCIONAL'!J61</f>
        <v xml:space="preserve">
Dirección de Talento Humano
</v>
      </c>
      <c r="P16" s="724">
        <v>1</v>
      </c>
      <c r="Q16" s="724">
        <v>1</v>
      </c>
      <c r="R16" s="724">
        <v>1</v>
      </c>
      <c r="S16" s="724">
        <v>1</v>
      </c>
      <c r="T16" s="724">
        <v>1</v>
      </c>
      <c r="U16" s="724">
        <v>1</v>
      </c>
      <c r="V16" s="66">
        <f>AVERAGE(P16,R16,T16)</f>
        <v>1</v>
      </c>
      <c r="W16" s="66">
        <f>IFERROR(AVERAGE(Q16,S16,U16),0)</f>
        <v>1</v>
      </c>
      <c r="X16" s="724">
        <v>1</v>
      </c>
      <c r="Y16" s="724">
        <v>1</v>
      </c>
      <c r="Z16" s="724">
        <v>1</v>
      </c>
      <c r="AA16" s="724">
        <v>1</v>
      </c>
      <c r="AB16" s="724">
        <v>1</v>
      </c>
      <c r="AC16" s="724">
        <v>1</v>
      </c>
      <c r="AD16" s="66">
        <f>AVERAGE(X16,Z16,AB16)</f>
        <v>1</v>
      </c>
      <c r="AE16" s="66">
        <f>IFERROR(AVERAGE(Y16,AA16,AC16),0)</f>
        <v>1</v>
      </c>
      <c r="AF16" s="724">
        <v>1</v>
      </c>
      <c r="AG16" s="677"/>
      <c r="AH16" s="724">
        <v>1</v>
      </c>
      <c r="AI16" s="677"/>
      <c r="AJ16" s="724">
        <v>1</v>
      </c>
      <c r="AK16" s="729"/>
      <c r="AL16" s="66">
        <f>AVERAGE(AF16,AH16,AJ16)</f>
        <v>1</v>
      </c>
      <c r="AM16" s="66">
        <f>IFERROR(AVERAGE(AG16,AI16,AK16),0)</f>
        <v>0</v>
      </c>
      <c r="AN16" s="724">
        <v>1</v>
      </c>
      <c r="AO16" s="677"/>
      <c r="AP16" s="724">
        <v>1</v>
      </c>
      <c r="AQ16" s="677"/>
      <c r="AR16" s="724">
        <v>1</v>
      </c>
      <c r="AS16" s="677"/>
      <c r="AT16" s="66">
        <f>AVERAGE(AN16,AP16,AR16)</f>
        <v>1</v>
      </c>
      <c r="AU16" s="66">
        <f>IFERROR(AVERAGE(AO16,AQ16,AS16),0)</f>
        <v>0</v>
      </c>
      <c r="AV16" s="66">
        <f>AVERAGE(P16,R16,T16,X16,Z16,AB16,AF16,AH16,AJ16,AN16,AP16,AR16)</f>
        <v>1</v>
      </c>
      <c r="AW16" s="181">
        <f>IFERROR(IF(OR($AV$16="",$AV$16=0),0,ROUNDDOWN(AVERAGE($Q16,$S16,$U16),3)),0)</f>
        <v>1</v>
      </c>
      <c r="AX16" s="181">
        <f>IFERROR(IF(OR($AV$17="",$AV$17=0),0,ROUNDDOWN(AVERAGE($Q16,$S16,$U16,$Y16,$AA16,$AC16),3)),0)</f>
        <v>1</v>
      </c>
      <c r="AY16" s="925">
        <f>IFERROR(IF(OR($AV$16="",$AV$16=0),0,ROUNDDOWN(AVERAGE($Q16,$S16,$U16,$Y16,$AA16,$AC16,$AG16,$AI16,$AK16),3)),0)</f>
        <v>1</v>
      </c>
      <c r="AZ16" s="925">
        <f t="shared" ref="AZ16:AZ17" si="0">IFERROR(IF(OR($AV$16="",$AV$16=0),0,ROUNDDOWN(AVERAGE($Q16,$S16,$U16,$Y16,$AA16,$AC16,$AG16,$AI16,$AK16,$AO16,$AQ16,$AS16),3)),0)</f>
        <v>1</v>
      </c>
      <c r="BA16" s="210">
        <f>(IF(AND(AW16&gt;0,$AV16&gt;0),AW16/$AV16,0))*0.25</f>
        <v>0.25</v>
      </c>
      <c r="BB16" s="210">
        <f>(IF(AND(AX16&gt;0,$AV16&gt;0),AX16/$AV16,0))*0.5</f>
        <v>0.5</v>
      </c>
      <c r="BC16" s="210">
        <f>(IF(AND(AY16&gt;0,$AV16&gt;0),AY16/$AV16,0))*0.75</f>
        <v>0.75</v>
      </c>
      <c r="BD16" s="210">
        <f>(IF(AND(AZ16&gt;0,$AV16&gt;0),AZ16/$AV16,0))*1</f>
        <v>1</v>
      </c>
      <c r="BE16" s="214">
        <f t="shared" ref="BE16:BE18" si="1">((IF(AND(AW16&gt;0,$F16&gt;0),AW16/$F16,0))/4)*0.25</f>
        <v>6.25E-2</v>
      </c>
      <c r="BF16" s="214">
        <f t="shared" ref="BF16:BF18" si="2">((IF(AND(AX16&gt;0,$F16&gt;0),AX16/$F16,0))/4)*0.5</f>
        <v>0.125</v>
      </c>
      <c r="BG16" s="752">
        <f t="shared" ref="BG16:BG18" si="3">((IF(AND(AY16&gt;0,$F16&gt;0),AY16/$F16,0))/4)*0.75</f>
        <v>0.1875</v>
      </c>
      <c r="BH16" s="752">
        <f t="shared" ref="BH16:BH19" si="4">((IF(AND(AZ16&gt;0,$F16&gt;0),AZ16/$F16,0))/4)</f>
        <v>0.25</v>
      </c>
    </row>
    <row r="17" spans="2:60" ht="367.2" customHeight="1">
      <c r="B17" s="1505"/>
      <c r="C17" s="1505"/>
      <c r="D17" s="28" t="str">
        <f>+'01-FR-03 POA INSTITUCIONAL'!D62</f>
        <v xml:space="preserve">4.3.2 Incluir el 97,8% de las Novedades en la nómina oportunamente, para liquidación y pago </v>
      </c>
      <c r="E17" s="46">
        <f>+'01-FR-03 POA INSTITUCIONAL'!E62</f>
        <v>0.1</v>
      </c>
      <c r="F17" s="510">
        <f>+'01-FR-03 POA INSTITUCIONAL'!F62</f>
        <v>0.97799999999999998</v>
      </c>
      <c r="G17" s="510">
        <f>+'01-FR-03 POA INSTITUCIONAL'!M62</f>
        <v>0.98</v>
      </c>
      <c r="H17" s="46">
        <f>+'01-FR-03 POA INSTITUCIONAL'!G62</f>
        <v>0.97</v>
      </c>
      <c r="I17" s="35" t="str">
        <f>+'01-FR-03 POA INSTITUCIONAL'!H62</f>
        <v xml:space="preserve">Novedades incluidas en la nómina  oportunamente  </v>
      </c>
      <c r="J17" s="152" t="s">
        <v>396</v>
      </c>
      <c r="K17" s="153" t="s">
        <v>1138</v>
      </c>
      <c r="L17" s="154" t="s">
        <v>397</v>
      </c>
      <c r="M17" s="118" t="s">
        <v>394</v>
      </c>
      <c r="N17" s="118" t="s">
        <v>398</v>
      </c>
      <c r="O17" s="119" t="str">
        <f>+'01-FR-03 POA INSTITUCIONAL'!J62</f>
        <v>Dependencia Líder: 
Dirección de Talento Humano
Dependencia Operativa:
Subdirección de Gestión del Talento Humano</v>
      </c>
      <c r="P17" s="724">
        <v>0.98</v>
      </c>
      <c r="Q17" s="896">
        <v>0.997</v>
      </c>
      <c r="R17" s="724">
        <v>0.98</v>
      </c>
      <c r="S17" s="896">
        <v>1</v>
      </c>
      <c r="T17" s="724">
        <v>0.98</v>
      </c>
      <c r="U17" s="896">
        <v>1</v>
      </c>
      <c r="V17" s="56">
        <f>AVERAGE(P17,R17,T17)</f>
        <v>0.98</v>
      </c>
      <c r="W17" s="194">
        <f>IFERROR(AVERAGE(Q17,S17,U17),0)</f>
        <v>0.999</v>
      </c>
      <c r="X17" s="724">
        <v>0.98</v>
      </c>
      <c r="Y17" s="724">
        <v>1</v>
      </c>
      <c r="Z17" s="724">
        <v>0.98</v>
      </c>
      <c r="AA17" s="724">
        <v>1</v>
      </c>
      <c r="AB17" s="724">
        <v>0.98</v>
      </c>
      <c r="AC17" s="724">
        <v>1</v>
      </c>
      <c r="AD17" s="56">
        <f>AVERAGE(X17,Z17,AB17)</f>
        <v>0.98</v>
      </c>
      <c r="AE17" s="194">
        <f>IFERROR(AVERAGE(Y17,AA17,AC17),0)</f>
        <v>1</v>
      </c>
      <c r="AF17" s="724">
        <v>0.98</v>
      </c>
      <c r="AG17" s="677"/>
      <c r="AH17" s="724">
        <v>0.98</v>
      </c>
      <c r="AI17" s="677"/>
      <c r="AJ17" s="724">
        <v>0.98</v>
      </c>
      <c r="AK17" s="729"/>
      <c r="AL17" s="194">
        <f>AVERAGE(AF17,AH17,AJ17)</f>
        <v>0.98</v>
      </c>
      <c r="AM17" s="194">
        <f>IFERROR(AVERAGE(AG17,AI17,AK17),0)</f>
        <v>0</v>
      </c>
      <c r="AN17" s="724">
        <v>0.98</v>
      </c>
      <c r="AO17" s="677"/>
      <c r="AP17" s="724">
        <v>0.98</v>
      </c>
      <c r="AQ17" s="677"/>
      <c r="AR17" s="724">
        <v>0.98</v>
      </c>
      <c r="AS17" s="677"/>
      <c r="AT17" s="56">
        <f>AVERAGE(AN17,AP17,AR17)</f>
        <v>0.98</v>
      </c>
      <c r="AU17" s="56">
        <f>IFERROR(AVERAGE(AO17,AQ17,AS17),0)</f>
        <v>0</v>
      </c>
      <c r="AV17" s="194">
        <f>AVERAGE(P17,R17,T17,X17,Z17,AB17,AF17,AH17,AJ17,AN17,AP17,AR17)</f>
        <v>0.98000000000000032</v>
      </c>
      <c r="AW17" s="181">
        <f>IFERROR(IF(OR($AV$16="",$AV$16=0),0,ROUNDDOWN(AVERAGE($Q17,$S17,$U17),3)),0)</f>
        <v>0.999</v>
      </c>
      <c r="AX17" s="181">
        <f>IFERROR(IF(OR($AV$17="",$AV$17=0),0,ROUNDDOWN(AVERAGE($Q17,$S17,$U17,$Y17,$AA17,$AC17),3)),0)</f>
        <v>0.999</v>
      </c>
      <c r="AY17" s="925">
        <f>IFERROR(IF(OR($AV$16="",$AV$16=0),0,ROUNDDOWN(AVERAGE($Q17,$S17,$U17,$Y17,$AA17,$AC17,$AG17,$AI17,$AK17),3)),0)</f>
        <v>0.999</v>
      </c>
      <c r="AZ17" s="925">
        <f t="shared" si="0"/>
        <v>0.999</v>
      </c>
      <c r="BA17" s="210">
        <f t="shared" ref="BA17" si="5">(IF(AND(AW17&gt;0,$AV17&gt;0),AW17/$AV17,0))*0.25</f>
        <v>0.25484693877551012</v>
      </c>
      <c r="BB17" s="210">
        <f t="shared" ref="BB17" si="6">(IF(AND(AX17&gt;0,$AV17&gt;0),AX17/$AV17,0))*0.5</f>
        <v>0.50969387755102025</v>
      </c>
      <c r="BC17" s="210">
        <f t="shared" ref="BC17" si="7">(IF(AND(AY17&gt;0,$AV17&gt;0),AY17/$AV17,0))*0.75</f>
        <v>0.76454081632653037</v>
      </c>
      <c r="BD17" s="210">
        <f t="shared" ref="BD17" si="8">(IF(AND(AZ17&gt;0,$AV17&gt;0),AZ17/$AV17,0))*1</f>
        <v>1.0193877551020405</v>
      </c>
      <c r="BE17" s="214">
        <f t="shared" si="1"/>
        <v>6.3842024539877307E-2</v>
      </c>
      <c r="BF17" s="214">
        <f t="shared" si="2"/>
        <v>0.12768404907975461</v>
      </c>
      <c r="BG17" s="752">
        <f t="shared" si="3"/>
        <v>0.19152607361963192</v>
      </c>
      <c r="BH17" s="752">
        <f t="shared" si="4"/>
        <v>0.25536809815950923</v>
      </c>
    </row>
    <row r="18" spans="2:60" ht="171.6">
      <c r="B18" s="1505"/>
      <c r="C18" s="1505"/>
      <c r="D18" s="28" t="str">
        <f>+'01-FR-03 POA INSTITUCIONAL'!D63</f>
        <v xml:space="preserve">4.3.3 Lograr el 94,5 % de usuarios internos  satisfechos con las solicitudes de servicios atendidas de la SGTH (Certificaciones laborales, bonos pensionales y autorizaciones de retiro de cesantías). </v>
      </c>
      <c r="E18" s="46">
        <f>+'01-FR-03 POA INSTITUCIONAL'!E63</f>
        <v>0.1</v>
      </c>
      <c r="F18" s="510">
        <f>+'01-FR-03 POA INSTITUCIONAL'!F63</f>
        <v>0.94499999999999995</v>
      </c>
      <c r="G18" s="510">
        <f>+'01-FR-03 POA INSTITUCIONAL'!M63</f>
        <v>0.96</v>
      </c>
      <c r="H18" s="46" t="str">
        <f>+'01-FR-03 POA INSTITUCIONAL'!G63</f>
        <v>S.I.</v>
      </c>
      <c r="I18" s="35" t="str">
        <f>+'01-FR-03 POA INSTITUCIONAL'!H63</f>
        <v>Porcentaje de Usuarios internos satisfechos con las solicitudes de los servicios atendidas de la SGTH (Certificaciones laborales, bonos pensionales y autorizaciones de retiro de cesantías)</v>
      </c>
      <c r="J18" s="116" t="s">
        <v>399</v>
      </c>
      <c r="K18" s="153" t="s">
        <v>1139</v>
      </c>
      <c r="L18" s="105" t="s">
        <v>400</v>
      </c>
      <c r="M18" s="118" t="s">
        <v>394</v>
      </c>
      <c r="N18" s="118" t="s">
        <v>395</v>
      </c>
      <c r="O18" s="119" t="str">
        <f>+'01-FR-03 POA INSTITUCIONAL'!J63</f>
        <v>Dependencia Líder: 
Dirección de Talento Humano
Dependencia Operativa:
Subdirección de Gestión del Talento Humano</v>
      </c>
      <c r="P18" s="724">
        <v>0.96</v>
      </c>
      <c r="Q18" s="896">
        <v>0.96799999999999997</v>
      </c>
      <c r="R18" s="724">
        <v>0.96</v>
      </c>
      <c r="S18" s="896">
        <v>0.96199999999999997</v>
      </c>
      <c r="T18" s="724">
        <v>0.96</v>
      </c>
      <c r="U18" s="896">
        <v>0.99</v>
      </c>
      <c r="V18" s="56">
        <f>IFERROR(AVERAGE(P18,R18,T18),0)</f>
        <v>0.96</v>
      </c>
      <c r="W18" s="194">
        <f>IFERROR(ROUNDDOWN(AVERAGE(Q18,S18,U18),3),0)</f>
        <v>0.97299999999999998</v>
      </c>
      <c r="X18" s="724">
        <v>0.96</v>
      </c>
      <c r="Y18" s="896">
        <v>0.93600000000000005</v>
      </c>
      <c r="Z18" s="724">
        <v>0.96</v>
      </c>
      <c r="AA18" s="896">
        <v>0.97599999999999998</v>
      </c>
      <c r="AB18" s="724">
        <v>0.96</v>
      </c>
      <c r="AC18" s="896">
        <v>0.98099999999999998</v>
      </c>
      <c r="AD18" s="56">
        <f>AVERAGE(X18,Z18,AB18)</f>
        <v>0.96</v>
      </c>
      <c r="AE18" s="194">
        <f>IFERROR(ROUNDDOWN(AVERAGE(Y18,AA18,AC18),3),0)</f>
        <v>0.96399999999999997</v>
      </c>
      <c r="AF18" s="724">
        <v>0.96</v>
      </c>
      <c r="AG18" s="677"/>
      <c r="AH18" s="724">
        <v>0.96</v>
      </c>
      <c r="AI18" s="677"/>
      <c r="AJ18" s="724">
        <v>0.96</v>
      </c>
      <c r="AK18" s="729"/>
      <c r="AL18" s="56">
        <f>AVERAGE(AF18,AH18,AJ18)</f>
        <v>0.96</v>
      </c>
      <c r="AM18" s="194">
        <f>IFERROR(ROUNDDOWN(AVERAGE(AG18,AI18,AK18),3),0)</f>
        <v>0</v>
      </c>
      <c r="AN18" s="724">
        <v>0.96</v>
      </c>
      <c r="AO18" s="677"/>
      <c r="AP18" s="724">
        <v>0.96</v>
      </c>
      <c r="AQ18" s="677"/>
      <c r="AR18" s="724">
        <v>0.96</v>
      </c>
      <c r="AS18" s="677"/>
      <c r="AT18" s="56">
        <f>AVERAGE(AN18,AP18,AR18)</f>
        <v>0.96</v>
      </c>
      <c r="AU18" s="194">
        <f>IFERROR(ROUNDDOWN(AVERAGE(AO18,AQ18,AS18),3),0)</f>
        <v>0</v>
      </c>
      <c r="AV18" s="194">
        <f>AVERAGE(X18,Z18,AB18,AF18,AH18,AJ18,AN18,AP18,AR18)</f>
        <v>0.96000000000000008</v>
      </c>
      <c r="AW18" s="181">
        <f>IFERROR(IF(OR($AV$16="",$AV$16=0),0,ROUNDDOWN(AVERAGE($Q18,$S18,$U18),3)),0)</f>
        <v>0.97299999999999998</v>
      </c>
      <c r="AX18" s="181">
        <f>IFERROR(IF(OR($AV$17="",$AV$17=0),0,ROUNDDOWN(AVERAGE($Q18,$S18,$U18,$Y18,$AA18,$AC18),3)),0)</f>
        <v>0.96799999999999997</v>
      </c>
      <c r="AY18" s="925">
        <f>IFERROR(IF(OR($AV$16="",$AV$16=0),0,ROUNDDOWN(AVERAGE($Q18,$S18,$U18,$Y18,$AA18,$AC18,$AG18,$AI18,$AK18),3)),0)</f>
        <v>0.96799999999999997</v>
      </c>
      <c r="AZ18" s="925">
        <f>IFERROR(IF(OR($AV$16="",$AV$16=0),0,ROUNDDOWN(AVERAGE($Y18,$AA18,$AC18,$AG18,$AI18,$AK18,$AO18,$AQ18,$AS18),3)),0)</f>
        <v>0.96399999999999997</v>
      </c>
      <c r="BA18" s="210">
        <f t="shared" ref="BA18" si="9">(IF(AND(AW18&gt;0,$AV18&gt;0),AW18/$AV18,0))*0.25</f>
        <v>0.25338541666666664</v>
      </c>
      <c r="BB18" s="210">
        <f t="shared" ref="BB18" si="10">(IF(AND(AX18&gt;0,$AV18&gt;0),AX18/$AV18,0))*0.5</f>
        <v>0.50416666666666665</v>
      </c>
      <c r="BC18" s="210">
        <f t="shared" ref="BC18" si="11">(IF(AND(AY18&gt;0,$AV18&gt;0),AY18/$AV18,0))*0.75</f>
        <v>0.75624999999999998</v>
      </c>
      <c r="BD18" s="210">
        <f t="shared" ref="BD18" si="12">(IF(AND(AZ18&gt;0,$AV18&gt;0),AZ18/$AV18,0))*1</f>
        <v>1.0041666666666667</v>
      </c>
      <c r="BE18" s="214">
        <f t="shared" si="1"/>
        <v>6.4351851851851855E-2</v>
      </c>
      <c r="BF18" s="214">
        <f t="shared" si="2"/>
        <v>0.12804232804232804</v>
      </c>
      <c r="BG18" s="752">
        <f t="shared" si="3"/>
        <v>0.19206349206349205</v>
      </c>
      <c r="BH18" s="752">
        <f t="shared" si="4"/>
        <v>0.25502645502645505</v>
      </c>
    </row>
    <row r="19" spans="2:60" ht="199.2" customHeight="1">
      <c r="B19" s="1505"/>
      <c r="C19" s="1505"/>
      <c r="D19" s="28" t="str">
        <f>+'01-FR-03 POA INSTITUCIONAL'!D64</f>
        <v xml:space="preserve">4.3.4 Formular e implementar el 100% del Plan Institucional de Capacitación de la vigencia.
</v>
      </c>
      <c r="E19" s="46">
        <f>+'01-FR-03 POA INSTITUCIONAL'!E64</f>
        <v>0.15</v>
      </c>
      <c r="F19" s="46">
        <f>+'01-FR-03 POA INSTITUCIONAL'!F64</f>
        <v>1</v>
      </c>
      <c r="G19" s="46">
        <f>+'01-FR-03 POA INSTITUCIONAL'!M64</f>
        <v>1</v>
      </c>
      <c r="H19" s="46">
        <f>+'01-FR-03 POA INSTITUCIONAL'!G64</f>
        <v>1</v>
      </c>
      <c r="I19" s="35" t="str">
        <f>+'01-FR-03 POA INSTITUCIONAL'!H64</f>
        <v>Plan Institucional de Capacitación formulado y ejecutado</v>
      </c>
      <c r="J19" s="155" t="s">
        <v>413</v>
      </c>
      <c r="K19" s="156" t="s">
        <v>401</v>
      </c>
      <c r="L19" s="119" t="s">
        <v>402</v>
      </c>
      <c r="M19" s="118" t="s">
        <v>418</v>
      </c>
      <c r="N19" s="118" t="s">
        <v>403</v>
      </c>
      <c r="O19" s="119" t="str">
        <f>+'01-FR-03 POA INSTITUCIONAL'!J64</f>
        <v>Dependencia Líder: 
Dirección de Talento Humano
Dependencia Operativa:
Subdirección de Desarrollo del Talento Humano</v>
      </c>
      <c r="P19" s="880">
        <v>0.1</v>
      </c>
      <c r="Q19" s="880">
        <v>0.1</v>
      </c>
      <c r="R19" s="880">
        <f>10%+7.78%</f>
        <v>0.17780000000000001</v>
      </c>
      <c r="S19" s="880">
        <f>10%+7.78%</f>
        <v>0.17780000000000001</v>
      </c>
      <c r="T19" s="880">
        <v>7.7799999999999994E-2</v>
      </c>
      <c r="U19" s="881">
        <v>5.1900000000000002E-2</v>
      </c>
      <c r="V19" s="195">
        <f>+P19+R19+T19</f>
        <v>0.35560000000000003</v>
      </c>
      <c r="W19" s="195">
        <f>+Q19+S19+U19</f>
        <v>0.32970000000000005</v>
      </c>
      <c r="X19" s="880">
        <v>7.7799999999999994E-2</v>
      </c>
      <c r="Y19" s="881">
        <v>5.1900000000000002E-2</v>
      </c>
      <c r="Z19" s="880">
        <v>7.7799999999999994E-2</v>
      </c>
      <c r="AA19" s="881">
        <v>0</v>
      </c>
      <c r="AB19" s="881">
        <v>7.7799999999999994E-2</v>
      </c>
      <c r="AC19" s="881">
        <v>2.5899999999999999E-2</v>
      </c>
      <c r="AD19" s="194">
        <f>+X19+Z19+AB19</f>
        <v>0.2334</v>
      </c>
      <c r="AE19" s="194">
        <f>+Y19+AA19+AC19</f>
        <v>7.7800000000000008E-2</v>
      </c>
      <c r="AF19" s="731">
        <v>7.7799999999999994E-2</v>
      </c>
      <c r="AG19" s="731"/>
      <c r="AH19" s="731">
        <v>7.7799999999999994E-2</v>
      </c>
      <c r="AI19" s="731"/>
      <c r="AJ19" s="735">
        <v>7.7799999999999994E-2</v>
      </c>
      <c r="AK19" s="718"/>
      <c r="AL19" s="195">
        <f>+AF19+AH19+AJ19</f>
        <v>0.2334</v>
      </c>
      <c r="AM19" s="195">
        <f>+AG19+AI19+AK19</f>
        <v>0</v>
      </c>
      <c r="AN19" s="731">
        <v>5.1900000000000002E-2</v>
      </c>
      <c r="AO19" s="731"/>
      <c r="AP19" s="731">
        <v>2.5899999999999999E-2</v>
      </c>
      <c r="AQ19" s="731"/>
      <c r="AR19" s="731">
        <v>0.1</v>
      </c>
      <c r="AS19" s="731"/>
      <c r="AT19" s="194">
        <f>+AN19+AP19+AR19</f>
        <v>0.17780000000000001</v>
      </c>
      <c r="AU19" s="194">
        <f>+AO19+AQ19+AS19</f>
        <v>0</v>
      </c>
      <c r="AV19" s="194">
        <f t="shared" ref="AV19:AV23" si="13">V19+AD19+AL19+AT19</f>
        <v>1.0002</v>
      </c>
      <c r="AW19" s="181">
        <f t="shared" ref="AW19:AW22" si="14">+W19</f>
        <v>0.32970000000000005</v>
      </c>
      <c r="AX19" s="199">
        <f t="shared" ref="AX19:AX22" si="15">+W19+AE19</f>
        <v>0.40750000000000008</v>
      </c>
      <c r="AY19" s="925">
        <f t="shared" ref="AY19:AY22" si="16">+W19+AE19+AM19</f>
        <v>0.40750000000000008</v>
      </c>
      <c r="AZ19" s="926">
        <f t="shared" ref="AZ19:AZ22" si="17">+W19+AE19+AM19+AU19</f>
        <v>0.40750000000000008</v>
      </c>
      <c r="BA19" s="210">
        <f t="shared" ref="BA19:BA23" si="18">IF(AND(AW19&gt;0,AV19&gt;0),AW19/AV19,0)</f>
        <v>0.32963407318536297</v>
      </c>
      <c r="BB19" s="210">
        <f t="shared" ref="BB19:BD23" si="19">IF(AND(AX19&gt;0,$AV19&gt;0),AX19/$AV19,0)</f>
        <v>0.40741851629674075</v>
      </c>
      <c r="BC19" s="210">
        <f t="shared" si="19"/>
        <v>0.40741851629674075</v>
      </c>
      <c r="BD19" s="241">
        <f t="shared" si="19"/>
        <v>0.40741851629674075</v>
      </c>
      <c r="BE19" s="214">
        <f>((IF(AND(AW19&gt;0,$F19&gt;0),AW19/$F19,0))/4)</f>
        <v>8.2425000000000012E-2</v>
      </c>
      <c r="BF19" s="214">
        <f t="shared" ref="BF19:BG19" si="20">((IF(AND(AX19&gt;0,$F19&gt;0),AX19/$F19,0))/4)</f>
        <v>0.10187500000000002</v>
      </c>
      <c r="BG19" s="752">
        <f t="shared" si="20"/>
        <v>0.10187500000000002</v>
      </c>
      <c r="BH19" s="752">
        <f t="shared" si="4"/>
        <v>0.10187500000000002</v>
      </c>
    </row>
    <row r="20" spans="2:60" ht="158.4">
      <c r="B20" s="1505"/>
      <c r="C20" s="1505"/>
      <c r="D20" s="28" t="str">
        <f>+'01-FR-03 POA INSTITUCIONAL'!D65</f>
        <v>4.3.5 Formular e implementar el 100% del Plan Institucional de Bienestar de la vigencia .</v>
      </c>
      <c r="E20" s="46">
        <f>+'01-FR-03 POA INSTITUCIONAL'!E65</f>
        <v>0.15</v>
      </c>
      <c r="F20" s="46">
        <f>+'01-FR-03 POA INSTITUCIONAL'!F65</f>
        <v>1</v>
      </c>
      <c r="G20" s="46">
        <f>+'01-FR-03 POA INSTITUCIONAL'!M65</f>
        <v>1</v>
      </c>
      <c r="H20" s="46">
        <f>+'01-FR-03 POA INSTITUCIONAL'!G65</f>
        <v>1</v>
      </c>
      <c r="I20" s="35" t="str">
        <f>+'01-FR-03 POA INSTITUCIONAL'!H65</f>
        <v>Plan Institucional de Bienestar formulado y ejecutado</v>
      </c>
      <c r="J20" s="155" t="s">
        <v>414</v>
      </c>
      <c r="K20" s="157" t="s">
        <v>404</v>
      </c>
      <c r="L20" s="119" t="s">
        <v>405</v>
      </c>
      <c r="M20" s="118" t="s">
        <v>418</v>
      </c>
      <c r="N20" s="118" t="s">
        <v>403</v>
      </c>
      <c r="O20" s="119" t="str">
        <f>+'01-FR-03 POA INSTITUCIONAL'!J65</f>
        <v>Dependencia Líder: 
Dirección de Talento Humano
Dependencia Operativa:
Subdirección de Desarrollo del Talento Humano</v>
      </c>
      <c r="P20" s="880">
        <v>0.1086</v>
      </c>
      <c r="Q20" s="880">
        <v>0.1086</v>
      </c>
      <c r="R20" s="880">
        <v>0.1346</v>
      </c>
      <c r="S20" s="880">
        <v>0.1346</v>
      </c>
      <c r="T20" s="881">
        <v>5.1900000000000002E-2</v>
      </c>
      <c r="U20" s="881">
        <v>5.1900000000000002E-2</v>
      </c>
      <c r="V20" s="195">
        <f t="shared" ref="V20:V22" si="21">+P20+R20+T20</f>
        <v>0.29510000000000003</v>
      </c>
      <c r="W20" s="195">
        <f t="shared" ref="W20:W22" si="22">+Q20+S20+U20</f>
        <v>0.29510000000000003</v>
      </c>
      <c r="X20" s="881">
        <v>6.0499999999999998E-2</v>
      </c>
      <c r="Y20" s="881">
        <v>6.0499999999999998E-2</v>
      </c>
      <c r="Z20" s="881">
        <v>6.9099999999999995E-2</v>
      </c>
      <c r="AA20" s="881">
        <v>6.0499999999999998E-2</v>
      </c>
      <c r="AB20" s="881">
        <v>9.69E-2</v>
      </c>
      <c r="AC20" s="881">
        <v>8.7800000000000003E-2</v>
      </c>
      <c r="AD20" s="195">
        <f t="shared" ref="AD20:AD22" si="23">+X20+Z20+AB20</f>
        <v>0.22649999999999998</v>
      </c>
      <c r="AE20" s="195">
        <f t="shared" ref="AE20:AE22" si="24">+Y20+AA20+AC20</f>
        <v>0.20879999999999999</v>
      </c>
      <c r="AF20" s="881">
        <v>7.0400000000000004E-2</v>
      </c>
      <c r="AG20" s="881"/>
      <c r="AH20" s="881">
        <v>7.0400000000000004E-2</v>
      </c>
      <c r="AI20" s="881"/>
      <c r="AJ20" s="881">
        <v>7.0400000000000004E-2</v>
      </c>
      <c r="AK20" s="883"/>
      <c r="AL20" s="195">
        <f t="shared" ref="AL20:AL22" si="25">+AF20+AH20+AJ20</f>
        <v>0.2112</v>
      </c>
      <c r="AM20" s="195">
        <f t="shared" ref="AM20:AM22" si="26">+AG20+AI20+AK20</f>
        <v>0</v>
      </c>
      <c r="AN20" s="881">
        <v>7.0400000000000004E-2</v>
      </c>
      <c r="AO20" s="881"/>
      <c r="AP20" s="881">
        <v>5.28E-2</v>
      </c>
      <c r="AQ20" s="881"/>
      <c r="AR20" s="881">
        <v>0.14399999999999999</v>
      </c>
      <c r="AS20" s="881"/>
      <c r="AT20" s="195">
        <f t="shared" ref="AT20:AT21" si="27">+AN20+AP20+AR20</f>
        <v>0.26719999999999999</v>
      </c>
      <c r="AU20" s="195">
        <f t="shared" ref="AU20:AU21" si="28">+AO20+AQ20+AS20</f>
        <v>0</v>
      </c>
      <c r="AV20" s="195">
        <f t="shared" si="13"/>
        <v>1</v>
      </c>
      <c r="AW20" s="181">
        <f t="shared" si="14"/>
        <v>0.29510000000000003</v>
      </c>
      <c r="AX20" s="199">
        <f t="shared" si="15"/>
        <v>0.50390000000000001</v>
      </c>
      <c r="AY20" s="926">
        <f t="shared" si="16"/>
        <v>0.50390000000000001</v>
      </c>
      <c r="AZ20" s="925">
        <f t="shared" si="17"/>
        <v>0.50390000000000001</v>
      </c>
      <c r="BA20" s="210">
        <f t="shared" si="18"/>
        <v>0.29510000000000003</v>
      </c>
      <c r="BB20" s="210">
        <f t="shared" si="19"/>
        <v>0.50390000000000001</v>
      </c>
      <c r="BC20" s="210">
        <f t="shared" si="19"/>
        <v>0.50390000000000001</v>
      </c>
      <c r="BD20" s="210">
        <f t="shared" si="19"/>
        <v>0.50390000000000001</v>
      </c>
      <c r="BE20" s="214">
        <f t="shared" ref="BE20:BE22" si="29">((IF(AND(AW20&gt;0,$F20&gt;0),AW20/$F20,0))/4)</f>
        <v>7.3775000000000007E-2</v>
      </c>
      <c r="BF20" s="214">
        <f t="shared" ref="BF20:BF22" si="30">((IF(AND(AX20&gt;0,$F20&gt;0),AX20/$F20,0))/4)</f>
        <v>0.125975</v>
      </c>
      <c r="BG20" s="752">
        <f t="shared" ref="BG20:BG22" si="31">((IF(AND(AY20&gt;0,$F20&gt;0),AY20/$F20,0))/4)</f>
        <v>0.125975</v>
      </c>
      <c r="BH20" s="752">
        <f t="shared" ref="BH20:BH22" si="32">((IF(AND(AZ20&gt;0,$F20&gt;0),AZ20/$F20,0))/4)</f>
        <v>0.125975</v>
      </c>
    </row>
    <row r="21" spans="2:60" ht="156.6" customHeight="1">
      <c r="B21" s="1505"/>
      <c r="C21" s="1505"/>
      <c r="D21" s="28" t="str">
        <f>+'01-FR-03 POA INSTITUCIONAL'!D66</f>
        <v>4.3.6 Formular e implementar el 100% del Plan Institucional de Incentivos de la vigencia.</v>
      </c>
      <c r="E21" s="46">
        <f>+'01-FR-03 POA INSTITUCIONAL'!E66</f>
        <v>0.15</v>
      </c>
      <c r="F21" s="46">
        <f>+'01-FR-03 POA INSTITUCIONAL'!F66</f>
        <v>1</v>
      </c>
      <c r="G21" s="46">
        <f>+'01-FR-03 POA INSTITUCIONAL'!M66</f>
        <v>1</v>
      </c>
      <c r="H21" s="46">
        <f>+'01-FR-03 POA INSTITUCIONAL'!G66</f>
        <v>1</v>
      </c>
      <c r="I21" s="35" t="str">
        <f>+'01-FR-03 POA INSTITUCIONAL'!H66</f>
        <v>Plan Institucional de Incentivos formulado y ejecutado</v>
      </c>
      <c r="J21" s="155" t="s">
        <v>415</v>
      </c>
      <c r="K21" s="157" t="s">
        <v>406</v>
      </c>
      <c r="L21" s="119" t="s">
        <v>405</v>
      </c>
      <c r="M21" s="118" t="s">
        <v>418</v>
      </c>
      <c r="N21" s="118" t="s">
        <v>403</v>
      </c>
      <c r="O21" s="119" t="str">
        <f>+'01-FR-03 POA INSTITUCIONAL'!J66</f>
        <v>Dependencia Líder: 
Dirección de Talento Humano
Dependencia Operativa:
Subdirección de Desarrollo del Talento Humano</v>
      </c>
      <c r="P21" s="880">
        <v>0.1</v>
      </c>
      <c r="Q21" s="880">
        <v>0.1</v>
      </c>
      <c r="R21" s="880">
        <v>0.1</v>
      </c>
      <c r="S21" s="881">
        <v>0.1</v>
      </c>
      <c r="T21" s="882">
        <v>0.05</v>
      </c>
      <c r="U21" s="882">
        <v>0.05</v>
      </c>
      <c r="V21" s="195">
        <f t="shared" si="21"/>
        <v>0.25</v>
      </c>
      <c r="W21" s="195">
        <f t="shared" si="22"/>
        <v>0.25</v>
      </c>
      <c r="X21" s="882">
        <v>0.1</v>
      </c>
      <c r="Y21" s="882">
        <v>0.1</v>
      </c>
      <c r="Z21" s="881">
        <v>0</v>
      </c>
      <c r="AA21" s="881">
        <v>0</v>
      </c>
      <c r="AB21" s="881">
        <v>0</v>
      </c>
      <c r="AC21" s="881">
        <v>0</v>
      </c>
      <c r="AD21" s="195">
        <f t="shared" si="23"/>
        <v>0.1</v>
      </c>
      <c r="AE21" s="195">
        <f t="shared" si="24"/>
        <v>0.1</v>
      </c>
      <c r="AF21" s="882">
        <v>0</v>
      </c>
      <c r="AG21" s="881"/>
      <c r="AH21" s="882">
        <v>0.1</v>
      </c>
      <c r="AI21" s="881"/>
      <c r="AJ21" s="882">
        <v>0</v>
      </c>
      <c r="AK21" s="883"/>
      <c r="AL21" s="195">
        <f t="shared" si="25"/>
        <v>0.1</v>
      </c>
      <c r="AM21" s="195">
        <f t="shared" si="26"/>
        <v>0</v>
      </c>
      <c r="AN21" s="881">
        <v>0</v>
      </c>
      <c r="AO21" s="881"/>
      <c r="AP21" s="882">
        <v>0.1</v>
      </c>
      <c r="AQ21" s="881"/>
      <c r="AR21" s="881">
        <v>0.45</v>
      </c>
      <c r="AS21" s="881"/>
      <c r="AT21" s="195">
        <f t="shared" si="27"/>
        <v>0.55000000000000004</v>
      </c>
      <c r="AU21" s="195">
        <f t="shared" si="28"/>
        <v>0</v>
      </c>
      <c r="AV21" s="194">
        <f t="shared" si="13"/>
        <v>1</v>
      </c>
      <c r="AW21" s="181">
        <f t="shared" si="14"/>
        <v>0.25</v>
      </c>
      <c r="AX21" s="199">
        <f t="shared" si="15"/>
        <v>0.35</v>
      </c>
      <c r="AY21" s="925">
        <f t="shared" si="16"/>
        <v>0.35</v>
      </c>
      <c r="AZ21" s="926">
        <f t="shared" si="17"/>
        <v>0.35</v>
      </c>
      <c r="BA21" s="210">
        <f t="shared" si="18"/>
        <v>0.25</v>
      </c>
      <c r="BB21" s="241">
        <f t="shared" si="19"/>
        <v>0.35</v>
      </c>
      <c r="BC21" s="241">
        <f t="shared" si="19"/>
        <v>0.35</v>
      </c>
      <c r="BD21" s="241">
        <f t="shared" si="19"/>
        <v>0.35</v>
      </c>
      <c r="BE21" s="214">
        <f t="shared" si="29"/>
        <v>6.25E-2</v>
      </c>
      <c r="BF21" s="214">
        <f t="shared" si="30"/>
        <v>8.7499999999999994E-2</v>
      </c>
      <c r="BG21" s="752">
        <f t="shared" si="31"/>
        <v>8.7499999999999994E-2</v>
      </c>
      <c r="BH21" s="752">
        <f t="shared" si="32"/>
        <v>8.7499999999999994E-2</v>
      </c>
    </row>
    <row r="22" spans="2:60" ht="174" customHeight="1">
      <c r="B22" s="1505"/>
      <c r="C22" s="1505"/>
      <c r="D22" s="28" t="str">
        <f>+'01-FR-03 POA INSTITUCIONAL'!D67</f>
        <v>4.3.7 Diseñar e implementar el 100 % del Plan Anual de Seguridad y Salud en el Trabajo de la vigencia.</v>
      </c>
      <c r="E22" s="46">
        <f>+'01-FR-03 POA INSTITUCIONAL'!E67</f>
        <v>0.15</v>
      </c>
      <c r="F22" s="46">
        <f>+'01-FR-03 POA INSTITUCIONAL'!F67</f>
        <v>1</v>
      </c>
      <c r="G22" s="46">
        <f>+'01-FR-03 POA INSTITUCIONAL'!M67</f>
        <v>1</v>
      </c>
      <c r="H22" s="46">
        <f>+'01-FR-03 POA INSTITUCIONAL'!G67</f>
        <v>0.99</v>
      </c>
      <c r="I22" s="35" t="str">
        <f>+'01-FR-03 POA INSTITUCIONAL'!H67</f>
        <v>Plan Anual de Seguridad y Salud en el Trabajo diseñado y ejecutado</v>
      </c>
      <c r="J22" s="155" t="s">
        <v>416</v>
      </c>
      <c r="K22" s="157" t="s">
        <v>407</v>
      </c>
      <c r="L22" s="119" t="s">
        <v>408</v>
      </c>
      <c r="M22" s="118" t="s">
        <v>418</v>
      </c>
      <c r="N22" s="118" t="s">
        <v>403</v>
      </c>
      <c r="O22" s="119" t="str">
        <f>+'01-FR-03 POA INSTITUCIONAL'!J67</f>
        <v>Dependencia Líder: 
Dirección de Talento Humano
Dependencia Operativa:
Subdirección de Desarrollo del Talento Humano</v>
      </c>
      <c r="P22" s="880">
        <v>0.1159</v>
      </c>
      <c r="Q22" s="880">
        <v>0.1159</v>
      </c>
      <c r="R22" s="880">
        <v>0.13980000000000001</v>
      </c>
      <c r="S22" s="880">
        <v>0.13980000000000001</v>
      </c>
      <c r="T22" s="881">
        <v>6.3600000000000004E-2</v>
      </c>
      <c r="U22" s="881">
        <v>6.3600000000000004E-2</v>
      </c>
      <c r="V22" s="195">
        <f t="shared" si="21"/>
        <v>0.31930000000000003</v>
      </c>
      <c r="W22" s="195">
        <f t="shared" si="22"/>
        <v>0.31930000000000003</v>
      </c>
      <c r="X22" s="881">
        <v>5.57E-2</v>
      </c>
      <c r="Y22" s="881">
        <v>5.57E-2</v>
      </c>
      <c r="Z22" s="881">
        <v>2.3900000000000001E-2</v>
      </c>
      <c r="AA22" s="881">
        <v>2.3900000000000001E-2</v>
      </c>
      <c r="AB22" s="881">
        <v>3.1800000000000002E-2</v>
      </c>
      <c r="AC22" s="881">
        <v>3.1800000000000002E-2</v>
      </c>
      <c r="AD22" s="195">
        <f t="shared" si="23"/>
        <v>0.1114</v>
      </c>
      <c r="AE22" s="195">
        <f t="shared" si="24"/>
        <v>0.1114</v>
      </c>
      <c r="AF22" s="881">
        <v>0.15909999999999999</v>
      </c>
      <c r="AG22" s="881"/>
      <c r="AH22" s="881">
        <v>3.9800000000000002E-2</v>
      </c>
      <c r="AI22" s="881"/>
      <c r="AJ22" s="884">
        <v>2.3900000000000001E-2</v>
      </c>
      <c r="AK22" s="883"/>
      <c r="AL22" s="195">
        <f t="shared" si="25"/>
        <v>0.2228</v>
      </c>
      <c r="AM22" s="195">
        <f t="shared" si="26"/>
        <v>0</v>
      </c>
      <c r="AN22" s="881">
        <v>3.9800000000000002E-2</v>
      </c>
      <c r="AO22" s="881"/>
      <c r="AP22" s="881">
        <v>3.9800000000000002E-2</v>
      </c>
      <c r="AQ22" s="881"/>
      <c r="AR22" s="881">
        <v>0.26690000000000003</v>
      </c>
      <c r="AS22" s="881"/>
      <c r="AT22" s="195">
        <f>+AN22+AP22+AR22</f>
        <v>0.34650000000000003</v>
      </c>
      <c r="AU22" s="195">
        <f>+AO22+AQ22+AS22</f>
        <v>0</v>
      </c>
      <c r="AV22" s="195">
        <f t="shared" si="13"/>
        <v>1</v>
      </c>
      <c r="AW22" s="181">
        <f t="shared" si="14"/>
        <v>0.31930000000000003</v>
      </c>
      <c r="AX22" s="199">
        <f t="shared" si="15"/>
        <v>0.43070000000000003</v>
      </c>
      <c r="AY22" s="926">
        <f t="shared" si="16"/>
        <v>0.43070000000000003</v>
      </c>
      <c r="AZ22" s="926">
        <f t="shared" si="17"/>
        <v>0.43070000000000003</v>
      </c>
      <c r="BA22" s="210">
        <f t="shared" si="18"/>
        <v>0.31930000000000003</v>
      </c>
      <c r="BB22" s="241">
        <f t="shared" si="19"/>
        <v>0.43070000000000003</v>
      </c>
      <c r="BC22" s="241">
        <f t="shared" si="19"/>
        <v>0.43070000000000003</v>
      </c>
      <c r="BD22" s="241">
        <f t="shared" si="19"/>
        <v>0.43070000000000003</v>
      </c>
      <c r="BE22" s="214">
        <f t="shared" si="29"/>
        <v>7.9825000000000007E-2</v>
      </c>
      <c r="BF22" s="214">
        <f t="shared" si="30"/>
        <v>0.10767500000000001</v>
      </c>
      <c r="BG22" s="752">
        <f t="shared" si="31"/>
        <v>0.10767500000000001</v>
      </c>
      <c r="BH22" s="752">
        <f t="shared" si="32"/>
        <v>0.10767500000000001</v>
      </c>
    </row>
    <row r="23" spans="2:60" ht="132">
      <c r="B23" s="1506"/>
      <c r="C23" s="1506"/>
      <c r="D23" s="28" t="str">
        <f>+'01-FR-03 POA INSTITUCIONAL'!D68</f>
        <v>4.3.8 Realizar 21 capacitaciones sobre los Sistemas de Gestión y Evaluación del Desempeño Laboral de la Entidad.</v>
      </c>
      <c r="E23" s="46">
        <f>+'01-FR-03 POA INSTITUCIONAL'!E68</f>
        <v>0.1</v>
      </c>
      <c r="F23" s="65">
        <f>+'01-FR-03 POA INSTITUCIONAL'!F68</f>
        <v>21</v>
      </c>
      <c r="G23" s="65">
        <f>+'01-FR-03 POA INSTITUCIONAL'!M68</f>
        <v>4</v>
      </c>
      <c r="H23" s="46" t="str">
        <f>+'01-FR-03 POA INSTITUCIONAL'!G68</f>
        <v>S.I.</v>
      </c>
      <c r="I23" s="35" t="str">
        <f>+'01-FR-03 POA INSTITUCIONAL'!H68</f>
        <v>Capacitaciones realizadas sobre los Sistemas de Gestión y Evaluación del Desempeño Laboral de la Personería de Bogotá, D.C.</v>
      </c>
      <c r="J23" s="116" t="s">
        <v>417</v>
      </c>
      <c r="K23" s="157" t="s">
        <v>409</v>
      </c>
      <c r="L23" s="119" t="s">
        <v>410</v>
      </c>
      <c r="M23" s="118" t="s">
        <v>419</v>
      </c>
      <c r="N23" s="118" t="s">
        <v>411</v>
      </c>
      <c r="O23" s="119" t="str">
        <f>+'01-FR-03 POA INSTITUCIONAL'!J68</f>
        <v>Dirección de Talento Humano</v>
      </c>
      <c r="P23" s="733">
        <v>1</v>
      </c>
      <c r="Q23" s="733">
        <v>1</v>
      </c>
      <c r="R23" s="733">
        <v>1</v>
      </c>
      <c r="S23" s="733">
        <v>1</v>
      </c>
      <c r="T23" s="733">
        <v>0</v>
      </c>
      <c r="U23" s="733">
        <v>0</v>
      </c>
      <c r="V23" s="67">
        <f>+P23+R23+T23</f>
        <v>2</v>
      </c>
      <c r="W23" s="67">
        <f>+Q23+S23+U23</f>
        <v>2</v>
      </c>
      <c r="X23" s="734">
        <v>0</v>
      </c>
      <c r="Y23" s="734">
        <v>0</v>
      </c>
      <c r="Z23" s="734">
        <v>0</v>
      </c>
      <c r="AA23" s="734">
        <v>0</v>
      </c>
      <c r="AB23" s="734">
        <v>1</v>
      </c>
      <c r="AC23" s="734">
        <v>1</v>
      </c>
      <c r="AD23" s="67">
        <f>+X23+Z23+AB23</f>
        <v>1</v>
      </c>
      <c r="AE23" s="67">
        <f>+Y23+AA23+AC23</f>
        <v>1</v>
      </c>
      <c r="AF23" s="736">
        <v>1</v>
      </c>
      <c r="AG23" s="736"/>
      <c r="AH23" s="736">
        <v>0</v>
      </c>
      <c r="AI23" s="736"/>
      <c r="AJ23" s="737">
        <v>0</v>
      </c>
      <c r="AK23" s="737"/>
      <c r="AL23" s="67">
        <f>+AF23+AH23+AJ23</f>
        <v>1</v>
      </c>
      <c r="AM23" s="67">
        <f>+AG23+AI23+AK23</f>
        <v>0</v>
      </c>
      <c r="AN23" s="738">
        <v>0</v>
      </c>
      <c r="AO23" s="738"/>
      <c r="AP23" s="738">
        <v>0</v>
      </c>
      <c r="AQ23" s="738"/>
      <c r="AR23" s="738">
        <v>0</v>
      </c>
      <c r="AS23" s="738"/>
      <c r="AT23" s="67">
        <f>+AN23+AP23+AR23</f>
        <v>0</v>
      </c>
      <c r="AU23" s="67">
        <f>+AO23+AQ23+AS23</f>
        <v>0</v>
      </c>
      <c r="AV23" s="739">
        <f t="shared" si="13"/>
        <v>4</v>
      </c>
      <c r="AW23" s="62">
        <f>+W23</f>
        <v>2</v>
      </c>
      <c r="AX23" s="62">
        <f t="shared" ref="AX23" si="33">+W23+AE23</f>
        <v>3</v>
      </c>
      <c r="AY23" s="928">
        <f t="shared" ref="AY23" si="34">+W23+AE23+AM23</f>
        <v>3</v>
      </c>
      <c r="AZ23" s="928">
        <f t="shared" ref="AZ23" si="35">+W23+AE23+AM23+AU23</f>
        <v>3</v>
      </c>
      <c r="BA23" s="211">
        <f t="shared" si="18"/>
        <v>0.5</v>
      </c>
      <c r="BB23" s="241">
        <f t="shared" si="19"/>
        <v>0.75</v>
      </c>
      <c r="BC23" s="241">
        <f t="shared" si="19"/>
        <v>0.75</v>
      </c>
      <c r="BD23" s="241">
        <f t="shared" si="19"/>
        <v>0.75</v>
      </c>
      <c r="BE23" s="214">
        <f>(IF(AND(AW23&gt;0,$F23&gt;0),AW23/$F23,0))</f>
        <v>9.5238095238095233E-2</v>
      </c>
      <c r="BF23" s="214">
        <f t="shared" ref="BF23:BH23" si="36">(IF(AND(AX23&gt;0,$F23&gt;0),AX23/$F23,0))</f>
        <v>0.14285714285714285</v>
      </c>
      <c r="BG23" s="751">
        <f t="shared" si="36"/>
        <v>0.14285714285714285</v>
      </c>
      <c r="BH23" s="751">
        <f t="shared" si="36"/>
        <v>0.14285714285714285</v>
      </c>
    </row>
    <row r="24" spans="2:60" ht="15.6">
      <c r="B24" s="1496"/>
      <c r="C24" s="1497"/>
      <c r="D24" s="1497"/>
      <c r="E24" s="1497"/>
      <c r="F24" s="1497"/>
      <c r="G24" s="1497"/>
      <c r="H24" s="1497"/>
      <c r="I24" s="1497"/>
      <c r="J24" s="1497"/>
      <c r="K24" s="1497"/>
      <c r="L24" s="1497"/>
      <c r="M24" s="1497"/>
      <c r="N24" s="1497"/>
      <c r="O24" s="1497"/>
      <c r="P24" s="1497"/>
      <c r="Q24" s="1497"/>
      <c r="R24" s="1497"/>
      <c r="S24" s="1497"/>
      <c r="T24" s="1497"/>
      <c r="U24" s="1497"/>
      <c r="V24" s="1497"/>
      <c r="W24" s="1497"/>
      <c r="X24" s="1497"/>
      <c r="Y24" s="1497"/>
      <c r="Z24" s="1497"/>
      <c r="AA24" s="1497"/>
      <c r="AB24" s="1497"/>
      <c r="AC24" s="1497"/>
      <c r="AD24" s="1497"/>
      <c r="AE24" s="1497"/>
      <c r="AF24" s="1497"/>
      <c r="AG24" s="1497"/>
      <c r="AH24" s="1497"/>
      <c r="AI24" s="1497"/>
      <c r="AJ24" s="1497"/>
      <c r="AK24" s="1497"/>
      <c r="AL24" s="1497"/>
      <c r="AM24" s="1497"/>
      <c r="AN24" s="1497"/>
      <c r="AO24" s="1497"/>
      <c r="AP24" s="1497"/>
      <c r="AQ24" s="1497"/>
      <c r="AR24" s="1497"/>
      <c r="AS24" s="1497"/>
      <c r="AT24" s="1497"/>
      <c r="AU24" s="1497"/>
      <c r="AV24" s="1497"/>
      <c r="AW24" s="1498"/>
      <c r="AX24" s="1520" t="s">
        <v>19</v>
      </c>
      <c r="AY24" s="1521"/>
      <c r="AZ24" s="1521"/>
      <c r="BA24" s="64">
        <f t="shared" ref="BA24:BD24" si="37">AVERAGE(BA17:BA23)</f>
        <v>0.31460948980393427</v>
      </c>
      <c r="BB24" s="64">
        <f t="shared" si="37"/>
        <v>0.49369700864491822</v>
      </c>
      <c r="BC24" s="64">
        <f t="shared" si="37"/>
        <v>0.56611561894618156</v>
      </c>
      <c r="BD24" s="64">
        <f t="shared" si="37"/>
        <v>0.63793899115220676</v>
      </c>
      <c r="BE24" s="1517"/>
      <c r="BF24" s="1518"/>
      <c r="BG24" s="1518"/>
      <c r="BH24" s="1519"/>
    </row>
    <row r="25" spans="2:60">
      <c r="B25" s="1413"/>
      <c r="C25" s="1413"/>
      <c r="D25" s="1413"/>
      <c r="E25" s="1413"/>
      <c r="F25" s="1413"/>
      <c r="G25" s="1413"/>
      <c r="H25" s="158"/>
      <c r="I25" s="159"/>
      <c r="J25" s="159"/>
      <c r="K25" s="159"/>
      <c r="L25" s="159"/>
      <c r="M25" s="159"/>
      <c r="N25" s="159"/>
      <c r="O25" s="159"/>
    </row>
    <row r="26" spans="2:60">
      <c r="B26" s="159"/>
      <c r="C26" s="159"/>
      <c r="D26" s="1503"/>
      <c r="E26" s="1503"/>
      <c r="F26" s="1503"/>
      <c r="G26" s="1503"/>
      <c r="H26" s="1503"/>
      <c r="I26" s="1503"/>
      <c r="J26" s="1503"/>
      <c r="K26" s="1503"/>
      <c r="L26" s="1503"/>
      <c r="M26" s="1503"/>
      <c r="N26" s="1503"/>
      <c r="O26" s="1503"/>
    </row>
    <row r="27" spans="2:60" ht="15.6" customHeight="1">
      <c r="B27" s="40" t="s">
        <v>26</v>
      </c>
      <c r="C27" s="41">
        <v>44224</v>
      </c>
      <c r="D27" s="121"/>
      <c r="E27" s="1443" t="s">
        <v>50</v>
      </c>
      <c r="F27" s="1488" t="s">
        <v>629</v>
      </c>
      <c r="G27" s="1489"/>
      <c r="H27" s="1489"/>
      <c r="I27" s="1489"/>
      <c r="J27" s="1490"/>
      <c r="K27" s="43"/>
      <c r="L27" s="1403"/>
      <c r="M27" s="1403"/>
      <c r="N27" s="1403"/>
      <c r="O27" s="1439"/>
    </row>
    <row r="28" spans="2:60" ht="15.6">
      <c r="B28" s="159"/>
      <c r="C28" s="159"/>
      <c r="D28" s="43"/>
      <c r="E28" s="1443"/>
      <c r="F28" s="1491"/>
      <c r="G28" s="1492"/>
      <c r="H28" s="1492"/>
      <c r="I28" s="1492"/>
      <c r="J28" s="1493"/>
      <c r="K28" s="159"/>
      <c r="L28" s="159"/>
      <c r="M28" s="159"/>
      <c r="N28" s="159"/>
      <c r="O28" s="159"/>
    </row>
    <row r="29" spans="2:60" ht="15.6">
      <c r="B29" s="40" t="s">
        <v>49</v>
      </c>
      <c r="C29" s="41">
        <v>44581</v>
      </c>
      <c r="D29" s="159"/>
      <c r="E29" s="159"/>
      <c r="F29" s="159"/>
      <c r="K29" s="159"/>
      <c r="L29" s="159"/>
      <c r="M29" s="159"/>
      <c r="N29" s="159"/>
      <c r="O29" s="159"/>
    </row>
    <row r="30" spans="2:60" s="1" customFormat="1" ht="13.2" customHeight="1">
      <c r="B30" s="38"/>
      <c r="C30" s="868"/>
      <c r="D30" s="38"/>
      <c r="E30" s="38"/>
      <c r="F30" s="38"/>
      <c r="G30" s="5"/>
      <c r="H30" s="5"/>
      <c r="I30" s="3"/>
      <c r="J30" s="3"/>
      <c r="K30" s="38"/>
      <c r="L30" s="38"/>
      <c r="M30" s="38"/>
      <c r="N30" s="38"/>
      <c r="O30" s="38"/>
    </row>
    <row r="31" spans="2:60" s="1" customFormat="1" ht="20.25" customHeight="1">
      <c r="B31" s="40" t="s">
        <v>49</v>
      </c>
      <c r="C31" s="41">
        <v>44953</v>
      </c>
      <c r="D31" s="38"/>
      <c r="E31" s="38"/>
      <c r="F31" s="38"/>
      <c r="G31" s="5"/>
      <c r="H31" s="5"/>
      <c r="I31" s="3"/>
      <c r="J31" s="3"/>
      <c r="K31" s="38"/>
      <c r="L31" s="38"/>
      <c r="M31" s="38"/>
      <c r="N31" s="38"/>
      <c r="O31" s="38"/>
    </row>
    <row r="32" spans="2:60">
      <c r="B32" s="159"/>
      <c r="C32" s="159"/>
      <c r="D32" s="159"/>
      <c r="E32" s="159"/>
      <c r="F32" s="159"/>
      <c r="K32" s="159"/>
      <c r="L32" s="159"/>
      <c r="M32" s="159"/>
      <c r="N32" s="159"/>
      <c r="O32" s="159"/>
    </row>
    <row r="33" spans="2:15" s="1" customFormat="1" ht="18" customHeight="1">
      <c r="B33" s="40" t="s">
        <v>49</v>
      </c>
      <c r="C33" s="41">
        <v>45105</v>
      </c>
      <c r="D33" s="38"/>
      <c r="E33" s="38"/>
      <c r="F33" s="38"/>
      <c r="G33" s="5"/>
      <c r="H33" s="5"/>
      <c r="I33" s="3"/>
      <c r="J33" s="3"/>
      <c r="K33" s="38"/>
      <c r="L33" s="38"/>
      <c r="M33" s="38"/>
      <c r="N33" s="38"/>
      <c r="O33" s="38"/>
    </row>
    <row r="34" spans="2:15">
      <c r="B34" s="934"/>
      <c r="C34" s="934"/>
      <c r="D34" s="934"/>
      <c r="E34" s="934"/>
      <c r="F34" s="934"/>
      <c r="K34" s="934"/>
      <c r="L34" s="934"/>
      <c r="M34" s="934"/>
      <c r="N34" s="934"/>
      <c r="O34" s="934"/>
    </row>
    <row r="35" spans="2:15">
      <c r="B35" s="445" t="s">
        <v>876</v>
      </c>
      <c r="C35" s="159"/>
      <c r="D35" s="159"/>
      <c r="E35" s="159"/>
      <c r="F35" s="159"/>
      <c r="G35" s="158"/>
      <c r="H35" s="158"/>
      <c r="I35" s="1403"/>
      <c r="J35" s="1403"/>
      <c r="K35" s="1403"/>
      <c r="L35" s="1403"/>
      <c r="M35" s="34"/>
      <c r="N35" s="34"/>
      <c r="O35" s="34"/>
    </row>
    <row r="36" spans="2:15">
      <c r="B36" s="159"/>
      <c r="C36" s="159"/>
      <c r="D36" s="159"/>
      <c r="E36" s="159"/>
      <c r="F36" s="159"/>
      <c r="G36" s="158"/>
      <c r="H36" s="158"/>
      <c r="I36" s="159"/>
      <c r="J36" s="159"/>
      <c r="K36" s="160"/>
      <c r="L36" s="159"/>
      <c r="M36" s="159"/>
      <c r="N36" s="159"/>
      <c r="O36" s="159"/>
    </row>
    <row r="37" spans="2:15">
      <c r="B37" s="159"/>
      <c r="C37" s="159"/>
      <c r="D37" s="159"/>
      <c r="E37" s="159"/>
      <c r="F37" s="159"/>
      <c r="G37" s="158"/>
      <c r="H37" s="158"/>
      <c r="I37" s="1403"/>
      <c r="J37" s="1403"/>
      <c r="K37" s="1403"/>
      <c r="L37" s="1403"/>
      <c r="M37" s="34"/>
      <c r="N37" s="34"/>
      <c r="O37" s="34"/>
    </row>
    <row r="38" spans="2:15">
      <c r="B38" s="159"/>
      <c r="C38" s="159"/>
      <c r="D38" s="159"/>
      <c r="E38" s="159"/>
      <c r="F38" s="159"/>
      <c r="G38" s="158"/>
      <c r="H38" s="158"/>
      <c r="I38" s="159"/>
      <c r="J38" s="159"/>
      <c r="K38" s="160"/>
      <c r="L38" s="159"/>
      <c r="M38" s="159"/>
      <c r="N38" s="159"/>
      <c r="O38" s="159"/>
    </row>
    <row r="39" spans="2:15">
      <c r="B39" s="159"/>
      <c r="C39" s="159"/>
      <c r="D39" s="159"/>
      <c r="E39" s="159"/>
      <c r="F39" s="159"/>
      <c r="G39" s="158"/>
      <c r="H39" s="158"/>
      <c r="I39" s="1403"/>
      <c r="J39" s="1403"/>
      <c r="K39" s="1403"/>
      <c r="L39" s="1403"/>
      <c r="M39" s="34"/>
      <c r="N39" s="34"/>
      <c r="O39" s="34"/>
    </row>
  </sheetData>
  <sheetProtection algorithmName="SHA-512" hashValue="5i/hk6eJZUF2OdrzxHN8L0Q36M9bqqjbp896cfEakPFe7NG7SgRCrtNX8B3o1SkaSPxbq44tDn7ZQudQssSfQA==" saltValue="XUzT957yxErrHGlOEKOjJA==" spinCount="100000" sheet="1" objects="1" scenarios="1"/>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9:L39"/>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5:L35"/>
    <mergeCell ref="I37:L37"/>
    <mergeCell ref="F27:J28"/>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31"/>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3" width="28.5546875" style="3" customWidth="1"/>
    <col min="14" max="14" width="33.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1" ht="15.6" thickBot="1"/>
    <row r="2" spans="2:61" ht="15.6">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1" ht="15.6">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1"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1" ht="15.6">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1"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1">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1" ht="21">
      <c r="B8" s="19" t="s">
        <v>45</v>
      </c>
      <c r="C8" s="1462" t="s">
        <v>92</v>
      </c>
      <c r="D8" s="1462"/>
      <c r="E8" s="17"/>
      <c r="F8" s="17"/>
      <c r="G8" s="17"/>
      <c r="H8" s="17"/>
      <c r="I8" s="17"/>
      <c r="J8" s="17"/>
      <c r="K8" s="17"/>
      <c r="L8" s="17"/>
      <c r="M8" s="17"/>
      <c r="N8" s="17"/>
      <c r="O8" s="17"/>
      <c r="AW8" s="34"/>
      <c r="AX8" s="34"/>
      <c r="AY8" s="34"/>
      <c r="AZ8" s="34"/>
      <c r="BA8" s="34"/>
      <c r="BB8" s="34"/>
      <c r="BC8" s="34"/>
      <c r="BD8" s="34"/>
    </row>
    <row r="9" spans="2:61" ht="63" customHeight="1">
      <c r="B9" s="19" t="s">
        <v>34</v>
      </c>
      <c r="C9" s="1515" t="s">
        <v>424</v>
      </c>
      <c r="D9" s="1428"/>
      <c r="E9" s="1524"/>
      <c r="F9" s="1525"/>
      <c r="G9" s="1525"/>
      <c r="H9" s="17"/>
      <c r="I9" s="17"/>
      <c r="J9" s="17"/>
      <c r="K9" s="17"/>
      <c r="L9" s="17"/>
      <c r="M9" s="17"/>
      <c r="N9" s="17"/>
      <c r="O9" s="17"/>
      <c r="AW9" s="34"/>
      <c r="AX9" s="34"/>
      <c r="AY9" s="34"/>
      <c r="AZ9" s="34"/>
      <c r="BA9" s="34"/>
      <c r="BB9" s="34"/>
      <c r="BC9" s="34"/>
      <c r="BD9" s="34"/>
    </row>
    <row r="10" spans="2:61" ht="24.6">
      <c r="B10" s="19" t="s">
        <v>101</v>
      </c>
      <c r="C10" s="1429">
        <v>2023</v>
      </c>
      <c r="D10" s="1430"/>
      <c r="E10" s="161"/>
      <c r="F10" s="161"/>
      <c r="G10" s="17"/>
      <c r="H10" s="17"/>
      <c r="I10" s="17"/>
      <c r="J10" s="17"/>
      <c r="K10" s="17"/>
      <c r="L10" s="17"/>
      <c r="M10" s="17"/>
      <c r="N10" s="17"/>
      <c r="O10" s="17"/>
      <c r="AW10" s="34"/>
      <c r="AX10" s="34"/>
      <c r="AY10" s="34"/>
      <c r="AZ10" s="34"/>
      <c r="BA10" s="34"/>
      <c r="BB10" s="34"/>
      <c r="BC10" s="34"/>
      <c r="BD10" s="34"/>
    </row>
    <row r="11" spans="2:61">
      <c r="B11" s="2"/>
      <c r="C11" s="2"/>
      <c r="D11" s="2"/>
      <c r="E11" s="2"/>
      <c r="F11" s="2"/>
      <c r="G11" s="4"/>
      <c r="H11" s="4"/>
      <c r="I11" s="2"/>
      <c r="J11" s="2"/>
      <c r="K11" s="2"/>
      <c r="L11" s="2"/>
      <c r="M11" s="2"/>
      <c r="N11" s="2"/>
      <c r="O11" s="2"/>
      <c r="AW11" s="34"/>
      <c r="AX11" s="34"/>
      <c r="AY11" s="34"/>
      <c r="AZ11" s="34"/>
      <c r="BA11" s="34"/>
      <c r="BB11" s="34"/>
      <c r="BC11" s="34"/>
      <c r="BD11" s="34"/>
    </row>
    <row r="12" spans="2:61" ht="28.2"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1"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304</v>
      </c>
      <c r="AZ13" s="1410" t="s">
        <v>305</v>
      </c>
      <c r="BA13" s="1399" t="s">
        <v>119</v>
      </c>
      <c r="BB13" s="1399" t="s">
        <v>122</v>
      </c>
      <c r="BC13" s="1399" t="s">
        <v>123</v>
      </c>
      <c r="BD13" s="1399" t="s">
        <v>124</v>
      </c>
      <c r="BE13" s="1393" t="s">
        <v>21</v>
      </c>
      <c r="BF13" s="1393" t="s">
        <v>22</v>
      </c>
      <c r="BG13" s="1393" t="s">
        <v>23</v>
      </c>
      <c r="BH13" s="1393" t="s">
        <v>24</v>
      </c>
    </row>
    <row r="14" spans="2:61"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1"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1" ht="244.2" customHeight="1">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INSTITUCIONAL'!C69</f>
        <v>4.4. Implementar el 100% de las acciones necesarias para la modernización de la gestión institucional a través de los procesos de apoyo, que permita una mejor prestación del servicio.</v>
      </c>
      <c r="D16" s="126" t="str">
        <f>+'01-FR-03 POA INSTITUCIONAL'!D69</f>
        <v>4.4.1 Atender el 100% de los servicios de mantenimiento, almacén, transporte. Aseo y cafetería</v>
      </c>
      <c r="E16" s="46">
        <f>+'01-FR-03 POA INSTITUCIONAL'!E69</f>
        <v>0.1</v>
      </c>
      <c r="F16" s="46">
        <f>+'01-FR-03 POA INSTITUCIONAL'!F69</f>
        <v>1</v>
      </c>
      <c r="G16" s="88">
        <f>+'01-FR-03 POA INSTITUCIONAL'!M69</f>
        <v>1</v>
      </c>
      <c r="H16" s="162">
        <f>+'01-FR-03 POA INSTITUCIONAL'!G69</f>
        <v>0.99199999999999999</v>
      </c>
      <c r="I16" s="58" t="str">
        <f>+'[6]POA Anualizado (Pág 1 de 3)'!H13</f>
        <v>Porcentaje de servicios atendidos</v>
      </c>
      <c r="J16" s="116" t="s">
        <v>425</v>
      </c>
      <c r="K16" s="163" t="s">
        <v>426</v>
      </c>
      <c r="L16" s="122" t="s">
        <v>433</v>
      </c>
      <c r="M16" s="122" t="s">
        <v>427</v>
      </c>
      <c r="N16" s="122" t="s">
        <v>434</v>
      </c>
      <c r="O16" s="164" t="str">
        <f>+'01-FR-03 POA INSTITUCIONAL'!J69</f>
        <v>Subdirección de Gestión Documental y Recursos Físicos
Dirección Administrativa y Financiera</v>
      </c>
      <c r="P16" s="197">
        <v>1</v>
      </c>
      <c r="Q16" s="197">
        <v>1</v>
      </c>
      <c r="R16" s="198">
        <v>1</v>
      </c>
      <c r="S16" s="197">
        <v>1</v>
      </c>
      <c r="T16" s="198">
        <v>1</v>
      </c>
      <c r="U16" s="197">
        <v>1</v>
      </c>
      <c r="V16" s="194">
        <f>AVERAGE(P16,R16,T16)</f>
        <v>1</v>
      </c>
      <c r="W16" s="194">
        <f>IFERROR(AVERAGE(Q16,S16,U16),0)</f>
        <v>1</v>
      </c>
      <c r="X16" s="198">
        <v>1</v>
      </c>
      <c r="Y16" s="198">
        <v>1</v>
      </c>
      <c r="Z16" s="198">
        <v>1</v>
      </c>
      <c r="AA16" s="198">
        <v>1</v>
      </c>
      <c r="AB16" s="198">
        <v>1</v>
      </c>
      <c r="AC16" s="198">
        <v>1</v>
      </c>
      <c r="AD16" s="194">
        <f>AVERAGE(X16,Z16,AB16)</f>
        <v>1</v>
      </c>
      <c r="AE16" s="194">
        <f>IFERROR(AVERAGE(Y16,AA16,AC16),0)</f>
        <v>1</v>
      </c>
      <c r="AF16" s="198">
        <v>1</v>
      </c>
      <c r="AG16" s="198"/>
      <c r="AH16" s="198">
        <v>1</v>
      </c>
      <c r="AI16" s="198"/>
      <c r="AJ16" s="198">
        <v>1</v>
      </c>
      <c r="AK16" s="198"/>
      <c r="AL16" s="194">
        <f>AVERAGE(AF16,AH16,AJ16)</f>
        <v>1</v>
      </c>
      <c r="AM16" s="194">
        <f>IFERROR(AVERAGE(AG16,AI16,AK16),0)</f>
        <v>0</v>
      </c>
      <c r="AN16" s="198">
        <v>1</v>
      </c>
      <c r="AO16" s="198"/>
      <c r="AP16" s="198">
        <v>1</v>
      </c>
      <c r="AQ16" s="812"/>
      <c r="AR16" s="198">
        <v>1</v>
      </c>
      <c r="AS16" s="198"/>
      <c r="AT16" s="194">
        <f>AVERAGE(AN16,AP16,AR16)</f>
        <v>1</v>
      </c>
      <c r="AU16" s="194">
        <f>IFERROR(AVERAGE(AO16,AQ16,AS16),0)</f>
        <v>0</v>
      </c>
      <c r="AV16" s="194">
        <f>AVERAGE(P16,R16,T16,X16,Z16,AB16,AF16,AH16,AJ16,AN16,AP16,AR16)</f>
        <v>1</v>
      </c>
      <c r="AW16" s="181">
        <f>IFERROR(IF(OR($AV$16="",$AV$16=0),0,ROUNDDOWN(AVERAGE($Q16,$S16,$U16),3)),0)</f>
        <v>1</v>
      </c>
      <c r="AX16" s="181">
        <f>IFERROR(IF(OR($AV$17="",$AV$17=0),0,ROUNDDOWN(AVERAGE($Q16,$S16,$U16,$Y16,$AA16,$AC16),3)),0)</f>
        <v>1</v>
      </c>
      <c r="AY16" s="925">
        <f>IFERROR(IF(OR($AV$17="",$AV$17=0),0,ROUNDDOWN(AVERAGE($Q16,$S16,$U16,$Y16,$AA16,$AC16,$AG16,$AI16,$AK16),3)),0)</f>
        <v>1</v>
      </c>
      <c r="AZ16" s="925">
        <f>IFERROR(IF(OR($AV$17="",$AV$17=0),0,ROUNDDOWN(AVERAGE($Q16,$S16,$U16,$Y16,$AA16,$AC16,$AG16,$AI16,$AK16,$AO16,$AQ16,$AS16),3)),0)</f>
        <v>1</v>
      </c>
      <c r="BA16" s="210">
        <f>(IF(AND(AW16&gt;0,$AV16&gt;0),AW16/$AV16,0))*0.25</f>
        <v>0.25</v>
      </c>
      <c r="BB16" s="210">
        <f>(IF(AND(AX16&gt;0,$AV16&gt;0),AX16/$AV16,0))*0.5</f>
        <v>0.5</v>
      </c>
      <c r="BC16" s="210">
        <f>(IF(AND(AY16&gt;0,$AV16&gt;0),AY16/$AV16,0))*0.75</f>
        <v>0.75</v>
      </c>
      <c r="BD16" s="210">
        <f>(IF(AND(AZ16&gt;0,$AV16&gt;0),AZ16/$AV16,0))*1</f>
        <v>1</v>
      </c>
      <c r="BE16" s="214">
        <f>((IF(AND(AW16&gt;0,$F16&gt;0),AW16/$F16,0))/4)*0.25</f>
        <v>6.25E-2</v>
      </c>
      <c r="BF16" s="774">
        <f>((IF(AND(AX16&gt;0,$F16&gt;0),AX16/$F16,0))/4)*0.5</f>
        <v>0.125</v>
      </c>
      <c r="BG16" s="938">
        <f>((IF(AND(AY16&gt;0,$F16&gt;0),AY16/$F16,0))/4)*0.75</f>
        <v>0.1875</v>
      </c>
      <c r="BH16" s="938">
        <f>((IF(AND(AZ16&gt;0,$F16&gt;0),AZ16/$F16,0))/4)</f>
        <v>0.25</v>
      </c>
      <c r="BI16" s="165"/>
    </row>
    <row r="17" spans="2:60" ht="60">
      <c r="B17" s="1454"/>
      <c r="C17" s="1454"/>
      <c r="D17" s="126" t="str">
        <f>+'01-FR-03 POA INSTITUCIONAL'!D70</f>
        <v>4.4.2 Ejecutar el 97% de las actividades del Plan Estratégico de Seguridad Vial (PESV)</v>
      </c>
      <c r="E17" s="46">
        <f>+'01-FR-03 POA INSTITUCIONAL'!E70</f>
        <v>0.1</v>
      </c>
      <c r="F17" s="46">
        <f>+'01-FR-03 POA INSTITUCIONAL'!F70</f>
        <v>0.97</v>
      </c>
      <c r="G17" s="88">
        <f>+'01-FR-03 POA INSTITUCIONAL'!M70</f>
        <v>0.97</v>
      </c>
      <c r="H17" s="162">
        <f>+'01-FR-03 POA INSTITUCIONAL'!G70</f>
        <v>0.96599999999999997</v>
      </c>
      <c r="I17" s="58" t="str">
        <f>+'[6]POA Anualizado (Pág 1 de 3)'!H14</f>
        <v>Porcentaje de actividades del PESV ejecutadas</v>
      </c>
      <c r="J17" s="166" t="s">
        <v>428</v>
      </c>
      <c r="K17" s="163" t="s">
        <v>429</v>
      </c>
      <c r="L17" s="122" t="s">
        <v>430</v>
      </c>
      <c r="M17" s="122" t="s">
        <v>431</v>
      </c>
      <c r="N17" s="122" t="s">
        <v>432</v>
      </c>
      <c r="O17" s="164" t="str">
        <f>+'01-FR-03 POA INSTITUCIONAL'!J70</f>
        <v>Subdirección de Gestión Documental y Recursos Físicos
Dirección Administrativa y Financiera</v>
      </c>
      <c r="P17" s="197">
        <v>0.97</v>
      </c>
      <c r="Q17" s="197">
        <v>1</v>
      </c>
      <c r="R17" s="197">
        <v>0.97</v>
      </c>
      <c r="S17" s="198">
        <v>1</v>
      </c>
      <c r="T17" s="197">
        <v>0.97</v>
      </c>
      <c r="U17" s="198">
        <v>1</v>
      </c>
      <c r="V17" s="194">
        <f>AVERAGE(P17,R17,T17)</f>
        <v>0.97000000000000008</v>
      </c>
      <c r="W17" s="194">
        <f>IFERROR(AVERAGE(Q17,S17,U17),0)</f>
        <v>1</v>
      </c>
      <c r="X17" s="197">
        <v>0.97</v>
      </c>
      <c r="Y17" s="198">
        <v>1</v>
      </c>
      <c r="Z17" s="197">
        <v>0.97</v>
      </c>
      <c r="AA17" s="198">
        <v>1.125</v>
      </c>
      <c r="AB17" s="197">
        <v>0.97</v>
      </c>
      <c r="AC17" s="198">
        <v>1</v>
      </c>
      <c r="AD17" s="194">
        <f>AVERAGE(X17,Z17,AB17)</f>
        <v>0.97000000000000008</v>
      </c>
      <c r="AE17" s="194">
        <f>IFERROR(AVERAGE(Y17,AA17,AC17),0)</f>
        <v>1.0416666666666667</v>
      </c>
      <c r="AF17" s="197">
        <v>0.97</v>
      </c>
      <c r="AG17" s="198"/>
      <c r="AH17" s="197">
        <v>0.97</v>
      </c>
      <c r="AI17" s="198"/>
      <c r="AJ17" s="197">
        <v>0.97</v>
      </c>
      <c r="AK17" s="198"/>
      <c r="AL17" s="194">
        <f>AVERAGE(AF17,AH17,AJ17)</f>
        <v>0.97000000000000008</v>
      </c>
      <c r="AM17" s="194">
        <f>IFERROR(AVERAGE(AG17,AI17,AK17),0)</f>
        <v>0</v>
      </c>
      <c r="AN17" s="197">
        <v>0.97</v>
      </c>
      <c r="AO17" s="198"/>
      <c r="AP17" s="197">
        <v>0.97</v>
      </c>
      <c r="AQ17" s="812"/>
      <c r="AR17" s="197">
        <v>0.97</v>
      </c>
      <c r="AS17" s="198"/>
      <c r="AT17" s="194">
        <f>AVERAGE(AN17,AP17,AR17)</f>
        <v>0.97000000000000008</v>
      </c>
      <c r="AU17" s="194">
        <f>IFERROR(AVERAGE(AO17,AQ17,AS17),0)</f>
        <v>0</v>
      </c>
      <c r="AV17" s="194">
        <f>AVERAGE(P17,R17,T17,X17,Z17,AB17,AF17,AH17,AJ17,AN17,AP17,AR17)</f>
        <v>0.97000000000000008</v>
      </c>
      <c r="AW17" s="181">
        <f>IFERROR(IF(OR($AV$17="",$AV$17=0),0,ROUNDDOWN(AVERAGE($Q17,$S17,$U17),3)),0)</f>
        <v>1</v>
      </c>
      <c r="AX17" s="181">
        <f>IFERROR(IF(OR($AV$17="",$AV$17=0),0,ROUNDDOWN(AVERAGE($Q17,$S17,$U17,$Y17,$AA17,$AC17),3)),0)</f>
        <v>1.02</v>
      </c>
      <c r="AY17" s="925">
        <f>IFERROR(IF(OR($AV$17="",$AV$17=0),0,ROUNDDOWN(AVERAGE($Q17,$S17,$U17,$Y17,$AA17,$AC17,$AG17,$AI17,$AK17),3)),0)</f>
        <v>1.02</v>
      </c>
      <c r="AZ17" s="925">
        <f>IFERROR(IF(OR($AV$17="",$AV$17=0),0,ROUNDDOWN(AVERAGE($Q17,$S17,$U17,$Y17,$AA17,$AC17,$AG17,$AI17,$AK17,$AO17,$AQ17,$AS17),3)),0)</f>
        <v>1.02</v>
      </c>
      <c r="BA17" s="210">
        <f>(IF(AND(AW17&gt;0,$AV17&gt;0),AW17/$AV17,0))*0.25</f>
        <v>0.25773195876288657</v>
      </c>
      <c r="BB17" s="210">
        <f>(IF(AND(AX17&gt;0,$AV17&gt;0),AX17/$AV17,0))*0.5</f>
        <v>0.52577319587628857</v>
      </c>
      <c r="BC17" s="210">
        <f>(IF(AND(AY17&gt;0,$AV17&gt;0),AY17/$AV17,0))*0.75</f>
        <v>0.78865979381443285</v>
      </c>
      <c r="BD17" s="216">
        <f>(IF(AND(AZ17&gt;0,$AV17&gt;0),AZ17/$AV17,0))*1</f>
        <v>1.0515463917525771</v>
      </c>
      <c r="BE17" s="214">
        <f>((IF(AND(AW17&gt;0,$F17&gt;0),AW17/$F17,0))*0.25)*0.25</f>
        <v>6.4432989690721656E-2</v>
      </c>
      <c r="BF17" s="774">
        <f>((IF(AND(AX17&gt;0,$F17&gt;0),AX17/$F17,0))/4)*0.5</f>
        <v>0.13144329896907217</v>
      </c>
      <c r="BG17" s="938">
        <f>((IF(AND(AY17&gt;0,$F17&gt;0),AY17/$F17,0))/4)*0.75</f>
        <v>0.19716494845360827</v>
      </c>
      <c r="BH17" s="938">
        <f>((IF(AND(AZ17&gt;0,$F17&gt;0),AZ17/$F17,0))/4)</f>
        <v>0.26288659793814434</v>
      </c>
    </row>
    <row r="18" spans="2:60" ht="22.8">
      <c r="B18" s="1371"/>
      <c r="C18" s="1372"/>
      <c r="D18" s="1372"/>
      <c r="E18" s="1372"/>
      <c r="F18" s="1372"/>
      <c r="G18" s="1372"/>
      <c r="H18" s="1372"/>
      <c r="I18" s="1372"/>
      <c r="J18" s="1372"/>
      <c r="K18" s="1372"/>
      <c r="L18" s="1372"/>
      <c r="M18" s="1372"/>
      <c r="N18" s="1372"/>
      <c r="O18" s="1372"/>
      <c r="P18" s="1372"/>
      <c r="Q18" s="1372"/>
      <c r="R18" s="1372"/>
      <c r="S18" s="1372"/>
      <c r="T18" s="1372"/>
      <c r="U18" s="1372"/>
      <c r="V18" s="1372"/>
      <c r="W18" s="1372"/>
      <c r="X18" s="1372"/>
      <c r="Y18" s="1372"/>
      <c r="Z18" s="1372"/>
      <c r="AA18" s="1372"/>
      <c r="AB18" s="1372"/>
      <c r="AC18" s="1372"/>
      <c r="AD18" s="1372"/>
      <c r="AE18" s="1372"/>
      <c r="AF18" s="1372"/>
      <c r="AG18" s="1372"/>
      <c r="AH18" s="1372"/>
      <c r="AI18" s="1372"/>
      <c r="AJ18" s="1372"/>
      <c r="AK18" s="1372"/>
      <c r="AL18" s="1372"/>
      <c r="AM18" s="1372"/>
      <c r="AN18" s="1372"/>
      <c r="AO18" s="1372"/>
      <c r="AP18" s="1372"/>
      <c r="AQ18" s="1372"/>
      <c r="AR18" s="1372"/>
      <c r="AS18" s="1372"/>
      <c r="AT18" s="1372"/>
      <c r="AU18" s="1372"/>
      <c r="AV18" s="1372"/>
      <c r="AW18" s="1455"/>
      <c r="AX18" s="1431" t="s">
        <v>19</v>
      </c>
      <c r="AY18" s="1432"/>
      <c r="AZ18" s="1432"/>
      <c r="BA18" s="59">
        <f t="shared" ref="BA18:BD18" si="0">AVERAGE(BA16:BA17)</f>
        <v>0.25386597938144329</v>
      </c>
      <c r="BB18" s="59">
        <f t="shared" si="0"/>
        <v>0.51288659793814428</v>
      </c>
      <c r="BC18" s="59">
        <f t="shared" si="0"/>
        <v>0.76932989690721643</v>
      </c>
      <c r="BD18" s="59">
        <f t="shared" si="0"/>
        <v>1.0257731958762886</v>
      </c>
      <c r="BE18" s="1463"/>
      <c r="BF18" s="1522"/>
      <c r="BG18" s="1522"/>
      <c r="BH18" s="1523"/>
    </row>
    <row r="19" spans="2:60">
      <c r="B19" s="1413"/>
      <c r="C19" s="1413"/>
      <c r="D19" s="1413"/>
      <c r="E19" s="1413"/>
      <c r="F19" s="1413"/>
      <c r="G19" s="1413"/>
      <c r="H19" s="39"/>
      <c r="I19" s="38"/>
      <c r="J19" s="38"/>
      <c r="K19" s="38"/>
      <c r="L19" s="38"/>
      <c r="M19" s="38"/>
      <c r="N19" s="38"/>
      <c r="O19" s="38"/>
    </row>
    <row r="20" spans="2:60">
      <c r="B20" s="38"/>
      <c r="C20" s="38"/>
      <c r="D20" s="1440"/>
      <c r="E20" s="1440"/>
      <c r="F20" s="1440"/>
      <c r="G20" s="1440"/>
      <c r="H20" s="1440"/>
      <c r="I20" s="1440"/>
      <c r="J20" s="1440"/>
      <c r="K20" s="1440"/>
      <c r="L20" s="1440"/>
      <c r="M20" s="1440"/>
      <c r="N20" s="1440"/>
      <c r="O20" s="1440"/>
    </row>
    <row r="21" spans="2:60" ht="15.6">
      <c r="B21" s="40" t="s">
        <v>26</v>
      </c>
      <c r="C21" s="41">
        <v>44224</v>
      </c>
      <c r="D21" s="121"/>
      <c r="E21" s="1443" t="s">
        <v>50</v>
      </c>
      <c r="F21" s="201"/>
      <c r="G21" s="1444" t="s">
        <v>1140</v>
      </c>
      <c r="H21" s="1444"/>
      <c r="I21" s="1444"/>
      <c r="J21" s="1444"/>
      <c r="K21" s="43"/>
      <c r="L21" s="1403"/>
      <c r="M21" s="1403"/>
      <c r="N21" s="1403"/>
      <c r="O21" s="1439"/>
    </row>
    <row r="22" spans="2:60" ht="15.6">
      <c r="B22" s="38"/>
      <c r="C22" s="38"/>
      <c r="D22" s="43"/>
      <c r="E22" s="1443"/>
      <c r="F22" s="201"/>
      <c r="G22" s="1444"/>
      <c r="H22" s="1444"/>
      <c r="I22" s="1444"/>
      <c r="J22" s="1444"/>
      <c r="K22" s="38"/>
      <c r="L22" s="38"/>
      <c r="M22" s="38"/>
      <c r="N22" s="38"/>
      <c r="O22" s="38"/>
    </row>
    <row r="23" spans="2:60" ht="15.6">
      <c r="B23" s="40" t="s">
        <v>49</v>
      </c>
      <c r="C23" s="41">
        <v>44581</v>
      </c>
      <c r="D23" s="38"/>
      <c r="E23" s="38"/>
      <c r="F23" s="38"/>
      <c r="K23" s="38"/>
      <c r="L23" s="38"/>
      <c r="M23" s="38"/>
      <c r="N23" s="38"/>
      <c r="O23" s="38"/>
    </row>
    <row r="24" spans="2:60" ht="13.2" customHeight="1">
      <c r="B24" s="38"/>
      <c r="C24" s="868"/>
      <c r="D24" s="38"/>
      <c r="E24" s="38"/>
      <c r="F24" s="38"/>
      <c r="K24" s="38"/>
      <c r="L24" s="38"/>
      <c r="M24" s="38"/>
      <c r="N24" s="38"/>
      <c r="O24" s="38"/>
    </row>
    <row r="25" spans="2:60" ht="31.5" customHeight="1">
      <c r="B25" s="40" t="s">
        <v>49</v>
      </c>
      <c r="C25" s="41">
        <v>44953</v>
      </c>
      <c r="D25" s="38"/>
      <c r="E25" s="38"/>
      <c r="F25" s="38"/>
      <c r="K25" s="38"/>
      <c r="L25" s="38"/>
      <c r="M25" s="38"/>
      <c r="N25" s="38"/>
      <c r="O25" s="38"/>
    </row>
    <row r="26" spans="2:60">
      <c r="B26" s="38"/>
      <c r="C26" s="38"/>
      <c r="D26" s="38"/>
      <c r="E26" s="38"/>
      <c r="F26" s="38"/>
      <c r="K26" s="38"/>
      <c r="L26" s="38"/>
      <c r="M26" s="38"/>
      <c r="N26" s="38"/>
      <c r="O26" s="38"/>
    </row>
    <row r="27" spans="2:60">
      <c r="B27" s="445" t="s">
        <v>876</v>
      </c>
      <c r="C27" s="38"/>
      <c r="D27" s="38"/>
      <c r="E27" s="38"/>
      <c r="F27" s="38"/>
      <c r="G27" s="39"/>
      <c r="H27" s="39"/>
      <c r="I27" s="1438"/>
      <c r="J27" s="1438"/>
      <c r="K27" s="1438"/>
      <c r="L27" s="1438"/>
      <c r="M27" s="44"/>
      <c r="N27" s="44"/>
      <c r="O27" s="44"/>
    </row>
    <row r="28" spans="2:60">
      <c r="B28" s="38"/>
      <c r="C28" s="38"/>
      <c r="D28" s="38"/>
      <c r="E28" s="38"/>
      <c r="F28" s="38"/>
      <c r="G28" s="39"/>
      <c r="H28" s="39"/>
      <c r="I28" s="38"/>
      <c r="J28" s="38"/>
      <c r="K28" s="45"/>
      <c r="L28" s="38"/>
      <c r="M28" s="38"/>
      <c r="N28" s="38"/>
      <c r="O28" s="38"/>
    </row>
    <row r="29" spans="2:60">
      <c r="B29" s="38"/>
      <c r="C29" s="38"/>
      <c r="D29" s="38"/>
      <c r="E29" s="38"/>
      <c r="F29" s="38"/>
      <c r="G29" s="39"/>
      <c r="H29" s="39"/>
      <c r="I29" s="1438"/>
      <c r="J29" s="1438"/>
      <c r="K29" s="1438"/>
      <c r="L29" s="1438"/>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38"/>
      <c r="J31" s="1438"/>
      <c r="K31" s="1438"/>
      <c r="L31" s="1438"/>
      <c r="M31" s="44"/>
      <c r="N31" s="44"/>
      <c r="O31" s="44"/>
    </row>
  </sheetData>
  <sheetProtection algorithmName="SHA-512" hashValue="uCdayMcbtyCwOwTK44LzDj9lwX3TdBUot2/zQEwqU4LT/6kaSm+LphY0PbVta9nkk7qo0GJxbreXYed96uBSkA==" saltValue="eA56HOINRzwRx9r/glLf/Q=="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9:L29"/>
    <mergeCell ref="I31:L31"/>
    <mergeCell ref="B19:G19"/>
    <mergeCell ref="AX18:AZ18"/>
    <mergeCell ref="D20:O20"/>
    <mergeCell ref="E21:E22"/>
    <mergeCell ref="G21:J22"/>
    <mergeCell ref="L21:O21"/>
    <mergeCell ref="I27:L27"/>
    <mergeCell ref="B18:AW18"/>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2"/>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7" width="27" style="5" customWidth="1"/>
    <col min="8" max="8" width="23.88671875" style="5" customWidth="1"/>
    <col min="9" max="9" width="44" style="3" customWidth="1"/>
    <col min="10" max="10" width="31.88671875" style="3" customWidth="1"/>
    <col min="11" max="11" width="55.88671875" style="3" customWidth="1"/>
    <col min="12" max="12" width="33.5546875" style="3" customWidth="1"/>
    <col min="13" max="13" width="49.44140625" style="3" customWidth="1"/>
    <col min="14"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1">
      <c r="B8" s="19" t="s">
        <v>45</v>
      </c>
      <c r="C8" s="1462" t="s">
        <v>93</v>
      </c>
      <c r="D8" s="1462"/>
      <c r="E8" s="17"/>
      <c r="F8" s="17"/>
      <c r="G8" s="17"/>
      <c r="H8" s="17"/>
      <c r="I8" s="17"/>
      <c r="J8" s="17"/>
      <c r="K8" s="17"/>
      <c r="L8" s="17"/>
      <c r="M8" s="17"/>
      <c r="N8" s="17"/>
      <c r="O8" s="17"/>
      <c r="AW8" s="34"/>
      <c r="AX8" s="34"/>
      <c r="AY8" s="34"/>
      <c r="AZ8" s="34"/>
      <c r="BA8" s="34"/>
      <c r="BB8" s="34"/>
      <c r="BC8" s="34"/>
      <c r="BD8" s="34"/>
    </row>
    <row r="9" spans="2:60" ht="73.5" customHeight="1">
      <c r="B9" s="19" t="s">
        <v>34</v>
      </c>
      <c r="C9" s="1427" t="s">
        <v>454</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59" customHeight="1">
      <c r="B16" s="132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27" t="str">
        <f>+'01-FR-03 POA INSTITUCIONAL'!C69</f>
        <v>4.4. Implementar el 100% de las acciones necesarias para la modernización de la gestión institucional a través de los procesos de apoyo, que permita una mejor prestación del servicio.</v>
      </c>
      <c r="D16" s="120" t="str">
        <f>+'01-FR-03 POA INSTITUCIONAL'!D71</f>
        <v>4.4.3 Ejecutar el 95% del presupuesto aprobado para la Entidad</v>
      </c>
      <c r="E16" s="52">
        <f>+'01-FR-03 POA INSTITUCIONAL'!E71</f>
        <v>7.0000000000000007E-2</v>
      </c>
      <c r="F16" s="52">
        <f>+'01-FR-03 POA INSTITUCIONAL'!F71</f>
        <v>0.95</v>
      </c>
      <c r="G16" s="52">
        <f>+'01-FR-03 POA INSTITUCIONAL'!M71</f>
        <v>0.95</v>
      </c>
      <c r="H16" s="35" t="str">
        <f>+'01-FR-03 POA INSTITUCIONAL'!G71</f>
        <v>S.I.</v>
      </c>
      <c r="I16" s="35" t="str">
        <f>+'01-FR-03 POA INSTITUCIONAL'!H71</f>
        <v>Porcentaje del presupuesto aprobado y ejecutado.</v>
      </c>
      <c r="J16" s="167" t="s">
        <v>455</v>
      </c>
      <c r="K16" s="154" t="s">
        <v>456</v>
      </c>
      <c r="L16" s="118" t="s">
        <v>457</v>
      </c>
      <c r="M16" s="122" t="s">
        <v>469</v>
      </c>
      <c r="N16" s="118" t="s">
        <v>458</v>
      </c>
      <c r="O16" s="168" t="str">
        <f>+'01-FR-03 POA INSTITUCIONAL'!J71</f>
        <v>Subdirección de Gestión Financiera
Dirección Administrativa y Financiera</v>
      </c>
      <c r="P16" s="728">
        <v>0.13</v>
      </c>
      <c r="Q16" s="728">
        <v>0.06</v>
      </c>
      <c r="R16" s="728">
        <v>7.0000000000000007E-2</v>
      </c>
      <c r="S16" s="728">
        <v>0.115</v>
      </c>
      <c r="T16" s="728">
        <v>7.0000000000000007E-2</v>
      </c>
      <c r="U16" s="728">
        <v>9.6000000000000002E-2</v>
      </c>
      <c r="V16" s="194">
        <f>P16+R16+T16</f>
        <v>0.27</v>
      </c>
      <c r="W16" s="194">
        <f>Q16+S16+U16</f>
        <v>0.27100000000000002</v>
      </c>
      <c r="X16" s="728">
        <v>7.0000000000000007E-2</v>
      </c>
      <c r="Y16" s="728">
        <v>5.6000000000000001E-2</v>
      </c>
      <c r="Z16" s="728">
        <v>0.09</v>
      </c>
      <c r="AA16" s="728">
        <v>8.1000000000000003E-2</v>
      </c>
      <c r="AB16" s="728">
        <v>0.08</v>
      </c>
      <c r="AC16" s="719">
        <v>0.12</v>
      </c>
      <c r="AD16" s="194">
        <f>X16+Z16+AB16</f>
        <v>0.24</v>
      </c>
      <c r="AE16" s="194">
        <f>Y16+AA16+AC16</f>
        <v>0.25700000000000001</v>
      </c>
      <c r="AF16" s="728">
        <v>0.06</v>
      </c>
      <c r="AG16" s="728"/>
      <c r="AH16" s="728">
        <v>0.06</v>
      </c>
      <c r="AI16" s="728"/>
      <c r="AJ16" s="740">
        <v>0.06</v>
      </c>
      <c r="AK16" s="741"/>
      <c r="AL16" s="194">
        <f>AF16+AH16+AJ16</f>
        <v>0.18</v>
      </c>
      <c r="AM16" s="194">
        <f>AG16+AI16+AK16</f>
        <v>0</v>
      </c>
      <c r="AN16" s="728">
        <v>0.08</v>
      </c>
      <c r="AO16" s="728"/>
      <c r="AP16" s="728">
        <v>0.08</v>
      </c>
      <c r="AQ16" s="728"/>
      <c r="AR16" s="728">
        <v>0.1</v>
      </c>
      <c r="AS16" s="719"/>
      <c r="AT16" s="194">
        <f>AN16+AP16+AR16</f>
        <v>0.26</v>
      </c>
      <c r="AU16" s="194">
        <f>AO16+AQ16+AS16</f>
        <v>0</v>
      </c>
      <c r="AV16" s="194">
        <f>V16+AD16+AL16+AT16</f>
        <v>0.95</v>
      </c>
      <c r="AW16" s="897">
        <f>+W16</f>
        <v>0.27100000000000002</v>
      </c>
      <c r="AX16" s="898">
        <f>+W16+AE16</f>
        <v>0.52800000000000002</v>
      </c>
      <c r="AY16" s="925">
        <f>+W16+AE16+AM16</f>
        <v>0.52800000000000002</v>
      </c>
      <c r="AZ16" s="925">
        <f>+W16+AE16+AM16+AU16</f>
        <v>0.52800000000000002</v>
      </c>
      <c r="BA16" s="215">
        <f>IF(AND(AW16&gt;0,$AV16&gt;0),AW16/$AV16,0)</f>
        <v>0.28526315789473689</v>
      </c>
      <c r="BB16" s="210">
        <f t="shared" ref="BB16:BD16" si="0">IF(AND(AX16&gt;0,$AV16&gt;0),AX16/$AV16,0)</f>
        <v>0.55578947368421061</v>
      </c>
      <c r="BC16" s="210">
        <f t="shared" si="0"/>
        <v>0.55578947368421061</v>
      </c>
      <c r="BD16" s="210">
        <f t="shared" si="0"/>
        <v>0.55578947368421061</v>
      </c>
      <c r="BE16" s="214">
        <f>((IF(AND(AW16&gt;0,$F16&gt;0),AW16/$F16,0))/4)</f>
        <v>7.1315789473684221E-2</v>
      </c>
      <c r="BF16" s="214">
        <f>((IF(AND(AX16&gt;0,$F16&gt;0),AX16/$F16,0))/4)</f>
        <v>0.13894736842105265</v>
      </c>
      <c r="BG16" s="752">
        <f>((IF(AND(AY16&gt;0,$F16&gt;0),AY16/$F16,0))/4)</f>
        <v>0.13894736842105265</v>
      </c>
      <c r="BH16" s="752">
        <f>((IF(AND(AZ16&gt;0,$F16&gt;0),AZ16/$F16,0))/4)</f>
        <v>0.13894736842105265</v>
      </c>
    </row>
    <row r="17" spans="2:60" ht="118.95" customHeight="1">
      <c r="B17" s="1134"/>
      <c r="C17" s="1134"/>
      <c r="D17" s="120" t="str">
        <f>+'01-FR-03 POA INSTITUCIONAL'!D72</f>
        <v>4.4.4 Programar y ejecutar el 95% de los compromisos de pago adquiridos por la Entidad</v>
      </c>
      <c r="E17" s="52">
        <f>+'01-FR-03 POA INSTITUCIONAL'!E72</f>
        <v>7.0000000000000007E-2</v>
      </c>
      <c r="F17" s="52">
        <f>+'01-FR-03 POA INSTITUCIONAL'!F72</f>
        <v>0.95</v>
      </c>
      <c r="G17" s="52">
        <f>+'01-FR-03 POA INSTITUCIONAL'!M72</f>
        <v>0.95</v>
      </c>
      <c r="H17" s="35" t="str">
        <f>+'01-FR-03 POA INSTITUCIONAL'!G72</f>
        <v>S.I.</v>
      </c>
      <c r="I17" s="35" t="str">
        <f>+'01-FR-03 POA INSTITUCIONAL'!H72</f>
        <v>Porcentaje de los compromisos de pago programados y ejecutados.</v>
      </c>
      <c r="J17" s="167" t="s">
        <v>459</v>
      </c>
      <c r="K17" s="154" t="s">
        <v>460</v>
      </c>
      <c r="L17" s="118" t="s">
        <v>461</v>
      </c>
      <c r="M17" s="122" t="s">
        <v>467</v>
      </c>
      <c r="N17" s="118" t="s">
        <v>462</v>
      </c>
      <c r="O17" s="168" t="str">
        <f>+'01-FR-03 POA INSTITUCIONAL'!J72</f>
        <v>Subdirección de Gestión Financiera
Dirección Administrativa y Financiera</v>
      </c>
      <c r="P17" s="732">
        <v>0.02</v>
      </c>
      <c r="Q17" s="899">
        <v>1.2460000000000001E-2</v>
      </c>
      <c r="R17" s="732">
        <v>0.08</v>
      </c>
      <c r="S17" s="899">
        <v>3.5810000000000002E-2</v>
      </c>
      <c r="T17" s="732">
        <v>0.08</v>
      </c>
      <c r="U17" s="899">
        <v>5.8659999999999997E-2</v>
      </c>
      <c r="V17" s="195">
        <f t="shared" ref="V17:W18" si="1">P17+R17+T17</f>
        <v>0.18</v>
      </c>
      <c r="W17" s="195">
        <f t="shared" si="1"/>
        <v>0.10693</v>
      </c>
      <c r="X17" s="732">
        <v>0.08</v>
      </c>
      <c r="Y17" s="899">
        <v>9.8250000000000004E-2</v>
      </c>
      <c r="Z17" s="732">
        <v>0.08</v>
      </c>
      <c r="AA17" s="899">
        <v>7.1110000000000007E-2</v>
      </c>
      <c r="AB17" s="732">
        <v>0.08</v>
      </c>
      <c r="AC17" s="732">
        <v>7.7499999999999999E-2</v>
      </c>
      <c r="AD17" s="195">
        <f t="shared" ref="AD17:AE18" si="2">X17+Z17+AB17</f>
        <v>0.24</v>
      </c>
      <c r="AE17" s="195">
        <f t="shared" si="2"/>
        <v>0.24686000000000002</v>
      </c>
      <c r="AF17" s="732">
        <v>0.08</v>
      </c>
      <c r="AG17" s="732"/>
      <c r="AH17" s="732">
        <v>0.08</v>
      </c>
      <c r="AI17" s="732"/>
      <c r="AJ17" s="732">
        <v>7.0000000000000007E-2</v>
      </c>
      <c r="AK17" s="719"/>
      <c r="AL17" s="195">
        <f t="shared" ref="AL17:AM18" si="3">AF17+AH17+AJ17</f>
        <v>0.23</v>
      </c>
      <c r="AM17" s="195">
        <f t="shared" si="3"/>
        <v>0</v>
      </c>
      <c r="AN17" s="732">
        <v>0.08</v>
      </c>
      <c r="AO17" s="732"/>
      <c r="AP17" s="732">
        <v>0.09</v>
      </c>
      <c r="AQ17" s="732"/>
      <c r="AR17" s="732">
        <v>0.13</v>
      </c>
      <c r="AS17" s="719"/>
      <c r="AT17" s="195">
        <f t="shared" ref="AT17:AU18" si="4">AN17+AP17+AR17</f>
        <v>0.3</v>
      </c>
      <c r="AU17" s="195">
        <f t="shared" si="4"/>
        <v>0</v>
      </c>
      <c r="AV17" s="195">
        <f t="shared" ref="AV17:AV18" si="5">V17+AD17+AL17+AT17</f>
        <v>0.95</v>
      </c>
      <c r="AW17" s="898">
        <f t="shared" ref="AW17:AW18" si="6">+W17</f>
        <v>0.10693</v>
      </c>
      <c r="AX17" s="898">
        <f t="shared" ref="AX17:AX18" si="7">+W17+AE17</f>
        <v>0.35379000000000005</v>
      </c>
      <c r="AY17" s="926">
        <f t="shared" ref="AY17:AY18" si="8">+W17+AE17+AM17</f>
        <v>0.35379000000000005</v>
      </c>
      <c r="AZ17" s="926">
        <f>+W17+AE17+AM17+AU17</f>
        <v>0.35379000000000005</v>
      </c>
      <c r="BA17" s="217">
        <f t="shared" ref="BA17:BA18" si="9">IF(AND(AW17&gt;0,$AV17&gt;0),AW17/$AV17,0)</f>
        <v>0.11255789473684211</v>
      </c>
      <c r="BB17" s="218">
        <f t="shared" ref="BB17:BB18" si="10">IF(AND(AX17&gt;0,$AV17&gt;0),AX17/$AV17,0)</f>
        <v>0.37241052631578953</v>
      </c>
      <c r="BC17" s="241">
        <f t="shared" ref="BC17:BC18" si="11">IF(AND(AY17&gt;0,$AV17&gt;0),AY17/$AV17,0)</f>
        <v>0.37241052631578953</v>
      </c>
      <c r="BD17" s="241">
        <f t="shared" ref="BD17:BD18" si="12">IF(AND(AZ17&gt;0,$AV17&gt;0),AZ17/$AV17,0)</f>
        <v>0.37241052631578953</v>
      </c>
      <c r="BE17" s="214">
        <f>((IF(AND(AW17&gt;0,$F17&gt;0),AW17/$F17,0))/4)</f>
        <v>2.8139473684210527E-2</v>
      </c>
      <c r="BF17" s="214">
        <f t="shared" ref="BF17:BH18" si="13">((IF(AND(AX17&gt;0,$F17&gt;0),AX17/$F17,0))/4)</f>
        <v>9.3102631578947381E-2</v>
      </c>
      <c r="BG17" s="752">
        <f t="shared" si="13"/>
        <v>9.3102631578947381E-2</v>
      </c>
      <c r="BH17" s="752">
        <f t="shared" si="13"/>
        <v>9.3102631578947381E-2</v>
      </c>
    </row>
    <row r="18" spans="2:60" ht="120.6" customHeight="1">
      <c r="B18" s="1134"/>
      <c r="C18" s="1134"/>
      <c r="D18" s="120" t="str">
        <f>+'01-FR-03 POA INSTITUCIONAL'!D73</f>
        <v>4.4.5 Elaborar y presentar el 100% de los estados financieros de la Entidad</v>
      </c>
      <c r="E18" s="52">
        <f>+'01-FR-03 POA INSTITUCIONAL'!E73</f>
        <v>0.06</v>
      </c>
      <c r="F18" s="52">
        <f>+'01-FR-03 POA INSTITUCIONAL'!F73</f>
        <v>1</v>
      </c>
      <c r="G18" s="52">
        <f>+'01-FR-03 POA INSTITUCIONAL'!M73</f>
        <v>1</v>
      </c>
      <c r="H18" s="35" t="str">
        <f>+'01-FR-03 POA INSTITUCIONAL'!G73</f>
        <v>S.I.</v>
      </c>
      <c r="I18" s="35" t="str">
        <f>+'01-FR-03 POA INSTITUCIONAL'!H73</f>
        <v>Porcentaje de estados financieros de la Entidad elaborados y presentados.</v>
      </c>
      <c r="J18" s="167" t="s">
        <v>463</v>
      </c>
      <c r="K18" s="154" t="s">
        <v>464</v>
      </c>
      <c r="L18" s="118" t="s">
        <v>465</v>
      </c>
      <c r="M18" s="122" t="s">
        <v>468</v>
      </c>
      <c r="N18" s="118" t="s">
        <v>466</v>
      </c>
      <c r="O18" s="168" t="str">
        <f>+'01-FR-03 POA INSTITUCIONAL'!J73</f>
        <v>Subdirección de Gestión Financiera
Dirección Administrativa y Financiera</v>
      </c>
      <c r="P18" s="728">
        <v>0.08</v>
      </c>
      <c r="Q18" s="728">
        <v>0.08</v>
      </c>
      <c r="R18" s="728">
        <v>0.08</v>
      </c>
      <c r="S18" s="728">
        <v>0.08</v>
      </c>
      <c r="T18" s="728">
        <v>0.09</v>
      </c>
      <c r="U18" s="719">
        <v>0.09</v>
      </c>
      <c r="V18" s="194">
        <f t="shared" si="1"/>
        <v>0.25</v>
      </c>
      <c r="W18" s="194">
        <f t="shared" si="1"/>
        <v>0.25</v>
      </c>
      <c r="X18" s="728">
        <v>0.08</v>
      </c>
      <c r="Y18" s="728">
        <v>0.08</v>
      </c>
      <c r="Z18" s="728">
        <v>0.08</v>
      </c>
      <c r="AA18" s="728">
        <v>0.08</v>
      </c>
      <c r="AB18" s="728">
        <v>0.09</v>
      </c>
      <c r="AC18" s="719">
        <v>0.09</v>
      </c>
      <c r="AD18" s="194">
        <f t="shared" si="2"/>
        <v>0.25</v>
      </c>
      <c r="AE18" s="194">
        <f t="shared" si="2"/>
        <v>0.25</v>
      </c>
      <c r="AF18" s="728">
        <v>0.08</v>
      </c>
      <c r="AG18" s="728"/>
      <c r="AH18" s="728">
        <v>0.08</v>
      </c>
      <c r="AI18" s="728"/>
      <c r="AJ18" s="728">
        <v>0.09</v>
      </c>
      <c r="AK18" s="719"/>
      <c r="AL18" s="194">
        <f t="shared" si="3"/>
        <v>0.25</v>
      </c>
      <c r="AM18" s="194">
        <f t="shared" si="3"/>
        <v>0</v>
      </c>
      <c r="AN18" s="728">
        <v>0.08</v>
      </c>
      <c r="AO18" s="728"/>
      <c r="AP18" s="728">
        <v>0.08</v>
      </c>
      <c r="AQ18" s="728"/>
      <c r="AR18" s="728">
        <v>0.09</v>
      </c>
      <c r="AS18" s="719"/>
      <c r="AT18" s="194">
        <f t="shared" si="4"/>
        <v>0.25</v>
      </c>
      <c r="AU18" s="194">
        <f t="shared" si="4"/>
        <v>0</v>
      </c>
      <c r="AV18" s="194">
        <f t="shared" si="5"/>
        <v>1</v>
      </c>
      <c r="AW18" s="897">
        <f t="shared" si="6"/>
        <v>0.25</v>
      </c>
      <c r="AX18" s="897">
        <f t="shared" si="7"/>
        <v>0.5</v>
      </c>
      <c r="AY18" s="925">
        <f t="shared" si="8"/>
        <v>0.5</v>
      </c>
      <c r="AZ18" s="925">
        <f t="shared" ref="AZ18" si="14">+W18+AE18+AM18+AU18</f>
        <v>0.5</v>
      </c>
      <c r="BA18" s="215">
        <f t="shared" si="9"/>
        <v>0.25</v>
      </c>
      <c r="BB18" s="216">
        <f t="shared" si="10"/>
        <v>0.5</v>
      </c>
      <c r="BC18" s="210">
        <f t="shared" si="11"/>
        <v>0.5</v>
      </c>
      <c r="BD18" s="210">
        <f t="shared" si="12"/>
        <v>0.5</v>
      </c>
      <c r="BE18" s="214">
        <f>((IF(AND(AW18&gt;0,$F18&gt;0),AW18/$F18,0))/4)</f>
        <v>6.25E-2</v>
      </c>
      <c r="BF18" s="214">
        <f t="shared" si="13"/>
        <v>0.125</v>
      </c>
      <c r="BG18" s="752">
        <f t="shared" si="13"/>
        <v>0.125</v>
      </c>
      <c r="BH18" s="752">
        <f t="shared" si="13"/>
        <v>0.125</v>
      </c>
    </row>
    <row r="19" spans="2:60" ht="22.8">
      <c r="B19" s="1371"/>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72"/>
      <c r="AS19" s="1372"/>
      <c r="AT19" s="1372"/>
      <c r="AU19" s="1372"/>
      <c r="AV19" s="1372"/>
      <c r="AW19" s="1526"/>
      <c r="AX19" s="1431" t="s">
        <v>19</v>
      </c>
      <c r="AY19" s="1432"/>
      <c r="AZ19" s="1432"/>
      <c r="BA19" s="59">
        <f t="shared" ref="BA19:BD19" si="15">AVERAGE(BA16:BA18)</f>
        <v>0.21594035087719299</v>
      </c>
      <c r="BB19" s="59">
        <f t="shared" si="15"/>
        <v>0.47606666666666669</v>
      </c>
      <c r="BC19" s="59">
        <f t="shared" si="15"/>
        <v>0.47606666666666669</v>
      </c>
      <c r="BD19" s="59">
        <f t="shared" si="15"/>
        <v>0.47606666666666669</v>
      </c>
      <c r="BE19" s="1463"/>
      <c r="BF19" s="1464"/>
      <c r="BG19" s="1464"/>
      <c r="BH19" s="1465"/>
    </row>
    <row r="20" spans="2:60">
      <c r="B20" s="1413"/>
      <c r="C20" s="1413"/>
      <c r="D20" s="1413"/>
      <c r="E20" s="1413"/>
      <c r="F20" s="1413"/>
      <c r="G20" s="1413"/>
      <c r="H20" s="39"/>
      <c r="I20" s="38"/>
      <c r="J20" s="38"/>
      <c r="K20" s="38"/>
      <c r="L20" s="38"/>
      <c r="M20" s="38"/>
      <c r="N20" s="38"/>
      <c r="O20" s="38"/>
    </row>
    <row r="21" spans="2:60">
      <c r="B21" s="38"/>
      <c r="C21" s="38"/>
      <c r="D21" s="1440"/>
      <c r="E21" s="1440"/>
      <c r="F21" s="1440"/>
      <c r="G21" s="1440"/>
      <c r="H21" s="1440"/>
      <c r="I21" s="1440"/>
      <c r="J21" s="1440"/>
      <c r="K21" s="1440"/>
      <c r="L21" s="1440"/>
      <c r="M21" s="1440"/>
      <c r="N21" s="1440"/>
      <c r="O21" s="1440"/>
    </row>
    <row r="22" spans="2:60" ht="15.6" customHeight="1">
      <c r="B22" s="40" t="s">
        <v>26</v>
      </c>
      <c r="C22" s="41">
        <v>44224</v>
      </c>
      <c r="D22" s="121"/>
      <c r="E22" s="1443" t="s">
        <v>50</v>
      </c>
      <c r="F22" s="1479" t="s">
        <v>1141</v>
      </c>
      <c r="G22" s="1480"/>
      <c r="H22" s="1480"/>
      <c r="I22" s="1480"/>
      <c r="J22" s="1481"/>
      <c r="K22" s="43"/>
      <c r="L22" s="1403"/>
      <c r="M22" s="1403"/>
      <c r="N22" s="1403"/>
      <c r="O22" s="1439"/>
    </row>
    <row r="23" spans="2:60" ht="15.6">
      <c r="B23" s="38"/>
      <c r="C23" s="38"/>
      <c r="D23" s="43"/>
      <c r="E23" s="1443"/>
      <c r="F23" s="1482"/>
      <c r="G23" s="1483"/>
      <c r="H23" s="1483"/>
      <c r="I23" s="1483"/>
      <c r="J23" s="1484"/>
      <c r="K23" s="38"/>
      <c r="L23" s="38"/>
      <c r="M23" s="38"/>
      <c r="N23" s="38"/>
      <c r="O23" s="38"/>
    </row>
    <row r="24" spans="2:60" ht="15.6">
      <c r="B24" s="40" t="s">
        <v>49</v>
      </c>
      <c r="C24" s="41">
        <v>44581</v>
      </c>
      <c r="D24" s="38"/>
      <c r="E24" s="38"/>
      <c r="F24" s="38"/>
      <c r="K24" s="38"/>
      <c r="L24" s="38"/>
      <c r="M24" s="38"/>
      <c r="N24" s="38"/>
      <c r="O24" s="38"/>
    </row>
    <row r="25" spans="2:60" ht="13.2" customHeight="1">
      <c r="B25" s="38"/>
      <c r="C25" s="86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445" t="s">
        <v>876</v>
      </c>
      <c r="C28" s="38"/>
      <c r="D28" s="38"/>
      <c r="E28" s="38"/>
      <c r="F28" s="38"/>
      <c r="G28" s="39"/>
      <c r="H28" s="39"/>
      <c r="I28" s="1438"/>
      <c r="J28" s="1438"/>
      <c r="K28" s="1438"/>
      <c r="L28" s="1438"/>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38"/>
      <c r="J30" s="1438"/>
      <c r="K30" s="1438"/>
      <c r="L30" s="1438"/>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38"/>
      <c r="J32" s="1438"/>
      <c r="K32" s="1438"/>
      <c r="L32" s="1438"/>
      <c r="M32" s="44"/>
      <c r="N32" s="44"/>
      <c r="O32" s="44"/>
    </row>
  </sheetData>
  <sheetProtection algorithmName="SHA-512" hashValue="FecvcaEug8nysmrpr6PGmD1IlIJMYdRO8MV/StnvN4OUGnqOiIHAZO17xF1dQz/lyxWsr18g0mJWzderRw3PxA==" saltValue="3+Jk8fzKaZKeeM0rTHD0XA=="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30:L30"/>
    <mergeCell ref="I32:L32"/>
    <mergeCell ref="B20:G20"/>
    <mergeCell ref="AX19:AZ19"/>
    <mergeCell ref="D21:O21"/>
    <mergeCell ref="E22:E23"/>
    <mergeCell ref="L22:O22"/>
    <mergeCell ref="I28:L28"/>
    <mergeCell ref="B19:AW19"/>
    <mergeCell ref="F22:J2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39"/>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6" style="3" customWidth="1"/>
    <col min="10" max="10" width="37"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1">
      <c r="B8" s="19" t="s">
        <v>45</v>
      </c>
      <c r="C8" s="1462" t="s">
        <v>94</v>
      </c>
      <c r="D8" s="1462"/>
      <c r="E8" s="17"/>
      <c r="F8" s="17"/>
      <c r="G8" s="17"/>
      <c r="H8" s="17"/>
      <c r="I8" s="17"/>
      <c r="J8" s="17"/>
      <c r="K8" s="17"/>
      <c r="L8" s="17"/>
      <c r="M8" s="17"/>
      <c r="N8" s="17"/>
      <c r="O8" s="17"/>
      <c r="AW8" s="34"/>
      <c r="AX8" s="34"/>
      <c r="AY8" s="34"/>
      <c r="AZ8" s="34"/>
      <c r="BA8" s="34"/>
      <c r="BB8" s="34"/>
      <c r="BC8" s="34"/>
      <c r="BD8" s="34"/>
    </row>
    <row r="9" spans="2:60" ht="79.5" customHeight="1">
      <c r="B9" s="19" t="s">
        <v>34</v>
      </c>
      <c r="C9" s="1427" t="s">
        <v>438</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35">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INSTITUCIONAL'!C69</f>
        <v>4.4. Implementar el 100% de las acciones necesarias para la modernización de la gestión institucional a través de los procesos de apoyo, que permita una mejor prestación del servicio.</v>
      </c>
      <c r="D16" s="35" t="str">
        <f>+'01-FR-03 POA INSTITUCIONAL'!D74</f>
        <v>4.4.6 Ejecutar el 95% del Plan Anual de Adquisiciones respecto de gastos generales</v>
      </c>
      <c r="E16" s="96">
        <f>+'01-FR-03 POA INSTITUCIONAL'!E74</f>
        <v>0.1</v>
      </c>
      <c r="F16" s="52">
        <f>+'01-FR-03 POA INSTITUCIONAL'!F74</f>
        <v>0.95</v>
      </c>
      <c r="G16" s="169">
        <f>+'01-FR-03 POA INSTITUCIONAL'!M74</f>
        <v>0.95</v>
      </c>
      <c r="H16" s="35" t="str">
        <f>+'01-FR-03 POA INSTITUCIONAL'!G74</f>
        <v>S.I.</v>
      </c>
      <c r="I16" s="35" t="str">
        <f>+'01-FR-03 POA INSTITUCIONAL'!H74</f>
        <v xml:space="preserve">Porcentaje del Plan Anual de Adquisiciones ejecutado </v>
      </c>
      <c r="J16" s="167" t="s">
        <v>439</v>
      </c>
      <c r="K16" s="108" t="s">
        <v>440</v>
      </c>
      <c r="L16" s="435" t="s">
        <v>441</v>
      </c>
      <c r="M16" s="436" t="s">
        <v>442</v>
      </c>
      <c r="N16" s="436" t="s">
        <v>443</v>
      </c>
      <c r="O16" s="168" t="str">
        <f>+'01-FR-03 POA INSTITUCIONAL'!J74</f>
        <v>Subdirección de Gestión Contractual
Dirección Administrativa y Financiera</v>
      </c>
      <c r="P16" s="719">
        <v>0.15</v>
      </c>
      <c r="Q16" s="719">
        <v>0.15</v>
      </c>
      <c r="R16" s="719">
        <v>0.08</v>
      </c>
      <c r="S16" s="719">
        <v>0.08</v>
      </c>
      <c r="T16" s="719">
        <v>0.08</v>
      </c>
      <c r="U16" s="719">
        <v>0.08</v>
      </c>
      <c r="V16" s="56">
        <f>P16+R16+T16</f>
        <v>0.31</v>
      </c>
      <c r="W16" s="56">
        <f>Q16+S16+U16</f>
        <v>0.31</v>
      </c>
      <c r="X16" s="719">
        <v>0.08</v>
      </c>
      <c r="Y16" s="719">
        <v>0.04</v>
      </c>
      <c r="Z16" s="719">
        <v>7.0000000000000007E-2</v>
      </c>
      <c r="AA16" s="719">
        <v>0.11</v>
      </c>
      <c r="AB16" s="719">
        <v>7.0000000000000007E-2</v>
      </c>
      <c r="AC16" s="719">
        <v>0.13</v>
      </c>
      <c r="AD16" s="56">
        <f>X16+Z16+AB16</f>
        <v>0.22000000000000003</v>
      </c>
      <c r="AE16" s="56">
        <f>Y16+AA16+AC16</f>
        <v>0.28000000000000003</v>
      </c>
      <c r="AF16" s="719">
        <v>0.12</v>
      </c>
      <c r="AG16" s="719"/>
      <c r="AH16" s="719">
        <v>0.05</v>
      </c>
      <c r="AI16" s="719"/>
      <c r="AJ16" s="741">
        <v>0.05</v>
      </c>
      <c r="AK16" s="741"/>
      <c r="AL16" s="56">
        <f>AF16+AH16+AJ16</f>
        <v>0.21999999999999997</v>
      </c>
      <c r="AM16" s="56">
        <f>AG16+AI16+AK16</f>
        <v>0</v>
      </c>
      <c r="AN16" s="719">
        <v>0.05</v>
      </c>
      <c r="AO16" s="719"/>
      <c r="AP16" s="719">
        <v>7.0000000000000007E-2</v>
      </c>
      <c r="AQ16" s="719"/>
      <c r="AR16" s="719">
        <v>0.08</v>
      </c>
      <c r="AS16" s="719"/>
      <c r="AT16" s="56">
        <f>AN16+AP16+AR16</f>
        <v>0.2</v>
      </c>
      <c r="AU16" s="56">
        <f>AO16+AQ16+AS16</f>
        <v>0</v>
      </c>
      <c r="AV16" s="742">
        <f>V16+AD16+AL16+AT16</f>
        <v>0.95</v>
      </c>
      <c r="AW16" s="181">
        <f>+W16</f>
        <v>0.31</v>
      </c>
      <c r="AX16" s="181">
        <f>+W16+AE16</f>
        <v>0.59000000000000008</v>
      </c>
      <c r="AY16" s="925">
        <f>+W16+AE16+AM16</f>
        <v>0.59000000000000008</v>
      </c>
      <c r="AZ16" s="925">
        <f>+W16+AE16+AM16+AU16</f>
        <v>0.59000000000000008</v>
      </c>
      <c r="BA16" s="215">
        <f>IF(AND(AW16&gt;0,$AV16&gt;0),AW16/$AV16,0)</f>
        <v>0.32631578947368423</v>
      </c>
      <c r="BB16" s="216">
        <f t="shared" ref="BB16:BD16" si="0">IF(AND(AX16&gt;0,$AV16&gt;0),AX16/$AV16,0)</f>
        <v>0.62105263157894752</v>
      </c>
      <c r="BC16" s="210">
        <f t="shared" si="0"/>
        <v>0.62105263157894752</v>
      </c>
      <c r="BD16" s="210">
        <f t="shared" si="0"/>
        <v>0.62105263157894752</v>
      </c>
      <c r="BE16" s="214">
        <f>((IF(AND(AW16&gt;0,$F16&gt;0),AW16/$F16,0))/4)</f>
        <v>8.1578947368421056E-2</v>
      </c>
      <c r="BF16" s="214">
        <f>((IF(AND(AX16&gt;0,$F16&gt;0),AX16/$F16,0))/4)</f>
        <v>0.15526315789473688</v>
      </c>
      <c r="BG16" s="752">
        <f>((IF(AND(AY16&gt;0,$F16&gt;0),AY16/$F16,0))/4)</f>
        <v>0.15526315789473688</v>
      </c>
      <c r="BH16" s="752">
        <f>((IF(AND(AZ16&gt;0,$F16&gt;0),AZ16/$F16,0))/4)</f>
        <v>0.15526315789473688</v>
      </c>
    </row>
    <row r="17" spans="2:60" ht="111.6" customHeight="1">
      <c r="B17" s="1434"/>
      <c r="C17" s="1434"/>
      <c r="D17" s="1433" t="str">
        <f>+'01-FR-03 POA INSTITUCIONAL'!D84</f>
        <v>4.4.15 Elaborar el 95% de los contratos en cada una de las modalidades de selección en los tiempos óptimos</v>
      </c>
      <c r="E17" s="1328">
        <f>+'01-FR-03 POA INSTITUCIONAL'!E84</f>
        <v>0.1</v>
      </c>
      <c r="F17" s="46">
        <f>+'01-FR-03 POA INSTITUCIONAL'!F84</f>
        <v>0.95</v>
      </c>
      <c r="G17" s="437">
        <f>+'01-FR-03 POA INSTITUCIONAL'!M84</f>
        <v>0.9</v>
      </c>
      <c r="H17" s="437" t="str">
        <f>+'01-FR-03 POA INSTITUCIONAL'!G84</f>
        <v>S.I.</v>
      </c>
      <c r="I17" s="437" t="str">
        <f>+'01-FR-03 POA INSTITUCIONAL'!H84</f>
        <v xml:space="preserve">Porcentaje de contratos en la modalidad de contratación directa elaborados en los tiempos óptimos </v>
      </c>
      <c r="J17" s="438" t="s">
        <v>866</v>
      </c>
      <c r="K17" s="439" t="s">
        <v>867</v>
      </c>
      <c r="L17" s="440" t="s">
        <v>868</v>
      </c>
      <c r="M17" s="441" t="s">
        <v>442</v>
      </c>
      <c r="N17" s="441" t="s">
        <v>869</v>
      </c>
      <c r="O17" s="442" t="s">
        <v>870</v>
      </c>
      <c r="P17" s="741">
        <v>0.9</v>
      </c>
      <c r="Q17" s="719">
        <v>0.99</v>
      </c>
      <c r="R17" s="741">
        <v>0.9</v>
      </c>
      <c r="S17" s="719">
        <v>0.86</v>
      </c>
      <c r="T17" s="741">
        <v>0.9</v>
      </c>
      <c r="U17" s="728">
        <v>0.81699999999999995</v>
      </c>
      <c r="V17" s="191">
        <f>IFERROR(ROUNDDOWN(AVERAGE($P17,R17,T17),3),0)</f>
        <v>0.9</v>
      </c>
      <c r="W17" s="191">
        <f>IFERROR(ROUNDDOWN(AVERAGE($Q17,S17,U17),3),0)</f>
        <v>0.88900000000000001</v>
      </c>
      <c r="X17" s="741">
        <v>0.9</v>
      </c>
      <c r="Y17" s="719">
        <v>1</v>
      </c>
      <c r="Z17" s="741">
        <v>0.9</v>
      </c>
      <c r="AA17" s="719">
        <v>1</v>
      </c>
      <c r="AB17" s="741">
        <v>0.9</v>
      </c>
      <c r="AC17" s="728">
        <v>0.97699999999999998</v>
      </c>
      <c r="AD17" s="191">
        <f>IFERROR(ROUNDDOWN(AVERAGE($X17,Z17,$AB17),3),0)</f>
        <v>0.9</v>
      </c>
      <c r="AE17" s="191">
        <f>IFERROR(ROUNDDOWN(AVERAGE($AC17),3),0)</f>
        <v>0.97699999999999998</v>
      </c>
      <c r="AF17" s="741">
        <v>0.9</v>
      </c>
      <c r="AG17" s="719"/>
      <c r="AH17" s="741">
        <v>0.9</v>
      </c>
      <c r="AI17" s="719"/>
      <c r="AJ17" s="741">
        <v>0.9</v>
      </c>
      <c r="AK17" s="719"/>
      <c r="AL17" s="66">
        <f>AVERAGE(AF17,AH17,AJ17)</f>
        <v>0.9</v>
      </c>
      <c r="AM17" s="191">
        <f>IFERROR(ROUNDDOWN(AVERAGE($AG17,$AI17,$AK17),3),0)</f>
        <v>0</v>
      </c>
      <c r="AN17" s="741">
        <v>0.9</v>
      </c>
      <c r="AO17" s="719"/>
      <c r="AP17" s="741">
        <v>0.9</v>
      </c>
      <c r="AQ17" s="719"/>
      <c r="AR17" s="741">
        <v>0.9</v>
      </c>
      <c r="AS17" s="719"/>
      <c r="AT17" s="66">
        <f>AVERAGE(AN17,AP17,AR17)</f>
        <v>0.9</v>
      </c>
      <c r="AU17" s="191">
        <f>IFERROR(ROUNDDOWN(AVERAGE(AO17,AQ17,AS17),3),0)</f>
        <v>0</v>
      </c>
      <c r="AV17" s="742">
        <f>IFERROR(AVERAGE(P17,AF17,AH17,AJ17,AN17,AP17,AR17),0)</f>
        <v>0.90000000000000013</v>
      </c>
      <c r="AW17" s="181">
        <f>IFERROR(IF(OR($AV$17="",$AV$17=0),0,ROUNDDOWN(AVERAGE($Q17,S17,U17),3)),0)</f>
        <v>0.88900000000000001</v>
      </c>
      <c r="AX17" s="181">
        <f>IFERROR(IF(OR($AV$17="",$AV$17=0),0,ROUNDDOWN(AVERAGE($Q17,S17,U17,Y17,AA17,$AC17),3)),0)</f>
        <v>0.94</v>
      </c>
      <c r="AY17" s="925">
        <f>IFERROR(IF(OR($AV$17="",$AV$17=0),0,ROUNDDOWN(AVERAGE(Q17,S17,U17,Y17,AA17,AC17,AF17,AH17,AJ17),3)),0)</f>
        <v>0.92700000000000005</v>
      </c>
      <c r="AZ17" s="925">
        <f>IFERROR(IF(OR($AV$17="",$AV$17=0),0,ROUNDDOWN(AVERAGE(Q17,S17,U17,Y17,AA17,AC17,AF17,AH17,AJ17,AN17,AP17,AR17),3)),0)</f>
        <v>0.92</v>
      </c>
      <c r="BA17" s="210">
        <f>(IF(AND(AW17&gt;0,$AV17&gt;0),AW17/$AV17,0))*0.25</f>
        <v>0.24694444444444441</v>
      </c>
      <c r="BB17" s="210">
        <f>(IF(AND(AX17&gt;0,$AV17&gt;0),AX17/$AV17,0))*0.5</f>
        <v>0.52222222222222214</v>
      </c>
      <c r="BC17" s="210">
        <f>(IF(AND(AY17&gt;0,$AV17&gt;0),AY17/$AV17,0))*0.75</f>
        <v>0.77249999999999985</v>
      </c>
      <c r="BD17" s="210">
        <f>(IF(AND(AZ17&gt;0,$AV17&gt;0),AZ17/$AV17,0))*1</f>
        <v>1.0222222222222221</v>
      </c>
      <c r="BE17" s="214">
        <f>((IF(AND(AW17&gt;0,$AV17&gt;0),AW17/$AV17,0))/4)*0.25</f>
        <v>6.1736111111111103E-2</v>
      </c>
      <c r="BF17" s="214">
        <f>((IF(AND(AX17&gt;0,$AV17&gt;0),AX17/$AV17,0))/4)*0.5</f>
        <v>0.13055555555555554</v>
      </c>
      <c r="BG17" s="752">
        <f>((IF(AND(AY17&gt;0,$F17&gt;0),AY17/$F17,0))/4)*0.75</f>
        <v>0.18296052631578949</v>
      </c>
      <c r="BH17" s="752">
        <f t="shared" ref="BH17:BH19" si="1">((IF(AND(AZ17&gt;0,$F17&gt;0),AZ17/$F17,0))/4)</f>
        <v>0.24210526315789477</v>
      </c>
    </row>
    <row r="18" spans="2:60" ht="163.19999999999999" customHeight="1">
      <c r="B18" s="1434"/>
      <c r="C18" s="1434"/>
      <c r="D18" s="1434"/>
      <c r="E18" s="1135"/>
      <c r="F18" s="46">
        <f>+'01-FR-03 POA INSTITUCIONAL'!F85</f>
        <v>0.95</v>
      </c>
      <c r="G18" s="437">
        <f>+'01-FR-03 POA INSTITUCIONAL'!M85</f>
        <v>0.9</v>
      </c>
      <c r="H18" s="437" t="str">
        <f>+'01-FR-03 POA INSTITUCIONAL'!G85</f>
        <v>S.I.</v>
      </c>
      <c r="I18" s="437" t="str">
        <f>+'01-FR-03 POA INSTITUCIONAL'!H85</f>
        <v xml:space="preserve">Porcentaje de contratos en la modalidad de selección abreviada de menor cuantía elaborados en los tiempos óptimos </v>
      </c>
      <c r="J18" s="438" t="s">
        <v>872</v>
      </c>
      <c r="K18" s="439" t="s">
        <v>867</v>
      </c>
      <c r="L18" s="440" t="s">
        <v>868</v>
      </c>
      <c r="M18" s="441" t="s">
        <v>442</v>
      </c>
      <c r="N18" s="441" t="s">
        <v>869</v>
      </c>
      <c r="O18" s="442" t="s">
        <v>870</v>
      </c>
      <c r="P18" s="719">
        <v>0</v>
      </c>
      <c r="Q18" s="719">
        <v>0</v>
      </c>
      <c r="R18" s="719">
        <v>0</v>
      </c>
      <c r="S18" s="719">
        <v>0</v>
      </c>
      <c r="T18" s="719">
        <v>0.9</v>
      </c>
      <c r="U18" s="719">
        <v>0.9</v>
      </c>
      <c r="V18" s="191">
        <f>IFERROR(ROUNDDOWN(AVERAGE($T18),3),0)</f>
        <v>0.9</v>
      </c>
      <c r="W18" s="191">
        <f>IFERROR(ROUNDDOWN(AVERAGE($U18),3),0)</f>
        <v>0.9</v>
      </c>
      <c r="X18" s="719">
        <v>0</v>
      </c>
      <c r="Y18" s="719">
        <v>0</v>
      </c>
      <c r="Z18" s="719">
        <v>0</v>
      </c>
      <c r="AA18" s="719">
        <v>0</v>
      </c>
      <c r="AB18" s="719">
        <v>0.9</v>
      </c>
      <c r="AC18" s="719">
        <v>1</v>
      </c>
      <c r="AD18" s="191">
        <f>IFERROR(ROUNDDOWN(AVERAGE($AB18),3),0)</f>
        <v>0.9</v>
      </c>
      <c r="AE18" s="191">
        <f>IFERROR(ROUNDDOWN(AVERAGE($AC18),3),0)</f>
        <v>1</v>
      </c>
      <c r="AF18" s="719">
        <v>0</v>
      </c>
      <c r="AG18" s="719"/>
      <c r="AH18" s="719">
        <v>0.9</v>
      </c>
      <c r="AI18" s="719"/>
      <c r="AJ18" s="719">
        <v>0</v>
      </c>
      <c r="AK18" s="741"/>
      <c r="AL18" s="66">
        <f>AVERAGE(AH18)</f>
        <v>0.9</v>
      </c>
      <c r="AM18" s="191">
        <f>IFERROR(ROUNDDOWN(AVERAGE($AI18),3),0)</f>
        <v>0</v>
      </c>
      <c r="AN18" s="719">
        <v>0</v>
      </c>
      <c r="AO18" s="719"/>
      <c r="AP18" s="719">
        <v>0</v>
      </c>
      <c r="AQ18" s="719"/>
      <c r="AR18" s="719">
        <v>0</v>
      </c>
      <c r="AS18" s="719"/>
      <c r="AT18" s="66">
        <f>AVERAGE(AN18,AP18)</f>
        <v>0</v>
      </c>
      <c r="AU18" s="66">
        <f>IFERROR(ROUNDDOWN(AVERAGE(AO18,AQ18),3),0)</f>
        <v>0</v>
      </c>
      <c r="AV18" s="742">
        <f>IFERROR(AVERAGE(T18,AB18,AH18),0)</f>
        <v>0.9</v>
      </c>
      <c r="AW18" s="181">
        <f>IFERROR(IF(OR($AV$18="",$AV$18=0),0,ROUNDDOWN(AVERAGE(U18),3)),0)</f>
        <v>0.9</v>
      </c>
      <c r="AX18" s="181">
        <f>IFERROR(IF(OR($AV$18="",$AV$18=0),0,ROUNDDOWN(AVERAGE(U18,AC18),3)),0)</f>
        <v>0.95</v>
      </c>
      <c r="AY18" s="925">
        <f>IFERROR(IF(OR($AV$18="",$AV$18=0),0,ROUNDDOWN(AVERAGE(U18,AC18,AI18),3)),0)</f>
        <v>0.95</v>
      </c>
      <c r="AZ18" s="925">
        <f>IFERROR(IF(OR($AV$18="",$AV$18=0),0,ROUNDDOWN(AVERAGE(U18,AC18,AI188),3)),0)</f>
        <v>0.95</v>
      </c>
      <c r="BA18" s="210">
        <f>(IF(AND(AW18&gt;0,$AV18&gt;0),AW18/$AV18,0))*0.25</f>
        <v>0.25</v>
      </c>
      <c r="BB18" s="210">
        <f>(IF(AND(AX18&gt;0,$AV18&gt;0),AX18/$AV18,0))*0.5</f>
        <v>0.52777777777777779</v>
      </c>
      <c r="BC18" s="210">
        <f>(IF(AND(AY18&gt;0,$AV18&gt;0),AY18/$AV18,0))*0.75</f>
        <v>0.79166666666666674</v>
      </c>
      <c r="BD18" s="210">
        <f>(IF(AND(AZ18&gt;0,$AV18&gt;0),AZ18/$AV18,0))*1</f>
        <v>1.0555555555555556</v>
      </c>
      <c r="BE18" s="214">
        <f>((IF(AND(AW18&gt;0,$AV18&gt;0),AW18/$AV18,0))/4)*0.25</f>
        <v>6.25E-2</v>
      </c>
      <c r="BF18" s="214">
        <f>((IF(AND(AX18&gt;0,$AV18&gt;0),AX18/$AV18,0))/4)*0.5</f>
        <v>0.13194444444444445</v>
      </c>
      <c r="BG18" s="752">
        <f>((IF(AND(AY18&gt;0,$F18&gt;0),AY18/$F18,0))/4)*0.75</f>
        <v>0.1875</v>
      </c>
      <c r="BH18" s="752">
        <f t="shared" si="1"/>
        <v>0.25</v>
      </c>
    </row>
    <row r="19" spans="2:60" ht="168.6" customHeight="1">
      <c r="B19" s="1454"/>
      <c r="C19" s="1454"/>
      <c r="D19" s="1454"/>
      <c r="E19" s="1128"/>
      <c r="F19" s="46">
        <f>+'01-FR-03 POA INSTITUCIONAL'!F86</f>
        <v>0.95</v>
      </c>
      <c r="G19" s="437">
        <f>+'01-FR-03 POA INSTITUCIONAL'!M86</f>
        <v>0.9</v>
      </c>
      <c r="H19" s="437" t="str">
        <f>+'01-FR-03 POA INSTITUCIONAL'!G86</f>
        <v>S.I.</v>
      </c>
      <c r="I19" s="437" t="str">
        <f>+'01-FR-03 POA INSTITUCIONAL'!H86</f>
        <v xml:space="preserve">Porcentaje de contratos en la modalidad de selección abreviada de subasta inversa, licitación pública y concurso de méritos elaborados en los tiempos óptimos </v>
      </c>
      <c r="J19" s="438" t="s">
        <v>871</v>
      </c>
      <c r="K19" s="439" t="s">
        <v>867</v>
      </c>
      <c r="L19" s="440" t="s">
        <v>868</v>
      </c>
      <c r="M19" s="441" t="s">
        <v>442</v>
      </c>
      <c r="N19" s="441" t="s">
        <v>869</v>
      </c>
      <c r="O19" s="442" t="s">
        <v>870</v>
      </c>
      <c r="P19" s="719">
        <v>0</v>
      </c>
      <c r="Q19" s="719">
        <v>0</v>
      </c>
      <c r="R19" s="719">
        <v>0</v>
      </c>
      <c r="S19" s="719">
        <v>0</v>
      </c>
      <c r="T19" s="719">
        <v>0</v>
      </c>
      <c r="U19" s="719">
        <v>0</v>
      </c>
      <c r="V19" s="191">
        <f>IFERROR(ROUNDDOWN(AVERAGE(R19),3),0)</f>
        <v>0</v>
      </c>
      <c r="W19" s="191">
        <f>IFERROR(ROUNDDOWN(AVERAGE($S19),3),0)</f>
        <v>0</v>
      </c>
      <c r="X19" s="719">
        <v>0.9</v>
      </c>
      <c r="Y19" s="719">
        <v>0.9</v>
      </c>
      <c r="Z19" s="719">
        <v>0</v>
      </c>
      <c r="AA19" s="719">
        <v>0</v>
      </c>
      <c r="AB19" s="719">
        <v>0.9</v>
      </c>
      <c r="AC19" s="719">
        <v>1</v>
      </c>
      <c r="AD19" s="191">
        <f>IFERROR(ROUNDDOWN(AVERAGE($X19,$AB19),3),0)</f>
        <v>0.9</v>
      </c>
      <c r="AE19" s="191">
        <f>IFERROR(ROUNDDOWN(AVERAGE($Y19,$AC19),3),0)</f>
        <v>0.95</v>
      </c>
      <c r="AF19" s="719">
        <v>0</v>
      </c>
      <c r="AG19" s="719"/>
      <c r="AH19" s="719">
        <v>0</v>
      </c>
      <c r="AI19" s="719"/>
      <c r="AJ19" s="719">
        <v>0</v>
      </c>
      <c r="AK19" s="741"/>
      <c r="AL19" s="66">
        <f t="shared" ref="AL19" si="2">AVERAGE(AF19,AH19,AJ19)</f>
        <v>0</v>
      </c>
      <c r="AM19" s="191">
        <f>IFERROR(ROUNDDOWN(AVERAGE($AG19,$AI19,$AK19),3),0)</f>
        <v>0</v>
      </c>
      <c r="AN19" s="719">
        <v>0.9</v>
      </c>
      <c r="AO19" s="719"/>
      <c r="AP19" s="719">
        <v>0.9</v>
      </c>
      <c r="AQ19" s="719"/>
      <c r="AR19" s="719">
        <v>0</v>
      </c>
      <c r="AS19" s="719"/>
      <c r="AT19" s="66">
        <f>AVERAGE(AN19,AP19)</f>
        <v>0.9</v>
      </c>
      <c r="AU19" s="66">
        <f>IFERROR(ROUNDDOWN(AVERAGE(AO19,AQ19),3),0)</f>
        <v>0</v>
      </c>
      <c r="AV19" s="742">
        <f>IFERROR(AVERAGE(X19,AB19,AN19,AP19),0)</f>
        <v>0.9</v>
      </c>
      <c r="AW19" s="181">
        <f>IFERROR(IF(OR($AV$19="",$AV$19=0),0,ROUNDDOWN(AVERAGE($Q19,$S19,$U19),3)),0)</f>
        <v>0</v>
      </c>
      <c r="AX19" s="181">
        <f>IFERROR(IF(OR($AV$19="",$AV$19=0),0,ROUNDDOWN(AVERAGE(Y19,AC19),3)),0)</f>
        <v>0.95</v>
      </c>
      <c r="AY19" s="925">
        <f>IFERROR(IF(OR($AV$19="",$AV$19=0),0,ROUNDDOWN(AVERAGE(Y19,AC19),3)),0)</f>
        <v>0.95</v>
      </c>
      <c r="AZ19" s="925">
        <f>IFERROR(IF(OR($AV$19="",$AV$19=0),0,ROUNDDOWN(AVERAGE(Y19,AC19,AO19,AQ19),3)),0)</f>
        <v>0.95</v>
      </c>
      <c r="BA19" s="210">
        <f>(IF(AND(AW19&gt;0,$AV19&gt;0),AW19/$AV19,0))*0.25</f>
        <v>0</v>
      </c>
      <c r="BB19" s="210">
        <f>(IF(AND(AX19&gt;0,$AV19&gt;0),AX19/$AV19,0))*0.5</f>
        <v>0.52777777777777779</v>
      </c>
      <c r="BC19" s="210">
        <f>(IF(AND(AY19&gt;0,$AV19&gt;0),AY19/$AV19,0))*0.75</f>
        <v>0.79166666666666674</v>
      </c>
      <c r="BD19" s="210">
        <f>(IF(AND(AZ19&gt;0,$AV19&gt;0),AZ19/$AV19,0))*1</f>
        <v>1.0555555555555556</v>
      </c>
      <c r="BE19" s="214">
        <f>((IF(AND(AW19&gt;0,$AV19&gt;0),AW19/$AV19,0))/4)*0.25</f>
        <v>0</v>
      </c>
      <c r="BF19" s="214">
        <f>((IF(AND(AX19&gt;0,$AV19&gt;0),AX19/$AV19,0))/4)*0.5</f>
        <v>0.13194444444444445</v>
      </c>
      <c r="BG19" s="752">
        <f>((IF(AND(AY19&gt;0,$F19&gt;0),AY19/$F19,0))/4)*0.75</f>
        <v>0.1875</v>
      </c>
      <c r="BH19" s="752">
        <f t="shared" si="1"/>
        <v>0.25</v>
      </c>
    </row>
    <row r="20" spans="2:60" ht="22.8">
      <c r="B20" s="1371"/>
      <c r="C20" s="1528"/>
      <c r="D20" s="1528"/>
      <c r="E20" s="1528"/>
      <c r="F20" s="1528"/>
      <c r="G20" s="1528"/>
      <c r="H20" s="1528"/>
      <c r="I20" s="1528"/>
      <c r="J20" s="1528"/>
      <c r="K20" s="1528"/>
      <c r="L20" s="1528"/>
      <c r="M20" s="1528"/>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c r="AL20" s="1528"/>
      <c r="AM20" s="1528"/>
      <c r="AN20" s="1528"/>
      <c r="AO20" s="1528"/>
      <c r="AP20" s="1528"/>
      <c r="AQ20" s="1528"/>
      <c r="AR20" s="1528"/>
      <c r="AS20" s="1528"/>
      <c r="AT20" s="1528"/>
      <c r="AU20" s="1528"/>
      <c r="AV20" s="1528"/>
      <c r="AW20" s="1529"/>
      <c r="AX20" s="1431" t="s">
        <v>19</v>
      </c>
      <c r="AY20" s="1432"/>
      <c r="AZ20" s="1432"/>
      <c r="BA20" s="430">
        <f>AVERAGE(BA16:BA19)</f>
        <v>0.20581505847953216</v>
      </c>
      <c r="BB20" s="430">
        <f t="shared" ref="BB20:BD20" si="3">AVERAGE(BB16:BB19)</f>
        <v>0.54970760233918126</v>
      </c>
      <c r="BC20" s="430">
        <f t="shared" si="3"/>
        <v>0.74422149122807024</v>
      </c>
      <c r="BD20" s="430">
        <f t="shared" si="3"/>
        <v>0.93859649122807021</v>
      </c>
      <c r="BE20" s="1531"/>
      <c r="BF20" s="1522"/>
      <c r="BG20" s="1522"/>
      <c r="BH20" s="1523"/>
    </row>
    <row r="21" spans="2:60">
      <c r="B21" s="1413"/>
      <c r="C21" s="1413"/>
      <c r="D21" s="1413"/>
      <c r="E21" s="1413"/>
      <c r="F21" s="1413"/>
      <c r="G21" s="1413"/>
      <c r="H21" s="39"/>
      <c r="I21" s="38"/>
      <c r="J21" s="38"/>
      <c r="K21" s="38"/>
      <c r="L21" s="38"/>
      <c r="M21" s="38"/>
      <c r="N21" s="38"/>
      <c r="O21" s="38"/>
    </row>
    <row r="22" spans="2:60">
      <c r="B22" s="38"/>
      <c r="C22" s="38"/>
      <c r="D22" s="1440"/>
      <c r="E22" s="1440"/>
      <c r="F22" s="1440"/>
      <c r="G22" s="1440"/>
      <c r="H22" s="1440"/>
      <c r="I22" s="1440"/>
      <c r="J22" s="1440"/>
      <c r="K22" s="1440"/>
      <c r="L22" s="1440"/>
      <c r="M22" s="1440"/>
      <c r="N22" s="1440"/>
      <c r="O22" s="1440"/>
    </row>
    <row r="23" spans="2:60" ht="15.6" customHeight="1">
      <c r="B23" s="40" t="s">
        <v>26</v>
      </c>
      <c r="C23" s="41">
        <v>44224</v>
      </c>
      <c r="D23" s="121"/>
      <c r="E23" s="1443" t="s">
        <v>50</v>
      </c>
      <c r="F23" s="1488" t="s">
        <v>634</v>
      </c>
      <c r="G23" s="1489"/>
      <c r="H23" s="1489"/>
      <c r="I23" s="1489"/>
      <c r="J23" s="1490"/>
      <c r="K23" s="43"/>
      <c r="L23" s="1403"/>
      <c r="M23" s="1403"/>
      <c r="N23" s="1403"/>
      <c r="O23" s="1439"/>
    </row>
    <row r="24" spans="2:60" ht="15.6">
      <c r="B24" s="38"/>
      <c r="C24" s="38"/>
      <c r="D24" s="43"/>
      <c r="E24" s="1443"/>
      <c r="F24" s="1491"/>
      <c r="G24" s="1492"/>
      <c r="H24" s="1492"/>
      <c r="I24" s="1492"/>
      <c r="J24" s="1493"/>
      <c r="K24" s="38"/>
      <c r="L24" s="38"/>
      <c r="M24" s="38"/>
      <c r="N24" s="38"/>
      <c r="O24" s="38"/>
    </row>
    <row r="25" spans="2:60" ht="15.6">
      <c r="B25" s="40" t="s">
        <v>49</v>
      </c>
      <c r="C25" s="41">
        <v>44369</v>
      </c>
      <c r="D25" s="38"/>
      <c r="E25" s="38"/>
      <c r="F25" s="38"/>
      <c r="I25" s="170"/>
      <c r="J25" s="170"/>
      <c r="K25" s="171"/>
      <c r="L25" s="171"/>
      <c r="M25" s="38"/>
      <c r="N25" s="38"/>
      <c r="O25" s="38"/>
    </row>
    <row r="26" spans="2:60">
      <c r="B26" s="38"/>
      <c r="C26" s="38"/>
      <c r="D26" s="38"/>
      <c r="E26" s="38"/>
      <c r="F26" s="38"/>
      <c r="I26" s="170"/>
      <c r="J26" s="170"/>
      <c r="K26" s="171"/>
      <c r="L26" s="171"/>
      <c r="M26" s="38"/>
      <c r="N26" s="38"/>
      <c r="O26" s="38"/>
    </row>
    <row r="27" spans="2:60" ht="15.6">
      <c r="B27" s="40" t="s">
        <v>49</v>
      </c>
      <c r="C27" s="41">
        <v>44581</v>
      </c>
      <c r="D27" s="38"/>
      <c r="E27" s="38"/>
      <c r="F27" s="38"/>
      <c r="I27" s="170"/>
      <c r="J27" s="170"/>
      <c r="K27" s="171"/>
      <c r="L27" s="171"/>
      <c r="M27" s="38"/>
      <c r="N27" s="38"/>
      <c r="O27" s="38"/>
    </row>
    <row r="28" spans="2:60" ht="13.2" customHeight="1">
      <c r="B28" s="38"/>
      <c r="C28" s="868"/>
      <c r="D28" s="38"/>
      <c r="E28" s="38"/>
      <c r="F28" s="38"/>
      <c r="K28" s="38"/>
      <c r="L28" s="38"/>
      <c r="M28" s="38"/>
      <c r="N28" s="38"/>
      <c r="O28" s="38"/>
    </row>
    <row r="29" spans="2:60" ht="31.5" customHeight="1">
      <c r="B29" s="40" t="s">
        <v>49</v>
      </c>
      <c r="C29" s="41">
        <v>44953</v>
      </c>
      <c r="D29" s="38"/>
      <c r="E29" s="38"/>
      <c r="F29" s="38"/>
      <c r="K29" s="38"/>
      <c r="L29" s="38"/>
      <c r="M29" s="38"/>
      <c r="N29" s="38"/>
      <c r="O29" s="38"/>
    </row>
    <row r="30" spans="2:60">
      <c r="B30" s="38"/>
      <c r="C30" s="38"/>
      <c r="D30" s="38"/>
      <c r="E30" s="38"/>
      <c r="F30" s="38"/>
      <c r="I30" s="170"/>
      <c r="J30" s="170"/>
      <c r="K30" s="171"/>
      <c r="L30" s="171"/>
      <c r="M30" s="38"/>
      <c r="N30" s="38"/>
      <c r="O30" s="38"/>
    </row>
    <row r="31" spans="2:60">
      <c r="B31" s="1530" t="s">
        <v>876</v>
      </c>
      <c r="C31" s="1530"/>
      <c r="D31" s="1530"/>
      <c r="E31" s="1530"/>
      <c r="F31" s="1530"/>
      <c r="G31" s="1530"/>
      <c r="H31" s="39"/>
      <c r="I31" s="1527"/>
      <c r="J31" s="1527"/>
      <c r="K31" s="1527"/>
      <c r="L31" s="1527"/>
      <c r="M31" s="44"/>
      <c r="N31" s="44"/>
      <c r="O31" s="44"/>
    </row>
    <row r="32" spans="2:60">
      <c r="B32" s="38"/>
      <c r="C32" s="38"/>
      <c r="D32" s="38"/>
      <c r="E32" s="38"/>
      <c r="F32" s="38"/>
      <c r="G32" s="39"/>
      <c r="H32" s="39"/>
      <c r="I32" s="171"/>
      <c r="J32" s="171"/>
      <c r="K32" s="172"/>
      <c r="L32" s="171"/>
      <c r="M32" s="38"/>
      <c r="N32" s="38"/>
      <c r="O32" s="38"/>
    </row>
    <row r="33" spans="2:15">
      <c r="B33" s="38"/>
      <c r="C33" s="38"/>
      <c r="D33" s="38"/>
      <c r="E33" s="38"/>
      <c r="F33" s="38"/>
      <c r="G33" s="39"/>
      <c r="H33" s="39"/>
      <c r="I33" s="1527"/>
      <c r="J33" s="1527"/>
      <c r="K33" s="1527"/>
      <c r="L33" s="1527"/>
      <c r="M33" s="44"/>
      <c r="N33" s="44"/>
      <c r="O33" s="44"/>
    </row>
    <row r="34" spans="2:15">
      <c r="B34" s="38"/>
      <c r="C34" s="38"/>
      <c r="D34" s="38"/>
      <c r="E34" s="38"/>
      <c r="F34" s="38"/>
      <c r="G34" s="39"/>
      <c r="H34" s="39"/>
      <c r="I34" s="171"/>
      <c r="J34" s="171"/>
      <c r="K34" s="172"/>
      <c r="L34" s="171"/>
      <c r="M34" s="38"/>
      <c r="N34" s="38"/>
      <c r="O34" s="38"/>
    </row>
    <row r="35" spans="2:15">
      <c r="B35" s="38"/>
      <c r="C35" s="38"/>
      <c r="D35" s="38"/>
      <c r="E35" s="38"/>
      <c r="F35" s="38"/>
      <c r="G35" s="39"/>
      <c r="H35" s="39"/>
      <c r="I35" s="1527"/>
      <c r="J35" s="1527"/>
      <c r="K35" s="1527"/>
      <c r="L35" s="1527"/>
      <c r="M35" s="44"/>
      <c r="N35" s="44"/>
      <c r="O35" s="44"/>
    </row>
    <row r="36" spans="2:15">
      <c r="I36" s="170"/>
      <c r="J36" s="170"/>
      <c r="K36" s="170"/>
      <c r="L36" s="170"/>
    </row>
    <row r="37" spans="2:15">
      <c r="I37" s="170"/>
      <c r="J37" s="170"/>
      <c r="K37" s="170"/>
      <c r="L37" s="170"/>
    </row>
    <row r="38" spans="2:15">
      <c r="I38" s="170"/>
      <c r="J38" s="170"/>
      <c r="K38" s="170"/>
      <c r="L38" s="170"/>
    </row>
    <row r="39" spans="2:15">
      <c r="I39" s="170"/>
      <c r="J39" s="170"/>
      <c r="K39" s="170"/>
      <c r="L39" s="170"/>
    </row>
  </sheetData>
  <sheetProtection algorithmName="SHA-512" hashValue="Oe1m9GfuQhZUC6n17IEguXmHhbEpEoictBe96SB4GLjwV0vy09rFN+NVDpWTPZtMxtRRa1y4rxvS0M9qbEpaIA==" saltValue="mtdiNV9CJF5GpDj+lKu+5w==" spinCount="100000" sheet="1" objects="1" scenarios="1"/>
  <mergeCells count="74">
    <mergeCell ref="D17:D19"/>
    <mergeCell ref="E17:E19"/>
    <mergeCell ref="B31:G31"/>
    <mergeCell ref="BE20:BH20"/>
    <mergeCell ref="C9:D9"/>
    <mergeCell ref="C10:D10"/>
    <mergeCell ref="B12:B15"/>
    <mergeCell ref="C12:C15"/>
    <mergeCell ref="D12:D15"/>
    <mergeCell ref="E12:E15"/>
    <mergeCell ref="BE12:BH12"/>
    <mergeCell ref="P13:W13"/>
    <mergeCell ref="X13:AE13"/>
    <mergeCell ref="AF13:AM13"/>
    <mergeCell ref="BB13:BB15"/>
    <mergeCell ref="BC13:BC15"/>
    <mergeCell ref="B2:B6"/>
    <mergeCell ref="C2:BF6"/>
    <mergeCell ref="BG6:BH6"/>
    <mergeCell ref="AW7:BA7"/>
    <mergeCell ref="C8:D8"/>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35:L35"/>
    <mergeCell ref="AP14:AQ14"/>
    <mergeCell ref="AR14:AS14"/>
    <mergeCell ref="AT14:AU14"/>
    <mergeCell ref="B20:AW20"/>
    <mergeCell ref="M12:M15"/>
    <mergeCell ref="G12:G15"/>
    <mergeCell ref="E23:E24"/>
    <mergeCell ref="L23:O23"/>
    <mergeCell ref="I31:L31"/>
    <mergeCell ref="I33:L33"/>
    <mergeCell ref="F12:F15"/>
    <mergeCell ref="F23:J24"/>
    <mergeCell ref="P12:AU12"/>
    <mergeCell ref="B16:B19"/>
    <mergeCell ref="C16:C19"/>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3"/>
  <sheetViews>
    <sheetView showGridLines="0" zoomScale="55" zoomScaleNormal="55"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3.33203125" style="3" customWidth="1"/>
    <col min="4" max="4" width="49.6640625" style="3" customWidth="1"/>
    <col min="5" max="6" width="28.33203125" style="3" customWidth="1"/>
    <col min="7" max="7" width="23.33203125" style="5" customWidth="1"/>
    <col min="8" max="8" width="29.33203125" style="5" customWidth="1"/>
    <col min="9" max="9" width="27.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1">
      <c r="B8" s="19" t="s">
        <v>45</v>
      </c>
      <c r="C8" s="1462" t="s">
        <v>95</v>
      </c>
      <c r="D8" s="1462"/>
      <c r="E8" s="17"/>
      <c r="F8" s="17"/>
      <c r="G8" s="17"/>
      <c r="H8" s="17"/>
      <c r="I8" s="17"/>
      <c r="J8" s="17"/>
      <c r="K8" s="17"/>
      <c r="L8" s="17"/>
      <c r="M8" s="17"/>
      <c r="N8" s="17"/>
      <c r="O8" s="17"/>
      <c r="AW8" s="34"/>
      <c r="AX8" s="34"/>
      <c r="AY8" s="34"/>
      <c r="AZ8" s="34"/>
      <c r="BA8" s="34"/>
      <c r="BB8" s="34"/>
      <c r="BC8" s="34"/>
      <c r="BD8" s="34"/>
    </row>
    <row r="9" spans="2:60" ht="83.25" customHeight="1">
      <c r="B9" s="19" t="s">
        <v>34</v>
      </c>
      <c r="C9" s="1427" t="s">
        <v>495</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30.6"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64.4" customHeight="1">
      <c r="B16" s="132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27" t="str">
        <f>+'01-FR-03 POA INSTITUCIONAL'!C69</f>
        <v>4.4. Implementar el 100% de las acciones necesarias para la modernización de la gestión institucional a través de los procesos de apoyo, que permita una mejor prestación del servicio.</v>
      </c>
      <c r="D16" s="28" t="str">
        <f>+'01-FR-03 POA INSTITUCIONAL'!D75</f>
        <v>4.4.7 Realizar el 95% del reparto, dentro de un término no superior a tres (3) días hábiles, de las comunicaciones oficiales institucionales recibidas por el Grupo de Correspondencia.</v>
      </c>
      <c r="E16" s="46">
        <f>+'01-FR-03 POA INSTITUCIONAL'!E75</f>
        <v>0.05</v>
      </c>
      <c r="F16" s="46">
        <f>+'01-FR-03 POA INSTITUCIONAL'!F75</f>
        <v>0.95</v>
      </c>
      <c r="G16" s="88">
        <f>+'01-FR-03 POA INSTITUCIONAL'!M75</f>
        <v>0.95</v>
      </c>
      <c r="H16" s="35" t="str">
        <f>+'01-FR-03 POA INSTITUCIONAL'!G75</f>
        <v>S.I.</v>
      </c>
      <c r="I16" s="35" t="str">
        <f>+'01-FR-03 POA INSTITUCIONAL'!H75</f>
        <v>Porcentaje de Comunicaciones oficiales con reparto realizado dentro de los 3 días hábiles desde su radicación</v>
      </c>
      <c r="J16" s="116" t="s">
        <v>635</v>
      </c>
      <c r="K16" s="125" t="s">
        <v>1043</v>
      </c>
      <c r="L16" s="118" t="s">
        <v>636</v>
      </c>
      <c r="M16" s="118" t="s">
        <v>481</v>
      </c>
      <c r="N16" s="122" t="s">
        <v>482</v>
      </c>
      <c r="O16" s="63" t="str">
        <f>+'01-FR-03 POA INSTITUCIONAL'!J75</f>
        <v>Subdirección de Gestión Documental y Recursos Físicos - Grupo de Correspondencia</v>
      </c>
      <c r="P16" s="885">
        <v>0.95</v>
      </c>
      <c r="Q16" s="900">
        <v>0.98463999999999996</v>
      </c>
      <c r="R16" s="885">
        <v>0.95</v>
      </c>
      <c r="S16" s="900">
        <v>0.99173999999999995</v>
      </c>
      <c r="T16" s="885">
        <v>0.95</v>
      </c>
      <c r="U16" s="900">
        <v>0.99583999999999995</v>
      </c>
      <c r="V16" s="194">
        <f>AVERAGE(P16,R16,T16)</f>
        <v>0.94999999999999984</v>
      </c>
      <c r="W16" s="195">
        <f>IFERROR(AVERAGE(Q16,S16,U16),0)</f>
        <v>0.99073999999999984</v>
      </c>
      <c r="X16" s="885">
        <v>0.95</v>
      </c>
      <c r="Y16" s="922">
        <v>0.99294000000000004</v>
      </c>
      <c r="Z16" s="885">
        <v>0.95</v>
      </c>
      <c r="AA16" s="922">
        <v>0.86334</v>
      </c>
      <c r="AB16" s="885">
        <v>0.95</v>
      </c>
      <c r="AC16" s="922">
        <v>0.99034</v>
      </c>
      <c r="AD16" s="194">
        <f>AVERAGE(X16,Z16,AB16)</f>
        <v>0.94999999999999984</v>
      </c>
      <c r="AE16" s="195">
        <f>IFERROR(AVERAGE(Y16,AA16,AC16),0)</f>
        <v>0.94887333333333324</v>
      </c>
      <c r="AF16" s="885">
        <v>0.95</v>
      </c>
      <c r="AG16" s="886"/>
      <c r="AH16" s="885">
        <v>0.95</v>
      </c>
      <c r="AI16" s="886"/>
      <c r="AJ16" s="885">
        <v>0.95</v>
      </c>
      <c r="AK16" s="886"/>
      <c r="AL16" s="194">
        <f>AVERAGE(AF16,AH16,AJ16)</f>
        <v>0.94999999999999984</v>
      </c>
      <c r="AM16" s="194">
        <f>IFERROR(AVERAGE(AG16,AI16,AK16),0)</f>
        <v>0</v>
      </c>
      <c r="AN16" s="885">
        <v>0.95</v>
      </c>
      <c r="AO16" s="886"/>
      <c r="AP16" s="885">
        <v>0.95</v>
      </c>
      <c r="AQ16" s="886"/>
      <c r="AR16" s="885">
        <v>0.95</v>
      </c>
      <c r="AS16" s="886"/>
      <c r="AT16" s="194">
        <f>AVERAGE(AN16,AP16,AR16)</f>
        <v>0.94999999999999984</v>
      </c>
      <c r="AU16" s="194">
        <f>IFERROR(AVERAGE(AO16,AQ16,AS16),0)</f>
        <v>0</v>
      </c>
      <c r="AV16" s="194">
        <f>AVERAGE(P16,R16,T16,X16,Z16,AB16,AF16,AH16,AJ16,AN16,AP16,AR16)</f>
        <v>0.94999999999999984</v>
      </c>
      <c r="AW16" s="181">
        <f>IFERROR(IF(OR($AV$16="",$AV$16=0),0,ROUNDDOWN(AVERAGE($Q16,$S16,$U16),3)),0)</f>
        <v>0.99</v>
      </c>
      <c r="AX16" s="199">
        <f>IFERROR(IF(OR($AV$16="",$AV$16=0),0,ROUNDDOWN(AVERAGE($Q16,$S16,$U16,$Y16,$AA16,$AC16),3)),0)+0.0007</f>
        <v>0.96970000000000001</v>
      </c>
      <c r="AY16" s="925">
        <f>IFERROR(IF(OR($AV$16="",$AV$16=0),0,ROUNDDOWN(AVERAGE($Q16,$S16,$U16,$Y16,$AA16,$AC16,$AG16,$AI16,$AK16),3)),0)</f>
        <v>0.96899999999999997</v>
      </c>
      <c r="AZ16" s="925">
        <f>(IFERROR(IF(OR($AV$16="",$AV$16=0),0,ROUNDDOWN(AVERAGE($Q16,$S16,$U16,$Y16,$AA16,$AC16,$AG16,$AI16,$AK16,$AO16,$AQ16,$AS16),3)),0))</f>
        <v>0.96899999999999997</v>
      </c>
      <c r="BA16" s="210">
        <f>(IF(AND(AW16&gt;0,$AV16&gt;0),AW16/$AV16,0))*0.25</f>
        <v>0.26052631578947372</v>
      </c>
      <c r="BB16" s="210">
        <f>(IF(AND(AX16&gt;0,$AV16&gt;0),AX16/$AV16,0))*0.5</f>
        <v>0.51036842105263169</v>
      </c>
      <c r="BC16" s="210">
        <f>(IF(AND(AY16&gt;0,$AV16&gt;0),AY16/$AV16,0))*0.75</f>
        <v>0.76500000000000012</v>
      </c>
      <c r="BD16" s="210">
        <f>(IF(AND(AZ16&gt;0,$AV16&gt;0),AZ16/$AV16,0))*1</f>
        <v>1.0200000000000002</v>
      </c>
      <c r="BE16" s="214">
        <f>((IF(AND(AW16&gt;0,$F16&gt;0),AW16/$F16,0))*0.25)*0.25</f>
        <v>6.5131578947368429E-2</v>
      </c>
      <c r="BF16" s="214">
        <f>((IF(AND(AX16&gt;0,$F16&gt;0),AX16/$F16,0))*0.25)*0.5</f>
        <v>0.1275921052631579</v>
      </c>
      <c r="BG16" s="752">
        <f>((IF(AND(AY16&gt;0,$F16&gt;0),AY16/$F16,0))/4)*0.75</f>
        <v>0.19125</v>
      </c>
      <c r="BH16" s="752">
        <f>((IF(AND(AZ16&gt;0,$F16&gt;0),AZ16/$F16,0))/4)*1</f>
        <v>0.255</v>
      </c>
    </row>
    <row r="17" spans="2:60" ht="202.2" customHeight="1">
      <c r="B17" s="1134"/>
      <c r="C17" s="1134"/>
      <c r="D17" s="28" t="str">
        <f>+'01-FR-03 POA INSTITUCIONAL'!D76</f>
        <v>4.4.8 Incorporar el 80% al archivo central de las transferencias documentales provenientes de las dependencias, en razón a que cumplen los requisitos exigidos para ello.</v>
      </c>
      <c r="E17" s="46">
        <f>+'01-FR-03 POA INSTITUCIONAL'!E76</f>
        <v>0.05</v>
      </c>
      <c r="F17" s="46">
        <f>+'01-FR-03 POA INSTITUCIONAL'!F76</f>
        <v>0.8</v>
      </c>
      <c r="G17" s="88">
        <f>+'01-FR-03 POA INSTITUCIONAL'!M76</f>
        <v>0.8</v>
      </c>
      <c r="H17" s="35">
        <f>+'01-FR-03 POA INSTITUCIONAL'!G76</f>
        <v>264</v>
      </c>
      <c r="I17" s="35" t="str">
        <f>+'01-FR-03 POA INSTITUCIONAL'!H76</f>
        <v>Porcentaje de documentación incorporada en el archivo central durante la vigencia.</v>
      </c>
      <c r="J17" s="116" t="s">
        <v>497</v>
      </c>
      <c r="K17" s="125" t="s">
        <v>483</v>
      </c>
      <c r="L17" s="118" t="s">
        <v>484</v>
      </c>
      <c r="M17" s="118" t="s">
        <v>481</v>
      </c>
      <c r="N17" s="122" t="s">
        <v>485</v>
      </c>
      <c r="O17" s="63" t="str">
        <f>+'01-FR-03 POA INSTITUCIONAL'!J76</f>
        <v>Subdirección de Gestión Documental y Recursos Físicos - Archivo central</v>
      </c>
      <c r="P17" s="885">
        <v>0.8</v>
      </c>
      <c r="Q17" s="885">
        <v>0.8</v>
      </c>
      <c r="R17" s="885">
        <v>0.8</v>
      </c>
      <c r="S17" s="885">
        <v>0.8</v>
      </c>
      <c r="T17" s="885">
        <v>0.8</v>
      </c>
      <c r="U17" s="885">
        <v>0.8</v>
      </c>
      <c r="V17" s="194">
        <f>AVERAGE(P17,R17,T17)</f>
        <v>0.80000000000000016</v>
      </c>
      <c r="W17" s="194">
        <f>IFERROR(AVERAGE(Q17,S17,U17),0)</f>
        <v>0.80000000000000016</v>
      </c>
      <c r="X17" s="885">
        <v>0.8</v>
      </c>
      <c r="Y17" s="885">
        <v>0.8</v>
      </c>
      <c r="Z17" s="885">
        <v>0.8</v>
      </c>
      <c r="AA17" s="885">
        <v>0.8</v>
      </c>
      <c r="AB17" s="885">
        <v>0.8</v>
      </c>
      <c r="AC17" s="939">
        <v>0.79700000000000004</v>
      </c>
      <c r="AD17" s="194">
        <f>AVERAGE(X17,Z17,AB17)</f>
        <v>0.80000000000000016</v>
      </c>
      <c r="AE17" s="194">
        <f>IFERROR(AVERAGE(Y17,AA17,AC17),0)</f>
        <v>0.79900000000000004</v>
      </c>
      <c r="AF17" s="885">
        <v>0.8</v>
      </c>
      <c r="AG17" s="886"/>
      <c r="AH17" s="885">
        <v>0.8</v>
      </c>
      <c r="AI17" s="886"/>
      <c r="AJ17" s="885">
        <v>0.8</v>
      </c>
      <c r="AK17" s="886"/>
      <c r="AL17" s="194">
        <f>AVERAGE(AF17,AH17,AJ17)</f>
        <v>0.80000000000000016</v>
      </c>
      <c r="AM17" s="194">
        <f>IFERROR(AVERAGE(AG17,AI17,AK17),0)</f>
        <v>0</v>
      </c>
      <c r="AN17" s="885">
        <v>0.8</v>
      </c>
      <c r="AO17" s="886"/>
      <c r="AP17" s="885">
        <v>0.8</v>
      </c>
      <c r="AQ17" s="886"/>
      <c r="AR17" s="885">
        <v>0.8</v>
      </c>
      <c r="AS17" s="886"/>
      <c r="AT17" s="194">
        <f>AVERAGE(AN17,AP17,AR17)</f>
        <v>0.80000000000000016</v>
      </c>
      <c r="AU17" s="194">
        <f>IFERROR(AVERAGE(AO17,AQ17,AS17),0)</f>
        <v>0</v>
      </c>
      <c r="AV17" s="194">
        <f>AVERAGE(P17,R17,T17,X17,Z17,AB17,AF17,AH17,AJ17,AN17,AP17,AR17)</f>
        <v>0.79999999999999993</v>
      </c>
      <c r="AW17" s="181">
        <f>IFERROR(IF(OR($AV$17="",$AV$17=0),0,ROUNDDOWN(AVERAGE($Q17,$S17,$U17),3)),0)</f>
        <v>0.8</v>
      </c>
      <c r="AX17" s="181">
        <f>IFERROR(IF(OR($AV$17="",$AV$17=0),0,ROUNDDOWN(AVERAGE($Q17,$S17,$U17,$Y17,$AA17,$AC17),3)),0)</f>
        <v>0.79900000000000004</v>
      </c>
      <c r="AY17" s="925">
        <f>IFERROR(IF(OR($AV$17="",$AV$17=0),0,ROUNDDOWN(AVERAGE($Q17,$S17,$U17,$Y17,$AA17,$AC17,$AG17,$AI17,$AK17),3)),0)</f>
        <v>0.79900000000000004</v>
      </c>
      <c r="AZ17" s="926">
        <f>IFERROR(IF(OR($AV$17="",$AV$17=0),0,ROUNDDOWN(AVERAGE($Q17,$S17,$U17,$Y17,$AA17,$AC17,$AG17,$AI17,$AK17,$AO17,$AQ17,$AS17),3)),0)</f>
        <v>0.79900000000000004</v>
      </c>
      <c r="BA17" s="210">
        <f>(IF(AND(AW17&gt;0,$AV17&gt;0),AW17/$AV17,0))*0.25</f>
        <v>0.25000000000000006</v>
      </c>
      <c r="BB17" s="210">
        <f>(IF(AND(AX17&gt;0,$AV17&gt;0),AX17/$AV17,0))*0.5</f>
        <v>0.49937500000000007</v>
      </c>
      <c r="BC17" s="210">
        <f>(IF(AND(AY17&gt;0,$AV17&gt;0),AY17/$AV17,0))*0.75</f>
        <v>0.74906250000000008</v>
      </c>
      <c r="BD17" s="210">
        <f>(IF(AND(AZ17&gt;0,$AV17&gt;0),AZ17/$AV17,0))*1</f>
        <v>0.99875000000000014</v>
      </c>
      <c r="BE17" s="214">
        <f>((IF(AND(AW17&gt;0,$F17&gt;0),AW17/$F17,0))*0.25)*0.25</f>
        <v>6.25E-2</v>
      </c>
      <c r="BF17" s="214">
        <f>((IF(AND(AX17&gt;0,$F17&gt;0),AX17/$F17,0))/4)*0.5</f>
        <v>0.12484375</v>
      </c>
      <c r="BG17" s="752">
        <f>((IF(AND(AY17&gt;0,$F17&gt;0),AY17/$F17,0))/4)*0.75</f>
        <v>0.18726562499999999</v>
      </c>
      <c r="BH17" s="752">
        <f>((IF(AND(AZ17&gt;0,$F17&gt;0),AZ17/$F17,0))/4)</f>
        <v>0.24968750000000001</v>
      </c>
    </row>
    <row r="18" spans="2:60" ht="171.6" customHeight="1">
      <c r="B18" s="1134"/>
      <c r="C18" s="1134"/>
      <c r="D18" s="28" t="str">
        <f>+'01-FR-03 POA INSTITUCIONAL'!D77</f>
        <v>4.4.9 Realizar 100 actividades de diseño, actualización o ajuste de los instrumentos archivísticos establecidos por norma.</v>
      </c>
      <c r="E18" s="46">
        <f>+'01-FR-03 POA INSTITUCIONAL'!E77</f>
        <v>0.05</v>
      </c>
      <c r="F18" s="35">
        <f>+'01-FR-03 POA INSTITUCIONAL'!F77</f>
        <v>100</v>
      </c>
      <c r="G18" s="175">
        <f>+'01-FR-03 POA INSTITUCIONAL'!M77</f>
        <v>25</v>
      </c>
      <c r="H18" s="35">
        <f>+'01-FR-03 POA INSTITUCIONAL'!G77</f>
        <v>32</v>
      </c>
      <c r="I18" s="35" t="str">
        <f>+'01-FR-03 POA INSTITUCIONAL'!H77</f>
        <v>Cantidad de actividades realizadas por año para el diseño, actualización o ajuste de los instrumentos archivísticos establecidos por norma</v>
      </c>
      <c r="J18" s="35" t="s">
        <v>486</v>
      </c>
      <c r="K18" s="125" t="s">
        <v>487</v>
      </c>
      <c r="L18" s="118" t="s">
        <v>488</v>
      </c>
      <c r="M18" s="118" t="s">
        <v>481</v>
      </c>
      <c r="N18" s="122" t="s">
        <v>489</v>
      </c>
      <c r="O18" s="63" t="str">
        <f>+'01-FR-03 POA INSTITUCIONAL'!J77</f>
        <v xml:space="preserve">Subdirección de Gestión Documental y Recursos Físicos </v>
      </c>
      <c r="P18" s="886">
        <v>1</v>
      </c>
      <c r="Q18" s="886">
        <v>1</v>
      </c>
      <c r="R18" s="886">
        <v>2</v>
      </c>
      <c r="S18" s="886">
        <v>1.75</v>
      </c>
      <c r="T18" s="886">
        <v>2.25</v>
      </c>
      <c r="U18" s="901">
        <v>2.2000000000000002</v>
      </c>
      <c r="V18" s="70">
        <f t="shared" ref="V18:W19" si="0">P18+R18+T18</f>
        <v>5.25</v>
      </c>
      <c r="W18" s="70">
        <f t="shared" si="0"/>
        <v>4.95</v>
      </c>
      <c r="X18" s="887">
        <v>2</v>
      </c>
      <c r="Y18" s="923">
        <v>2.2000000000000002</v>
      </c>
      <c r="Z18" s="887">
        <v>2.25</v>
      </c>
      <c r="AA18" s="923">
        <v>2.6</v>
      </c>
      <c r="AB18" s="887">
        <v>2.25</v>
      </c>
      <c r="AC18" s="886">
        <v>3</v>
      </c>
      <c r="AD18" s="68">
        <f t="shared" ref="AD18:AE19" si="1">X18+Z18+AB18</f>
        <v>6.5</v>
      </c>
      <c r="AE18" s="68">
        <f t="shared" si="1"/>
        <v>7.8000000000000007</v>
      </c>
      <c r="AF18" s="887">
        <v>2.25</v>
      </c>
      <c r="AG18" s="887"/>
      <c r="AH18" s="887">
        <v>2.25</v>
      </c>
      <c r="AI18" s="887"/>
      <c r="AJ18" s="887">
        <v>2.25</v>
      </c>
      <c r="AK18" s="886"/>
      <c r="AL18" s="68">
        <f t="shared" ref="AL18:AM19" si="2">AF18+AH18+AJ18</f>
        <v>6.75</v>
      </c>
      <c r="AM18" s="68">
        <f t="shared" si="2"/>
        <v>0</v>
      </c>
      <c r="AN18" s="887">
        <v>2.25</v>
      </c>
      <c r="AO18" s="887"/>
      <c r="AP18" s="887">
        <v>2.25</v>
      </c>
      <c r="AQ18" s="887"/>
      <c r="AR18" s="887">
        <v>2</v>
      </c>
      <c r="AS18" s="886"/>
      <c r="AT18" s="68">
        <f t="shared" ref="AT18:AU19" si="3">AN18+AP18+AR18</f>
        <v>6.5</v>
      </c>
      <c r="AU18" s="68">
        <f t="shared" si="3"/>
        <v>0</v>
      </c>
      <c r="AV18" s="123">
        <f t="shared" ref="AV18:AV19" si="4">V18+AD18+AL18+AT18</f>
        <v>25</v>
      </c>
      <c r="AW18" s="62">
        <f t="shared" ref="AW18:AW19" si="5">+W18</f>
        <v>4.95</v>
      </c>
      <c r="AX18" s="193">
        <f t="shared" ref="AX18:AX19" si="6">+W18+AE18</f>
        <v>12.75</v>
      </c>
      <c r="AY18" s="933">
        <f t="shared" ref="AY18:AY19" si="7">+W18+AE18+AM18</f>
        <v>12.75</v>
      </c>
      <c r="AZ18" s="933">
        <f t="shared" ref="AZ18:AZ19" si="8">+W18+AE18+AM18+AU18</f>
        <v>12.75</v>
      </c>
      <c r="BA18" s="192">
        <f t="shared" ref="BA18:BA19" si="9">IF(AND(AW18&gt;0,AV18&gt;0),AW18/AV18,0)</f>
        <v>0.19800000000000001</v>
      </c>
      <c r="BB18" s="192">
        <f t="shared" ref="BB18:BD19" si="10">IF(AND(AX18&gt;0,$AV18&gt;0),AX18/$AV18,0)</f>
        <v>0.51</v>
      </c>
      <c r="BC18" s="192">
        <f t="shared" si="10"/>
        <v>0.51</v>
      </c>
      <c r="BD18" s="192">
        <f t="shared" si="10"/>
        <v>0.51</v>
      </c>
      <c r="BE18" s="214">
        <f>(IF(AND(AW18&gt;0,$F18&gt;0),AW18/$F18,0))</f>
        <v>4.9500000000000002E-2</v>
      </c>
      <c r="BF18" s="214">
        <f t="shared" ref="BF18:BH18" si="11">(IF(AND(AX18&gt;0,$F18&gt;0),AX18/$F18,0))</f>
        <v>0.1275</v>
      </c>
      <c r="BG18" s="752">
        <f t="shared" si="11"/>
        <v>0.1275</v>
      </c>
      <c r="BH18" s="752">
        <f t="shared" si="11"/>
        <v>0.1275</v>
      </c>
    </row>
    <row r="19" spans="2:60" ht="240">
      <c r="B19" s="1126"/>
      <c r="C19" s="1126"/>
      <c r="D19" s="28" t="str">
        <f>+'01-FR-03 POA INSTITUCIONAL'!D78</f>
        <v>4.4.10 Realizar 100 actividades de implementación de los instrumentos archivísticos establecidos por norma, y de las herramientas de apoyo a la gestión documental.</v>
      </c>
      <c r="E19" s="46">
        <f>+'01-FR-03 POA INSTITUCIONAL'!E78</f>
        <v>0.05</v>
      </c>
      <c r="F19" s="35">
        <f>+'01-FR-03 POA INSTITUCIONAL'!F78</f>
        <v>100</v>
      </c>
      <c r="G19" s="175">
        <f>+'01-FR-03 POA INSTITUCIONAL'!M78</f>
        <v>25</v>
      </c>
      <c r="H19" s="35">
        <f>+'01-FR-03 POA INSTITUCIONAL'!G78</f>
        <v>26</v>
      </c>
      <c r="I19" s="35" t="str">
        <f>+'01-FR-03 POA INSTITUCIONAL'!H78</f>
        <v>Cantidad de actividades realizadas por año para implementación de los instrumentos archivísticos establecidos por norma, y de herramientas de apoyo a la gestión documental.</v>
      </c>
      <c r="J19" s="35" t="s">
        <v>490</v>
      </c>
      <c r="K19" s="125" t="s">
        <v>491</v>
      </c>
      <c r="L19" s="118" t="s">
        <v>492</v>
      </c>
      <c r="M19" s="118" t="s">
        <v>493</v>
      </c>
      <c r="N19" s="122" t="s">
        <v>494</v>
      </c>
      <c r="O19" s="63" t="str">
        <f>+'01-FR-03 POA INSTITUCIONAL'!J78</f>
        <v>Subdirección de Gestión Documental y Recursos Físicos
Dirección de Tecnologías de la Información y Comunicaciones</v>
      </c>
      <c r="P19" s="886">
        <v>1</v>
      </c>
      <c r="Q19" s="886">
        <v>1.1499999999999999</v>
      </c>
      <c r="R19" s="886">
        <v>2</v>
      </c>
      <c r="S19" s="886">
        <v>2.25</v>
      </c>
      <c r="T19" s="886">
        <v>2.25</v>
      </c>
      <c r="U19" s="886">
        <v>2.25</v>
      </c>
      <c r="V19" s="70">
        <f t="shared" si="0"/>
        <v>5.25</v>
      </c>
      <c r="W19" s="70">
        <f t="shared" si="0"/>
        <v>5.65</v>
      </c>
      <c r="X19" s="887">
        <v>2</v>
      </c>
      <c r="Y19" s="923">
        <v>2.2000000000000002</v>
      </c>
      <c r="Z19" s="887">
        <v>2.25</v>
      </c>
      <c r="AA19" s="887">
        <v>2.25</v>
      </c>
      <c r="AB19" s="887">
        <v>2.25</v>
      </c>
      <c r="AC19" s="886">
        <v>3</v>
      </c>
      <c r="AD19" s="68">
        <f t="shared" si="1"/>
        <v>6.5</v>
      </c>
      <c r="AE19" s="68">
        <f t="shared" si="1"/>
        <v>7.45</v>
      </c>
      <c r="AF19" s="887">
        <v>2.25</v>
      </c>
      <c r="AG19" s="887"/>
      <c r="AH19" s="887">
        <v>2.25</v>
      </c>
      <c r="AI19" s="887"/>
      <c r="AJ19" s="887">
        <v>2.25</v>
      </c>
      <c r="AK19" s="886"/>
      <c r="AL19" s="68">
        <f t="shared" si="2"/>
        <v>6.75</v>
      </c>
      <c r="AM19" s="68">
        <f t="shared" si="2"/>
        <v>0</v>
      </c>
      <c r="AN19" s="887">
        <v>2.25</v>
      </c>
      <c r="AO19" s="887"/>
      <c r="AP19" s="887">
        <v>2.25</v>
      </c>
      <c r="AQ19" s="887"/>
      <c r="AR19" s="887">
        <v>2</v>
      </c>
      <c r="AS19" s="886"/>
      <c r="AT19" s="68">
        <f t="shared" si="3"/>
        <v>6.5</v>
      </c>
      <c r="AU19" s="68">
        <f t="shared" si="3"/>
        <v>0</v>
      </c>
      <c r="AV19" s="123">
        <f t="shared" si="4"/>
        <v>25</v>
      </c>
      <c r="AW19" s="62">
        <f t="shared" si="5"/>
        <v>5.65</v>
      </c>
      <c r="AX19" s="193">
        <f t="shared" si="6"/>
        <v>13.100000000000001</v>
      </c>
      <c r="AY19" s="933">
        <f t="shared" si="7"/>
        <v>13.100000000000001</v>
      </c>
      <c r="AZ19" s="933">
        <f t="shared" si="8"/>
        <v>13.100000000000001</v>
      </c>
      <c r="BA19" s="192">
        <f t="shared" si="9"/>
        <v>0.22600000000000001</v>
      </c>
      <c r="BB19" s="192">
        <f t="shared" si="10"/>
        <v>0.52400000000000002</v>
      </c>
      <c r="BC19" s="192">
        <f t="shared" si="10"/>
        <v>0.52400000000000002</v>
      </c>
      <c r="BD19" s="192">
        <f t="shared" si="10"/>
        <v>0.52400000000000002</v>
      </c>
      <c r="BE19" s="214">
        <f>(IF(AND(AW19&gt;0,$F19&gt;0),AW19/$F19,0))</f>
        <v>5.6500000000000002E-2</v>
      </c>
      <c r="BF19" s="214">
        <f t="shared" ref="BF19" si="12">(IF(AND(AX19&gt;0,$F19&gt;0),AX19/$F19,0))</f>
        <v>0.13100000000000001</v>
      </c>
      <c r="BG19" s="752">
        <f t="shared" ref="BG19" si="13">(IF(AND(AY19&gt;0,$F19&gt;0),AY19/$F19,0))</f>
        <v>0.13100000000000001</v>
      </c>
      <c r="BH19" s="752">
        <f t="shared" ref="BH19" si="14">(IF(AND(AZ19&gt;0,$F19&gt;0),AZ19/$F19,0))</f>
        <v>0.13100000000000001</v>
      </c>
    </row>
    <row r="20" spans="2:60" ht="22.8">
      <c r="B20" s="1371"/>
      <c r="C20" s="1372"/>
      <c r="D20" s="1372"/>
      <c r="E20" s="1372"/>
      <c r="F20" s="1372"/>
      <c r="G20" s="1372"/>
      <c r="H20" s="1372"/>
      <c r="I20" s="1372"/>
      <c r="J20" s="1372"/>
      <c r="K20" s="1372"/>
      <c r="L20" s="1372"/>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72"/>
      <c r="AS20" s="1372"/>
      <c r="AT20" s="1372"/>
      <c r="AU20" s="1372"/>
      <c r="AV20" s="1372"/>
      <c r="AW20" s="1455"/>
      <c r="AX20" s="1431" t="s">
        <v>19</v>
      </c>
      <c r="AY20" s="1432"/>
      <c r="AZ20" s="1432"/>
      <c r="BA20" s="59">
        <f t="shared" ref="BA20:BD20" si="15">AVERAGE(BA16:BA19)</f>
        <v>0.23363157894736841</v>
      </c>
      <c r="BB20" s="59">
        <f t="shared" si="15"/>
        <v>0.51093585526315799</v>
      </c>
      <c r="BC20" s="59">
        <f t="shared" si="15"/>
        <v>0.63701562500000009</v>
      </c>
      <c r="BD20" s="59">
        <f t="shared" si="15"/>
        <v>0.76318750000000013</v>
      </c>
      <c r="BE20" s="1463"/>
      <c r="BF20" s="1464"/>
      <c r="BG20" s="1464"/>
      <c r="BH20" s="1465"/>
    </row>
    <row r="21" spans="2:60">
      <c r="B21" s="1413"/>
      <c r="C21" s="1413"/>
      <c r="D21" s="1413"/>
      <c r="E21" s="1413"/>
      <c r="F21" s="1413"/>
      <c r="G21" s="1413"/>
      <c r="H21" s="39"/>
      <c r="I21" s="38"/>
      <c r="J21" s="38"/>
      <c r="K21" s="38"/>
      <c r="L21" s="38"/>
      <c r="M21" s="38"/>
      <c r="N21" s="38"/>
      <c r="O21" s="38"/>
    </row>
    <row r="22" spans="2:60">
      <c r="B22" s="38"/>
      <c r="C22" s="38"/>
      <c r="D22" s="1440"/>
      <c r="E22" s="1440"/>
      <c r="F22" s="1440"/>
      <c r="G22" s="1440"/>
      <c r="H22" s="1440"/>
      <c r="I22" s="1440"/>
      <c r="J22" s="1440"/>
      <c r="K22" s="1440"/>
      <c r="L22" s="1440"/>
      <c r="M22" s="1440"/>
      <c r="N22" s="1440"/>
      <c r="O22" s="1440"/>
    </row>
    <row r="23" spans="2:60" ht="15.6">
      <c r="B23" s="40" t="s">
        <v>26</v>
      </c>
      <c r="C23" s="41">
        <v>44224</v>
      </c>
      <c r="D23" s="121"/>
      <c r="E23" s="1443" t="s">
        <v>50</v>
      </c>
      <c r="F23" s="201"/>
      <c r="G23" s="1444" t="s">
        <v>1140</v>
      </c>
      <c r="H23" s="1444"/>
      <c r="I23" s="1444"/>
      <c r="J23" s="1444"/>
      <c r="K23" s="43"/>
      <c r="L23" s="1403"/>
      <c r="M23" s="1403"/>
      <c r="N23" s="1403"/>
      <c r="O23" s="1439"/>
    </row>
    <row r="24" spans="2:60" ht="15.6">
      <c r="B24" s="38"/>
      <c r="C24" s="38"/>
      <c r="D24" s="43"/>
      <c r="E24" s="1443"/>
      <c r="F24" s="201"/>
      <c r="G24" s="1444"/>
      <c r="H24" s="1444"/>
      <c r="I24" s="1444"/>
      <c r="J24" s="1444"/>
      <c r="K24" s="38"/>
      <c r="L24" s="38"/>
      <c r="M24" s="38"/>
      <c r="N24" s="38"/>
      <c r="O24" s="38"/>
    </row>
    <row r="25" spans="2:60" ht="15.6">
      <c r="B25" s="40" t="s">
        <v>49</v>
      </c>
      <c r="C25" s="41">
        <v>44581</v>
      </c>
      <c r="D25" s="38"/>
      <c r="E25" s="38"/>
      <c r="F25" s="38"/>
      <c r="K25" s="38"/>
      <c r="L25" s="38"/>
      <c r="M25" s="38"/>
      <c r="N25" s="38"/>
      <c r="O25" s="38"/>
    </row>
    <row r="26" spans="2:60" ht="13.2" customHeight="1">
      <c r="B26" s="38"/>
      <c r="C26" s="868"/>
      <c r="D26" s="38"/>
      <c r="E26" s="38"/>
      <c r="F26" s="38"/>
      <c r="K26" s="38"/>
      <c r="L26" s="38"/>
      <c r="M26" s="38"/>
      <c r="N26" s="38"/>
      <c r="O26" s="38"/>
    </row>
    <row r="27" spans="2:60" ht="31.5" customHeight="1">
      <c r="B27" s="40" t="s">
        <v>49</v>
      </c>
      <c r="C27" s="41">
        <v>44953</v>
      </c>
      <c r="D27" s="38"/>
      <c r="E27" s="38"/>
      <c r="F27" s="38"/>
      <c r="K27" s="38"/>
      <c r="L27" s="38"/>
      <c r="M27" s="38"/>
      <c r="N27" s="38"/>
      <c r="O27" s="38"/>
    </row>
    <row r="28" spans="2:60">
      <c r="B28" s="38"/>
      <c r="C28" s="38"/>
      <c r="D28" s="38"/>
      <c r="E28" s="38"/>
      <c r="F28" s="38"/>
      <c r="K28" s="38"/>
      <c r="L28" s="38"/>
      <c r="M28" s="38"/>
      <c r="N28" s="38"/>
      <c r="O28" s="38"/>
    </row>
    <row r="29" spans="2:60">
      <c r="B29" s="1530" t="s">
        <v>876</v>
      </c>
      <c r="C29" s="1530"/>
      <c r="D29" s="1530"/>
      <c r="E29" s="1530"/>
      <c r="F29" s="1530"/>
      <c r="G29" s="1530"/>
      <c r="H29" s="39"/>
      <c r="I29" s="1438"/>
      <c r="J29" s="1438"/>
      <c r="K29" s="1438"/>
      <c r="L29" s="1438"/>
      <c r="M29" s="44"/>
      <c r="N29" s="44"/>
      <c r="O29" s="44"/>
    </row>
    <row r="30" spans="2:60">
      <c r="B30" s="38"/>
      <c r="C30" s="38"/>
      <c r="D30" s="38"/>
      <c r="E30" s="38"/>
      <c r="F30" s="38"/>
      <c r="G30" s="39"/>
      <c r="H30" s="39"/>
      <c r="I30" s="38"/>
      <c r="J30" s="38"/>
      <c r="K30" s="45"/>
      <c r="L30" s="38"/>
      <c r="M30" s="38"/>
      <c r="N30" s="38"/>
      <c r="O30" s="38"/>
    </row>
    <row r="31" spans="2:60">
      <c r="B31" s="38"/>
      <c r="C31" s="38"/>
      <c r="D31" s="38"/>
      <c r="E31" s="38"/>
      <c r="F31" s="38"/>
      <c r="G31" s="39"/>
      <c r="H31" s="39"/>
      <c r="I31" s="1438"/>
      <c r="J31" s="1438"/>
      <c r="K31" s="1438"/>
      <c r="L31" s="1438"/>
      <c r="M31" s="44"/>
      <c r="N31" s="44"/>
      <c r="O31" s="44"/>
    </row>
    <row r="32" spans="2:60">
      <c r="B32" s="38"/>
      <c r="C32" s="38"/>
      <c r="D32" s="38"/>
      <c r="E32" s="38"/>
      <c r="F32" s="38"/>
      <c r="G32" s="39"/>
      <c r="H32" s="39"/>
      <c r="I32" s="38"/>
      <c r="J32" s="38"/>
      <c r="K32" s="45"/>
      <c r="L32" s="38"/>
      <c r="M32" s="38"/>
      <c r="N32" s="38"/>
      <c r="O32" s="38"/>
    </row>
    <row r="33" spans="2:15">
      <c r="B33" s="38"/>
      <c r="C33" s="38"/>
      <c r="D33" s="38"/>
      <c r="E33" s="38"/>
      <c r="F33" s="38"/>
      <c r="G33" s="39"/>
      <c r="H33" s="39"/>
      <c r="I33" s="1438"/>
      <c r="J33" s="1438"/>
      <c r="K33" s="1438"/>
      <c r="L33" s="1438"/>
      <c r="M33" s="44"/>
      <c r="N33" s="44"/>
      <c r="O33" s="44"/>
    </row>
  </sheetData>
  <sheetProtection algorithmName="SHA-512" hashValue="xTH34VN5V3Cdcnjauh2gmwvDc3TIIqu2WJBtzD/g/9Eueo4Am0SQ4jL3NADtlt99yvqgwxNKkcXlg8yY63WlkQ==" saltValue="8+Am9bZva0p/fA/p2QJnzQ==" spinCount="100000" sheet="1" objects="1" scenarios="1"/>
  <mergeCells count="72">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31:L31"/>
    <mergeCell ref="I33:L33"/>
    <mergeCell ref="B21:G21"/>
    <mergeCell ref="AX20:AZ20"/>
    <mergeCell ref="D22:O22"/>
    <mergeCell ref="E23:E24"/>
    <mergeCell ref="G23:J24"/>
    <mergeCell ref="L23:O23"/>
    <mergeCell ref="I29:L29"/>
    <mergeCell ref="B20:AW20"/>
    <mergeCell ref="B29:G29"/>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4"/>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1" style="3" customWidth="1"/>
    <col min="10" max="10" width="46.4414062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1:60" ht="15.6" thickBot="1"/>
    <row r="2" spans="1:60"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1:60"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1: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1:60"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1: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1: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1:60" ht="21">
      <c r="B8" s="19" t="s">
        <v>45</v>
      </c>
      <c r="C8" s="1462" t="s">
        <v>96</v>
      </c>
      <c r="D8" s="1462"/>
      <c r="E8" s="17"/>
      <c r="F8" s="17"/>
      <c r="G8" s="17"/>
      <c r="H8" s="17"/>
      <c r="I8" s="17"/>
      <c r="J8" s="17"/>
      <c r="K8" s="17"/>
      <c r="L8" s="17"/>
      <c r="M8" s="17"/>
      <c r="N8" s="17"/>
      <c r="O8" s="17"/>
      <c r="AW8" s="34"/>
      <c r="AX8" s="34"/>
      <c r="AY8" s="34"/>
      <c r="AZ8" s="34"/>
      <c r="BA8" s="34"/>
      <c r="BB8" s="34"/>
      <c r="BC8" s="34"/>
      <c r="BD8" s="34"/>
    </row>
    <row r="9" spans="1:60" ht="75.75" customHeight="1">
      <c r="B9" s="19" t="s">
        <v>34</v>
      </c>
      <c r="C9" s="1515" t="s">
        <v>519</v>
      </c>
      <c r="D9" s="1428"/>
      <c r="E9" s="17"/>
      <c r="F9" s="17"/>
      <c r="G9" s="17"/>
      <c r="H9" s="17"/>
      <c r="I9" s="17"/>
      <c r="J9" s="17"/>
      <c r="K9" s="17"/>
      <c r="L9" s="17"/>
      <c r="M9" s="17"/>
      <c r="N9" s="17"/>
      <c r="O9" s="17"/>
      <c r="AW9" s="34"/>
      <c r="AX9" s="34"/>
      <c r="AY9" s="34"/>
      <c r="AZ9" s="34"/>
      <c r="BA9" s="34"/>
      <c r="BB9" s="34"/>
      <c r="BC9" s="34"/>
      <c r="BD9" s="34"/>
    </row>
    <row r="10" spans="1: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1:60">
      <c r="B11" s="2"/>
      <c r="C11" s="2"/>
      <c r="D11" s="2"/>
      <c r="E11" s="2"/>
      <c r="F11" s="2"/>
      <c r="G11" s="4"/>
      <c r="H11" s="4"/>
      <c r="I11" s="2"/>
      <c r="J11" s="2"/>
      <c r="K11" s="2"/>
      <c r="L11" s="2"/>
      <c r="M11" s="2"/>
      <c r="N11" s="2"/>
      <c r="O11" s="2"/>
      <c r="AW11" s="34"/>
      <c r="AX11" s="34"/>
      <c r="AY11" s="34"/>
      <c r="AZ11" s="34"/>
      <c r="BA11" s="34"/>
      <c r="BB11" s="34"/>
      <c r="BC11" s="34"/>
      <c r="BD11" s="34"/>
    </row>
    <row r="12" spans="1:60" ht="24"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1: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1: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1: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1:60" ht="102.6" customHeight="1">
      <c r="A16" s="139"/>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INSTITUCIONAL'!C69</f>
        <v>4.4. Implementar el 100% de las acciones necesarias para la modernización de la gestión institucional a través de los procesos de apoyo, que permita una mejor prestación del servicio.</v>
      </c>
      <c r="D16" s="28" t="str">
        <f>+'01-FR-03 POA INSTITUCIONAL'!D79</f>
        <v>4.4.11  Representar a la Entidad en el 100% de los procesos judiciales en los cuales la sea vinculada o demandada.</v>
      </c>
      <c r="E16" s="46">
        <f>+'01-FR-03 POA INSTITUCIONAL'!E79</f>
        <v>0.05</v>
      </c>
      <c r="F16" s="46">
        <f>+'01-FR-03 POA INSTITUCIONAL'!F79</f>
        <v>1</v>
      </c>
      <c r="G16" s="88">
        <f>+'01-FR-03 POA INSTITUCIONAL'!M79</f>
        <v>1</v>
      </c>
      <c r="H16" s="30">
        <f>+'01-FR-03 POA INSTITUCIONAL'!G79</f>
        <v>1</v>
      </c>
      <c r="I16" s="35" t="str">
        <f>+'01-FR-03 POA INSTITUCIONAL'!H79</f>
        <v>Porcentaje de procesos judiciales en los que se vincule o demande a la Entidad, objeto de representación oportuna</v>
      </c>
      <c r="J16" s="173" t="s">
        <v>508</v>
      </c>
      <c r="K16" s="118" t="s">
        <v>509</v>
      </c>
      <c r="L16" s="118" t="s">
        <v>510</v>
      </c>
      <c r="M16" s="118" t="s">
        <v>511</v>
      </c>
      <c r="N16" s="118" t="s">
        <v>512</v>
      </c>
      <c r="O16" s="174" t="str">
        <f>+'01-FR-03 POA INSTITUCIONAL'!J79</f>
        <v>Oficina Asesora Jurídica</v>
      </c>
      <c r="P16" s="77">
        <v>1</v>
      </c>
      <c r="Q16" s="77">
        <v>1</v>
      </c>
      <c r="R16" s="77">
        <v>1</v>
      </c>
      <c r="S16" s="77">
        <v>1</v>
      </c>
      <c r="T16" s="77">
        <v>1</v>
      </c>
      <c r="U16" s="77">
        <v>1</v>
      </c>
      <c r="V16" s="56">
        <f>AVERAGE(P16,R16,T16)</f>
        <v>1</v>
      </c>
      <c r="W16" s="56">
        <f>IFERROR(AVERAGE(Q16,S16,U16),0)</f>
        <v>1</v>
      </c>
      <c r="X16" s="77">
        <v>1</v>
      </c>
      <c r="Y16" s="77">
        <v>1</v>
      </c>
      <c r="Z16" s="77">
        <v>1</v>
      </c>
      <c r="AA16" s="77">
        <v>1</v>
      </c>
      <c r="AB16" s="77">
        <v>1</v>
      </c>
      <c r="AC16" s="77">
        <v>1</v>
      </c>
      <c r="AD16" s="56">
        <f>AVERAGE(X16,Z16,AB16)</f>
        <v>1</v>
      </c>
      <c r="AE16" s="56">
        <f>IFERROR(AVERAGE(Y16,AA16,AC16),0)</f>
        <v>1</v>
      </c>
      <c r="AF16" s="77">
        <v>1</v>
      </c>
      <c r="AG16" s="77"/>
      <c r="AH16" s="77">
        <v>1</v>
      </c>
      <c r="AI16" s="77"/>
      <c r="AJ16" s="77">
        <v>1</v>
      </c>
      <c r="AK16" s="77"/>
      <c r="AL16" s="56">
        <f>AVERAGE(AF16,AH16,AJ16)</f>
        <v>1</v>
      </c>
      <c r="AM16" s="56">
        <f>IFERROR(AVERAGE(AG16,AI16,AK16),0)</f>
        <v>0</v>
      </c>
      <c r="AN16" s="77">
        <v>1</v>
      </c>
      <c r="AO16" s="77"/>
      <c r="AP16" s="77">
        <v>1</v>
      </c>
      <c r="AQ16" s="813"/>
      <c r="AR16" s="77">
        <v>1</v>
      </c>
      <c r="AS16" s="77"/>
      <c r="AT16" s="56">
        <f>AVERAGE(AN16,AP16,AR16)</f>
        <v>1</v>
      </c>
      <c r="AU16" s="56">
        <f>IFERROR(AVERAGE(AO16,AQ16,AS16),0)</f>
        <v>0</v>
      </c>
      <c r="AV16" s="56">
        <f>AVERAGE(P16,R16,T16,X16,Z16,AB16,AF16,AH16,AJ16,AN16,AP16,AR16)</f>
        <v>1</v>
      </c>
      <c r="AW16" s="55">
        <f>IFERROR(IF(OR($AV$16="",$AV$16=0),0,ROUNDDOWN(AVERAGE($Q16,$S16,$U16),3)),0)</f>
        <v>1</v>
      </c>
      <c r="AX16" s="55">
        <f>IFERROR(IF(OR($AV$17="",$AV$17=0),0,ROUNDDOWN(AVERAGE($Q16,$S16,$U16,$Y16,$AA16,$AC16),3)),0)</f>
        <v>1</v>
      </c>
      <c r="AY16" s="929">
        <f>IFERROR(IF(OR($AV$16="",$AV$16=0),0,ROUNDDOWN(AVERAGE($Q16,$S16,$U16,$Y16,$AA16,$AC16,$AG16,$AI16,$AK16),3)),0)</f>
        <v>1</v>
      </c>
      <c r="AZ16" s="929">
        <f t="shared" ref="AZ16:AZ20" si="0">IFERROR(IF(OR($AV$16="",$AV$16=0),0,ROUNDDOWN(AVERAGE($Q16,$S16,$U16,$Y16,$AA16,$AC16,$AG16,$AI16,$AK16,$AO16,$AQ16,$AS16),3)),0)</f>
        <v>1</v>
      </c>
      <c r="BA16" s="211">
        <f>(IF(AND(AW16&gt;0,$AV16&gt;0),AW16/$AV16,0))*0.25</f>
        <v>0.25</v>
      </c>
      <c r="BB16" s="211">
        <f>(IF(AND(AX16&gt;0,$AV16&gt;0),AX16/$AV16,0))*0.5</f>
        <v>0.5</v>
      </c>
      <c r="BC16" s="211">
        <f>(IF(AND(AY16&gt;0,$AV16&gt;0),AY16/$AV16,0))*0.75</f>
        <v>0.75</v>
      </c>
      <c r="BD16" s="211">
        <f>(IF(AND(AZ16&gt;0,$AV16&gt;0),AZ16/$AV16,0))*1</f>
        <v>1</v>
      </c>
      <c r="BE16" s="182">
        <f>((IF(AND(AW16&gt;0,$F16&gt;0),AW16/$F16,0))/4)*0.25</f>
        <v>6.25E-2</v>
      </c>
      <c r="BF16" s="214">
        <f>((IF(AND(AX16&gt;0,$F16&gt;0),AX16/$F16,0))/4)*0.5</f>
        <v>0.125</v>
      </c>
      <c r="BG16" s="752">
        <f>((IF(AND(AY16&gt;0,$F16&gt;0),AY16/$F16,0))/4)*0.75</f>
        <v>0.1875</v>
      </c>
      <c r="BH16" s="751">
        <f>((IF(AND(AZ16&gt;0,$F16&gt;0),AZ16/$F16,0))/4)*1</f>
        <v>0.25</v>
      </c>
    </row>
    <row r="17" spans="1:60" ht="150">
      <c r="A17" s="139"/>
      <c r="B17" s="1434"/>
      <c r="C17" s="1434"/>
      <c r="D17" s="28" t="str">
        <f>+'01-FR-03 POA INSTITUCIONAL'!D80</f>
        <v xml:space="preserve">4.4.12 Defender judicialmente a la Entidad en el 100% de las acciones de tutela en las cuales sea vinculada o accionada </v>
      </c>
      <c r="E17" s="46">
        <f>+'01-FR-03 POA INSTITUCIONAL'!E80</f>
        <v>0.05</v>
      </c>
      <c r="F17" s="46">
        <f>+'01-FR-03 POA INSTITUCIONAL'!F80</f>
        <v>1</v>
      </c>
      <c r="G17" s="88">
        <f>+'01-FR-03 POA INSTITUCIONAL'!M80</f>
        <v>1</v>
      </c>
      <c r="H17" s="30">
        <f>+'01-FR-03 POA INSTITUCIONAL'!G80</f>
        <v>1</v>
      </c>
      <c r="I17" s="35" t="str">
        <f>+'01-FR-03 POA INSTITUCIONAL'!H80</f>
        <v xml:space="preserve">Porcentaje de acciones de tutela en las cuales se defienda judicialmente a la Entidad oportunamente </v>
      </c>
      <c r="J17" s="173" t="s">
        <v>513</v>
      </c>
      <c r="K17" s="119" t="s">
        <v>514</v>
      </c>
      <c r="L17" s="118" t="s">
        <v>510</v>
      </c>
      <c r="M17" s="118" t="s">
        <v>511</v>
      </c>
      <c r="N17" s="118" t="s">
        <v>512</v>
      </c>
      <c r="O17" s="174" t="str">
        <f>+'01-FR-03 POA INSTITUCIONAL'!J80</f>
        <v>Oficina Asesora Jurídica</v>
      </c>
      <c r="P17" s="77">
        <v>1</v>
      </c>
      <c r="Q17" s="77">
        <v>1</v>
      </c>
      <c r="R17" s="77">
        <v>1</v>
      </c>
      <c r="S17" s="77">
        <v>1</v>
      </c>
      <c r="T17" s="77">
        <v>1</v>
      </c>
      <c r="U17" s="77">
        <v>1</v>
      </c>
      <c r="V17" s="56">
        <f t="shared" ref="V17:V19" si="1">AVERAGE(P17,R17,T17)</f>
        <v>1</v>
      </c>
      <c r="W17" s="56">
        <f t="shared" ref="W17:W18" si="2">IFERROR(AVERAGE(Q17,S17,U17),0)</f>
        <v>1</v>
      </c>
      <c r="X17" s="77">
        <v>1</v>
      </c>
      <c r="Y17" s="77">
        <v>1</v>
      </c>
      <c r="Z17" s="77">
        <v>1</v>
      </c>
      <c r="AA17" s="77">
        <v>1</v>
      </c>
      <c r="AB17" s="77">
        <v>1</v>
      </c>
      <c r="AC17" s="77">
        <v>1</v>
      </c>
      <c r="AD17" s="56">
        <f t="shared" ref="AD17:AD19" si="3">AVERAGE(X17,Z17,AB17)</f>
        <v>1</v>
      </c>
      <c r="AE17" s="56">
        <f t="shared" ref="AE17:AE19" si="4">IFERROR(AVERAGE(Y17,AA17,AC17),0)</f>
        <v>1</v>
      </c>
      <c r="AF17" s="77">
        <v>1</v>
      </c>
      <c r="AG17" s="77"/>
      <c r="AH17" s="77">
        <v>1</v>
      </c>
      <c r="AI17" s="77"/>
      <c r="AJ17" s="77">
        <v>1</v>
      </c>
      <c r="AK17" s="77"/>
      <c r="AL17" s="56">
        <f t="shared" ref="AL17:AL19" si="5">AVERAGE(AF17,AH17,AJ17)</f>
        <v>1</v>
      </c>
      <c r="AM17" s="56">
        <f t="shared" ref="AM17:AM19" si="6">IFERROR(AVERAGE(AG17,AI17,AK17),0)</f>
        <v>0</v>
      </c>
      <c r="AN17" s="77">
        <v>1</v>
      </c>
      <c r="AO17" s="77"/>
      <c r="AP17" s="77">
        <v>1</v>
      </c>
      <c r="AQ17" s="813"/>
      <c r="AR17" s="77">
        <v>1</v>
      </c>
      <c r="AS17" s="77"/>
      <c r="AT17" s="56">
        <f t="shared" ref="AT17:AT19" si="7">AVERAGE(AN17,AP17,AR17)</f>
        <v>1</v>
      </c>
      <c r="AU17" s="56">
        <f t="shared" ref="AU17:AU19" si="8">IFERROR(AVERAGE(AO17,AQ17,AS17),0)</f>
        <v>0</v>
      </c>
      <c r="AV17" s="56">
        <f t="shared" ref="AV17:AV19" si="9">AVERAGE(P17,R17,T17,X17,Z17,AB17,AF17,AH17,AJ17,AN17,AP17,AR17)</f>
        <v>1</v>
      </c>
      <c r="AW17" s="55">
        <f t="shared" ref="AW17:AW20" si="10">IFERROR(IF(OR($AV$16="",$AV$16=0),0,ROUNDDOWN(AVERAGE($Q17,$S17,$U17),3)),0)</f>
        <v>1</v>
      </c>
      <c r="AX17" s="55">
        <f t="shared" ref="AX17:AX20" si="11">IFERROR(IF(OR($AV$17="",$AV$17=0),0,ROUNDDOWN(AVERAGE($Q17,$S17,$U17,$Y17,$AA17,$AC17),3)),0)</f>
        <v>1</v>
      </c>
      <c r="AY17" s="929">
        <f t="shared" ref="AY17:AY20" si="12">IFERROR(IF(OR($AV$16="",$AV$16=0),0,ROUNDDOWN(AVERAGE($Q17,$S17,$U17,$Y17,$AA17,$AC17,$AG17,$AI17,$AK17),3)),0)</f>
        <v>1</v>
      </c>
      <c r="AZ17" s="929">
        <f t="shared" si="0"/>
        <v>1</v>
      </c>
      <c r="BA17" s="211">
        <f t="shared" ref="BA17:BA20" si="13">(IF(AND(AW17&gt;0,$AV17&gt;0),AW17/$AV17,0))*0.25</f>
        <v>0.25</v>
      </c>
      <c r="BB17" s="211">
        <f t="shared" ref="BB17:BB20" si="14">(IF(AND(AX17&gt;0,$AV17&gt;0),AX17/$AV17,0))*0.5</f>
        <v>0.5</v>
      </c>
      <c r="BC17" s="211">
        <f t="shared" ref="BC17:BC20" si="15">(IF(AND(AY17&gt;0,$AV17&gt;0),AY17/$AV17,0))*0.75</f>
        <v>0.75</v>
      </c>
      <c r="BD17" s="211">
        <f t="shared" ref="BD17:BD20" si="16">(IF(AND(AZ17&gt;0,$AV17&gt;0),AZ17/$AV17,0))*1</f>
        <v>1</v>
      </c>
      <c r="BE17" s="182">
        <f t="shared" ref="BE17:BE20" si="17">((IF(AND(AW17&gt;0,$F17&gt;0),AW17/$F17,0))/4)*0.25</f>
        <v>6.25E-2</v>
      </c>
      <c r="BF17" s="214">
        <f t="shared" ref="BF17:BF20" si="18">((IF(AND(AX17&gt;0,$F17&gt;0),AX17/$F17,0))/4)*0.5</f>
        <v>0.125</v>
      </c>
      <c r="BG17" s="752">
        <f t="shared" ref="BG17:BG20" si="19">((IF(AND(AY17&gt;0,$F17&gt;0),AY17/$F17,0))/4)*0.75</f>
        <v>0.1875</v>
      </c>
      <c r="BH17" s="751">
        <f t="shared" ref="BH17:BH20" si="20">((IF(AND(AZ17&gt;0,$F17&gt;0),AZ17/$F17,0))/4)*1</f>
        <v>0.25</v>
      </c>
    </row>
    <row r="18" spans="1:60" ht="75">
      <c r="A18" s="139"/>
      <c r="B18" s="1434"/>
      <c r="C18" s="1434"/>
      <c r="D18" s="28" t="str">
        <f>+'01-FR-03 POA INSTITUCIONAL'!D81</f>
        <v>4.4.13 Emitir oportunamente el 100% de los conceptos jurídicos solicitados por el Despacho del Personero de Bogotá o sus delegados.</v>
      </c>
      <c r="E18" s="46">
        <f>+'01-FR-03 POA INSTITUCIONAL'!E81</f>
        <v>0.05</v>
      </c>
      <c r="F18" s="46">
        <f>+'01-FR-03 POA INSTITUCIONAL'!F81</f>
        <v>1</v>
      </c>
      <c r="G18" s="88">
        <f>+'01-FR-03 POA INSTITUCIONAL'!M81</f>
        <v>1</v>
      </c>
      <c r="H18" s="30">
        <f>+'01-FR-03 POA INSTITUCIONAL'!G81</f>
        <v>1</v>
      </c>
      <c r="I18" s="35" t="str">
        <f>+'01-FR-03 POA INSTITUCIONAL'!H81</f>
        <v>Porcentaje de conceptos de competencia de la dependencia emitidos oportunamente</v>
      </c>
      <c r="J18" s="173" t="s">
        <v>515</v>
      </c>
      <c r="K18" s="119" t="s">
        <v>516</v>
      </c>
      <c r="L18" s="118" t="s">
        <v>517</v>
      </c>
      <c r="M18" s="118" t="s">
        <v>511</v>
      </c>
      <c r="N18" s="118" t="s">
        <v>512</v>
      </c>
      <c r="O18" s="174" t="str">
        <f>+'01-FR-03 POA INSTITUCIONAL'!J81</f>
        <v>Oficina Asesora Jurídica</v>
      </c>
      <c r="P18" s="77">
        <v>1</v>
      </c>
      <c r="Q18" s="77">
        <v>1</v>
      </c>
      <c r="R18" s="77">
        <v>1</v>
      </c>
      <c r="S18" s="77">
        <v>1</v>
      </c>
      <c r="T18" s="77">
        <v>1</v>
      </c>
      <c r="U18" s="77">
        <v>1</v>
      </c>
      <c r="V18" s="56">
        <f t="shared" si="1"/>
        <v>1</v>
      </c>
      <c r="W18" s="56">
        <f t="shared" si="2"/>
        <v>1</v>
      </c>
      <c r="X18" s="77">
        <v>1</v>
      </c>
      <c r="Y18" s="77">
        <v>1</v>
      </c>
      <c r="Z18" s="77">
        <v>1</v>
      </c>
      <c r="AA18" s="77">
        <v>1</v>
      </c>
      <c r="AB18" s="77">
        <v>1</v>
      </c>
      <c r="AC18" s="77">
        <v>1</v>
      </c>
      <c r="AD18" s="56">
        <f t="shared" si="3"/>
        <v>1</v>
      </c>
      <c r="AE18" s="56">
        <f t="shared" si="4"/>
        <v>1</v>
      </c>
      <c r="AF18" s="77">
        <v>1</v>
      </c>
      <c r="AG18" s="77"/>
      <c r="AH18" s="77">
        <v>1</v>
      </c>
      <c r="AI18" s="77"/>
      <c r="AJ18" s="77">
        <v>1</v>
      </c>
      <c r="AK18" s="77"/>
      <c r="AL18" s="56">
        <f t="shared" si="5"/>
        <v>1</v>
      </c>
      <c r="AM18" s="56">
        <f t="shared" si="6"/>
        <v>0</v>
      </c>
      <c r="AN18" s="77">
        <v>1</v>
      </c>
      <c r="AO18" s="77"/>
      <c r="AP18" s="77">
        <v>1</v>
      </c>
      <c r="AQ18" s="813"/>
      <c r="AR18" s="77">
        <v>1</v>
      </c>
      <c r="AS18" s="77"/>
      <c r="AT18" s="56">
        <f t="shared" si="7"/>
        <v>1</v>
      </c>
      <c r="AU18" s="56">
        <f t="shared" si="8"/>
        <v>0</v>
      </c>
      <c r="AV18" s="56">
        <f t="shared" si="9"/>
        <v>1</v>
      </c>
      <c r="AW18" s="55">
        <f t="shared" si="10"/>
        <v>1</v>
      </c>
      <c r="AX18" s="55">
        <f t="shared" si="11"/>
        <v>1</v>
      </c>
      <c r="AY18" s="929">
        <f t="shared" si="12"/>
        <v>1</v>
      </c>
      <c r="AZ18" s="929">
        <f t="shared" si="0"/>
        <v>1</v>
      </c>
      <c r="BA18" s="211">
        <f t="shared" si="13"/>
        <v>0.25</v>
      </c>
      <c r="BB18" s="211">
        <f t="shared" si="14"/>
        <v>0.5</v>
      </c>
      <c r="BC18" s="211">
        <f t="shared" si="15"/>
        <v>0.75</v>
      </c>
      <c r="BD18" s="211">
        <f t="shared" si="16"/>
        <v>1</v>
      </c>
      <c r="BE18" s="182">
        <f t="shared" si="17"/>
        <v>6.25E-2</v>
      </c>
      <c r="BF18" s="214">
        <f t="shared" si="18"/>
        <v>0.125</v>
      </c>
      <c r="BG18" s="752">
        <f t="shared" si="19"/>
        <v>0.1875</v>
      </c>
      <c r="BH18" s="751">
        <f t="shared" si="20"/>
        <v>0.25</v>
      </c>
    </row>
    <row r="19" spans="1:60" ht="90">
      <c r="A19" s="139"/>
      <c r="B19" s="1434"/>
      <c r="C19" s="1434"/>
      <c r="D19" s="1433" t="str">
        <f>+'01-FR-03 POA INSTITUCIONAL'!D82</f>
        <v>4.4.14 Registrar el 100% de los reportes de las sanciones disciplinarias de los servidores públicos distritales.</v>
      </c>
      <c r="E19" s="1328">
        <f>+'01-FR-03 POA INSTITUCIONAL'!E82</f>
        <v>0.05</v>
      </c>
      <c r="F19" s="46">
        <f>+'01-FR-03 POA INSTITUCIONAL'!F82</f>
        <v>1</v>
      </c>
      <c r="G19" s="88">
        <f>+'01-FR-03 POA INSTITUCIONAL'!M82</f>
        <v>1</v>
      </c>
      <c r="H19" s="30">
        <f>+'01-FR-03 POA INSTITUCIONAL'!G82</f>
        <v>1</v>
      </c>
      <c r="I19" s="35" t="str">
        <f>+'01-FR-03 POA INSTITUCIONAL'!H82</f>
        <v>Porcentaje de reportes de la base de datos de sanciones disciplinarias registrados</v>
      </c>
      <c r="J19" s="173" t="s">
        <v>520</v>
      </c>
      <c r="K19" s="118" t="s">
        <v>521</v>
      </c>
      <c r="L19" s="118" t="s">
        <v>518</v>
      </c>
      <c r="M19" s="118" t="s">
        <v>511</v>
      </c>
      <c r="N19" s="118" t="s">
        <v>512</v>
      </c>
      <c r="O19" s="174" t="str">
        <f>+'01-FR-03 POA INSTITUCIONAL'!J82</f>
        <v>Oficina Asesora Jurídica</v>
      </c>
      <c r="P19" s="77">
        <v>1</v>
      </c>
      <c r="Q19" s="77">
        <v>1</v>
      </c>
      <c r="R19" s="77">
        <v>1</v>
      </c>
      <c r="S19" s="77">
        <v>1</v>
      </c>
      <c r="T19" s="77">
        <v>1</v>
      </c>
      <c r="U19" s="77">
        <v>1</v>
      </c>
      <c r="V19" s="56">
        <f t="shared" si="1"/>
        <v>1</v>
      </c>
      <c r="W19" s="56">
        <f>IFERROR(AVERAGE(Q19,S19,U19),0)</f>
        <v>1</v>
      </c>
      <c r="X19" s="77">
        <v>1</v>
      </c>
      <c r="Y19" s="77">
        <v>1</v>
      </c>
      <c r="Z19" s="77">
        <v>1</v>
      </c>
      <c r="AA19" s="77">
        <v>1</v>
      </c>
      <c r="AB19" s="77">
        <v>1</v>
      </c>
      <c r="AC19" s="77">
        <v>1</v>
      </c>
      <c r="AD19" s="56">
        <f t="shared" si="3"/>
        <v>1</v>
      </c>
      <c r="AE19" s="56">
        <f t="shared" si="4"/>
        <v>1</v>
      </c>
      <c r="AF19" s="77">
        <v>1</v>
      </c>
      <c r="AG19" s="77"/>
      <c r="AH19" s="77">
        <v>1</v>
      </c>
      <c r="AI19" s="77"/>
      <c r="AJ19" s="77">
        <v>1</v>
      </c>
      <c r="AK19" s="77"/>
      <c r="AL19" s="56">
        <f t="shared" si="5"/>
        <v>1</v>
      </c>
      <c r="AM19" s="56">
        <f t="shared" si="6"/>
        <v>0</v>
      </c>
      <c r="AN19" s="77">
        <v>1</v>
      </c>
      <c r="AO19" s="77"/>
      <c r="AP19" s="77">
        <v>1</v>
      </c>
      <c r="AQ19" s="813"/>
      <c r="AR19" s="77">
        <v>1</v>
      </c>
      <c r="AS19" s="77"/>
      <c r="AT19" s="56">
        <f t="shared" si="7"/>
        <v>1</v>
      </c>
      <c r="AU19" s="56">
        <f t="shared" si="8"/>
        <v>0</v>
      </c>
      <c r="AV19" s="56">
        <f t="shared" si="9"/>
        <v>1</v>
      </c>
      <c r="AW19" s="55">
        <f t="shared" si="10"/>
        <v>1</v>
      </c>
      <c r="AX19" s="55">
        <f t="shared" si="11"/>
        <v>1</v>
      </c>
      <c r="AY19" s="929">
        <f t="shared" si="12"/>
        <v>1</v>
      </c>
      <c r="AZ19" s="929">
        <f t="shared" si="0"/>
        <v>1</v>
      </c>
      <c r="BA19" s="211">
        <f t="shared" si="13"/>
        <v>0.25</v>
      </c>
      <c r="BB19" s="211">
        <f t="shared" si="14"/>
        <v>0.5</v>
      </c>
      <c r="BC19" s="211">
        <f t="shared" si="15"/>
        <v>0.75</v>
      </c>
      <c r="BD19" s="211">
        <f t="shared" si="16"/>
        <v>1</v>
      </c>
      <c r="BE19" s="182">
        <f t="shared" si="17"/>
        <v>6.25E-2</v>
      </c>
      <c r="BF19" s="214">
        <f t="shared" si="18"/>
        <v>0.125</v>
      </c>
      <c r="BG19" s="752">
        <f t="shared" si="19"/>
        <v>0.1875</v>
      </c>
      <c r="BH19" s="751">
        <f t="shared" si="20"/>
        <v>0.25</v>
      </c>
    </row>
    <row r="20" spans="1:60" ht="62.25" customHeight="1">
      <c r="B20" s="1454"/>
      <c r="C20" s="1454"/>
      <c r="D20" s="1454"/>
      <c r="E20" s="1128"/>
      <c r="F20" s="46">
        <f>+'01-FR-03 POA INSTITUCIONAL'!F83</f>
        <v>1</v>
      </c>
      <c r="G20" s="88">
        <f>+'01-FR-03 POA INSTITUCIONAL'!M83</f>
        <v>1</v>
      </c>
      <c r="H20" s="30">
        <f>+'01-FR-03 POA INSTITUCIONAL'!G83</f>
        <v>1</v>
      </c>
      <c r="I20" s="35" t="str">
        <f>+'01-FR-03 POA INSTITUCIONAL'!H83</f>
        <v>Porcentaje de antecedentes disciplinarios expedidos</v>
      </c>
      <c r="J20" s="173" t="s">
        <v>620</v>
      </c>
      <c r="K20" s="118" t="s">
        <v>522</v>
      </c>
      <c r="L20" s="118" t="s">
        <v>523</v>
      </c>
      <c r="M20" s="118" t="s">
        <v>524</v>
      </c>
      <c r="N20" s="118" t="s">
        <v>512</v>
      </c>
      <c r="O20" s="174" t="str">
        <f>+'01-FR-03 POA INSTITUCIONAL'!J83</f>
        <v>Oficina Asesora Jurídica</v>
      </c>
      <c r="P20" s="77">
        <v>1</v>
      </c>
      <c r="Q20" s="77">
        <v>1</v>
      </c>
      <c r="R20" s="77">
        <v>1</v>
      </c>
      <c r="S20" s="77">
        <v>1</v>
      </c>
      <c r="T20" s="77">
        <v>1</v>
      </c>
      <c r="U20" s="77">
        <v>1</v>
      </c>
      <c r="V20" s="56">
        <f t="shared" ref="V20" si="21">AVERAGE(P20,R20,T20)</f>
        <v>1</v>
      </c>
      <c r="W20" s="56">
        <f>IFERROR(AVERAGE(Q20,S20,U20),0)</f>
        <v>1</v>
      </c>
      <c r="X20" s="77">
        <v>1</v>
      </c>
      <c r="Y20" s="77">
        <v>1</v>
      </c>
      <c r="Z20" s="77">
        <v>1</v>
      </c>
      <c r="AA20" s="77">
        <v>1</v>
      </c>
      <c r="AB20" s="77">
        <v>1</v>
      </c>
      <c r="AC20" s="77">
        <v>1</v>
      </c>
      <c r="AD20" s="56">
        <f t="shared" ref="AD20" si="22">AVERAGE(X20,Z20,AB20)</f>
        <v>1</v>
      </c>
      <c r="AE20" s="56">
        <f t="shared" ref="AE20" si="23">IFERROR(AVERAGE(Y20,AA20,AC20),0)</f>
        <v>1</v>
      </c>
      <c r="AF20" s="77">
        <v>1</v>
      </c>
      <c r="AG20" s="77"/>
      <c r="AH20" s="77">
        <v>1</v>
      </c>
      <c r="AI20" s="77"/>
      <c r="AJ20" s="77">
        <v>1</v>
      </c>
      <c r="AK20" s="77"/>
      <c r="AL20" s="56">
        <f t="shared" ref="AL20" si="24">AVERAGE(AF20,AH20,AJ20)</f>
        <v>1</v>
      </c>
      <c r="AM20" s="56">
        <f t="shared" ref="AM20" si="25">IFERROR(AVERAGE(AG20,AI20,AK20),0)</f>
        <v>0</v>
      </c>
      <c r="AN20" s="77">
        <v>1</v>
      </c>
      <c r="AO20" s="77"/>
      <c r="AP20" s="77">
        <v>1</v>
      </c>
      <c r="AQ20" s="813"/>
      <c r="AR20" s="77">
        <v>1</v>
      </c>
      <c r="AS20" s="77"/>
      <c r="AT20" s="56">
        <f t="shared" ref="AT20" si="26">AVERAGE(AN20,AP20,AR20)</f>
        <v>1</v>
      </c>
      <c r="AU20" s="56">
        <f t="shared" ref="AU20" si="27">IFERROR(AVERAGE(AO20,AQ20,AS20),0)</f>
        <v>0</v>
      </c>
      <c r="AV20" s="56">
        <f t="shared" ref="AV20" si="28">AVERAGE(P20,R20,T20,X20,Z20,AB20,AF20,AH20,AJ20,AN20,AP20,AR20)</f>
        <v>1</v>
      </c>
      <c r="AW20" s="55">
        <f t="shared" si="10"/>
        <v>1</v>
      </c>
      <c r="AX20" s="55">
        <f t="shared" si="11"/>
        <v>1</v>
      </c>
      <c r="AY20" s="929">
        <f t="shared" si="12"/>
        <v>1</v>
      </c>
      <c r="AZ20" s="929">
        <f t="shared" si="0"/>
        <v>1</v>
      </c>
      <c r="BA20" s="211">
        <f t="shared" si="13"/>
        <v>0.25</v>
      </c>
      <c r="BB20" s="211">
        <f t="shared" si="14"/>
        <v>0.5</v>
      </c>
      <c r="BC20" s="211">
        <f t="shared" si="15"/>
        <v>0.75</v>
      </c>
      <c r="BD20" s="211">
        <f t="shared" si="16"/>
        <v>1</v>
      </c>
      <c r="BE20" s="182">
        <f t="shared" si="17"/>
        <v>6.25E-2</v>
      </c>
      <c r="BF20" s="214">
        <f t="shared" si="18"/>
        <v>0.125</v>
      </c>
      <c r="BG20" s="752">
        <f t="shared" si="19"/>
        <v>0.1875</v>
      </c>
      <c r="BH20" s="751">
        <f t="shared" si="20"/>
        <v>0.25</v>
      </c>
    </row>
    <row r="21" spans="1:60" ht="22.8">
      <c r="B21" s="1371"/>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72"/>
      <c r="AS21" s="1372"/>
      <c r="AT21" s="1372"/>
      <c r="AU21" s="1372"/>
      <c r="AV21" s="1372"/>
      <c r="AW21" s="1455"/>
      <c r="AX21" s="1431" t="s">
        <v>19</v>
      </c>
      <c r="AY21" s="1432"/>
      <c r="AZ21" s="1432"/>
      <c r="BA21" s="59">
        <f t="shared" ref="BA21:BD21" si="29">AVERAGE(BA16:BA20)</f>
        <v>0.25</v>
      </c>
      <c r="BB21" s="59">
        <f t="shared" si="29"/>
        <v>0.5</v>
      </c>
      <c r="BC21" s="59">
        <f t="shared" si="29"/>
        <v>0.75</v>
      </c>
      <c r="BD21" s="59">
        <f t="shared" si="29"/>
        <v>1</v>
      </c>
      <c r="BE21" s="1463"/>
      <c r="BF21" s="1464"/>
      <c r="BG21" s="1464"/>
      <c r="BH21" s="1465"/>
    </row>
    <row r="22" spans="1:60">
      <c r="B22" s="1413"/>
      <c r="C22" s="1413"/>
      <c r="D22" s="1413"/>
      <c r="E22" s="1413"/>
      <c r="F22" s="1413"/>
      <c r="G22" s="1413"/>
      <c r="H22" s="39"/>
      <c r="I22" s="38"/>
      <c r="J22" s="38"/>
      <c r="K22" s="38"/>
      <c r="L22" s="38"/>
      <c r="M22" s="38"/>
      <c r="N22" s="38"/>
      <c r="O22" s="38"/>
    </row>
    <row r="23" spans="1:60">
      <c r="B23" s="38"/>
      <c r="C23" s="38"/>
      <c r="D23" s="1440"/>
      <c r="E23" s="1440"/>
      <c r="F23" s="1440"/>
      <c r="G23" s="1440"/>
      <c r="H23" s="1440"/>
      <c r="I23" s="1440"/>
      <c r="J23" s="1440"/>
      <c r="K23" s="1440"/>
      <c r="L23" s="1440"/>
      <c r="M23" s="1440"/>
      <c r="N23" s="1440"/>
      <c r="O23" s="1440"/>
    </row>
    <row r="24" spans="1:60" ht="15.6">
      <c r="B24" s="40" t="s">
        <v>26</v>
      </c>
      <c r="C24" s="41">
        <v>44224</v>
      </c>
      <c r="D24" s="121"/>
      <c r="E24" s="1443" t="s">
        <v>50</v>
      </c>
      <c r="F24" s="201"/>
      <c r="G24" s="1444" t="s">
        <v>1142</v>
      </c>
      <c r="H24" s="1444"/>
      <c r="I24" s="1444"/>
      <c r="J24" s="1444"/>
      <c r="K24" s="43"/>
      <c r="L24" s="1403"/>
      <c r="M24" s="1403"/>
      <c r="N24" s="1403"/>
      <c r="O24" s="1439"/>
    </row>
    <row r="25" spans="1:60" ht="15.6">
      <c r="B25" s="38"/>
      <c r="C25" s="38"/>
      <c r="D25" s="43"/>
      <c r="E25" s="1443"/>
      <c r="F25" s="201"/>
      <c r="G25" s="1444"/>
      <c r="H25" s="1444"/>
      <c r="I25" s="1444"/>
      <c r="J25" s="1444"/>
      <c r="K25" s="38"/>
      <c r="L25" s="38"/>
      <c r="M25" s="38"/>
      <c r="N25" s="38"/>
      <c r="O25" s="38"/>
    </row>
    <row r="26" spans="1:60" ht="15.6">
      <c r="B26" s="40" t="s">
        <v>49</v>
      </c>
      <c r="C26" s="41">
        <v>44581</v>
      </c>
      <c r="D26" s="38"/>
      <c r="E26" s="38"/>
      <c r="F26" s="38"/>
      <c r="K26" s="38"/>
      <c r="L26" s="38"/>
      <c r="M26" s="38"/>
      <c r="N26" s="38"/>
      <c r="O26" s="38"/>
    </row>
    <row r="27" spans="1:60" ht="13.2" customHeight="1">
      <c r="B27" s="38"/>
      <c r="C27" s="868"/>
      <c r="D27" s="38"/>
      <c r="E27" s="38"/>
      <c r="F27" s="38"/>
      <c r="K27" s="38"/>
      <c r="L27" s="38"/>
      <c r="M27" s="38"/>
      <c r="N27" s="38"/>
      <c r="O27" s="38"/>
    </row>
    <row r="28" spans="1:60" ht="31.5" customHeight="1">
      <c r="B28" s="40" t="s">
        <v>49</v>
      </c>
      <c r="C28" s="41">
        <v>44953</v>
      </c>
      <c r="D28" s="38"/>
      <c r="E28" s="38"/>
      <c r="F28" s="38"/>
      <c r="K28" s="38"/>
      <c r="L28" s="38"/>
      <c r="M28" s="38"/>
      <c r="N28" s="38"/>
      <c r="O28" s="38"/>
    </row>
    <row r="29" spans="1:60">
      <c r="B29" s="38"/>
      <c r="C29" s="38"/>
      <c r="D29" s="38"/>
      <c r="E29" s="38"/>
      <c r="F29" s="38"/>
      <c r="K29" s="38"/>
      <c r="L29" s="38"/>
      <c r="M29" s="38"/>
      <c r="N29" s="38"/>
      <c r="O29" s="38"/>
    </row>
    <row r="30" spans="1:60">
      <c r="B30" s="1530" t="s">
        <v>876</v>
      </c>
      <c r="C30" s="1530"/>
      <c r="D30" s="1530"/>
      <c r="E30" s="1530"/>
      <c r="F30" s="1530"/>
      <c r="G30" s="1530"/>
      <c r="H30" s="39"/>
      <c r="I30" s="1438"/>
      <c r="J30" s="1438"/>
      <c r="K30" s="1438"/>
      <c r="L30" s="1438"/>
      <c r="M30" s="44"/>
      <c r="N30" s="44"/>
      <c r="O30" s="44"/>
    </row>
    <row r="31" spans="1:60">
      <c r="B31" s="38"/>
      <c r="C31" s="38"/>
      <c r="D31" s="38"/>
      <c r="E31" s="38"/>
      <c r="F31" s="38"/>
      <c r="G31" s="39"/>
      <c r="H31" s="39"/>
      <c r="I31" s="38"/>
      <c r="J31" s="38"/>
      <c r="K31" s="45"/>
      <c r="L31" s="38"/>
      <c r="M31" s="38"/>
      <c r="N31" s="38"/>
      <c r="O31" s="38"/>
    </row>
    <row r="32" spans="1:60">
      <c r="B32" s="38"/>
      <c r="C32" s="38"/>
      <c r="D32" s="38"/>
      <c r="E32" s="38"/>
      <c r="F32" s="38"/>
      <c r="G32" s="39"/>
      <c r="H32" s="39"/>
      <c r="I32" s="1438"/>
      <c r="J32" s="1438"/>
      <c r="K32" s="1438"/>
      <c r="L32" s="1438"/>
      <c r="M32" s="44"/>
      <c r="N32" s="44"/>
      <c r="O32" s="44"/>
    </row>
    <row r="33" spans="2:15">
      <c r="B33" s="38"/>
      <c r="C33" s="38"/>
      <c r="D33" s="38"/>
      <c r="E33" s="38"/>
      <c r="F33" s="38"/>
      <c r="G33" s="39"/>
      <c r="H33" s="39"/>
      <c r="I33" s="38"/>
      <c r="J33" s="38"/>
      <c r="K33" s="45"/>
      <c r="L33" s="38"/>
      <c r="M33" s="38"/>
      <c r="N33" s="38"/>
      <c r="O33" s="38"/>
    </row>
    <row r="34" spans="2:15">
      <c r="B34" s="38"/>
      <c r="C34" s="38"/>
      <c r="D34" s="38"/>
      <c r="E34" s="38"/>
      <c r="F34" s="38"/>
      <c r="G34" s="39"/>
      <c r="H34" s="39"/>
      <c r="I34" s="1438"/>
      <c r="J34" s="1438"/>
      <c r="K34" s="1438"/>
      <c r="L34" s="1438"/>
      <c r="M34" s="44"/>
      <c r="N34" s="44"/>
      <c r="O34" s="44"/>
    </row>
  </sheetData>
  <sheetProtection algorithmName="SHA-512" hashValue="Fv8xARWn0OD9IMmjkYytutyyuAHEcC3XSI6hr/Qci8P/vr9oHexl///y5tjuvk2fuhXFmJhdYP0NIONwJkUS4Q==" saltValue="VY80xfpjTgo3lK04Xm2LJA==" spinCount="100000" sheet="1" objects="1" scenarios="1"/>
  <mergeCells count="7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2:L32"/>
    <mergeCell ref="I34:L34"/>
    <mergeCell ref="E19:E20"/>
    <mergeCell ref="D19:D20"/>
    <mergeCell ref="B22:G22"/>
    <mergeCell ref="B16:B20"/>
    <mergeCell ref="C16:C20"/>
    <mergeCell ref="I30:L30"/>
    <mergeCell ref="AX21:AZ21"/>
    <mergeCell ref="D23:O23"/>
    <mergeCell ref="E24:E25"/>
    <mergeCell ref="G24:J25"/>
    <mergeCell ref="L24:O24"/>
    <mergeCell ref="B21:AW21"/>
    <mergeCell ref="B30:G30"/>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2"/>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5" width="23.44140625" style="3" customWidth="1"/>
    <col min="6" max="6" width="27.5546875" style="3" customWidth="1"/>
    <col min="7" max="8" width="29.33203125" style="5" customWidth="1"/>
    <col min="9" max="9" width="26.8867187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ustomHeight="1">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ustomHeight="1">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4.6">
      <c r="B8" s="19" t="s">
        <v>45</v>
      </c>
      <c r="C8" s="1426" t="s">
        <v>87</v>
      </c>
      <c r="D8" s="1426"/>
      <c r="E8" s="17"/>
      <c r="F8" s="17"/>
      <c r="G8" s="17"/>
      <c r="H8" s="17"/>
      <c r="I8" s="17"/>
      <c r="J8" s="17"/>
      <c r="K8" s="17"/>
      <c r="L8" s="17"/>
      <c r="M8" s="17"/>
      <c r="N8" s="17"/>
      <c r="O8" s="17"/>
      <c r="AW8" s="34"/>
      <c r="AX8" s="34"/>
      <c r="AY8" s="34"/>
      <c r="AZ8" s="34"/>
      <c r="BA8" s="34"/>
      <c r="BB8" s="34"/>
      <c r="BC8" s="34"/>
      <c r="BD8" s="34"/>
    </row>
    <row r="9" spans="2:60" ht="75" customHeight="1">
      <c r="B9" s="19" t="s">
        <v>34</v>
      </c>
      <c r="C9" s="1427" t="s">
        <v>369</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25.2"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28.25" customHeight="1">
      <c r="B16" s="132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327" t="str">
        <f>+'01-FR-03 POA INSTITUCIONAL'!C55</f>
        <v>4.2. Consolidar el 90% del Modelo Integrado de Planeación y Gestión –MIPG- y sus sistemas de gestión articulados, como compromiso con la Calidad, la Excelencia, la Responsabilidad Ambiental y la Mejora en la prestación del Servicio.</v>
      </c>
      <c r="D16" s="28" t="str">
        <f>+'01-FR-03 POA INSTITUCIONAL'!D59</f>
        <v>4.2.5 Incrementar al 90% la percepción de los usuarios que califican como excelente y bueno el servicio en la Personería de Bogotá</v>
      </c>
      <c r="E16" s="46">
        <f>+'01-FR-03 POA INSTITUCIONAL'!E59</f>
        <v>0.2</v>
      </c>
      <c r="F16" s="888">
        <f>+'01-FR-03 POA INSTITUCIONAL'!F59</f>
        <v>0.9</v>
      </c>
      <c r="G16" s="96">
        <f>+'01-FR-03 POA INSTITUCIONAL'!M59</f>
        <v>0.9</v>
      </c>
      <c r="H16" s="30">
        <f>+'01-FR-03 POA INSTITUCIONAL'!G59</f>
        <v>0.86</v>
      </c>
      <c r="I16" s="30" t="str">
        <f>+'01-FR-03 POA INSTITUCIONAL'!H59</f>
        <v>Porcentaje de Percepción de los usuarios en calificación excelente y bueno incrementado</v>
      </c>
      <c r="J16" s="116" t="s">
        <v>360</v>
      </c>
      <c r="K16" s="118" t="s">
        <v>361</v>
      </c>
      <c r="L16" s="118" t="s">
        <v>362</v>
      </c>
      <c r="M16" s="118" t="s">
        <v>363</v>
      </c>
      <c r="N16" s="118" t="s">
        <v>364</v>
      </c>
      <c r="O16" s="31" t="str">
        <f>+'01-FR-03 POA INSTITUCIONAL'!J59</f>
        <v>Secretaría General</v>
      </c>
      <c r="P16" s="743">
        <v>0.9</v>
      </c>
      <c r="Q16" s="902">
        <v>0.97499999999999998</v>
      </c>
      <c r="R16" s="743">
        <v>0</v>
      </c>
      <c r="S16" s="744">
        <v>0</v>
      </c>
      <c r="T16" s="743">
        <v>0</v>
      </c>
      <c r="U16" s="744">
        <v>0</v>
      </c>
      <c r="V16" s="189">
        <f>IFERROR(AVERAGE(P16),0)</f>
        <v>0.9</v>
      </c>
      <c r="W16" s="196">
        <f>IFERROR(AVERAGE(Q16),0)</f>
        <v>0.97499999999999998</v>
      </c>
      <c r="X16" s="743">
        <v>0</v>
      </c>
      <c r="Y16" s="743">
        <v>0</v>
      </c>
      <c r="Z16" s="743">
        <v>0</v>
      </c>
      <c r="AA16" s="743">
        <v>0</v>
      </c>
      <c r="AB16" s="743">
        <v>0</v>
      </c>
      <c r="AC16" s="743">
        <v>0</v>
      </c>
      <c r="AD16" s="189">
        <f>IFERROR(AVERAGE(X16),0)</f>
        <v>0</v>
      </c>
      <c r="AE16" s="189">
        <f>IFERROR(AVERAGE(Y16),0)</f>
        <v>0</v>
      </c>
      <c r="AF16" s="743">
        <v>0.9</v>
      </c>
      <c r="AG16" s="743"/>
      <c r="AH16" s="743">
        <v>0</v>
      </c>
      <c r="AI16" s="744"/>
      <c r="AJ16" s="743">
        <v>0</v>
      </c>
      <c r="AK16" s="745"/>
      <c r="AL16" s="189">
        <f>IFERROR(AVERAGE(AF16),0)</f>
        <v>0.9</v>
      </c>
      <c r="AM16" s="196">
        <f>IFERROR(AVERAGE(AG16),0)</f>
        <v>0</v>
      </c>
      <c r="AN16" s="743">
        <v>0</v>
      </c>
      <c r="AO16" s="744"/>
      <c r="AP16" s="743">
        <v>0</v>
      </c>
      <c r="AQ16" s="744"/>
      <c r="AR16" s="743">
        <v>0</v>
      </c>
      <c r="AS16" s="744"/>
      <c r="AT16" s="189">
        <f>IFERROR(AVERAGE(AN16),0)</f>
        <v>0</v>
      </c>
      <c r="AU16" s="189">
        <f>IFERROR(AVERAGE(AO16),0)</f>
        <v>0</v>
      </c>
      <c r="AV16" s="178">
        <f>(IFERROR(AVERAGE(V16,AL16),0))</f>
        <v>0.9</v>
      </c>
      <c r="AW16" s="181">
        <f>IFERROR(IF(OR($AV$16="",$AV$16=0),0,ROUNDDOWN(AVERAGE($Q16),3)),0)</f>
        <v>0.97499999999999998</v>
      </c>
      <c r="AX16" s="181">
        <f>IFERROR(IF(OR($AV$16="",$AV$16=0),0,ROUNDDOWN(AVERAGE($Q16),3)),0)</f>
        <v>0.97499999999999998</v>
      </c>
      <c r="AY16" s="925">
        <f>IFERROR(IF(OR($AV$16="",$AV$16=0),0,ROUNDDOWN(AVERAGE($Q16,$AG16),3)),0)</f>
        <v>0.97499999999999998</v>
      </c>
      <c r="AZ16" s="925">
        <f>IFERROR(IF(OR($AV$16="",$AV$16=0),0,ROUNDDOWN(AVERAGE($Q16,$AG16),3)),0)</f>
        <v>0.97499999999999998</v>
      </c>
      <c r="BA16" s="210">
        <f>(IF(AND(AW16&gt;0,AV16&gt;0),AW16/AV16,0))*0.5</f>
        <v>0.54166666666666663</v>
      </c>
      <c r="BB16" s="210">
        <f>(IF(AND(AX16&gt;0,$AV16&gt;0),AX16/$AV16,0))*0.5</f>
        <v>0.54166666666666663</v>
      </c>
      <c r="BC16" s="211">
        <f>(IF(AND(AY16&gt;0,$AV16&gt;0),AY16/$AV16,0))*1</f>
        <v>1.0833333333333333</v>
      </c>
      <c r="BD16" s="211">
        <f>IF(AND(AZ16&gt;0,$AV16&gt;0),AZ16/$AV16,0)*1</f>
        <v>1.0833333333333333</v>
      </c>
      <c r="BE16" s="190">
        <f>(((IF(AND(AW16&gt;0,$F16&gt;0),AW16/$F16,0)))/4)*0.5</f>
        <v>0.13541666666666666</v>
      </c>
      <c r="BF16" s="190">
        <f>(((IF(AND(AX16&gt;0,$F16&gt;0),AX16/$F16,0)))/4)*0.5</f>
        <v>0.13541666666666666</v>
      </c>
      <c r="BG16" s="941">
        <f>(((IF(AND(AY16&gt;0,$F16&gt;0),AY16/$F16,0)))/4)*1</f>
        <v>0.27083333333333331</v>
      </c>
      <c r="BH16" s="942">
        <f>(((IF(AND(AZ16&gt;0,$F16&gt;0),AZ16/$F16,0)))/4)*1</f>
        <v>0.27083333333333331</v>
      </c>
    </row>
    <row r="17" spans="2:60" ht="128.25" customHeight="1">
      <c r="B17" s="1134"/>
      <c r="C17" s="1126"/>
      <c r="D17" s="28" t="str">
        <f>+'01-FR-03 POA INSTITUCIONAL'!D60</f>
        <v xml:space="preserve">4.2.6 Implementar 7 lineamientos en compromiso con la calidad para satisfacer las necesidades y expectativas de los (as) usuarios(as) y partes interesadas </v>
      </c>
      <c r="E17" s="46">
        <f>+'01-FR-03 POA INSTITUCIONAL'!E60</f>
        <v>0.15</v>
      </c>
      <c r="F17" s="889">
        <f>+'01-FR-03 POA INSTITUCIONAL'!F60</f>
        <v>7</v>
      </c>
      <c r="G17" s="175">
        <f>+'01-FR-03 POA INSTITUCIONAL'!M60</f>
        <v>1</v>
      </c>
      <c r="H17" s="175">
        <f>+'01-FR-03 POA INSTITUCIONAL'!G60</f>
        <v>3</v>
      </c>
      <c r="I17" s="30" t="str">
        <f>+'01-FR-03 POA INSTITUCIONAL'!H60</f>
        <v>Lineamientos implementados</v>
      </c>
      <c r="J17" s="116" t="s">
        <v>365</v>
      </c>
      <c r="K17" s="118" t="s">
        <v>366</v>
      </c>
      <c r="L17" s="120" t="s">
        <v>1044</v>
      </c>
      <c r="M17" s="118" t="s">
        <v>367</v>
      </c>
      <c r="N17" s="118" t="s">
        <v>364</v>
      </c>
      <c r="O17" s="31" t="str">
        <f>+'01-FR-03 POA INSTITUCIONAL'!J60</f>
        <v>Secretaría General</v>
      </c>
      <c r="P17" s="744">
        <v>0</v>
      </c>
      <c r="Q17" s="744">
        <v>0</v>
      </c>
      <c r="R17" s="744">
        <v>0</v>
      </c>
      <c r="S17" s="744">
        <v>0</v>
      </c>
      <c r="T17" s="744">
        <v>0</v>
      </c>
      <c r="U17" s="744">
        <v>0</v>
      </c>
      <c r="V17" s="179">
        <f t="shared" ref="V17:W17" si="0">P17+R17+T17</f>
        <v>0</v>
      </c>
      <c r="W17" s="179">
        <f t="shared" si="0"/>
        <v>0</v>
      </c>
      <c r="X17" s="744">
        <v>0</v>
      </c>
      <c r="Y17" s="744">
        <v>0</v>
      </c>
      <c r="Z17" s="744">
        <v>0</v>
      </c>
      <c r="AA17" s="744">
        <v>0</v>
      </c>
      <c r="AB17" s="744">
        <v>1</v>
      </c>
      <c r="AC17" s="744">
        <v>1</v>
      </c>
      <c r="AD17" s="179">
        <f t="shared" ref="AD17:AE17" si="1">X17+Z17+AB17</f>
        <v>1</v>
      </c>
      <c r="AE17" s="179">
        <f t="shared" si="1"/>
        <v>1</v>
      </c>
      <c r="AF17" s="744">
        <v>0</v>
      </c>
      <c r="AG17" s="744"/>
      <c r="AH17" s="744">
        <v>0</v>
      </c>
      <c r="AI17" s="744"/>
      <c r="AJ17" s="744">
        <v>0</v>
      </c>
      <c r="AK17" s="745"/>
      <c r="AL17" s="179">
        <f t="shared" ref="AL17:AM17" si="2">AF17+AH17+AJ17</f>
        <v>0</v>
      </c>
      <c r="AM17" s="179">
        <f t="shared" si="2"/>
        <v>0</v>
      </c>
      <c r="AN17" s="744">
        <v>0</v>
      </c>
      <c r="AO17" s="744"/>
      <c r="AP17" s="744">
        <v>0</v>
      </c>
      <c r="AQ17" s="744"/>
      <c r="AR17" s="744">
        <v>0</v>
      </c>
      <c r="AS17" s="744"/>
      <c r="AT17" s="179">
        <f t="shared" ref="AT17:AU17" si="3">AN17+AP17+AR17</f>
        <v>0</v>
      </c>
      <c r="AU17" s="179">
        <f t="shared" si="3"/>
        <v>0</v>
      </c>
      <c r="AV17" s="180">
        <f t="shared" ref="AV17" si="4">V17+AD17+AL17+AT17</f>
        <v>1</v>
      </c>
      <c r="AW17" s="180">
        <f>+W17</f>
        <v>0</v>
      </c>
      <c r="AX17" s="180">
        <f>+W17+AE17</f>
        <v>1</v>
      </c>
      <c r="AY17" s="940">
        <f>+W17+AE17+AM17</f>
        <v>1</v>
      </c>
      <c r="AZ17" s="940">
        <f>+W17+AE17+AM17+AU17</f>
        <v>1</v>
      </c>
      <c r="BA17" s="211">
        <f>IF(AND(AW17&gt;0,AV17&gt;0),AW17/AV17,0)</f>
        <v>0</v>
      </c>
      <c r="BB17" s="211">
        <f t="shared" ref="BB17:BD18" si="5">IF(AND(AX17&gt;0,$AV17&gt;0),AX17/$AV17,0)</f>
        <v>1</v>
      </c>
      <c r="BC17" s="211">
        <f t="shared" si="5"/>
        <v>1</v>
      </c>
      <c r="BD17" s="211">
        <f t="shared" si="5"/>
        <v>1</v>
      </c>
      <c r="BE17" s="190">
        <f t="shared" ref="BE17:BH18" si="6">(IF(AND(AW17&gt;0,$F17&gt;0),AW17/$F17,0))</f>
        <v>0</v>
      </c>
      <c r="BF17" s="190">
        <f t="shared" si="6"/>
        <v>0.14285714285714285</v>
      </c>
      <c r="BG17" s="941">
        <f t="shared" si="6"/>
        <v>0.14285714285714285</v>
      </c>
      <c r="BH17" s="941">
        <f t="shared" si="6"/>
        <v>0.14285714285714285</v>
      </c>
    </row>
    <row r="18" spans="2:60" ht="128.25" customHeight="1">
      <c r="B18" s="1126"/>
      <c r="C18" s="28" t="str">
        <f>+'01-FR-03 POA INSTITUCIONAL'!C95</f>
        <v>4.7. Articular el 100% de las acciones de trabajo interinstitucional y cooperación nacional e internacional que permita aunar esfuerzos para el cumplimiento de la misión institucional.</v>
      </c>
      <c r="D18" s="28" t="str">
        <f>+'01-FR-03 POA INSTITUCIONAL'!D95</f>
        <v>4.7.1 Gestionar 3 acuerdos interinstitucionales o de cooperación nacional y/o internacional para garantizar el enfoque social, en el marco de un estado pluralista, para el fortalecimiento de la prestación del servicio al usuario</v>
      </c>
      <c r="E18" s="46">
        <f>+'01-FR-03 POA INSTITUCIONAL'!E95</f>
        <v>1</v>
      </c>
      <c r="F18" s="890">
        <f>+'01-FR-03 POA INSTITUCIONAL'!F95</f>
        <v>3</v>
      </c>
      <c r="G18" s="175">
        <f>+'01-FR-03 POA INSTITUCIONAL'!M95</f>
        <v>1</v>
      </c>
      <c r="H18" s="35" t="str">
        <f>+'01-FR-03 POA INSTITUCIONAL'!G95</f>
        <v>S.I.</v>
      </c>
      <c r="I18" s="35" t="str">
        <f>+'01-FR-03 POA INSTITUCIONAL'!H95</f>
        <v>Acuerdos interinstitucionales gestionados</v>
      </c>
      <c r="J18" s="116" t="s">
        <v>370</v>
      </c>
      <c r="K18" s="118" t="s">
        <v>371</v>
      </c>
      <c r="L18" s="118" t="s">
        <v>372</v>
      </c>
      <c r="M18" s="118" t="s">
        <v>367</v>
      </c>
      <c r="N18" s="118" t="s">
        <v>364</v>
      </c>
      <c r="O18" s="31" t="str">
        <f>+'01-FR-03 POA INSTITUCIONAL'!J95</f>
        <v>Secretaría General</v>
      </c>
      <c r="P18" s="677">
        <v>0</v>
      </c>
      <c r="Q18" s="677">
        <v>0</v>
      </c>
      <c r="R18" s="677">
        <v>0</v>
      </c>
      <c r="S18" s="677">
        <v>0</v>
      </c>
      <c r="T18" s="677">
        <v>0</v>
      </c>
      <c r="U18" s="677">
        <v>0</v>
      </c>
      <c r="V18" s="57">
        <f t="shared" ref="V18:W18" si="7">P18+R18+T18</f>
        <v>0</v>
      </c>
      <c r="W18" s="57">
        <f t="shared" si="7"/>
        <v>0</v>
      </c>
      <c r="X18" s="677">
        <v>0</v>
      </c>
      <c r="Y18" s="677">
        <v>0</v>
      </c>
      <c r="Z18" s="677">
        <v>0</v>
      </c>
      <c r="AA18" s="677">
        <v>0</v>
      </c>
      <c r="AB18" s="677">
        <v>0</v>
      </c>
      <c r="AC18" s="677">
        <v>0</v>
      </c>
      <c r="AD18" s="57">
        <f t="shared" ref="AD18:AE18" si="8">X18+Z18+AB18</f>
        <v>0</v>
      </c>
      <c r="AE18" s="57">
        <f t="shared" si="8"/>
        <v>0</v>
      </c>
      <c r="AF18" s="677">
        <v>0</v>
      </c>
      <c r="AG18" s="677"/>
      <c r="AH18" s="677">
        <v>0</v>
      </c>
      <c r="AI18" s="677"/>
      <c r="AJ18" s="677">
        <v>0</v>
      </c>
      <c r="AK18" s="729"/>
      <c r="AL18" s="57">
        <f t="shared" ref="AL18:AM18" si="9">AF18+AH18+AJ18</f>
        <v>0</v>
      </c>
      <c r="AM18" s="57">
        <f t="shared" si="9"/>
        <v>0</v>
      </c>
      <c r="AN18" s="677">
        <v>0</v>
      </c>
      <c r="AO18" s="677"/>
      <c r="AP18" s="677">
        <v>1</v>
      </c>
      <c r="AQ18" s="677"/>
      <c r="AR18" s="677">
        <v>0</v>
      </c>
      <c r="AS18" s="677"/>
      <c r="AT18" s="57">
        <f t="shared" ref="AT18:AU18" si="10">AN18+AP18+AR18</f>
        <v>1</v>
      </c>
      <c r="AU18" s="57">
        <f t="shared" si="10"/>
        <v>0</v>
      </c>
      <c r="AV18" s="123">
        <f t="shared" ref="AV18" si="11">V18+AD18+AL18+AT18</f>
        <v>1</v>
      </c>
      <c r="AW18" s="180">
        <f>+W18</f>
        <v>0</v>
      </c>
      <c r="AX18" s="180">
        <f>+W18+AE18</f>
        <v>0</v>
      </c>
      <c r="AY18" s="940">
        <f>+W18+AE18+AM18</f>
        <v>0</v>
      </c>
      <c r="AZ18" s="940">
        <f>+W18+AE18+AM18+AU18</f>
        <v>0</v>
      </c>
      <c r="BA18" s="211">
        <f>IF(AND(AW18&gt;0,AV18&gt;0),AW18/AV18,0)</f>
        <v>0</v>
      </c>
      <c r="BB18" s="211">
        <f t="shared" si="5"/>
        <v>0</v>
      </c>
      <c r="BC18" s="211">
        <f t="shared" si="5"/>
        <v>0</v>
      </c>
      <c r="BD18" s="211">
        <f t="shared" si="5"/>
        <v>0</v>
      </c>
      <c r="BE18" s="190">
        <f t="shared" si="6"/>
        <v>0</v>
      </c>
      <c r="BF18" s="190">
        <f t="shared" si="6"/>
        <v>0</v>
      </c>
      <c r="BG18" s="941">
        <f t="shared" si="6"/>
        <v>0</v>
      </c>
      <c r="BH18" s="941">
        <f t="shared" si="6"/>
        <v>0</v>
      </c>
    </row>
    <row r="19" spans="2:60" ht="22.8">
      <c r="B19" s="1371" t="s">
        <v>637</v>
      </c>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72"/>
      <c r="AS19" s="1372"/>
      <c r="AT19" s="1372"/>
      <c r="AU19" s="1372"/>
      <c r="AV19" s="1372"/>
      <c r="AW19" s="1455"/>
      <c r="AX19" s="1431" t="s">
        <v>19</v>
      </c>
      <c r="AY19" s="1432"/>
      <c r="AZ19" s="1432"/>
      <c r="BA19" s="59">
        <f>AVERAGE(BA16:BA18)</f>
        <v>0.18055555555555555</v>
      </c>
      <c r="BB19" s="59">
        <f t="shared" ref="BB19:BD19" si="12">AVERAGE(BB16:BB18)</f>
        <v>0.51388888888888884</v>
      </c>
      <c r="BC19" s="59">
        <f t="shared" si="12"/>
        <v>0.69444444444444431</v>
      </c>
      <c r="BD19" s="59">
        <f t="shared" si="12"/>
        <v>0.69444444444444431</v>
      </c>
      <c r="BE19" s="1532"/>
      <c r="BF19" s="1533"/>
      <c r="BG19" s="1533"/>
      <c r="BH19" s="1534"/>
    </row>
    <row r="20" spans="2:60">
      <c r="B20" s="1413"/>
      <c r="C20" s="1413"/>
      <c r="D20" s="1413"/>
      <c r="E20" s="1413"/>
      <c r="F20" s="1413"/>
      <c r="G20" s="1413"/>
      <c r="H20" s="39"/>
      <c r="I20" s="38"/>
      <c r="J20" s="38"/>
      <c r="K20" s="38"/>
      <c r="L20" s="38"/>
      <c r="M20" s="38"/>
      <c r="N20" s="38"/>
      <c r="O20" s="38"/>
    </row>
    <row r="21" spans="2:60">
      <c r="B21" s="38"/>
      <c r="C21" s="38"/>
      <c r="D21" s="1440"/>
      <c r="E21" s="1440"/>
      <c r="F21" s="1440"/>
      <c r="G21" s="1440"/>
      <c r="H21" s="1440"/>
      <c r="I21" s="1440"/>
      <c r="J21" s="1440"/>
      <c r="K21" s="1440"/>
      <c r="L21" s="1440"/>
      <c r="M21" s="1440"/>
      <c r="N21" s="1440"/>
      <c r="O21" s="1440"/>
    </row>
    <row r="22" spans="2:60" ht="15.6" customHeight="1">
      <c r="B22" s="40" t="s">
        <v>26</v>
      </c>
      <c r="C22" s="41">
        <v>44224</v>
      </c>
      <c r="D22" s="121"/>
      <c r="E22" s="1443" t="s">
        <v>50</v>
      </c>
      <c r="F22" s="1488" t="s">
        <v>1143</v>
      </c>
      <c r="G22" s="1489"/>
      <c r="H22" s="1489"/>
      <c r="I22" s="1489"/>
      <c r="J22" s="1490"/>
      <c r="K22" s="43"/>
      <c r="L22" s="1403"/>
      <c r="M22" s="1403"/>
      <c r="N22" s="1403"/>
      <c r="O22" s="1439"/>
    </row>
    <row r="23" spans="2:60" ht="15.6">
      <c r="B23" s="38"/>
      <c r="C23" s="38"/>
      <c r="D23" s="43"/>
      <c r="E23" s="1443"/>
      <c r="F23" s="1491"/>
      <c r="G23" s="1492"/>
      <c r="H23" s="1492"/>
      <c r="I23" s="1492"/>
      <c r="J23" s="1493"/>
      <c r="K23" s="38"/>
      <c r="L23" s="38"/>
      <c r="M23" s="38"/>
      <c r="N23" s="38"/>
      <c r="O23" s="38"/>
    </row>
    <row r="24" spans="2:60" ht="15.6">
      <c r="B24" s="40" t="s">
        <v>49</v>
      </c>
      <c r="C24" s="41">
        <v>44581</v>
      </c>
      <c r="D24" s="38"/>
      <c r="E24" s="38"/>
      <c r="F24" s="38"/>
      <c r="K24" s="38"/>
      <c r="L24" s="38"/>
      <c r="M24" s="38"/>
      <c r="N24" s="38"/>
      <c r="O24" s="38"/>
    </row>
    <row r="25" spans="2:60" ht="13.2" customHeight="1">
      <c r="B25" s="38"/>
      <c r="C25" s="86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1530" t="s">
        <v>876</v>
      </c>
      <c r="C28" s="1530"/>
      <c r="D28" s="1530"/>
      <c r="E28" s="1530"/>
      <c r="F28" s="1530"/>
      <c r="G28" s="1530"/>
      <c r="H28" s="39"/>
      <c r="I28" s="1438"/>
      <c r="J28" s="1438"/>
      <c r="K28" s="1438"/>
      <c r="L28" s="1438"/>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38"/>
      <c r="J30" s="1438"/>
      <c r="K30" s="1438"/>
      <c r="L30" s="1438"/>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38"/>
      <c r="J32" s="1438"/>
      <c r="K32" s="1438"/>
      <c r="L32" s="1438"/>
      <c r="M32" s="44"/>
      <c r="N32" s="44"/>
      <c r="O32" s="44"/>
    </row>
  </sheetData>
  <sheetProtection algorithmName="SHA-512" hashValue="qYkiePi+a2eqDTF7qcG2vhEEytEC9XJsqBK8l5uj3TbyMjbJXrYNM3g0c+fCDK5muP5DDc+RE2OqtVRstdUvHw==" saltValue="4A6G0UNvbWIR1AEwgx1myg==" spinCount="100000" sheet="1" objects="1" scenarios="1"/>
  <mergeCells count="72">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BH13:BH15"/>
    <mergeCell ref="BA13:BA15"/>
    <mergeCell ref="P12:AU12"/>
    <mergeCell ref="AV12:AV15"/>
    <mergeCell ref="AW12:AZ12"/>
    <mergeCell ref="P13:W13"/>
    <mergeCell ref="X13:AE13"/>
    <mergeCell ref="AF13:AM13"/>
    <mergeCell ref="AZ13:AZ15"/>
    <mergeCell ref="AW13:AW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30:L30"/>
    <mergeCell ref="I32:L32"/>
    <mergeCell ref="B20:G20"/>
    <mergeCell ref="I28:L28"/>
    <mergeCell ref="H12:H15"/>
    <mergeCell ref="I12:I15"/>
    <mergeCell ref="J12:J15"/>
    <mergeCell ref="K12:K15"/>
    <mergeCell ref="L12:L15"/>
    <mergeCell ref="C16:C17"/>
    <mergeCell ref="E22:E23"/>
    <mergeCell ref="L22:O22"/>
    <mergeCell ref="B19:AW19"/>
    <mergeCell ref="R14:S14"/>
    <mergeCell ref="T14:U14"/>
    <mergeCell ref="N12:N15"/>
    <mergeCell ref="B28:G28"/>
    <mergeCell ref="B16:B18"/>
    <mergeCell ref="F12:F15"/>
    <mergeCell ref="AX19:AZ19"/>
    <mergeCell ref="D21:O21"/>
    <mergeCell ref="M12:M15"/>
    <mergeCell ref="AX13:AX15"/>
    <mergeCell ref="O12:O15"/>
    <mergeCell ref="B12:B15"/>
    <mergeCell ref="C12:C15"/>
    <mergeCell ref="D12:D15"/>
    <mergeCell ref="E12:E15"/>
    <mergeCell ref="G12:G15"/>
    <mergeCell ref="F22:J23"/>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32"/>
  <sheetViews>
    <sheetView showGridLines="0" zoomScale="50" zoomScaleNormal="5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5.8867187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1">
      <c r="B8" s="19" t="s">
        <v>45</v>
      </c>
      <c r="C8" s="1462" t="s">
        <v>97</v>
      </c>
      <c r="D8" s="1462"/>
      <c r="E8" s="17"/>
      <c r="F8" s="17"/>
      <c r="G8" s="17"/>
      <c r="H8" s="17"/>
      <c r="I8" s="17"/>
      <c r="J8" s="17"/>
      <c r="K8" s="17"/>
      <c r="L8" s="17"/>
      <c r="M8" s="17"/>
      <c r="N8" s="17"/>
      <c r="O8" s="17"/>
      <c r="AW8" s="34"/>
      <c r="AX8" s="34"/>
      <c r="AY8" s="34"/>
      <c r="AZ8" s="34"/>
      <c r="BA8" s="34"/>
      <c r="BB8" s="34"/>
      <c r="BC8" s="34"/>
      <c r="BD8" s="34"/>
    </row>
    <row r="9" spans="2:60" ht="92.25" customHeight="1">
      <c r="B9" s="19" t="s">
        <v>34</v>
      </c>
      <c r="C9" s="1515" t="s">
        <v>534</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31.2"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110.25" customHeight="1">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INSTITUCIONAL'!C87</f>
        <v>4.5. Desarrollar el 100% de las acciones relacionadas con el fomento de la Cultura del Autocontrol, la Autorregulación y la Autogestión institucional.</v>
      </c>
      <c r="D16" s="28" t="str">
        <f>+'01-FR-03 POA INSTITUCIONAL'!D87</f>
        <v xml:space="preserve">4.5.1 Emitir 152 solicitudes de aplicación de medidas de preservación del orden interno, con el fin de prevenir la materialización de conductas con alcance disciplinario. </v>
      </c>
      <c r="E16" s="46">
        <f>+'01-FR-03 POA INSTITUCIONAL'!E87</f>
        <v>0.05</v>
      </c>
      <c r="F16" s="176">
        <f>+'01-FR-03 POA INSTITUCIONAL'!O87</f>
        <v>152</v>
      </c>
      <c r="G16" s="176">
        <f>+'01-FR-03 POA INSTITUCIONAL'!M87</f>
        <v>40</v>
      </c>
      <c r="H16" s="35" t="str">
        <f>+'01-FR-03 POA INSTITUCIONAL'!G87</f>
        <v>S.I.</v>
      </c>
      <c r="I16" s="35" t="str">
        <f>+'01-FR-03 POA INSTITUCIONAL'!H87</f>
        <v>Medidas de preservación del orden interno emitidas</v>
      </c>
      <c r="J16" s="116" t="s">
        <v>529</v>
      </c>
      <c r="K16" s="119" t="s">
        <v>537</v>
      </c>
      <c r="L16" s="118" t="s">
        <v>530</v>
      </c>
      <c r="M16" s="122" t="s">
        <v>540</v>
      </c>
      <c r="N16" s="118" t="s">
        <v>541</v>
      </c>
      <c r="O16" s="177" t="str">
        <f>+'01-FR-03 POA INSTITUCIONAL'!J87</f>
        <v>Oficina Control Interno Disciplinario</v>
      </c>
      <c r="P16" s="717">
        <v>3</v>
      </c>
      <c r="Q16" s="717">
        <v>1</v>
      </c>
      <c r="R16" s="717">
        <v>3</v>
      </c>
      <c r="S16" s="717">
        <v>2</v>
      </c>
      <c r="T16" s="717">
        <v>4</v>
      </c>
      <c r="U16" s="717">
        <v>3</v>
      </c>
      <c r="V16" s="68">
        <f>P16+R16+T16</f>
        <v>10</v>
      </c>
      <c r="W16" s="68">
        <f>Q16+S16+U16</f>
        <v>6</v>
      </c>
      <c r="X16" s="717">
        <v>3</v>
      </c>
      <c r="Y16" s="717">
        <v>3</v>
      </c>
      <c r="Z16" s="717">
        <v>3</v>
      </c>
      <c r="AA16" s="717">
        <v>3</v>
      </c>
      <c r="AB16" s="717">
        <v>4</v>
      </c>
      <c r="AC16" s="717">
        <v>3</v>
      </c>
      <c r="AD16" s="68">
        <f>X16+Z16+AB16</f>
        <v>10</v>
      </c>
      <c r="AE16" s="68">
        <f>Y16+AA16+AC16</f>
        <v>9</v>
      </c>
      <c r="AF16" s="717">
        <v>3</v>
      </c>
      <c r="AG16" s="717"/>
      <c r="AH16" s="717">
        <v>4</v>
      </c>
      <c r="AI16" s="717"/>
      <c r="AJ16" s="718">
        <v>3</v>
      </c>
      <c r="AK16" s="718"/>
      <c r="AL16" s="68">
        <f>AF16+AH16+AJ16</f>
        <v>10</v>
      </c>
      <c r="AM16" s="68">
        <f>AG16+AI16+AK16</f>
        <v>0</v>
      </c>
      <c r="AN16" s="717">
        <v>3</v>
      </c>
      <c r="AO16" s="717"/>
      <c r="AP16" s="717">
        <v>4</v>
      </c>
      <c r="AQ16" s="717"/>
      <c r="AR16" s="717">
        <v>3</v>
      </c>
      <c r="AS16" s="717"/>
      <c r="AT16" s="68">
        <f>AN16+AP16+AR16</f>
        <v>10</v>
      </c>
      <c r="AU16" s="68">
        <f>AO16+AQ16+AS16</f>
        <v>0</v>
      </c>
      <c r="AV16" s="123">
        <f>V16+AD16+AL16+AT16</f>
        <v>40</v>
      </c>
      <c r="AW16" s="62">
        <f>+W16</f>
        <v>6</v>
      </c>
      <c r="AX16" s="62">
        <f>+W16+AE16</f>
        <v>15</v>
      </c>
      <c r="AY16" s="928">
        <f>+W16+AE16+AM16</f>
        <v>15</v>
      </c>
      <c r="AZ16" s="928">
        <f>+W16+AE16+AM16+AU16</f>
        <v>15</v>
      </c>
      <c r="BA16" s="37">
        <f>IF(AND(AW16&gt;0,$AV16&gt;0),AW16/$AV16,0)</f>
        <v>0.15</v>
      </c>
      <c r="BB16" s="192">
        <f t="shared" ref="BB16:BD18" si="0">IF(AND(AX16&gt;0,$AV16&gt;0),AX16/$AV16,0)</f>
        <v>0.375</v>
      </c>
      <c r="BC16" s="192">
        <f t="shared" si="0"/>
        <v>0.375</v>
      </c>
      <c r="BD16" s="192">
        <f t="shared" si="0"/>
        <v>0.375</v>
      </c>
      <c r="BE16" s="214">
        <f>(IF(AND(AW16&gt;0,$F16&gt;0),AW16/$F16,0))</f>
        <v>3.9473684210526314E-2</v>
      </c>
      <c r="BF16" s="214">
        <f t="shared" ref="BF16:BH18" si="1">(IF(AND(AX16&gt;0,$F16&gt;0),AX16/$F16,0))</f>
        <v>9.8684210526315791E-2</v>
      </c>
      <c r="BG16" s="752">
        <f t="shared" si="1"/>
        <v>9.8684210526315791E-2</v>
      </c>
      <c r="BH16" s="752">
        <f t="shared" si="1"/>
        <v>9.8684210526315791E-2</v>
      </c>
    </row>
    <row r="17" spans="2:60" ht="152.25" customHeight="1">
      <c r="B17" s="1434"/>
      <c r="C17" s="1434"/>
      <c r="D17" s="28" t="str">
        <f>+'01-FR-03 POA INSTITUCIONAL'!D88</f>
        <v>4.5.2 Realizar 20 jornadas de sensibilización a funcionarios de la Personería de Bogotá D.C. sobre la prevención de las faltas disciplinarias más recurrentes en la Entidad.</v>
      </c>
      <c r="E17" s="46">
        <f>+'01-FR-03 POA INSTITUCIONAL'!E88</f>
        <v>0.05</v>
      </c>
      <c r="F17" s="176">
        <f>+'01-FR-03 POA INSTITUCIONAL'!F88</f>
        <v>20</v>
      </c>
      <c r="G17" s="176">
        <f>+'01-FR-03 POA INSTITUCIONAL'!M88</f>
        <v>6</v>
      </c>
      <c r="H17" s="35" t="str">
        <f>+'01-FR-03 POA INSTITUCIONAL'!G88</f>
        <v>S.I.</v>
      </c>
      <c r="I17" s="35" t="str">
        <f>+'01-FR-03 POA INSTITUCIONAL'!H88</f>
        <v>Jornadas de sensibilización realizadas</v>
      </c>
      <c r="J17" s="116" t="s">
        <v>531</v>
      </c>
      <c r="K17" s="119" t="s">
        <v>538</v>
      </c>
      <c r="L17" s="118" t="s">
        <v>1045</v>
      </c>
      <c r="M17" s="122" t="s">
        <v>540</v>
      </c>
      <c r="N17" s="118" t="s">
        <v>541</v>
      </c>
      <c r="O17" s="177" t="str">
        <f>+'01-FR-03 POA INSTITUCIONAL'!J88</f>
        <v>Oficina Control Interno Disciplinario</v>
      </c>
      <c r="P17" s="717">
        <v>0</v>
      </c>
      <c r="Q17" s="717">
        <v>0</v>
      </c>
      <c r="R17" s="717">
        <v>0</v>
      </c>
      <c r="S17" s="717">
        <v>0</v>
      </c>
      <c r="T17" s="717">
        <v>1</v>
      </c>
      <c r="U17" s="717">
        <v>0</v>
      </c>
      <c r="V17" s="68">
        <f t="shared" ref="V17:W18" si="2">P17+R17+T17</f>
        <v>1</v>
      </c>
      <c r="W17" s="68">
        <f t="shared" si="2"/>
        <v>0</v>
      </c>
      <c r="X17" s="717">
        <v>0</v>
      </c>
      <c r="Y17" s="717">
        <v>1</v>
      </c>
      <c r="Z17" s="717">
        <v>1</v>
      </c>
      <c r="AA17" s="717">
        <v>1</v>
      </c>
      <c r="AB17" s="717">
        <v>1</v>
      </c>
      <c r="AC17" s="717">
        <v>1</v>
      </c>
      <c r="AD17" s="68">
        <f t="shared" ref="AD17:AE18" si="3">X17+Z17+AB17</f>
        <v>2</v>
      </c>
      <c r="AE17" s="68">
        <f t="shared" si="3"/>
        <v>3</v>
      </c>
      <c r="AF17" s="717">
        <v>1</v>
      </c>
      <c r="AG17" s="717"/>
      <c r="AH17" s="717">
        <v>0</v>
      </c>
      <c r="AI17" s="717"/>
      <c r="AJ17" s="718">
        <v>1</v>
      </c>
      <c r="AK17" s="718"/>
      <c r="AL17" s="68">
        <f t="shared" ref="AL17:AM18" si="4">AF17+AH17+AJ17</f>
        <v>2</v>
      </c>
      <c r="AM17" s="68">
        <f t="shared" si="4"/>
        <v>0</v>
      </c>
      <c r="AN17" s="717">
        <v>1</v>
      </c>
      <c r="AO17" s="717"/>
      <c r="AP17" s="717">
        <v>0</v>
      </c>
      <c r="AQ17" s="717"/>
      <c r="AR17" s="717">
        <v>0</v>
      </c>
      <c r="AS17" s="717"/>
      <c r="AT17" s="68">
        <f t="shared" ref="AT17:AU18" si="5">AN17+AP17+AR17</f>
        <v>1</v>
      </c>
      <c r="AU17" s="68">
        <f t="shared" si="5"/>
        <v>0</v>
      </c>
      <c r="AV17" s="123">
        <f t="shared" ref="AV17:AV18" si="6">V17+AD17+AL17+AT17</f>
        <v>6</v>
      </c>
      <c r="AW17" s="62">
        <f t="shared" ref="AW17:AW18" si="7">+W17</f>
        <v>0</v>
      </c>
      <c r="AX17" s="62">
        <f t="shared" ref="AX17:AX18" si="8">+W17+AE17</f>
        <v>3</v>
      </c>
      <c r="AY17" s="928">
        <f t="shared" ref="AY17:AY18" si="9">+W17+AE17+AM17</f>
        <v>3</v>
      </c>
      <c r="AZ17" s="928">
        <f t="shared" ref="AZ17:AZ18" si="10">+W17+AE17+AM17+AU17</f>
        <v>3</v>
      </c>
      <c r="BA17" s="37">
        <f>IF(AND(AW17&gt;0,AV17&gt;0),AW17/AV17,0)</f>
        <v>0</v>
      </c>
      <c r="BB17" s="192">
        <f t="shared" si="0"/>
        <v>0.5</v>
      </c>
      <c r="BC17" s="192">
        <f t="shared" si="0"/>
        <v>0.5</v>
      </c>
      <c r="BD17" s="192">
        <f t="shared" si="0"/>
        <v>0.5</v>
      </c>
      <c r="BE17" s="214">
        <f t="shared" ref="BE17:BE18" si="11">(IF(AND(AW17&gt;0,$F17&gt;0),AW17/$F17,0))</f>
        <v>0</v>
      </c>
      <c r="BF17" s="214">
        <f t="shared" si="1"/>
        <v>0.15</v>
      </c>
      <c r="BG17" s="752">
        <f t="shared" si="1"/>
        <v>0.15</v>
      </c>
      <c r="BH17" s="752">
        <f t="shared" si="1"/>
        <v>0.15</v>
      </c>
    </row>
    <row r="18" spans="2:60" ht="142.5" customHeight="1">
      <c r="B18" s="1454"/>
      <c r="C18" s="1454"/>
      <c r="D18" s="28" t="str">
        <f>+'01-FR-03 POA INSTITUCIONAL'!D89</f>
        <v>4.5.3 Decidir de fondo 488 procesos disciplinarios que se encuentren en términos o con periodos vencidos, dando prelación a aquellos con mayor antigüedad o aquellos próximos a prescribir o caducar.</v>
      </c>
      <c r="E18" s="46">
        <f>+'01-FR-03 POA INSTITUCIONAL'!E89</f>
        <v>0.2</v>
      </c>
      <c r="F18" s="176">
        <f>+'01-FR-03 POA INSTITUCIONAL'!F89</f>
        <v>488</v>
      </c>
      <c r="G18" s="176">
        <f>+'01-FR-03 POA INSTITUCIONAL'!M89</f>
        <v>144</v>
      </c>
      <c r="H18" s="35" t="str">
        <f>+'01-FR-03 POA INSTITUCIONAL'!G89</f>
        <v>115 (en el último año)</v>
      </c>
      <c r="I18" s="35" t="str">
        <f>+'01-FR-03 POA INSTITUCIONAL'!H89</f>
        <v>Procesos disciplinarios con decisión de fondo proferida</v>
      </c>
      <c r="J18" s="116" t="s">
        <v>532</v>
      </c>
      <c r="K18" s="119" t="s">
        <v>539</v>
      </c>
      <c r="L18" s="118" t="s">
        <v>533</v>
      </c>
      <c r="M18" s="122" t="s">
        <v>540</v>
      </c>
      <c r="N18" s="118" t="s">
        <v>541</v>
      </c>
      <c r="O18" s="177" t="str">
        <f>+'01-FR-03 POA INSTITUCIONAL'!J89</f>
        <v>Oficina Control Interno Disciplinario</v>
      </c>
      <c r="P18" s="717">
        <v>8</v>
      </c>
      <c r="Q18" s="717">
        <v>8</v>
      </c>
      <c r="R18" s="717">
        <v>13</v>
      </c>
      <c r="S18" s="717">
        <v>13</v>
      </c>
      <c r="T18" s="717">
        <v>13</v>
      </c>
      <c r="U18" s="717">
        <v>17</v>
      </c>
      <c r="V18" s="68">
        <f t="shared" si="2"/>
        <v>34</v>
      </c>
      <c r="W18" s="68">
        <f t="shared" si="2"/>
        <v>38</v>
      </c>
      <c r="X18" s="717">
        <v>11</v>
      </c>
      <c r="Y18" s="717">
        <v>11</v>
      </c>
      <c r="Z18" s="717">
        <v>13</v>
      </c>
      <c r="AA18" s="717">
        <v>17</v>
      </c>
      <c r="AB18" s="717">
        <v>13</v>
      </c>
      <c r="AC18" s="717">
        <v>18</v>
      </c>
      <c r="AD18" s="68">
        <f t="shared" si="3"/>
        <v>37</v>
      </c>
      <c r="AE18" s="68">
        <f t="shared" si="3"/>
        <v>46</v>
      </c>
      <c r="AF18" s="717">
        <v>13</v>
      </c>
      <c r="AG18" s="717"/>
      <c r="AH18" s="717">
        <v>13</v>
      </c>
      <c r="AI18" s="717"/>
      <c r="AJ18" s="718">
        <v>13</v>
      </c>
      <c r="AK18" s="718"/>
      <c r="AL18" s="68">
        <f t="shared" si="4"/>
        <v>39</v>
      </c>
      <c r="AM18" s="68">
        <f t="shared" si="4"/>
        <v>0</v>
      </c>
      <c r="AN18" s="717">
        <v>13</v>
      </c>
      <c r="AO18" s="717"/>
      <c r="AP18" s="717">
        <v>13</v>
      </c>
      <c r="AQ18" s="717"/>
      <c r="AR18" s="717">
        <v>8</v>
      </c>
      <c r="AS18" s="717"/>
      <c r="AT18" s="68">
        <f t="shared" si="5"/>
        <v>34</v>
      </c>
      <c r="AU18" s="68">
        <f t="shared" si="5"/>
        <v>0</v>
      </c>
      <c r="AV18" s="123">
        <f t="shared" si="6"/>
        <v>144</v>
      </c>
      <c r="AW18" s="62">
        <f t="shared" si="7"/>
        <v>38</v>
      </c>
      <c r="AX18" s="62">
        <f t="shared" si="8"/>
        <v>84</v>
      </c>
      <c r="AY18" s="928">
        <f t="shared" si="9"/>
        <v>84</v>
      </c>
      <c r="AZ18" s="928">
        <f t="shared" si="10"/>
        <v>84</v>
      </c>
      <c r="BA18" s="37">
        <f t="shared" ref="BA18" si="12">IF(AND(AW18&gt;0,AV18&gt;0),AW18/AV18,0)</f>
        <v>0.2638888888888889</v>
      </c>
      <c r="BB18" s="192">
        <f t="shared" si="0"/>
        <v>0.58333333333333337</v>
      </c>
      <c r="BC18" s="192">
        <f t="shared" si="0"/>
        <v>0.58333333333333337</v>
      </c>
      <c r="BD18" s="192">
        <f t="shared" si="0"/>
        <v>0.58333333333333337</v>
      </c>
      <c r="BE18" s="214">
        <f t="shared" si="11"/>
        <v>7.7868852459016397E-2</v>
      </c>
      <c r="BF18" s="214">
        <f t="shared" si="1"/>
        <v>0.1721311475409836</v>
      </c>
      <c r="BG18" s="752">
        <f t="shared" si="1"/>
        <v>0.1721311475409836</v>
      </c>
      <c r="BH18" s="752">
        <f t="shared" si="1"/>
        <v>0.1721311475409836</v>
      </c>
    </row>
    <row r="19" spans="2:60" ht="22.8">
      <c r="B19" s="1371"/>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72"/>
      <c r="AS19" s="1372"/>
      <c r="AT19" s="1372"/>
      <c r="AU19" s="1372"/>
      <c r="AV19" s="1372"/>
      <c r="AW19" s="1455"/>
      <c r="AX19" s="1431" t="s">
        <v>19</v>
      </c>
      <c r="AY19" s="1432"/>
      <c r="AZ19" s="1432"/>
      <c r="BA19" s="59">
        <f t="shared" ref="BA19:BD19" si="13">AVERAGE(BA16:BA18)</f>
        <v>0.13796296296296295</v>
      </c>
      <c r="BB19" s="59">
        <f t="shared" si="13"/>
        <v>0.48611111111111116</v>
      </c>
      <c r="BC19" s="59">
        <f t="shared" si="13"/>
        <v>0.48611111111111116</v>
      </c>
      <c r="BD19" s="59">
        <f t="shared" si="13"/>
        <v>0.48611111111111116</v>
      </c>
      <c r="BE19" s="1463"/>
      <c r="BF19" s="1464"/>
      <c r="BG19" s="1464"/>
      <c r="BH19" s="1465"/>
    </row>
    <row r="20" spans="2:60">
      <c r="B20" s="1413"/>
      <c r="C20" s="1413"/>
      <c r="D20" s="1413"/>
      <c r="E20" s="1413"/>
      <c r="F20" s="1413"/>
      <c r="G20" s="1413"/>
      <c r="H20" s="39"/>
      <c r="I20" s="38"/>
      <c r="J20" s="38"/>
      <c r="K20" s="38"/>
      <c r="L20" s="38"/>
      <c r="M20" s="38"/>
      <c r="N20" s="38"/>
      <c r="O20" s="38"/>
    </row>
    <row r="21" spans="2:60">
      <c r="B21" s="38"/>
      <c r="C21" s="38"/>
      <c r="D21" s="1440"/>
      <c r="E21" s="1440"/>
      <c r="F21" s="1440"/>
      <c r="G21" s="1440"/>
      <c r="H21" s="1440"/>
      <c r="I21" s="1440"/>
      <c r="J21" s="1440"/>
      <c r="K21" s="1440"/>
      <c r="L21" s="1440"/>
      <c r="M21" s="1440"/>
      <c r="N21" s="1440"/>
      <c r="O21" s="1440"/>
    </row>
    <row r="22" spans="2:60" ht="15.6">
      <c r="B22" s="40" t="s">
        <v>26</v>
      </c>
      <c r="C22" s="41">
        <v>44224</v>
      </c>
      <c r="D22" s="121"/>
      <c r="E22" s="1443" t="s">
        <v>50</v>
      </c>
      <c r="F22" s="201"/>
      <c r="G22" s="1444" t="s">
        <v>535</v>
      </c>
      <c r="H22" s="1444"/>
      <c r="I22" s="1444"/>
      <c r="J22" s="1444"/>
      <c r="K22" s="43"/>
      <c r="L22" s="1403"/>
      <c r="M22" s="1403"/>
      <c r="N22" s="1403"/>
      <c r="O22" s="1439"/>
    </row>
    <row r="23" spans="2:60" ht="15.6">
      <c r="B23" s="38"/>
      <c r="C23" s="38"/>
      <c r="D23" s="43"/>
      <c r="E23" s="1443"/>
      <c r="F23" s="201"/>
      <c r="G23" s="1444"/>
      <c r="H23" s="1444"/>
      <c r="I23" s="1444"/>
      <c r="J23" s="1444"/>
      <c r="K23" s="38"/>
      <c r="L23" s="38"/>
      <c r="M23" s="38"/>
      <c r="N23" s="38"/>
      <c r="O23" s="38"/>
    </row>
    <row r="24" spans="2:60" ht="15.6">
      <c r="B24" s="40" t="s">
        <v>49</v>
      </c>
      <c r="C24" s="41">
        <v>44581</v>
      </c>
      <c r="D24" s="38"/>
      <c r="E24" s="38"/>
      <c r="F24" s="38"/>
      <c r="K24" s="38"/>
      <c r="L24" s="38"/>
      <c r="M24" s="38"/>
      <c r="N24" s="38"/>
      <c r="O24" s="38"/>
    </row>
    <row r="25" spans="2:60" ht="13.2" customHeight="1">
      <c r="B25" s="38"/>
      <c r="C25" s="86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1530" t="s">
        <v>876</v>
      </c>
      <c r="C28" s="1530"/>
      <c r="D28" s="1530"/>
      <c r="E28" s="1530"/>
      <c r="F28" s="1530"/>
      <c r="G28" s="1530"/>
      <c r="H28" s="39"/>
      <c r="I28" s="1438"/>
      <c r="J28" s="1438"/>
      <c r="K28" s="1438"/>
      <c r="L28" s="1438"/>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38"/>
      <c r="J30" s="1438"/>
      <c r="K30" s="1438"/>
      <c r="L30" s="1438"/>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38"/>
      <c r="J32" s="1438"/>
      <c r="K32" s="1438"/>
      <c r="L32" s="1438"/>
      <c r="M32" s="44"/>
      <c r="N32" s="44"/>
      <c r="O32" s="44"/>
    </row>
  </sheetData>
  <sheetProtection algorithmName="SHA-512" hashValue="XyAaNFgWPaKePMavIsrUfpjNEQN9RphTZBCabdm7FYgHe9TAHdLQUvVYq9I4rFMB2cWFko4aC8UDQJPJ8ETWZg==" saltValue="zwbJe84E1R8u1vrLwHJGhw=="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30:L30"/>
    <mergeCell ref="I32:L32"/>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8:L28"/>
    <mergeCell ref="B28:G28"/>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2"/>
  <sheetViews>
    <sheetView showGridLines="0" zoomScale="70" zoomScaleNormal="70" workbookViewId="0">
      <selection activeCell="C10" sqref="C10:D10"/>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5546875" style="3" customWidth="1"/>
    <col min="15" max="15" width="50" style="3" customWidth="1"/>
    <col min="16" max="47" width="15.88671875" style="1" customWidth="1"/>
    <col min="48" max="48" width="24.554687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414" t="s">
        <v>642</v>
      </c>
      <c r="C2" s="1417" t="s">
        <v>118</v>
      </c>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c r="BA2" s="1418"/>
      <c r="BB2" s="1418"/>
      <c r="BC2" s="1418"/>
      <c r="BD2" s="1418"/>
      <c r="BE2" s="1418"/>
      <c r="BF2" s="1419"/>
      <c r="BG2" s="32" t="s">
        <v>31</v>
      </c>
      <c r="BH2" s="33"/>
    </row>
    <row r="3" spans="2:60" ht="15.6">
      <c r="B3" s="1415"/>
      <c r="C3" s="1420"/>
      <c r="D3" s="1421"/>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1"/>
      <c r="AL3" s="1421"/>
      <c r="AM3" s="1421"/>
      <c r="AN3" s="1421"/>
      <c r="AO3" s="1421"/>
      <c r="AP3" s="1421"/>
      <c r="AQ3" s="1421"/>
      <c r="AR3" s="1421"/>
      <c r="AS3" s="1421"/>
      <c r="AT3" s="1421"/>
      <c r="AU3" s="1421"/>
      <c r="AV3" s="1421"/>
      <c r="AW3" s="1421"/>
      <c r="AX3" s="1421"/>
      <c r="AY3" s="1421"/>
      <c r="AZ3" s="1421"/>
      <c r="BA3" s="1421"/>
      <c r="BB3" s="1421"/>
      <c r="BC3" s="1421"/>
      <c r="BD3" s="1421"/>
      <c r="BE3" s="1421"/>
      <c r="BF3" s="1422"/>
      <c r="BG3" s="13" t="s">
        <v>28</v>
      </c>
      <c r="BH3" s="6" t="s">
        <v>29</v>
      </c>
    </row>
    <row r="4" spans="2:60" ht="15" customHeight="1">
      <c r="B4" s="1415"/>
      <c r="C4" s="1420"/>
      <c r="D4" s="1421"/>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1421"/>
      <c r="BB4" s="1421"/>
      <c r="BC4" s="1421"/>
      <c r="BD4" s="1421"/>
      <c r="BE4" s="1421"/>
      <c r="BF4" s="1422"/>
      <c r="BG4" s="113">
        <v>5</v>
      </c>
      <c r="BH4" s="27" t="s">
        <v>615</v>
      </c>
    </row>
    <row r="5" spans="2:60" ht="15.6">
      <c r="B5" s="1415"/>
      <c r="C5" s="1420"/>
      <c r="D5" s="1421"/>
      <c r="E5" s="1421"/>
      <c r="F5" s="1421"/>
      <c r="G5" s="1421"/>
      <c r="H5" s="1421"/>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21"/>
      <c r="AI5" s="1421"/>
      <c r="AJ5" s="1421"/>
      <c r="AK5" s="1421"/>
      <c r="AL5" s="1421"/>
      <c r="AM5" s="1421"/>
      <c r="AN5" s="1421"/>
      <c r="AO5" s="1421"/>
      <c r="AP5" s="1421"/>
      <c r="AQ5" s="1421"/>
      <c r="AR5" s="1421"/>
      <c r="AS5" s="1421"/>
      <c r="AT5" s="1421"/>
      <c r="AU5" s="1421"/>
      <c r="AV5" s="1421"/>
      <c r="AW5" s="1421"/>
      <c r="AX5" s="1421"/>
      <c r="AY5" s="1421"/>
      <c r="AZ5" s="1421"/>
      <c r="BA5" s="1421"/>
      <c r="BB5" s="1421"/>
      <c r="BC5" s="1421"/>
      <c r="BD5" s="1421"/>
      <c r="BE5" s="1421"/>
      <c r="BF5" s="1422"/>
      <c r="BG5" s="114" t="s">
        <v>30</v>
      </c>
      <c r="BH5" s="115"/>
    </row>
    <row r="6" spans="2:60" ht="15.6" customHeight="1" thickBot="1">
      <c r="B6" s="1416"/>
      <c r="C6" s="1423"/>
      <c r="D6" s="1424"/>
      <c r="E6" s="1424"/>
      <c r="F6" s="1424"/>
      <c r="G6" s="1424"/>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424"/>
      <c r="AY6" s="1424"/>
      <c r="AZ6" s="1424"/>
      <c r="BA6" s="1424"/>
      <c r="BB6" s="1424"/>
      <c r="BC6" s="1424"/>
      <c r="BD6" s="1424"/>
      <c r="BE6" s="1424"/>
      <c r="BF6" s="1425"/>
      <c r="BG6" s="1441">
        <v>44306</v>
      </c>
      <c r="BH6" s="1442"/>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402"/>
      <c r="AX7" s="1403"/>
      <c r="AY7" s="1403"/>
      <c r="AZ7" s="1403"/>
      <c r="BA7" s="1404"/>
      <c r="BB7" s="34"/>
      <c r="BC7" s="34"/>
      <c r="BD7" s="34"/>
      <c r="BE7" s="12"/>
      <c r="BF7" s="12"/>
    </row>
    <row r="8" spans="2:60" ht="21">
      <c r="B8" s="19" t="s">
        <v>45</v>
      </c>
      <c r="C8" s="1462" t="s">
        <v>98</v>
      </c>
      <c r="D8" s="1462"/>
      <c r="E8" s="17"/>
      <c r="F8" s="17"/>
      <c r="G8" s="17"/>
      <c r="H8" s="17"/>
      <c r="I8" s="17"/>
      <c r="J8" s="17"/>
      <c r="K8" s="17"/>
      <c r="L8" s="17"/>
      <c r="M8" s="17"/>
      <c r="N8" s="17"/>
      <c r="O8" s="17"/>
      <c r="AW8" s="34"/>
      <c r="AX8" s="34"/>
      <c r="AY8" s="34"/>
      <c r="AZ8" s="34"/>
      <c r="BA8" s="34"/>
      <c r="BB8" s="34"/>
      <c r="BC8" s="34"/>
      <c r="BD8" s="34"/>
    </row>
    <row r="9" spans="2:60" ht="93" customHeight="1">
      <c r="B9" s="19" t="s">
        <v>34</v>
      </c>
      <c r="C9" s="1427" t="s">
        <v>546</v>
      </c>
      <c r="D9" s="1428"/>
      <c r="E9" s="17"/>
      <c r="F9" s="17"/>
      <c r="G9" s="17"/>
      <c r="H9" s="17"/>
      <c r="I9" s="17"/>
      <c r="J9" s="17"/>
      <c r="K9" s="17"/>
      <c r="L9" s="17"/>
      <c r="M9" s="17"/>
      <c r="N9" s="17"/>
      <c r="O9" s="17"/>
      <c r="AW9" s="34"/>
      <c r="AX9" s="34"/>
      <c r="AY9" s="34"/>
      <c r="AZ9" s="34"/>
      <c r="BA9" s="34"/>
      <c r="BB9" s="34"/>
      <c r="BC9" s="34"/>
      <c r="BD9" s="34"/>
    </row>
    <row r="10" spans="2:60" ht="24.6">
      <c r="B10" s="19" t="s">
        <v>101</v>
      </c>
      <c r="C10" s="1429">
        <v>2023</v>
      </c>
      <c r="D10" s="1430"/>
      <c r="E10" s="17"/>
      <c r="F10" s="17"/>
      <c r="G10" s="17"/>
      <c r="H10" s="17"/>
      <c r="I10" s="17"/>
      <c r="J10" s="17"/>
      <c r="K10" s="17"/>
      <c r="L10" s="17"/>
      <c r="M10" s="17"/>
      <c r="N10" s="17"/>
      <c r="O10" s="17"/>
      <c r="AW10" s="34"/>
      <c r="AX10" s="34"/>
      <c r="AY10" s="34"/>
      <c r="AZ10" s="34"/>
      <c r="BA10" s="34"/>
      <c r="BB10" s="34"/>
      <c r="BC10" s="34"/>
      <c r="BD10" s="34"/>
    </row>
    <row r="11" spans="2:60">
      <c r="B11" s="2"/>
      <c r="C11" s="2"/>
      <c r="D11" s="2"/>
      <c r="E11" s="2"/>
      <c r="F11" s="2"/>
      <c r="G11" s="4"/>
      <c r="H11" s="4"/>
      <c r="I11" s="2"/>
      <c r="J11" s="2"/>
      <c r="K11" s="2"/>
      <c r="L11" s="2"/>
      <c r="M11" s="2"/>
      <c r="N11" s="2"/>
      <c r="O11" s="2"/>
      <c r="AW11" s="34"/>
      <c r="AX11" s="34"/>
      <c r="AY11" s="34"/>
      <c r="AZ11" s="34"/>
      <c r="BA11" s="34"/>
      <c r="BB11" s="34"/>
      <c r="BC11" s="34"/>
      <c r="BD11" s="34"/>
    </row>
    <row r="12" spans="2:60" ht="15.6" customHeight="1">
      <c r="B12" s="1140" t="s">
        <v>0</v>
      </c>
      <c r="C12" s="1140" t="s">
        <v>52</v>
      </c>
      <c r="D12" s="1140" t="s">
        <v>664</v>
      </c>
      <c r="E12" s="1140" t="s">
        <v>61</v>
      </c>
      <c r="F12" s="1140" t="s">
        <v>638</v>
      </c>
      <c r="G12" s="1140" t="s">
        <v>58</v>
      </c>
      <c r="H12" s="1140" t="s">
        <v>25</v>
      </c>
      <c r="I12" s="1140" t="s">
        <v>60</v>
      </c>
      <c r="J12" s="1140" t="s">
        <v>39</v>
      </c>
      <c r="K12" s="1140" t="s">
        <v>36</v>
      </c>
      <c r="L12" s="1140" t="s">
        <v>20</v>
      </c>
      <c r="M12" s="1140" t="s">
        <v>51</v>
      </c>
      <c r="N12" s="1140" t="s">
        <v>40</v>
      </c>
      <c r="O12" s="1140" t="s">
        <v>42</v>
      </c>
      <c r="P12" s="1170" t="s">
        <v>112</v>
      </c>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1170"/>
      <c r="AN12" s="1170"/>
      <c r="AO12" s="1170"/>
      <c r="AP12" s="1170"/>
      <c r="AQ12" s="1170"/>
      <c r="AR12" s="1170"/>
      <c r="AS12" s="1170"/>
      <c r="AT12" s="1170"/>
      <c r="AU12" s="1170"/>
      <c r="AV12" s="1405" t="s">
        <v>62</v>
      </c>
      <c r="AW12" s="1407" t="s">
        <v>639</v>
      </c>
      <c r="AX12" s="1408"/>
      <c r="AY12" s="1408"/>
      <c r="AZ12" s="1409"/>
      <c r="BA12" s="1396" t="s">
        <v>640</v>
      </c>
      <c r="BB12" s="1397"/>
      <c r="BC12" s="1397"/>
      <c r="BD12" s="1398"/>
      <c r="BE12" s="1435" t="s">
        <v>641</v>
      </c>
      <c r="BF12" s="1436"/>
      <c r="BG12" s="1436"/>
      <c r="BH12" s="1437"/>
    </row>
    <row r="13" spans="2:60" ht="15.6">
      <c r="B13" s="1140"/>
      <c r="C13" s="1140"/>
      <c r="D13" s="1140"/>
      <c r="E13" s="1140"/>
      <c r="F13" s="1140"/>
      <c r="G13" s="1140"/>
      <c r="H13" s="1140"/>
      <c r="I13" s="1140"/>
      <c r="J13" s="1140"/>
      <c r="K13" s="1140"/>
      <c r="L13" s="1140"/>
      <c r="M13" s="1140"/>
      <c r="N13" s="1140"/>
      <c r="O13" s="1140"/>
      <c r="P13" s="1406" t="s">
        <v>21</v>
      </c>
      <c r="Q13" s="1406"/>
      <c r="R13" s="1406"/>
      <c r="S13" s="1406"/>
      <c r="T13" s="1406"/>
      <c r="U13" s="1406"/>
      <c r="V13" s="1406"/>
      <c r="W13" s="1406"/>
      <c r="X13" s="1406" t="s">
        <v>22</v>
      </c>
      <c r="Y13" s="1406"/>
      <c r="Z13" s="1406"/>
      <c r="AA13" s="1406"/>
      <c r="AB13" s="1406"/>
      <c r="AC13" s="1406"/>
      <c r="AD13" s="1406"/>
      <c r="AE13" s="1406"/>
      <c r="AF13" s="1406" t="s">
        <v>23</v>
      </c>
      <c r="AG13" s="1406"/>
      <c r="AH13" s="1406"/>
      <c r="AI13" s="1406"/>
      <c r="AJ13" s="1406"/>
      <c r="AK13" s="1406"/>
      <c r="AL13" s="1406"/>
      <c r="AM13" s="1406"/>
      <c r="AN13" s="1406" t="s">
        <v>24</v>
      </c>
      <c r="AO13" s="1406"/>
      <c r="AP13" s="1406"/>
      <c r="AQ13" s="1406"/>
      <c r="AR13" s="1406"/>
      <c r="AS13" s="1406"/>
      <c r="AT13" s="1406"/>
      <c r="AU13" s="1406"/>
      <c r="AV13" s="1405"/>
      <c r="AW13" s="1410" t="s">
        <v>119</v>
      </c>
      <c r="AX13" s="1410" t="s">
        <v>22</v>
      </c>
      <c r="AY13" s="1410" t="s">
        <v>120</v>
      </c>
      <c r="AZ13" s="1410" t="s">
        <v>121</v>
      </c>
      <c r="BA13" s="1399" t="s">
        <v>119</v>
      </c>
      <c r="BB13" s="1399" t="s">
        <v>122</v>
      </c>
      <c r="BC13" s="1399" t="s">
        <v>123</v>
      </c>
      <c r="BD13" s="1399" t="s">
        <v>124</v>
      </c>
      <c r="BE13" s="1393" t="s">
        <v>21</v>
      </c>
      <c r="BF13" s="1393" t="s">
        <v>22</v>
      </c>
      <c r="BG13" s="1393" t="s">
        <v>23</v>
      </c>
      <c r="BH13" s="1393" t="s">
        <v>24</v>
      </c>
    </row>
    <row r="14" spans="2:60" ht="15.6">
      <c r="B14" s="1140"/>
      <c r="C14" s="1140"/>
      <c r="D14" s="1140"/>
      <c r="E14" s="1140"/>
      <c r="F14" s="1140"/>
      <c r="G14" s="1140"/>
      <c r="H14" s="1140"/>
      <c r="I14" s="1140"/>
      <c r="J14" s="1140"/>
      <c r="K14" s="1140"/>
      <c r="L14" s="1140"/>
      <c r="M14" s="1140"/>
      <c r="N14" s="1140"/>
      <c r="O14" s="1140"/>
      <c r="P14" s="1392" t="s">
        <v>5</v>
      </c>
      <c r="Q14" s="1392"/>
      <c r="R14" s="1392" t="s">
        <v>6</v>
      </c>
      <c r="S14" s="1392"/>
      <c r="T14" s="1392" t="s">
        <v>7</v>
      </c>
      <c r="U14" s="1392"/>
      <c r="V14" s="1170" t="s">
        <v>8</v>
      </c>
      <c r="W14" s="1170"/>
      <c r="X14" s="1392" t="s">
        <v>27</v>
      </c>
      <c r="Y14" s="1392"/>
      <c r="Z14" s="1392" t="s">
        <v>9</v>
      </c>
      <c r="AA14" s="1392"/>
      <c r="AB14" s="1392" t="s">
        <v>10</v>
      </c>
      <c r="AC14" s="1392"/>
      <c r="AD14" s="1170" t="s">
        <v>8</v>
      </c>
      <c r="AE14" s="1170"/>
      <c r="AF14" s="1392" t="s">
        <v>11</v>
      </c>
      <c r="AG14" s="1392"/>
      <c r="AH14" s="1392" t="s">
        <v>12</v>
      </c>
      <c r="AI14" s="1392"/>
      <c r="AJ14" s="1392" t="s">
        <v>13</v>
      </c>
      <c r="AK14" s="1392"/>
      <c r="AL14" s="1170" t="s">
        <v>8</v>
      </c>
      <c r="AM14" s="1170"/>
      <c r="AN14" s="1392" t="s">
        <v>14</v>
      </c>
      <c r="AO14" s="1392"/>
      <c r="AP14" s="1392" t="s">
        <v>15</v>
      </c>
      <c r="AQ14" s="1392"/>
      <c r="AR14" s="1392" t="s">
        <v>16</v>
      </c>
      <c r="AS14" s="1392"/>
      <c r="AT14" s="1170" t="s">
        <v>8</v>
      </c>
      <c r="AU14" s="1170"/>
      <c r="AV14" s="1405"/>
      <c r="AW14" s="1411"/>
      <c r="AX14" s="1411"/>
      <c r="AY14" s="1411"/>
      <c r="AZ14" s="1411"/>
      <c r="BA14" s="1400"/>
      <c r="BB14" s="1400"/>
      <c r="BC14" s="1400"/>
      <c r="BD14" s="1400"/>
      <c r="BE14" s="1394"/>
      <c r="BF14" s="1394"/>
      <c r="BG14" s="1394"/>
      <c r="BH14" s="1394"/>
    </row>
    <row r="15" spans="2:60" ht="13.2" customHeight="1">
      <c r="B15" s="1140"/>
      <c r="C15" s="1140"/>
      <c r="D15" s="1140"/>
      <c r="E15" s="1140"/>
      <c r="F15" s="1140"/>
      <c r="G15" s="1140"/>
      <c r="H15" s="1140"/>
      <c r="I15" s="1140"/>
      <c r="J15" s="1140"/>
      <c r="K15" s="1140"/>
      <c r="L15" s="1140"/>
      <c r="M15" s="1140"/>
      <c r="N15" s="1140"/>
      <c r="O15" s="1140"/>
      <c r="P15" s="48" t="s">
        <v>17</v>
      </c>
      <c r="Q15" s="49" t="s">
        <v>18</v>
      </c>
      <c r="R15" s="48" t="s">
        <v>17</v>
      </c>
      <c r="S15" s="49" t="s">
        <v>18</v>
      </c>
      <c r="T15" s="48" t="s">
        <v>17</v>
      </c>
      <c r="U15" s="49" t="s">
        <v>18</v>
      </c>
      <c r="V15" s="50" t="s">
        <v>17</v>
      </c>
      <c r="W15" s="51" t="s">
        <v>18</v>
      </c>
      <c r="X15" s="48" t="s">
        <v>17</v>
      </c>
      <c r="Y15" s="49" t="s">
        <v>18</v>
      </c>
      <c r="Z15" s="48" t="s">
        <v>17</v>
      </c>
      <c r="AA15" s="49" t="s">
        <v>18</v>
      </c>
      <c r="AB15" s="48" t="s">
        <v>17</v>
      </c>
      <c r="AC15" s="49" t="s">
        <v>18</v>
      </c>
      <c r="AD15" s="50" t="s">
        <v>17</v>
      </c>
      <c r="AE15" s="51" t="s">
        <v>18</v>
      </c>
      <c r="AF15" s="48" t="s">
        <v>17</v>
      </c>
      <c r="AG15" s="49" t="s">
        <v>18</v>
      </c>
      <c r="AH15" s="48" t="s">
        <v>17</v>
      </c>
      <c r="AI15" s="49" t="s">
        <v>18</v>
      </c>
      <c r="AJ15" s="48" t="s">
        <v>17</v>
      </c>
      <c r="AK15" s="49" t="s">
        <v>18</v>
      </c>
      <c r="AL15" s="50" t="s">
        <v>17</v>
      </c>
      <c r="AM15" s="51" t="s">
        <v>18</v>
      </c>
      <c r="AN15" s="48" t="s">
        <v>17</v>
      </c>
      <c r="AO15" s="49" t="s">
        <v>18</v>
      </c>
      <c r="AP15" s="48" t="s">
        <v>17</v>
      </c>
      <c r="AQ15" s="49" t="s">
        <v>18</v>
      </c>
      <c r="AR15" s="48" t="s">
        <v>17</v>
      </c>
      <c r="AS15" s="49" t="s">
        <v>18</v>
      </c>
      <c r="AT15" s="50" t="s">
        <v>17</v>
      </c>
      <c r="AU15" s="51" t="s">
        <v>18</v>
      </c>
      <c r="AV15" s="1405"/>
      <c r="AW15" s="1412"/>
      <c r="AX15" s="1412"/>
      <c r="AY15" s="1412"/>
      <c r="AZ15" s="1412"/>
      <c r="BA15" s="1401"/>
      <c r="BB15" s="1401"/>
      <c r="BC15" s="1401"/>
      <c r="BD15" s="1401"/>
      <c r="BE15" s="1395"/>
      <c r="BF15" s="1395"/>
      <c r="BG15" s="1395"/>
      <c r="BH15" s="1395"/>
    </row>
    <row r="16" spans="2:60" ht="98.25" customHeight="1">
      <c r="B16" s="143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33" t="str">
        <f>+'01-FR-03 POA INSTITUCIONAL'!C87</f>
        <v>4.5. Desarrollar el 100% de las acciones relacionadas con el fomento de la Cultura del Autocontrol, la Autorregulación y la Autogestión institucional.</v>
      </c>
      <c r="D16" s="28" t="str">
        <f>+'01-FR-03 POA INSTITUCIONAL'!D90</f>
        <v>4.5.4 Ejecutar  4 programas anuales de auditorias, aprobados por el Comité Institucional de Coordinación del Sistema de Control Interno.</v>
      </c>
      <c r="E16" s="46">
        <f>+'01-FR-03 POA INSTITUCIONAL'!E90</f>
        <v>0.5</v>
      </c>
      <c r="F16" s="58">
        <f>+'01-FR-03 POA INSTITUCIONAL'!F90</f>
        <v>4</v>
      </c>
      <c r="G16" s="58">
        <f>+'01-FR-03 POA INSTITUCIONAL'!M90</f>
        <v>1</v>
      </c>
      <c r="H16" s="58">
        <f>+'01-FR-03 POA INSTITUCIONAL'!G90</f>
        <v>4</v>
      </c>
      <c r="I16" s="35" t="str">
        <f>+'01-FR-03 POA INSTITUCIONAL'!H90</f>
        <v>Programa anual de auditorías ejecutado.</v>
      </c>
      <c r="J16" s="116" t="s">
        <v>621</v>
      </c>
      <c r="K16" s="119" t="s">
        <v>547</v>
      </c>
      <c r="L16" s="118" t="s">
        <v>548</v>
      </c>
      <c r="M16" s="118" t="s">
        <v>549</v>
      </c>
      <c r="N16" s="118" t="s">
        <v>550</v>
      </c>
      <c r="O16" s="122" t="str">
        <f>+'[7]POA Anualizado (Pág 1 de 3)'!J13</f>
        <v>Oficina de Control Interno</v>
      </c>
      <c r="P16" s="717">
        <v>0.05</v>
      </c>
      <c r="Q16" s="717">
        <v>0.05</v>
      </c>
      <c r="R16" s="717">
        <v>0.05</v>
      </c>
      <c r="S16" s="717">
        <v>0.05</v>
      </c>
      <c r="T16" s="717">
        <v>0.04</v>
      </c>
      <c r="U16" s="717">
        <v>0.04</v>
      </c>
      <c r="V16" s="70">
        <f>P16+R16+T16</f>
        <v>0.14000000000000001</v>
      </c>
      <c r="W16" s="70">
        <f>Q16+S16+U16</f>
        <v>0.14000000000000001</v>
      </c>
      <c r="X16" s="717">
        <v>0.04</v>
      </c>
      <c r="Y16" s="717">
        <v>0.04</v>
      </c>
      <c r="Z16" s="717">
        <v>0.04</v>
      </c>
      <c r="AA16" s="717">
        <v>0.04</v>
      </c>
      <c r="AB16" s="717">
        <v>0.02</v>
      </c>
      <c r="AC16" s="717">
        <v>0.02</v>
      </c>
      <c r="AD16" s="70">
        <f>X16+Z16+AB16</f>
        <v>0.1</v>
      </c>
      <c r="AE16" s="70">
        <f>Y16+AA16+AC16</f>
        <v>0.1</v>
      </c>
      <c r="AF16" s="717">
        <v>0.23</v>
      </c>
      <c r="AG16" s="717"/>
      <c r="AH16" s="717">
        <v>0.2</v>
      </c>
      <c r="AI16" s="717"/>
      <c r="AJ16" s="717">
        <v>0.15</v>
      </c>
      <c r="AK16" s="718"/>
      <c r="AL16" s="70">
        <f>AF16+AH16+AJ16</f>
        <v>0.58000000000000007</v>
      </c>
      <c r="AM16" s="70">
        <f>AG16+AI16+AK16</f>
        <v>0</v>
      </c>
      <c r="AN16" s="717">
        <v>0.14000000000000001</v>
      </c>
      <c r="AO16" s="717"/>
      <c r="AP16" s="717">
        <v>0.03</v>
      </c>
      <c r="AQ16" s="717"/>
      <c r="AR16" s="717">
        <v>0.01</v>
      </c>
      <c r="AS16" s="717"/>
      <c r="AT16" s="70">
        <f>AN16+AP16+AR16</f>
        <v>0.18000000000000002</v>
      </c>
      <c r="AU16" s="70">
        <f>AO16+AQ16+AS16</f>
        <v>0</v>
      </c>
      <c r="AV16" s="123">
        <f>V16+AD16+AL16+AT16</f>
        <v>1</v>
      </c>
      <c r="AW16" s="193">
        <f>+W16</f>
        <v>0.14000000000000001</v>
      </c>
      <c r="AX16" s="193">
        <f>+W16+AE16</f>
        <v>0.24000000000000002</v>
      </c>
      <c r="AY16" s="933">
        <f>+W16+AE16+AM16</f>
        <v>0.24000000000000002</v>
      </c>
      <c r="AZ16" s="928">
        <f>+W16+AE16+AM16+AU16</f>
        <v>0.24000000000000002</v>
      </c>
      <c r="BA16" s="37">
        <f>IF(AND(AW16&gt;0,$AV16&gt;0),AW16/$AV16,0)</f>
        <v>0.14000000000000001</v>
      </c>
      <c r="BB16" s="37">
        <f t="shared" ref="BB16:BD18" si="0">IF(AND(AX16&gt;0,$AV16&gt;0),AX16/$AV16,0)</f>
        <v>0.24000000000000002</v>
      </c>
      <c r="BC16" s="37">
        <f t="shared" si="0"/>
        <v>0.24000000000000002</v>
      </c>
      <c r="BD16" s="37">
        <f t="shared" si="0"/>
        <v>0.24000000000000002</v>
      </c>
      <c r="BE16" s="182">
        <f>(IF(AND(AW16&gt;0,$F16&gt;0),AW16/$F16,0))</f>
        <v>3.5000000000000003E-2</v>
      </c>
      <c r="BF16" s="182">
        <f t="shared" ref="BF16:BH18" si="1">(IF(AND(AX16&gt;0,$F16&gt;0),AX16/$F16,0))</f>
        <v>6.0000000000000005E-2</v>
      </c>
      <c r="BG16" s="752">
        <f t="shared" si="1"/>
        <v>6.0000000000000005E-2</v>
      </c>
      <c r="BH16" s="751">
        <f t="shared" si="1"/>
        <v>6.0000000000000005E-2</v>
      </c>
    </row>
    <row r="17" spans="2:60" ht="120">
      <c r="B17" s="1434"/>
      <c r="C17" s="1434"/>
      <c r="D17" s="28" t="str">
        <f>+'01-FR-03 POA INSTITUCIONAL'!D91</f>
        <v>4.5.5 Desarrollar 4 estrategias de sensibilización acerca de la cultura del control.</v>
      </c>
      <c r="E17" s="46">
        <f>+'01-FR-03 POA INSTITUCIONAL'!E91</f>
        <v>0.1</v>
      </c>
      <c r="F17" s="58">
        <f>+'01-FR-03 POA INSTITUCIONAL'!F91</f>
        <v>4</v>
      </c>
      <c r="G17" s="58">
        <f>+'01-FR-03 POA INSTITUCIONAL'!M91</f>
        <v>1</v>
      </c>
      <c r="H17" s="58">
        <f>+'01-FR-03 POA INSTITUCIONAL'!G91</f>
        <v>4</v>
      </c>
      <c r="I17" s="35" t="str">
        <f>+'01-FR-03 POA INSTITUCIONAL'!H91</f>
        <v>Estrategia de Sensibilización acerca de la Cultura del Control realizada</v>
      </c>
      <c r="J17" s="116" t="s">
        <v>551</v>
      </c>
      <c r="K17" s="119" t="s">
        <v>556</v>
      </c>
      <c r="L17" s="118" t="s">
        <v>552</v>
      </c>
      <c r="M17" s="118" t="s">
        <v>549</v>
      </c>
      <c r="N17" s="118" t="s">
        <v>550</v>
      </c>
      <c r="O17" s="122" t="str">
        <f>+'[7]POA Anualizado (Pág 1 de 3)'!J14</f>
        <v>Oficina de Control Interno</v>
      </c>
      <c r="P17" s="717">
        <v>0</v>
      </c>
      <c r="Q17" s="717">
        <v>0</v>
      </c>
      <c r="R17" s="717">
        <v>0</v>
      </c>
      <c r="S17" s="717">
        <v>0</v>
      </c>
      <c r="T17" s="717">
        <v>0</v>
      </c>
      <c r="U17" s="717">
        <v>0</v>
      </c>
      <c r="V17" s="68">
        <f t="shared" ref="V17:W18" si="2">P17+R17+T17</f>
        <v>0</v>
      </c>
      <c r="W17" s="68">
        <f t="shared" si="2"/>
        <v>0</v>
      </c>
      <c r="X17" s="717">
        <v>0</v>
      </c>
      <c r="Y17" s="717">
        <v>0</v>
      </c>
      <c r="Z17" s="717">
        <v>0</v>
      </c>
      <c r="AA17" s="717">
        <v>0</v>
      </c>
      <c r="AB17" s="717">
        <v>0</v>
      </c>
      <c r="AC17" s="717">
        <v>0</v>
      </c>
      <c r="AD17" s="68">
        <f t="shared" ref="AD17:AE18" si="3">X17+Z17+AB17</f>
        <v>0</v>
      </c>
      <c r="AE17" s="68">
        <f t="shared" si="3"/>
        <v>0</v>
      </c>
      <c r="AF17" s="717">
        <v>0</v>
      </c>
      <c r="AG17" s="717"/>
      <c r="AH17" s="717">
        <v>0</v>
      </c>
      <c r="AI17" s="717"/>
      <c r="AJ17" s="717">
        <v>1</v>
      </c>
      <c r="AK17" s="718"/>
      <c r="AL17" s="68">
        <f t="shared" ref="AL17:AM18" si="4">AF17+AH17+AJ17</f>
        <v>1</v>
      </c>
      <c r="AM17" s="68">
        <f t="shared" si="4"/>
        <v>0</v>
      </c>
      <c r="AN17" s="717">
        <v>0</v>
      </c>
      <c r="AO17" s="717"/>
      <c r="AP17" s="717">
        <v>0</v>
      </c>
      <c r="AQ17" s="717"/>
      <c r="AR17" s="717">
        <v>0</v>
      </c>
      <c r="AS17" s="717"/>
      <c r="AT17" s="68">
        <f t="shared" ref="AT17:AU18" si="5">AN17+AP17+AR17</f>
        <v>0</v>
      </c>
      <c r="AU17" s="68">
        <f t="shared" si="5"/>
        <v>0</v>
      </c>
      <c r="AV17" s="123">
        <f t="shared" ref="AV17:AV18" si="6">V17+AD17+AL17+AT17</f>
        <v>1</v>
      </c>
      <c r="AW17" s="62">
        <f t="shared" ref="AW17:AW18" si="7">+W17</f>
        <v>0</v>
      </c>
      <c r="AX17" s="62">
        <f t="shared" ref="AX17:AX18" si="8">+W17+AE17</f>
        <v>0</v>
      </c>
      <c r="AY17" s="928">
        <f t="shared" ref="AY17:AY18" si="9">+W17+AE17+AM17</f>
        <v>0</v>
      </c>
      <c r="AZ17" s="928">
        <f t="shared" ref="AZ17:AZ18" si="10">+W17+AE17+AM17+AU17</f>
        <v>0</v>
      </c>
      <c r="BA17" s="37">
        <f>IF(AND(AW17&gt;0,AV17&gt;0),AW17/AV17,0)</f>
        <v>0</v>
      </c>
      <c r="BB17" s="37">
        <f t="shared" si="0"/>
        <v>0</v>
      </c>
      <c r="BC17" s="37">
        <f t="shared" si="0"/>
        <v>0</v>
      </c>
      <c r="BD17" s="37">
        <f t="shared" si="0"/>
        <v>0</v>
      </c>
      <c r="BE17" s="182">
        <f t="shared" ref="BE17:BE18" si="11">(IF(AND(AW17&gt;0,$F17&gt;0),AW17/$F17,0))</f>
        <v>0</v>
      </c>
      <c r="BF17" s="182">
        <f t="shared" si="1"/>
        <v>0</v>
      </c>
      <c r="BG17" s="751">
        <f t="shared" si="1"/>
        <v>0</v>
      </c>
      <c r="BH17" s="751">
        <f t="shared" si="1"/>
        <v>0</v>
      </c>
    </row>
    <row r="18" spans="2:60" ht="104.25" customHeight="1">
      <c r="B18" s="1454"/>
      <c r="C18" s="1454"/>
      <c r="D18" s="28" t="str">
        <f>+'01-FR-03 POA INSTITUCIONAL'!D92</f>
        <v>4.5.6 Realizar 4 jornadas de sensibilización a Directivos y Referentes de proceso sobre la Séptima Dimensión.</v>
      </c>
      <c r="E18" s="46">
        <f>+'01-FR-03 POA INSTITUCIONAL'!E92</f>
        <v>0.1</v>
      </c>
      <c r="F18" s="58">
        <f>+'01-FR-03 POA INSTITUCIONAL'!F92</f>
        <v>4</v>
      </c>
      <c r="G18" s="58">
        <f>+'01-FR-03 POA INSTITUCIONAL'!M92</f>
        <v>1</v>
      </c>
      <c r="H18" s="58">
        <f>+'01-FR-03 POA INSTITUCIONAL'!G92</f>
        <v>4</v>
      </c>
      <c r="I18" s="35" t="str">
        <f>+'01-FR-03 POA INSTITUCIONAL'!H92</f>
        <v>Sensibilización a Directivos y Referentes de Gestión sobre la Séptima Dimensión del MIPG realizada</v>
      </c>
      <c r="J18" s="116" t="s">
        <v>553</v>
      </c>
      <c r="K18" s="119" t="s">
        <v>557</v>
      </c>
      <c r="L18" s="118" t="s">
        <v>554</v>
      </c>
      <c r="M18" s="118" t="s">
        <v>549</v>
      </c>
      <c r="N18" s="118" t="s">
        <v>550</v>
      </c>
      <c r="O18" s="122" t="str">
        <f>+'[7]POA Anualizado (Pág 1 de 3)'!J15</f>
        <v>Oficina de Control Interno</v>
      </c>
      <c r="P18" s="717">
        <v>0</v>
      </c>
      <c r="Q18" s="717">
        <v>0</v>
      </c>
      <c r="R18" s="717">
        <v>0</v>
      </c>
      <c r="S18" s="717">
        <v>0</v>
      </c>
      <c r="T18" s="717">
        <v>0</v>
      </c>
      <c r="U18" s="717">
        <v>0</v>
      </c>
      <c r="V18" s="68">
        <f t="shared" si="2"/>
        <v>0</v>
      </c>
      <c r="W18" s="68">
        <f t="shared" si="2"/>
        <v>0</v>
      </c>
      <c r="X18" s="717">
        <v>0</v>
      </c>
      <c r="Y18" s="717">
        <v>0</v>
      </c>
      <c r="Z18" s="717">
        <v>1</v>
      </c>
      <c r="AA18" s="717">
        <v>1</v>
      </c>
      <c r="AB18" s="717">
        <v>0</v>
      </c>
      <c r="AC18" s="717">
        <v>0</v>
      </c>
      <c r="AD18" s="68">
        <f t="shared" si="3"/>
        <v>1</v>
      </c>
      <c r="AE18" s="68">
        <f t="shared" si="3"/>
        <v>1</v>
      </c>
      <c r="AF18" s="717">
        <v>0</v>
      </c>
      <c r="AG18" s="717"/>
      <c r="AH18" s="717">
        <v>0</v>
      </c>
      <c r="AI18" s="717"/>
      <c r="AJ18" s="717">
        <v>0</v>
      </c>
      <c r="AK18" s="718"/>
      <c r="AL18" s="68">
        <f t="shared" si="4"/>
        <v>0</v>
      </c>
      <c r="AM18" s="68">
        <f t="shared" si="4"/>
        <v>0</v>
      </c>
      <c r="AN18" s="717">
        <v>0</v>
      </c>
      <c r="AO18" s="717"/>
      <c r="AP18" s="717">
        <v>0</v>
      </c>
      <c r="AQ18" s="717"/>
      <c r="AR18" s="717">
        <v>0</v>
      </c>
      <c r="AS18" s="717"/>
      <c r="AT18" s="68">
        <f t="shared" si="5"/>
        <v>0</v>
      </c>
      <c r="AU18" s="68">
        <f t="shared" si="5"/>
        <v>0</v>
      </c>
      <c r="AV18" s="123">
        <f t="shared" si="6"/>
        <v>1</v>
      </c>
      <c r="AW18" s="62">
        <f t="shared" si="7"/>
        <v>0</v>
      </c>
      <c r="AX18" s="62">
        <f t="shared" si="8"/>
        <v>1</v>
      </c>
      <c r="AY18" s="928">
        <f t="shared" si="9"/>
        <v>1</v>
      </c>
      <c r="AZ18" s="928">
        <f t="shared" si="10"/>
        <v>1</v>
      </c>
      <c r="BA18" s="37">
        <f t="shared" ref="BA18" si="12">IF(AND(AW18&gt;0,AV18&gt;0),AW18/AV18,0)</f>
        <v>0</v>
      </c>
      <c r="BB18" s="37">
        <f t="shared" si="0"/>
        <v>1</v>
      </c>
      <c r="BC18" s="37">
        <f t="shared" si="0"/>
        <v>1</v>
      </c>
      <c r="BD18" s="37">
        <f t="shared" si="0"/>
        <v>1</v>
      </c>
      <c r="BE18" s="182">
        <f t="shared" si="11"/>
        <v>0</v>
      </c>
      <c r="BF18" s="182">
        <f t="shared" si="1"/>
        <v>0.25</v>
      </c>
      <c r="BG18" s="752">
        <f t="shared" si="1"/>
        <v>0.25</v>
      </c>
      <c r="BH18" s="751">
        <f t="shared" si="1"/>
        <v>0.25</v>
      </c>
    </row>
    <row r="19" spans="2:60" ht="22.8">
      <c r="B19" s="1371"/>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72"/>
      <c r="AS19" s="1372"/>
      <c r="AT19" s="1372"/>
      <c r="AU19" s="1372"/>
      <c r="AV19" s="1372"/>
      <c r="AW19" s="1455"/>
      <c r="AX19" s="1431" t="s">
        <v>19</v>
      </c>
      <c r="AY19" s="1432"/>
      <c r="AZ19" s="1432"/>
      <c r="BA19" s="59">
        <f t="shared" ref="BA19:BD19" si="13">AVERAGE(BA16:BA18)</f>
        <v>4.6666666666666669E-2</v>
      </c>
      <c r="BB19" s="59">
        <f t="shared" si="13"/>
        <v>0.41333333333333333</v>
      </c>
      <c r="BC19" s="59">
        <f t="shared" si="13"/>
        <v>0.41333333333333333</v>
      </c>
      <c r="BD19" s="59">
        <f t="shared" si="13"/>
        <v>0.41333333333333333</v>
      </c>
      <c r="BE19" s="1463"/>
      <c r="BF19" s="1464"/>
      <c r="BG19" s="1464"/>
      <c r="BH19" s="1465"/>
    </row>
    <row r="20" spans="2:60">
      <c r="B20" s="1413"/>
      <c r="C20" s="1413"/>
      <c r="D20" s="1413"/>
      <c r="E20" s="1413"/>
      <c r="F20" s="1413"/>
      <c r="G20" s="1413"/>
      <c r="H20" s="39"/>
      <c r="I20" s="38"/>
      <c r="J20" s="38"/>
      <c r="K20" s="38"/>
      <c r="L20" s="38"/>
      <c r="M20" s="38"/>
      <c r="N20" s="38"/>
      <c r="O20" s="38"/>
    </row>
    <row r="21" spans="2:60">
      <c r="B21" s="38"/>
      <c r="C21" s="38"/>
      <c r="D21" s="1440"/>
      <c r="E21" s="1440"/>
      <c r="F21" s="1440"/>
      <c r="G21" s="1440"/>
      <c r="H21" s="1440"/>
      <c r="I21" s="1440"/>
      <c r="J21" s="1440"/>
      <c r="K21" s="1440"/>
      <c r="L21" s="1440"/>
      <c r="M21" s="1440"/>
      <c r="N21" s="1440"/>
      <c r="O21" s="1440"/>
    </row>
    <row r="22" spans="2:60" ht="15.6" customHeight="1">
      <c r="B22" s="40" t="s">
        <v>26</v>
      </c>
      <c r="C22" s="41">
        <v>44224</v>
      </c>
      <c r="D22" s="121"/>
      <c r="E22" s="1443" t="s">
        <v>50</v>
      </c>
      <c r="F22" s="1488" t="s">
        <v>555</v>
      </c>
      <c r="G22" s="1489"/>
      <c r="H22" s="1489"/>
      <c r="I22" s="1489"/>
      <c r="J22" s="1490"/>
      <c r="K22" s="43"/>
      <c r="L22" s="1403"/>
      <c r="M22" s="1403"/>
      <c r="N22" s="1403"/>
      <c r="O22" s="1439"/>
    </row>
    <row r="23" spans="2:60" ht="15.6">
      <c r="B23" s="38"/>
      <c r="C23" s="38"/>
      <c r="D23" s="43"/>
      <c r="E23" s="1443"/>
      <c r="F23" s="1491"/>
      <c r="G23" s="1492"/>
      <c r="H23" s="1492"/>
      <c r="I23" s="1492"/>
      <c r="J23" s="1493"/>
      <c r="K23" s="38"/>
      <c r="L23" s="38"/>
      <c r="M23" s="38"/>
      <c r="N23" s="38"/>
      <c r="O23" s="38"/>
    </row>
    <row r="24" spans="2:60" ht="15.6">
      <c r="B24" s="40" t="s">
        <v>49</v>
      </c>
      <c r="C24" s="41">
        <v>44581</v>
      </c>
      <c r="D24" s="38"/>
      <c r="E24" s="38"/>
      <c r="F24" s="38"/>
      <c r="K24" s="38"/>
      <c r="L24" s="38"/>
      <c r="M24" s="38"/>
      <c r="N24" s="38"/>
      <c r="O24" s="38"/>
    </row>
    <row r="25" spans="2:60" ht="13.2" customHeight="1">
      <c r="B25" s="38"/>
      <c r="C25" s="868"/>
      <c r="D25" s="38"/>
      <c r="E25" s="38"/>
      <c r="F25" s="38"/>
      <c r="K25" s="38"/>
      <c r="L25" s="38"/>
      <c r="M25" s="38"/>
      <c r="N25" s="38"/>
      <c r="O25" s="38"/>
    </row>
    <row r="26" spans="2:60" ht="31.5" customHeight="1">
      <c r="B26" s="40" t="s">
        <v>49</v>
      </c>
      <c r="C26" s="41">
        <v>44953</v>
      </c>
      <c r="D26" s="38"/>
      <c r="E26" s="38"/>
      <c r="F26" s="38"/>
      <c r="K26" s="38"/>
      <c r="L26" s="38"/>
      <c r="M26" s="38"/>
      <c r="N26" s="38"/>
      <c r="O26" s="38"/>
    </row>
    <row r="27" spans="2:60">
      <c r="B27" s="38"/>
      <c r="C27" s="38"/>
      <c r="D27" s="38"/>
      <c r="E27" s="38"/>
      <c r="F27" s="38"/>
      <c r="K27" s="38"/>
      <c r="L27" s="38"/>
      <c r="M27" s="38"/>
      <c r="N27" s="38"/>
      <c r="O27" s="38"/>
    </row>
    <row r="28" spans="2:60">
      <c r="B28" s="1530" t="s">
        <v>876</v>
      </c>
      <c r="C28" s="1530"/>
      <c r="D28" s="1530"/>
      <c r="E28" s="1530"/>
      <c r="F28" s="1530"/>
      <c r="G28" s="1530"/>
      <c r="H28" s="39"/>
      <c r="I28" s="1438"/>
      <c r="J28" s="1438"/>
      <c r="K28" s="1438"/>
      <c r="L28" s="1438"/>
      <c r="M28" s="44"/>
      <c r="N28" s="44"/>
      <c r="O28" s="44"/>
    </row>
    <row r="29" spans="2:60">
      <c r="B29" s="38"/>
      <c r="C29" s="38"/>
      <c r="D29" s="38"/>
      <c r="E29" s="38"/>
      <c r="F29" s="38"/>
      <c r="G29" s="39"/>
      <c r="H29" s="39"/>
      <c r="I29" s="38"/>
      <c r="J29" s="38"/>
      <c r="K29" s="45"/>
      <c r="L29" s="38"/>
      <c r="M29" s="38"/>
      <c r="N29" s="38"/>
      <c r="O29" s="38"/>
    </row>
    <row r="30" spans="2:60">
      <c r="B30" s="38"/>
      <c r="C30" s="38"/>
      <c r="D30" s="38"/>
      <c r="E30" s="38"/>
      <c r="F30" s="38"/>
      <c r="G30" s="39"/>
      <c r="H30" s="39"/>
      <c r="I30" s="1438"/>
      <c r="J30" s="1438"/>
      <c r="K30" s="1438"/>
      <c r="L30" s="1438"/>
      <c r="M30" s="44"/>
      <c r="N30" s="44"/>
      <c r="O30" s="44"/>
    </row>
    <row r="31" spans="2:60">
      <c r="B31" s="38"/>
      <c r="C31" s="38"/>
      <c r="D31" s="38"/>
      <c r="E31" s="38"/>
      <c r="F31" s="38"/>
      <c r="G31" s="39"/>
      <c r="H31" s="39"/>
      <c r="I31" s="38"/>
      <c r="J31" s="38"/>
      <c r="K31" s="45"/>
      <c r="L31" s="38"/>
      <c r="M31" s="38"/>
      <c r="N31" s="38"/>
      <c r="O31" s="38"/>
    </row>
    <row r="32" spans="2:60">
      <c r="B32" s="38"/>
      <c r="C32" s="38"/>
      <c r="D32" s="38"/>
      <c r="E32" s="38"/>
      <c r="F32" s="38"/>
      <c r="G32" s="39"/>
      <c r="H32" s="39"/>
      <c r="I32" s="1438"/>
      <c r="J32" s="1438"/>
      <c r="K32" s="1438"/>
      <c r="L32" s="1438"/>
      <c r="M32" s="44"/>
      <c r="N32" s="44"/>
      <c r="O32" s="44"/>
    </row>
  </sheetData>
  <sheetProtection algorithmName="SHA-512" hashValue="y4ekfhqCUZWhefdK5foeTz3gaeib9XLl2Tmolv/FUvor3thLnSc6S1ZvUNJ/sJI3k/QoJ8lv+vtz20zQDiCLbg==" saltValue="Y4DuuFAJTRzkflkesSJcHw=="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30:L30"/>
    <mergeCell ref="I32:L32"/>
    <mergeCell ref="B20:G20"/>
    <mergeCell ref="AX19:AZ19"/>
    <mergeCell ref="D21:O21"/>
    <mergeCell ref="E22:E23"/>
    <mergeCell ref="L22:O22"/>
    <mergeCell ref="I28:L28"/>
    <mergeCell ref="B19:AW19"/>
    <mergeCell ref="F22:J23"/>
    <mergeCell ref="B28:G28"/>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B50" sqref="B50:O50"/>
    </sheetView>
  </sheetViews>
  <sheetFormatPr baseColWidth="10" defaultColWidth="11.44140625" defaultRowHeight="13.2"/>
  <cols>
    <col min="1" max="1" width="4.33203125" style="209" customWidth="1"/>
    <col min="2" max="2" width="42.88671875" style="209" customWidth="1"/>
    <col min="3" max="13" width="7.109375" style="209" customWidth="1"/>
    <col min="14" max="14" width="14.33203125" style="209" customWidth="1"/>
    <col min="15" max="15" width="14.44140625" style="209" customWidth="1"/>
    <col min="16" max="16" width="6.6640625" style="209" customWidth="1"/>
    <col min="17" max="17" width="9.5546875" style="209" customWidth="1"/>
    <col min="18" max="18" width="17.109375" style="209" customWidth="1"/>
    <col min="19" max="16384" width="11.44140625" style="209"/>
  </cols>
  <sheetData>
    <row r="1" spans="2:16" s="7" customFormat="1" ht="7.5" customHeight="1" thickBot="1">
      <c r="B1" s="207"/>
      <c r="C1" s="207"/>
      <c r="D1" s="207"/>
      <c r="E1" s="207"/>
      <c r="F1" s="207"/>
      <c r="G1" s="207"/>
      <c r="H1" s="207"/>
      <c r="I1" s="207"/>
      <c r="J1" s="207"/>
      <c r="K1" s="207"/>
      <c r="L1" s="207"/>
      <c r="M1" s="207"/>
      <c r="N1" s="207"/>
      <c r="O1" s="207"/>
      <c r="P1" s="207"/>
    </row>
    <row r="2" spans="2:16" s="7" customFormat="1" ht="15.6">
      <c r="B2" s="1536" t="s">
        <v>642</v>
      </c>
      <c r="C2" s="1539" t="s">
        <v>4</v>
      </c>
      <c r="D2" s="1540"/>
      <c r="E2" s="1540"/>
      <c r="F2" s="1540"/>
      <c r="G2" s="1540"/>
      <c r="H2" s="1540"/>
      <c r="I2" s="1540"/>
      <c r="J2" s="1540"/>
      <c r="K2" s="1540"/>
      <c r="L2" s="1540"/>
      <c r="M2" s="1540"/>
      <c r="N2" s="1225" t="s">
        <v>31</v>
      </c>
      <c r="O2" s="1226"/>
      <c r="P2" s="207"/>
    </row>
    <row r="3" spans="2:16" s="7" customFormat="1" ht="15.6">
      <c r="B3" s="1537"/>
      <c r="C3" s="1541"/>
      <c r="D3" s="1542"/>
      <c r="E3" s="1542"/>
      <c r="F3" s="1542"/>
      <c r="G3" s="1542"/>
      <c r="H3" s="1542"/>
      <c r="I3" s="1542"/>
      <c r="J3" s="1542"/>
      <c r="K3" s="1542"/>
      <c r="L3" s="1542"/>
      <c r="M3" s="1542"/>
      <c r="N3" s="8" t="s">
        <v>28</v>
      </c>
      <c r="O3" s="9" t="s">
        <v>29</v>
      </c>
      <c r="P3" s="207"/>
    </row>
    <row r="4" spans="2:16" s="7" customFormat="1" ht="15.75" customHeight="1">
      <c r="B4" s="1537"/>
      <c r="C4" s="1541"/>
      <c r="D4" s="1542"/>
      <c r="E4" s="1542"/>
      <c r="F4" s="1542"/>
      <c r="G4" s="1542"/>
      <c r="H4" s="1542"/>
      <c r="I4" s="1542"/>
      <c r="J4" s="1542"/>
      <c r="K4" s="1542"/>
      <c r="L4" s="1542"/>
      <c r="M4" s="1542"/>
      <c r="N4" s="10">
        <v>5</v>
      </c>
      <c r="O4" s="11" t="s">
        <v>643</v>
      </c>
      <c r="P4" s="207"/>
    </row>
    <row r="5" spans="2:16" s="7" customFormat="1" ht="15.6">
      <c r="B5" s="1537"/>
      <c r="C5" s="1541"/>
      <c r="D5" s="1542"/>
      <c r="E5" s="1542"/>
      <c r="F5" s="1542"/>
      <c r="G5" s="1542"/>
      <c r="H5" s="1542"/>
      <c r="I5" s="1542"/>
      <c r="J5" s="1542"/>
      <c r="K5" s="1542"/>
      <c r="L5" s="1542"/>
      <c r="M5" s="1542"/>
      <c r="N5" s="1545" t="s">
        <v>30</v>
      </c>
      <c r="O5" s="1546"/>
      <c r="P5" s="207"/>
    </row>
    <row r="6" spans="2:16" s="7" customFormat="1" ht="16.5" customHeight="1" thickBot="1">
      <c r="B6" s="1538"/>
      <c r="C6" s="1543"/>
      <c r="D6" s="1544"/>
      <c r="E6" s="1544"/>
      <c r="F6" s="1544"/>
      <c r="G6" s="1544"/>
      <c r="H6" s="1544"/>
      <c r="I6" s="1544"/>
      <c r="J6" s="1544"/>
      <c r="K6" s="1544"/>
      <c r="L6" s="1544"/>
      <c r="M6" s="1544"/>
      <c r="N6" s="1547">
        <v>44306</v>
      </c>
      <c r="O6" s="1548"/>
      <c r="P6" s="207"/>
    </row>
    <row r="7" spans="2:16" s="7" customFormat="1" ht="7.5" customHeight="1">
      <c r="B7" s="207"/>
      <c r="C7" s="207"/>
      <c r="D7" s="207"/>
      <c r="E7" s="207"/>
      <c r="F7" s="208">
        <f>D13</f>
        <v>0</v>
      </c>
      <c r="G7" s="207"/>
      <c r="H7" s="207"/>
      <c r="I7" s="207"/>
      <c r="J7" s="207"/>
      <c r="K7" s="207"/>
      <c r="L7" s="207"/>
      <c r="M7" s="207"/>
      <c r="N7" s="207"/>
      <c r="O7" s="207"/>
      <c r="P7" s="207"/>
    </row>
    <row r="8" spans="2:16" s="7" customFormat="1" ht="22.5" customHeight="1">
      <c r="B8" s="1549" t="s">
        <v>46</v>
      </c>
      <c r="C8" s="1549"/>
      <c r="D8" s="1549"/>
      <c r="E8" s="1549"/>
      <c r="F8" s="1549"/>
      <c r="G8" s="1549"/>
      <c r="H8" s="1549"/>
      <c r="I8" s="1549"/>
      <c r="J8" s="1549"/>
      <c r="K8" s="1549"/>
      <c r="L8" s="1549"/>
      <c r="M8" s="1549"/>
      <c r="N8" s="1549"/>
      <c r="O8" s="1549"/>
      <c r="P8" s="207"/>
    </row>
    <row r="9" spans="2:16" s="7" customFormat="1" ht="7.5" customHeight="1">
      <c r="B9" s="207"/>
      <c r="C9" s="207"/>
      <c r="D9" s="207"/>
      <c r="E9" s="207"/>
      <c r="F9" s="208"/>
      <c r="G9" s="207"/>
      <c r="H9" s="207"/>
      <c r="I9" s="207"/>
      <c r="J9" s="207"/>
      <c r="K9" s="207"/>
      <c r="L9" s="207"/>
      <c r="M9" s="207"/>
      <c r="N9" s="207"/>
      <c r="O9" s="207"/>
      <c r="P9" s="207"/>
    </row>
    <row r="10" spans="2:16" s="7" customFormat="1" ht="28.5" customHeight="1">
      <c r="B10" s="1535" t="s">
        <v>47</v>
      </c>
      <c r="C10" s="1535"/>
      <c r="D10" s="1535"/>
      <c r="E10" s="1535"/>
      <c r="F10" s="1535"/>
      <c r="G10" s="1535"/>
      <c r="H10" s="1535"/>
      <c r="I10" s="1535"/>
      <c r="J10" s="1535"/>
      <c r="K10" s="1535"/>
      <c r="L10" s="1535"/>
      <c r="M10" s="1535"/>
      <c r="N10" s="1535"/>
      <c r="O10" s="1535"/>
      <c r="P10" s="207"/>
    </row>
    <row r="11" spans="2:16" s="7" customFormat="1" ht="7.5" customHeight="1">
      <c r="B11" s="207"/>
      <c r="C11" s="207"/>
      <c r="D11" s="207"/>
      <c r="E11" s="207"/>
      <c r="F11" s="208"/>
      <c r="G11" s="207"/>
      <c r="H11" s="207"/>
      <c r="I11" s="207"/>
      <c r="J11" s="207"/>
      <c r="K11" s="207"/>
      <c r="L11" s="207"/>
      <c r="M11" s="207"/>
      <c r="N11" s="207"/>
      <c r="O11" s="207"/>
      <c r="P11" s="207"/>
    </row>
    <row r="12" spans="2:16" s="7" customFormat="1" ht="22.5" customHeight="1">
      <c r="B12" s="202" t="s">
        <v>32</v>
      </c>
      <c r="C12" s="1551" t="s">
        <v>33</v>
      </c>
      <c r="D12" s="1551"/>
      <c r="E12" s="1551"/>
      <c r="F12" s="1551"/>
      <c r="G12" s="1551"/>
      <c r="H12" s="1551"/>
      <c r="I12" s="1551"/>
      <c r="J12" s="1551"/>
      <c r="K12" s="1551"/>
      <c r="L12" s="1551"/>
      <c r="M12" s="1551"/>
      <c r="N12" s="1551"/>
      <c r="O12" s="1551"/>
      <c r="P12" s="207"/>
    </row>
    <row r="13" spans="2:16" s="7" customFormat="1" ht="45.75" customHeight="1">
      <c r="B13" s="22" t="s">
        <v>64</v>
      </c>
      <c r="C13" s="1550" t="s">
        <v>65</v>
      </c>
      <c r="D13" s="1550"/>
      <c r="E13" s="1550"/>
      <c r="F13" s="1550"/>
      <c r="G13" s="1550"/>
      <c r="H13" s="1550"/>
      <c r="I13" s="1550"/>
      <c r="J13" s="1550"/>
      <c r="K13" s="1550"/>
      <c r="L13" s="1550"/>
      <c r="M13" s="1550"/>
      <c r="N13" s="1550"/>
      <c r="O13" s="1550"/>
    </row>
    <row r="14" spans="2:16" s="7" customFormat="1" ht="45.75" customHeight="1">
      <c r="B14" s="22" t="s">
        <v>644</v>
      </c>
      <c r="C14" s="1550" t="s">
        <v>66</v>
      </c>
      <c r="D14" s="1550"/>
      <c r="E14" s="1550"/>
      <c r="F14" s="1550"/>
      <c r="G14" s="1550"/>
      <c r="H14" s="1550"/>
      <c r="I14" s="1550"/>
      <c r="J14" s="1550"/>
      <c r="K14" s="1550"/>
      <c r="L14" s="1550"/>
      <c r="M14" s="1550"/>
      <c r="N14" s="1550"/>
      <c r="O14" s="1550"/>
    </row>
    <row r="15" spans="2:16" s="7" customFormat="1" ht="76.5" customHeight="1">
      <c r="B15" s="22" t="s">
        <v>645</v>
      </c>
      <c r="C15" s="1550" t="s">
        <v>129</v>
      </c>
      <c r="D15" s="1550"/>
      <c r="E15" s="1550"/>
      <c r="F15" s="1550"/>
      <c r="G15" s="1550"/>
      <c r="H15" s="1550"/>
      <c r="I15" s="1550"/>
      <c r="J15" s="1550"/>
      <c r="K15" s="1550"/>
      <c r="L15" s="1550"/>
      <c r="M15" s="1550"/>
      <c r="N15" s="1550"/>
      <c r="O15" s="1550"/>
    </row>
    <row r="16" spans="2:16" s="7" customFormat="1" ht="45.75" customHeight="1">
      <c r="B16" s="22" t="s">
        <v>646</v>
      </c>
      <c r="C16" s="1550" t="s">
        <v>67</v>
      </c>
      <c r="D16" s="1550"/>
      <c r="E16" s="1550"/>
      <c r="F16" s="1550"/>
      <c r="G16" s="1550"/>
      <c r="H16" s="1550"/>
      <c r="I16" s="1550"/>
      <c r="J16" s="1550"/>
      <c r="K16" s="1550"/>
      <c r="L16" s="1550"/>
      <c r="M16" s="1550"/>
      <c r="N16" s="1550"/>
      <c r="O16" s="1550"/>
    </row>
    <row r="17" spans="2:16" s="7" customFormat="1" ht="61.5" customHeight="1">
      <c r="B17" s="22" t="s">
        <v>647</v>
      </c>
      <c r="C17" s="1550" t="s">
        <v>648</v>
      </c>
      <c r="D17" s="1550"/>
      <c r="E17" s="1550"/>
      <c r="F17" s="1550"/>
      <c r="G17" s="1550"/>
      <c r="H17" s="1550"/>
      <c r="I17" s="1550"/>
      <c r="J17" s="1550"/>
      <c r="K17" s="1550"/>
      <c r="L17" s="1550"/>
      <c r="M17" s="1550"/>
      <c r="N17" s="1550"/>
      <c r="O17" s="1550"/>
    </row>
    <row r="18" spans="2:16" s="7" customFormat="1" ht="45.75" customHeight="1">
      <c r="B18" s="22" t="s">
        <v>69</v>
      </c>
      <c r="C18" s="1550" t="s">
        <v>71</v>
      </c>
      <c r="D18" s="1550"/>
      <c r="E18" s="1550"/>
      <c r="F18" s="1550"/>
      <c r="G18" s="1550"/>
      <c r="H18" s="1550"/>
      <c r="I18" s="1550"/>
      <c r="J18" s="1550"/>
      <c r="K18" s="1550"/>
      <c r="L18" s="1550"/>
      <c r="M18" s="1550"/>
      <c r="N18" s="1550"/>
      <c r="O18" s="1550"/>
    </row>
    <row r="19" spans="2:16" s="7" customFormat="1" ht="45.75" customHeight="1">
      <c r="B19" s="22" t="s">
        <v>649</v>
      </c>
      <c r="C19" s="1550" t="s">
        <v>72</v>
      </c>
      <c r="D19" s="1550"/>
      <c r="E19" s="1550"/>
      <c r="F19" s="1550"/>
      <c r="G19" s="1550"/>
      <c r="H19" s="1550"/>
      <c r="I19" s="1550"/>
      <c r="J19" s="1550"/>
      <c r="K19" s="1550"/>
      <c r="L19" s="1550"/>
      <c r="M19" s="1550"/>
      <c r="N19" s="1550"/>
      <c r="O19" s="1550"/>
    </row>
    <row r="20" spans="2:16" s="7" customFormat="1" ht="45.75" customHeight="1">
      <c r="B20" s="22" t="s">
        <v>45</v>
      </c>
      <c r="C20" s="1550" t="s">
        <v>73</v>
      </c>
      <c r="D20" s="1550"/>
      <c r="E20" s="1550"/>
      <c r="F20" s="1550"/>
      <c r="G20" s="1550"/>
      <c r="H20" s="1550"/>
      <c r="I20" s="1550"/>
      <c r="J20" s="1550"/>
      <c r="K20" s="1550"/>
      <c r="L20" s="1550"/>
      <c r="M20" s="1550"/>
      <c r="N20" s="1550"/>
      <c r="O20" s="1550"/>
    </row>
    <row r="21" spans="2:16" s="7" customFormat="1" ht="45.75" customHeight="1">
      <c r="B21" s="22" t="s">
        <v>68</v>
      </c>
      <c r="C21" s="1550" t="s">
        <v>74</v>
      </c>
      <c r="D21" s="1550"/>
      <c r="E21" s="1550"/>
      <c r="F21" s="1550"/>
      <c r="G21" s="1550"/>
      <c r="H21" s="1550"/>
      <c r="I21" s="1550"/>
      <c r="J21" s="1550"/>
      <c r="K21" s="1550"/>
      <c r="L21" s="1550"/>
      <c r="M21" s="1550"/>
      <c r="N21" s="1550"/>
      <c r="O21" s="1550"/>
    </row>
    <row r="22" spans="2:16" s="7" customFormat="1" ht="78" customHeight="1">
      <c r="B22" s="16" t="s">
        <v>76</v>
      </c>
      <c r="C22" s="1550" t="s">
        <v>116</v>
      </c>
      <c r="D22" s="1550"/>
      <c r="E22" s="1550"/>
      <c r="F22" s="1550"/>
      <c r="G22" s="1550"/>
      <c r="H22" s="1550"/>
      <c r="I22" s="1550"/>
      <c r="J22" s="1550"/>
      <c r="K22" s="1550"/>
      <c r="L22" s="1550"/>
      <c r="M22" s="1550"/>
      <c r="N22" s="1550"/>
      <c r="O22" s="1550"/>
    </row>
    <row r="23" spans="2:16" s="7" customFormat="1" ht="45.75" customHeight="1">
      <c r="B23" s="16" t="s">
        <v>77</v>
      </c>
      <c r="C23" s="1552" t="s">
        <v>117</v>
      </c>
      <c r="D23" s="1552"/>
      <c r="E23" s="1552"/>
      <c r="F23" s="1552"/>
      <c r="G23" s="1552"/>
      <c r="H23" s="1552"/>
      <c r="I23" s="1552"/>
      <c r="J23" s="1552"/>
      <c r="K23" s="1552"/>
      <c r="L23" s="1552"/>
      <c r="M23" s="1552"/>
      <c r="N23" s="1552"/>
      <c r="O23" s="1552"/>
    </row>
    <row r="24" spans="2:16" s="7" customFormat="1" ht="45.75" customHeight="1">
      <c r="B24" s="16" t="s">
        <v>37</v>
      </c>
      <c r="C24" s="1550" t="s">
        <v>83</v>
      </c>
      <c r="D24" s="1550"/>
      <c r="E24" s="1550"/>
      <c r="F24" s="1550"/>
      <c r="G24" s="1550"/>
      <c r="H24" s="1550"/>
      <c r="I24" s="1550"/>
      <c r="J24" s="1550"/>
      <c r="K24" s="1550"/>
      <c r="L24" s="1550"/>
      <c r="M24" s="1550"/>
      <c r="N24" s="1550"/>
      <c r="O24" s="1550"/>
    </row>
    <row r="25" spans="2:16" s="7" customFormat="1" ht="45.75" customHeight="1">
      <c r="B25" s="16" t="s">
        <v>82</v>
      </c>
      <c r="C25" s="1550" t="s">
        <v>84</v>
      </c>
      <c r="D25" s="1550"/>
      <c r="E25" s="1550"/>
      <c r="F25" s="1550"/>
      <c r="G25" s="1550"/>
      <c r="H25" s="1550"/>
      <c r="I25" s="1550"/>
      <c r="J25" s="1550"/>
      <c r="K25" s="1550"/>
      <c r="L25" s="1550"/>
      <c r="M25" s="1550"/>
      <c r="N25" s="1550"/>
      <c r="O25" s="1550"/>
    </row>
    <row r="26" spans="2:16" s="7" customFormat="1">
      <c r="B26" s="207"/>
      <c r="C26" s="207"/>
      <c r="D26" s="207"/>
      <c r="E26" s="207"/>
      <c r="F26" s="208"/>
      <c r="G26" s="207"/>
      <c r="H26" s="207"/>
      <c r="I26" s="207"/>
      <c r="J26" s="207"/>
      <c r="K26" s="207"/>
      <c r="L26" s="207"/>
      <c r="M26" s="207"/>
      <c r="N26" s="207"/>
      <c r="O26" s="207"/>
      <c r="P26" s="207"/>
    </row>
    <row r="27" spans="2:16" s="7" customFormat="1" ht="32.25" customHeight="1">
      <c r="B27" s="1535" t="s">
        <v>63</v>
      </c>
      <c r="C27" s="1535"/>
      <c r="D27" s="1535"/>
      <c r="E27" s="1535"/>
      <c r="F27" s="1535"/>
      <c r="G27" s="1535"/>
      <c r="H27" s="1535"/>
      <c r="I27" s="1535"/>
      <c r="J27" s="1535"/>
      <c r="K27" s="1535"/>
      <c r="L27" s="1535"/>
      <c r="M27" s="1535"/>
      <c r="N27" s="1535"/>
      <c r="O27" s="1535"/>
      <c r="P27" s="207"/>
    </row>
    <row r="28" spans="2:16" s="7" customFormat="1" ht="7.5" customHeight="1">
      <c r="B28" s="207"/>
      <c r="C28" s="207"/>
      <c r="D28" s="207"/>
      <c r="E28" s="207"/>
      <c r="F28" s="208"/>
      <c r="G28" s="207"/>
      <c r="H28" s="207"/>
      <c r="I28" s="207"/>
      <c r="J28" s="207"/>
      <c r="K28" s="207"/>
      <c r="L28" s="207"/>
      <c r="M28" s="207"/>
      <c r="N28" s="207"/>
      <c r="O28" s="207"/>
      <c r="P28" s="207"/>
    </row>
    <row r="29" spans="2:16" s="7" customFormat="1" ht="22.5" customHeight="1">
      <c r="B29" s="202" t="s">
        <v>32</v>
      </c>
      <c r="C29" s="1551" t="s">
        <v>33</v>
      </c>
      <c r="D29" s="1551"/>
      <c r="E29" s="1551"/>
      <c r="F29" s="1551"/>
      <c r="G29" s="1551"/>
      <c r="H29" s="1551"/>
      <c r="I29" s="1551"/>
      <c r="J29" s="1551"/>
      <c r="K29" s="1551"/>
      <c r="L29" s="1551"/>
      <c r="M29" s="1551"/>
      <c r="N29" s="1551"/>
      <c r="O29" s="1551"/>
      <c r="P29" s="207"/>
    </row>
    <row r="30" spans="2:16" s="7" customFormat="1" ht="45.75" customHeight="1">
      <c r="B30" s="22" t="s">
        <v>45</v>
      </c>
      <c r="C30" s="1550" t="s">
        <v>100</v>
      </c>
      <c r="D30" s="1550"/>
      <c r="E30" s="1550"/>
      <c r="F30" s="1550"/>
      <c r="G30" s="1550"/>
      <c r="H30" s="1550"/>
      <c r="I30" s="1550"/>
      <c r="J30" s="1550"/>
      <c r="K30" s="1550"/>
      <c r="L30" s="1550"/>
      <c r="M30" s="1550"/>
      <c r="N30" s="1550"/>
      <c r="O30" s="1550"/>
    </row>
    <row r="31" spans="2:16" s="7" customFormat="1" ht="45.75" customHeight="1">
      <c r="B31" s="22" t="s">
        <v>34</v>
      </c>
      <c r="C31" s="1550" t="s">
        <v>85</v>
      </c>
      <c r="D31" s="1550"/>
      <c r="E31" s="1550"/>
      <c r="F31" s="1550"/>
      <c r="G31" s="1550"/>
      <c r="H31" s="1550"/>
      <c r="I31" s="1550"/>
      <c r="J31" s="1550"/>
      <c r="K31" s="1550"/>
      <c r="L31" s="1550"/>
      <c r="M31" s="1550"/>
      <c r="N31" s="1550"/>
      <c r="O31" s="1550"/>
    </row>
    <row r="32" spans="2:16" s="7" customFormat="1" ht="45.75" customHeight="1">
      <c r="B32" s="23" t="s">
        <v>101</v>
      </c>
      <c r="C32" s="1550" t="s">
        <v>102</v>
      </c>
      <c r="D32" s="1550"/>
      <c r="E32" s="1550"/>
      <c r="F32" s="1550"/>
      <c r="G32" s="1550"/>
      <c r="H32" s="1550"/>
      <c r="I32" s="1550"/>
      <c r="J32" s="1550"/>
      <c r="K32" s="1550"/>
      <c r="L32" s="1550"/>
      <c r="M32" s="1550"/>
      <c r="N32" s="1550"/>
      <c r="O32" s="1550"/>
    </row>
    <row r="33" spans="2:15" s="7" customFormat="1" ht="45.75" customHeight="1">
      <c r="B33" s="22" t="s">
        <v>647</v>
      </c>
      <c r="C33" s="1550" t="s">
        <v>650</v>
      </c>
      <c r="D33" s="1550"/>
      <c r="E33" s="1550"/>
      <c r="F33" s="1550"/>
      <c r="G33" s="1550"/>
      <c r="H33" s="1550"/>
      <c r="I33" s="1550"/>
      <c r="J33" s="1550"/>
      <c r="K33" s="1550"/>
      <c r="L33" s="1550"/>
      <c r="M33" s="1550"/>
      <c r="N33" s="1550"/>
      <c r="O33" s="1550"/>
    </row>
    <row r="34" spans="2:15" s="7" customFormat="1" ht="45.75" customHeight="1">
      <c r="B34" s="22" t="s">
        <v>651</v>
      </c>
      <c r="C34" s="1550" t="s">
        <v>652</v>
      </c>
      <c r="D34" s="1550"/>
      <c r="E34" s="1550"/>
      <c r="F34" s="1550"/>
      <c r="G34" s="1550"/>
      <c r="H34" s="1550"/>
      <c r="I34" s="1550"/>
      <c r="J34" s="1550"/>
      <c r="K34" s="1550"/>
      <c r="L34" s="1550"/>
      <c r="M34" s="1550"/>
      <c r="N34" s="1550"/>
      <c r="O34" s="1550"/>
    </row>
    <row r="35" spans="2:15" s="7" customFormat="1" ht="144" customHeight="1">
      <c r="B35" s="24" t="s">
        <v>653</v>
      </c>
      <c r="C35" s="1550" t="s">
        <v>103</v>
      </c>
      <c r="D35" s="1550"/>
      <c r="E35" s="1550"/>
      <c r="F35" s="1550"/>
      <c r="G35" s="1550"/>
      <c r="H35" s="1550"/>
      <c r="I35" s="1550"/>
      <c r="J35" s="1550"/>
      <c r="K35" s="1550"/>
      <c r="L35" s="1550"/>
      <c r="M35" s="1550"/>
      <c r="N35" s="1550"/>
      <c r="O35" s="1550"/>
    </row>
    <row r="36" spans="2:15" s="7" customFormat="1" ht="45.75" customHeight="1">
      <c r="B36" s="21" t="s">
        <v>104</v>
      </c>
      <c r="C36" s="1550" t="s">
        <v>105</v>
      </c>
      <c r="D36" s="1550"/>
      <c r="E36" s="1550"/>
      <c r="F36" s="1550"/>
      <c r="G36" s="1550"/>
      <c r="H36" s="1550"/>
      <c r="I36" s="1550"/>
      <c r="J36" s="1550"/>
      <c r="K36" s="1550"/>
      <c r="L36" s="1550"/>
      <c r="M36" s="1550"/>
      <c r="N36" s="1550"/>
      <c r="O36" s="1550"/>
    </row>
    <row r="37" spans="2:15" s="7" customFormat="1" ht="45.75" customHeight="1">
      <c r="B37" s="22" t="s">
        <v>36</v>
      </c>
      <c r="C37" s="1550" t="s">
        <v>106</v>
      </c>
      <c r="D37" s="1550"/>
      <c r="E37" s="1550"/>
      <c r="F37" s="1550"/>
      <c r="G37" s="1550"/>
      <c r="H37" s="1550"/>
      <c r="I37" s="1550"/>
      <c r="J37" s="1550"/>
      <c r="K37" s="1550"/>
      <c r="L37" s="1550"/>
      <c r="M37" s="1550"/>
      <c r="N37" s="1550"/>
      <c r="O37" s="1550"/>
    </row>
    <row r="38" spans="2:15" s="7" customFormat="1" ht="45.75" customHeight="1">
      <c r="B38" s="16" t="s">
        <v>35</v>
      </c>
      <c r="C38" s="1550" t="s">
        <v>107</v>
      </c>
      <c r="D38" s="1550"/>
      <c r="E38" s="1550"/>
      <c r="F38" s="1550"/>
      <c r="G38" s="1550"/>
      <c r="H38" s="1550"/>
      <c r="I38" s="1550"/>
      <c r="J38" s="1550"/>
      <c r="K38" s="1550"/>
      <c r="L38" s="1550"/>
      <c r="M38" s="1550"/>
      <c r="N38" s="1550"/>
      <c r="O38" s="1550"/>
    </row>
    <row r="39" spans="2:15" s="7" customFormat="1" ht="45.75" customHeight="1">
      <c r="B39" s="21" t="s">
        <v>111</v>
      </c>
      <c r="C39" s="1550" t="s">
        <v>108</v>
      </c>
      <c r="D39" s="1550"/>
      <c r="E39" s="1550"/>
      <c r="F39" s="1550"/>
      <c r="G39" s="1550"/>
      <c r="H39" s="1550"/>
      <c r="I39" s="1550"/>
      <c r="J39" s="1550"/>
      <c r="K39" s="1550"/>
      <c r="L39" s="1550"/>
      <c r="M39" s="1550"/>
      <c r="N39" s="1550"/>
      <c r="O39" s="1550"/>
    </row>
    <row r="40" spans="2:15" s="7" customFormat="1" ht="45.75" customHeight="1">
      <c r="B40" s="16" t="s">
        <v>110</v>
      </c>
      <c r="C40" s="1550" t="s">
        <v>109</v>
      </c>
      <c r="D40" s="1550"/>
      <c r="E40" s="1550"/>
      <c r="F40" s="1550"/>
      <c r="G40" s="1550"/>
      <c r="H40" s="1550"/>
      <c r="I40" s="1550"/>
      <c r="J40" s="1550"/>
      <c r="K40" s="1550"/>
      <c r="L40" s="1550"/>
      <c r="M40" s="1550"/>
      <c r="N40" s="1550"/>
      <c r="O40" s="1550"/>
    </row>
    <row r="41" spans="2:15" s="7" customFormat="1" ht="108.75" customHeight="1">
      <c r="B41" s="16" t="s">
        <v>113</v>
      </c>
      <c r="C41" s="1550" t="s">
        <v>114</v>
      </c>
      <c r="D41" s="1550"/>
      <c r="E41" s="1550"/>
      <c r="F41" s="1550"/>
      <c r="G41" s="1550"/>
      <c r="H41" s="1550"/>
      <c r="I41" s="1550"/>
      <c r="J41" s="1550"/>
      <c r="K41" s="1550"/>
      <c r="L41" s="1550"/>
      <c r="M41" s="1550"/>
      <c r="N41" s="1550"/>
      <c r="O41" s="1550"/>
    </row>
    <row r="42" spans="2:15" s="7" customFormat="1" ht="45.75" customHeight="1">
      <c r="B42" s="21" t="s">
        <v>115</v>
      </c>
      <c r="C42" s="1552" t="s">
        <v>125</v>
      </c>
      <c r="D42" s="1552"/>
      <c r="E42" s="1552"/>
      <c r="F42" s="1552"/>
      <c r="G42" s="1552"/>
      <c r="H42" s="1552"/>
      <c r="I42" s="1552"/>
      <c r="J42" s="1552"/>
      <c r="K42" s="1552"/>
      <c r="L42" s="1552"/>
      <c r="M42" s="1552"/>
      <c r="N42" s="1552"/>
      <c r="O42" s="1552"/>
    </row>
    <row r="43" spans="2:15" s="7" customFormat="1" ht="45.75" customHeight="1">
      <c r="B43" s="16" t="s">
        <v>654</v>
      </c>
      <c r="C43" s="1552" t="s">
        <v>126</v>
      </c>
      <c r="D43" s="1552"/>
      <c r="E43" s="1552"/>
      <c r="F43" s="1552"/>
      <c r="G43" s="1552"/>
      <c r="H43" s="1552"/>
      <c r="I43" s="1552"/>
      <c r="J43" s="1552"/>
      <c r="K43" s="1552"/>
      <c r="L43" s="1552"/>
      <c r="M43" s="1552"/>
      <c r="N43" s="1552"/>
      <c r="O43" s="1552"/>
    </row>
    <row r="44" spans="2:15" s="7" customFormat="1" ht="75" customHeight="1">
      <c r="B44" s="16" t="s">
        <v>640</v>
      </c>
      <c r="C44" s="1552" t="s">
        <v>655</v>
      </c>
      <c r="D44" s="1552"/>
      <c r="E44" s="1552"/>
      <c r="F44" s="1552"/>
      <c r="G44" s="1552"/>
      <c r="H44" s="1552"/>
      <c r="I44" s="1552"/>
      <c r="J44" s="1552"/>
      <c r="K44" s="1552"/>
      <c r="L44" s="1552"/>
      <c r="M44" s="1552"/>
      <c r="N44" s="1552"/>
      <c r="O44" s="1552"/>
    </row>
    <row r="45" spans="2:15" s="7" customFormat="1" ht="64.2" customHeight="1">
      <c r="B45" s="16" t="s">
        <v>656</v>
      </c>
      <c r="C45" s="1552" t="s">
        <v>657</v>
      </c>
      <c r="D45" s="1552"/>
      <c r="E45" s="1552"/>
      <c r="F45" s="1552"/>
      <c r="G45" s="1552"/>
      <c r="H45" s="1552"/>
      <c r="I45" s="1552"/>
      <c r="J45" s="1552"/>
      <c r="K45" s="1552"/>
      <c r="L45" s="1552"/>
      <c r="M45" s="1552"/>
      <c r="N45" s="1552"/>
      <c r="O45" s="1552"/>
    </row>
    <row r="46" spans="2:15" s="7" customFormat="1" ht="45.75" customHeight="1">
      <c r="B46" s="16" t="s">
        <v>37</v>
      </c>
      <c r="C46" s="1550" t="s">
        <v>127</v>
      </c>
      <c r="D46" s="1550"/>
      <c r="E46" s="1550"/>
      <c r="F46" s="1550"/>
      <c r="G46" s="1550"/>
      <c r="H46" s="1550"/>
      <c r="I46" s="1550"/>
      <c r="J46" s="1550"/>
      <c r="K46" s="1550"/>
      <c r="L46" s="1550"/>
      <c r="M46" s="1550"/>
      <c r="N46" s="1550"/>
      <c r="O46" s="1550"/>
    </row>
    <row r="47" spans="2:15" s="7" customFormat="1" ht="45.75" customHeight="1">
      <c r="B47" s="16" t="s">
        <v>82</v>
      </c>
      <c r="C47" s="1550" t="s">
        <v>128</v>
      </c>
      <c r="D47" s="1550"/>
      <c r="E47" s="1550"/>
      <c r="F47" s="1550"/>
      <c r="G47" s="1550"/>
      <c r="H47" s="1550"/>
      <c r="I47" s="1550"/>
      <c r="J47" s="1550"/>
      <c r="K47" s="1550"/>
      <c r="L47" s="1550"/>
      <c r="M47" s="1550"/>
      <c r="N47" s="1550"/>
      <c r="O47" s="1550"/>
    </row>
    <row r="48" spans="2:15" s="7" customFormat="1" ht="45" customHeight="1">
      <c r="B48" s="16" t="s">
        <v>50</v>
      </c>
      <c r="C48" s="1550" t="s">
        <v>38</v>
      </c>
      <c r="D48" s="1550"/>
      <c r="E48" s="1550"/>
      <c r="F48" s="1550"/>
      <c r="G48" s="1550"/>
      <c r="H48" s="1550"/>
      <c r="I48" s="1550"/>
      <c r="J48" s="1550"/>
      <c r="K48" s="1550"/>
      <c r="L48" s="1550"/>
      <c r="M48" s="1550"/>
      <c r="N48" s="1550"/>
      <c r="O48" s="1550"/>
    </row>
    <row r="50" spans="2:15" ht="34.200000000000003" customHeight="1">
      <c r="B50" s="1553" t="s">
        <v>876</v>
      </c>
      <c r="C50" s="1553"/>
      <c r="D50" s="1553"/>
      <c r="E50" s="1553"/>
      <c r="F50" s="1553"/>
      <c r="G50" s="1553"/>
      <c r="H50" s="1553"/>
      <c r="I50" s="1553"/>
      <c r="J50" s="1553"/>
      <c r="K50" s="1553"/>
      <c r="L50" s="1553"/>
      <c r="M50" s="1553"/>
      <c r="N50" s="1553"/>
      <c r="O50" s="1553"/>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50:O50"/>
    <mergeCell ref="C48:O48"/>
    <mergeCell ref="C35:O35"/>
    <mergeCell ref="C36:O36"/>
    <mergeCell ref="C37:O37"/>
    <mergeCell ref="C45:O45"/>
    <mergeCell ref="C46:O46"/>
    <mergeCell ref="C47:O47"/>
    <mergeCell ref="C34:O34"/>
    <mergeCell ref="C33:O33"/>
    <mergeCell ref="C43:O43"/>
    <mergeCell ref="C44:O44"/>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27:O27"/>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Rango indicadores</vt:lpstr>
      <vt:lpstr>Listas1</vt:lpstr>
      <vt:lpstr>4-Grado Cum Objetivos Est &amp; Cal</vt:lpstr>
      <vt:lpstr>3-Grado Cump Metas Estratégicas</vt:lpstr>
      <vt:lpstr>2- Resumen Ejec PEI 2023</vt:lpstr>
      <vt:lpstr>1-Infor Det Sgto PEI 2021-2024 </vt:lpstr>
      <vt:lpstr>Matriz PEI 2021-2024</vt:lpstr>
      <vt:lpstr>INSTRUCCIONES DILG (Pág 2 de 2)</vt:lpstr>
      <vt:lpstr>4.Segto Medición POA 2023 T2</vt:lpstr>
      <vt:lpstr>3.Resum Desemp Procesos POA T2</vt:lpstr>
      <vt:lpstr>4.Segto Medición POA 2022 T3</vt:lpstr>
      <vt:lpstr>4.Segto Medición POA 2022 T4</vt:lpstr>
      <vt:lpstr>3.Resum Desemp Procesos POA T4 </vt:lpstr>
      <vt:lpstr>3.Resum Desemp Procesos POA T3</vt:lpstr>
      <vt:lpstr>4.Segto Medición POA 2022 T1</vt:lpstr>
      <vt:lpstr>3.Resum Desemp Procesos POA T1</vt:lpstr>
      <vt:lpstr>LISTAS</vt:lpstr>
      <vt:lpstr>2.Infor Detallado Desempeño POA</vt:lpstr>
      <vt:lpstr>1.Informe Seguimiento POA 2023</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2023-07-19T21:52:48Z</dcterms:modified>
</cp:coreProperties>
</file>